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/Users/sohailfarooq/Library/Mobile Documents/com~apple~CloudDocs/BBA/Marketing/Canada/Credit Unions /First Ontario/Demo models/Modules/"/>
    </mc:Choice>
  </mc:AlternateContent>
  <xr:revisionPtr revIDLastSave="0" documentId="13_ncr:1_{26CCDA51-1D5D-2340-B5D2-B3FB3544C72A}" xr6:coauthVersionLast="40" xr6:coauthVersionMax="40" xr10:uidLastSave="{00000000-0000-0000-0000-000000000000}"/>
  <bookViews>
    <workbookView xWindow="0" yWindow="460" windowWidth="28800" windowHeight="16220" tabRatio="834" activeTab="2" xr2:uid="{00000000-000D-0000-FFFF-FFFF00000000}"/>
  </bookViews>
  <sheets>
    <sheet name="DICO Output" sheetId="273" state="hidden" r:id="rId1"/>
    <sheet name="Data Res'l Mortgages Uninsured" sheetId="277" state="hidden" r:id="rId2"/>
    <sheet name="Data Commercial" sheetId="266" r:id="rId3"/>
    <sheet name="PD Term Structure" sheetId="274" r:id="rId4"/>
    <sheet name="Master rating scale" sheetId="268" r:id="rId5"/>
    <sheet name="LGD parameters" sheetId="264" r:id="rId6"/>
    <sheet name="Correlation" sheetId="226" state="hidden" r:id="rId7"/>
  </sheets>
  <definedNames>
    <definedName name="_xlnm._FilterDatabase" localSheetId="2" hidden="1">'Data Commercial'!$A$3:$M$118</definedName>
    <definedName name="_xlnm._FilterDatabase" localSheetId="1" hidden="1">'Data Res''l Mortgages Uninsured'!$A$1:$L$231</definedName>
    <definedName name="Active_Scenario">#REF!</definedName>
    <definedName name="AFR_port">#REF!</definedName>
    <definedName name="AnchorYr">'DICO Output'!$C$4</definedName>
    <definedName name="Base_case_output">#REF!</definedName>
    <definedName name="Base_case_PD">#REF!</definedName>
    <definedName name="Basel_taxonomy">#REF!</definedName>
    <definedName name="CC_GDP_coefficient">#REF!</definedName>
    <definedName name="CC_INFL_COEFF">#REF!</definedName>
    <definedName name="CC_MSM_Coefficient">#REF!</definedName>
    <definedName name="CC_PRI_DEBT_Coefficient">#REF!</definedName>
    <definedName name="CC_UNEMPLOY_COEFF">#REF!</definedName>
    <definedName name="correlation_tab">Correlation!$C$7:$F$15</definedName>
    <definedName name="CP_0">#REF!</definedName>
    <definedName name="CP_1">#REF!</definedName>
    <definedName name="CP_10">#REF!</definedName>
    <definedName name="CP_11">#REF!</definedName>
    <definedName name="CP_12">#REF!</definedName>
    <definedName name="CP_13">#REF!</definedName>
    <definedName name="CP_14">#REF!</definedName>
    <definedName name="CP_15">#REF!</definedName>
    <definedName name="CP_16">#REF!</definedName>
    <definedName name="CP_17">#REF!</definedName>
    <definedName name="CP_18">#REF!</definedName>
    <definedName name="CP_19">#REF!</definedName>
    <definedName name="CP_2">#REF!</definedName>
    <definedName name="CP_20">#REF!</definedName>
    <definedName name="CP_21">#REF!</definedName>
    <definedName name="CP_22">#REF!</definedName>
    <definedName name="CP_23">#REF!</definedName>
    <definedName name="CP_24">#REF!</definedName>
    <definedName name="CP_25">#REF!</definedName>
    <definedName name="CP_26">#REF!</definedName>
    <definedName name="CP_27">#REF!</definedName>
    <definedName name="CP_28">#REF!</definedName>
    <definedName name="CP_29">#REF!</definedName>
    <definedName name="CP_3">#REF!</definedName>
    <definedName name="CP_30">#REF!</definedName>
    <definedName name="CP_31">#REF!</definedName>
    <definedName name="CP_32">#REF!</definedName>
    <definedName name="CP_33">#REF!</definedName>
    <definedName name="CP_34">#REF!</definedName>
    <definedName name="CP_35">#REF!</definedName>
    <definedName name="CP_36">#REF!</definedName>
    <definedName name="CP_37">#REF!</definedName>
    <definedName name="CP_38">#REF!</definedName>
    <definedName name="CP_39">#REF!</definedName>
    <definedName name="CP_4">#REF!</definedName>
    <definedName name="CP_40">#REF!</definedName>
    <definedName name="CP_41">#REF!</definedName>
    <definedName name="CP_42">#REF!</definedName>
    <definedName name="CP_43">#REF!</definedName>
    <definedName name="CP_44">#REF!</definedName>
    <definedName name="CP_45">#REF!</definedName>
    <definedName name="CP_5">#REF!</definedName>
    <definedName name="CP_6">#REF!</definedName>
    <definedName name="CP_7">#REF!</definedName>
    <definedName name="CP_8">#REF!</definedName>
    <definedName name="CP_9">#REF!</definedName>
    <definedName name="CP_Macro_input">#REF!</definedName>
    <definedName name="credit_calibration">Correlation!$E$19</definedName>
    <definedName name="Credit_cap_required_table">Correlation!$C$5:$H$15</definedName>
    <definedName name="Credit_Cycleparameter_basecase">#REF!</definedName>
    <definedName name="Credit_Cycleparameter_basecase_year">#REF!</definedName>
    <definedName name="Credit_Cycleparameter_stress">#REF!</definedName>
    <definedName name="Credit_Cycleparameter_stress_year">#REF!</definedName>
    <definedName name="cyclicality">#REF!</definedName>
    <definedName name="Db_1">#REF!</definedName>
    <definedName name="Db_10">#REF!</definedName>
    <definedName name="Db_11">#REF!</definedName>
    <definedName name="Db_11_1">#REF!</definedName>
    <definedName name="Db_11_2">#REF!</definedName>
    <definedName name="Db_11_3">#REF!</definedName>
    <definedName name="Db_12">#REF!</definedName>
    <definedName name="Db_13">#REF!</definedName>
    <definedName name="Db_14">#REF!</definedName>
    <definedName name="Db_15">#REF!</definedName>
    <definedName name="Db_15_1">#REF!</definedName>
    <definedName name="Db_15_2">#REF!</definedName>
    <definedName name="Db_15_3">#REF!</definedName>
    <definedName name="Db_15_4">#REF!</definedName>
    <definedName name="Db_15_5">#REF!</definedName>
    <definedName name="Db_15_6">#REF!</definedName>
    <definedName name="Db_16">#REF!</definedName>
    <definedName name="Db_19">#REF!</definedName>
    <definedName name="Db_2">#REF!</definedName>
    <definedName name="Db_20">#REF!</definedName>
    <definedName name="Db_21">#REF!</definedName>
    <definedName name="Db_22">#REF!</definedName>
    <definedName name="Db_23">#REF!</definedName>
    <definedName name="Db_24">#REF!</definedName>
    <definedName name="Db_25">#REF!</definedName>
    <definedName name="Db_26">#REF!</definedName>
    <definedName name="Db_3">#REF!</definedName>
    <definedName name="Db_31">#REF!</definedName>
    <definedName name="Db_32">#REF!</definedName>
    <definedName name="Db_33">#REF!</definedName>
    <definedName name="Db_34">#REF!</definedName>
    <definedName name="Db_35">#REF!</definedName>
    <definedName name="Db_7_1">#REF!</definedName>
    <definedName name="Db_7_2">#REF!</definedName>
    <definedName name="Db_7_3">#REF!</definedName>
    <definedName name="Db_8">#REF!</definedName>
    <definedName name="Db_9">#REF!</definedName>
    <definedName name="Disorderly_real_estate_crash_PD">#REF!</definedName>
    <definedName name="Global_receission_PD">#REF!</definedName>
    <definedName name="Large_sovereign_default_PD">#REF!</definedName>
    <definedName name="LGD_para">'LGD parameters'!$C$7:$E$11</definedName>
    <definedName name="Liquidity_crisis_PD">#REF!</definedName>
    <definedName name="Mc_GDP_coefficient">#REF!</definedName>
    <definedName name="Mc_HHDI_Coefficient">#REF!</definedName>
    <definedName name="Mc_JSE_Coefficient">#REF!</definedName>
    <definedName name="Mild_downturn_PD">#REF!</definedName>
    <definedName name="Oil_price_crash_PD">#REF!</definedName>
    <definedName name="PandL_Group_TOTAL">#REF!</definedName>
    <definedName name="PD_basecase">#REF!</definedName>
    <definedName name="PillarII_Corp">#REF!</definedName>
    <definedName name="PillarII_ret">#REF!</definedName>
    <definedName name="PillarII_SBU">#REF!</definedName>
    <definedName name="Probability">#REF!</definedName>
    <definedName name="Recession_PD">#REF!</definedName>
    <definedName name="Res_1">#REF!</definedName>
    <definedName name="Res_2">#REF!</definedName>
    <definedName name="SAPBEXhrIndnt" hidden="1">1</definedName>
    <definedName name="SAPBEXrevision" hidden="1">15</definedName>
    <definedName name="SAPBEXsysID" hidden="1">"BP1"</definedName>
    <definedName name="SAPBEXwbID" hidden="1">"3KIOB4QEJV5TOOUQF8MK5C0HK"</definedName>
    <definedName name="SAPFuncF4Help" localSheetId="6" hidden="1">Main.SAPF4Help()</definedName>
    <definedName name="SAPFuncF4Help" localSheetId="5" hidden="1">Main.SAPF4Help()</definedName>
    <definedName name="SAPFuncF4Help" localSheetId="3" hidden="1">Main.SAPF4Help()</definedName>
    <definedName name="scenario_1">#REF!</definedName>
    <definedName name="scenario_1_name">#REF!</definedName>
    <definedName name="Scenario_1_output">#REF!</definedName>
    <definedName name="Scenario_10_output">#REF!</definedName>
    <definedName name="Scenario_11_output">#REF!</definedName>
    <definedName name="Scenario_2_output">#REF!</definedName>
    <definedName name="Scenario_3_output">#REF!</definedName>
    <definedName name="Scenario_4_output">#REF!</definedName>
    <definedName name="Scenario_5_output">#REF!</definedName>
    <definedName name="Scenario_6_output">#REF!</definedName>
    <definedName name="Scenario_7_output">#REF!</definedName>
    <definedName name="Scenario_8_output">#REF!</definedName>
    <definedName name="Scenario_9_output">#REF!</definedName>
    <definedName name="scenario_basecase">#REF!</definedName>
    <definedName name="scenario_basecase_name">#REF!</definedName>
    <definedName name="Scenario_name">#REF!</definedName>
    <definedName name="Scenario_Probability">#REF!</definedName>
    <definedName name="Scenario_Probability_1">#REF!</definedName>
    <definedName name="Scenario_Probability_10">#REF!</definedName>
    <definedName name="Scenario_Probability_11">#REF!</definedName>
    <definedName name="Scenario_Probability_2">#REF!</definedName>
    <definedName name="Scenario_Probability_3">#REF!</definedName>
    <definedName name="Scenario_Probability_4">#REF!</definedName>
    <definedName name="Scenario_Probability_5">#REF!</definedName>
    <definedName name="Scenario_Probability_6">#REF!</definedName>
    <definedName name="Scenario_Probability_7">#REF!</definedName>
    <definedName name="Scenario_Probability_8">#REF!</definedName>
    <definedName name="Scenario_Probability_9">#REF!</definedName>
    <definedName name="Scenario_start">#REF!</definedName>
    <definedName name="Selected_case_credit_cycle_para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7" i="266" l="1"/>
  <c r="J116" i="266"/>
  <c r="J115" i="266"/>
  <c r="J114" i="266"/>
  <c r="J113" i="266"/>
  <c r="J112" i="266"/>
  <c r="J111" i="266"/>
  <c r="J110" i="266"/>
  <c r="J109" i="266"/>
  <c r="J108" i="266"/>
  <c r="J107" i="266"/>
  <c r="J106" i="266"/>
  <c r="J105" i="266"/>
  <c r="J104" i="266"/>
  <c r="J103" i="266"/>
  <c r="J102" i="266"/>
  <c r="J101" i="266"/>
  <c r="J100" i="266"/>
  <c r="J99" i="266"/>
  <c r="J98" i="266"/>
  <c r="J97" i="266"/>
  <c r="J96" i="266"/>
  <c r="J95" i="266"/>
  <c r="J94" i="266"/>
  <c r="J93" i="266"/>
  <c r="J92" i="266"/>
  <c r="J91" i="266"/>
  <c r="J90" i="266"/>
  <c r="J89" i="266"/>
  <c r="J88" i="266"/>
  <c r="J87" i="266"/>
  <c r="J86" i="266"/>
  <c r="J85" i="266"/>
  <c r="J84" i="266"/>
  <c r="J83" i="266"/>
  <c r="J82" i="266"/>
  <c r="J81" i="266"/>
  <c r="J80" i="266"/>
  <c r="J79" i="266"/>
  <c r="J78" i="266"/>
  <c r="J77" i="266"/>
  <c r="J76" i="266"/>
  <c r="J75" i="266"/>
  <c r="J74" i="266"/>
  <c r="J73" i="266"/>
  <c r="J72" i="266"/>
  <c r="J71" i="266"/>
  <c r="J70" i="266"/>
  <c r="J69" i="266"/>
  <c r="J68" i="266"/>
  <c r="J67" i="266"/>
  <c r="J66" i="266"/>
  <c r="J65" i="266"/>
  <c r="J64" i="266"/>
  <c r="J63" i="266"/>
  <c r="J62" i="266"/>
  <c r="J61" i="266"/>
  <c r="J60" i="266"/>
  <c r="J59" i="266"/>
  <c r="J58" i="266"/>
  <c r="J57" i="266"/>
  <c r="J56" i="266"/>
  <c r="J55" i="266"/>
  <c r="J54" i="266"/>
  <c r="J53" i="266"/>
  <c r="J52" i="266"/>
  <c r="J51" i="266"/>
  <c r="J50" i="266"/>
  <c r="J49" i="266"/>
  <c r="J48" i="266"/>
  <c r="J47" i="266"/>
  <c r="J46" i="266"/>
  <c r="J45" i="266"/>
  <c r="J44" i="266"/>
  <c r="J43" i="266"/>
  <c r="J42" i="266"/>
  <c r="J41" i="266"/>
  <c r="J40" i="266"/>
  <c r="J39" i="266"/>
  <c r="J38" i="266"/>
  <c r="J37" i="266"/>
  <c r="J36" i="266"/>
  <c r="J35" i="266"/>
  <c r="J34" i="266"/>
  <c r="J33" i="266"/>
  <c r="J32" i="266"/>
  <c r="J31" i="266"/>
  <c r="J30" i="266"/>
  <c r="J29" i="266"/>
  <c r="J28" i="266"/>
  <c r="J27" i="266"/>
  <c r="J26" i="266"/>
  <c r="J25" i="266"/>
  <c r="J24" i="266"/>
  <c r="J23" i="266"/>
  <c r="J22" i="266"/>
  <c r="J21" i="266"/>
  <c r="J20" i="266"/>
  <c r="J19" i="266"/>
  <c r="J18" i="266"/>
  <c r="J17" i="266"/>
  <c r="J16" i="266"/>
  <c r="J15" i="266"/>
  <c r="J14" i="266"/>
  <c r="J13" i="266"/>
  <c r="J12" i="266"/>
  <c r="J11" i="266"/>
  <c r="J10" i="266"/>
  <c r="J9" i="266"/>
  <c r="J8" i="266"/>
  <c r="J7" i="266"/>
  <c r="J6" i="266"/>
  <c r="J5" i="266"/>
  <c r="J4" i="266"/>
  <c r="U11" i="266"/>
  <c r="Q11" i="266"/>
  <c r="G2" i="266"/>
  <c r="F2" i="266"/>
  <c r="E2" i="266"/>
  <c r="T1" i="277"/>
  <c r="P1" i="277"/>
  <c r="L1" i="277"/>
  <c r="I230" i="277"/>
  <c r="I229" i="277"/>
  <c r="I228" i="277"/>
  <c r="I227" i="277"/>
  <c r="J227" i="277" s="1"/>
  <c r="I226" i="277"/>
  <c r="J226" i="277" s="1"/>
  <c r="I225" i="277"/>
  <c r="J225" i="277" s="1"/>
  <c r="I224" i="277"/>
  <c r="I223" i="277"/>
  <c r="I222" i="277"/>
  <c r="I221" i="277"/>
  <c r="I220" i="277"/>
  <c r="I219" i="277"/>
  <c r="I218" i="277"/>
  <c r="I217" i="277"/>
  <c r="I216" i="277"/>
  <c r="I215" i="277"/>
  <c r="I214" i="277"/>
  <c r="I213" i="277"/>
  <c r="I212" i="277"/>
  <c r="I211" i="277"/>
  <c r="I210" i="277"/>
  <c r="I209" i="277"/>
  <c r="I208" i="277"/>
  <c r="I207" i="277"/>
  <c r="I206" i="277"/>
  <c r="I205" i="277"/>
  <c r="I204" i="277"/>
  <c r="I203" i="277"/>
  <c r="I202" i="277"/>
  <c r="I201" i="277"/>
  <c r="I200" i="277"/>
  <c r="I199" i="277"/>
  <c r="I198" i="277"/>
  <c r="I197" i="277"/>
  <c r="I196" i="277"/>
  <c r="I195" i="277"/>
  <c r="I194" i="277"/>
  <c r="I193" i="277"/>
  <c r="I192" i="277"/>
  <c r="I191" i="277"/>
  <c r="I190" i="277"/>
  <c r="I189" i="277"/>
  <c r="I188" i="277"/>
  <c r="I187" i="277"/>
  <c r="I186" i="277"/>
  <c r="I185" i="277"/>
  <c r="I184" i="277"/>
  <c r="I183" i="277"/>
  <c r="I182" i="277"/>
  <c r="I181" i="277"/>
  <c r="I180" i="277"/>
  <c r="I179" i="277"/>
  <c r="I178" i="277"/>
  <c r="I177" i="277"/>
  <c r="I176" i="277"/>
  <c r="I175" i="277"/>
  <c r="I174" i="277"/>
  <c r="I173" i="277"/>
  <c r="I172" i="277"/>
  <c r="I171" i="277"/>
  <c r="I170" i="277"/>
  <c r="I169" i="277"/>
  <c r="I168" i="277"/>
  <c r="I167" i="277"/>
  <c r="I166" i="277"/>
  <c r="I165" i="277"/>
  <c r="I164" i="277"/>
  <c r="I163" i="277"/>
  <c r="I162" i="277"/>
  <c r="I161" i="277"/>
  <c r="I160" i="277"/>
  <c r="I159" i="277"/>
  <c r="I158" i="277"/>
  <c r="I157" i="277"/>
  <c r="I156" i="277"/>
  <c r="I155" i="277"/>
  <c r="I154" i="277"/>
  <c r="I153" i="277"/>
  <c r="I152" i="277"/>
  <c r="I151" i="277"/>
  <c r="I150" i="277"/>
  <c r="I149" i="277"/>
  <c r="I148" i="277"/>
  <c r="I147" i="277"/>
  <c r="I146" i="277"/>
  <c r="I145" i="277"/>
  <c r="I144" i="277"/>
  <c r="I143" i="277"/>
  <c r="I142" i="277"/>
  <c r="I141" i="277"/>
  <c r="I140" i="277"/>
  <c r="I139" i="277"/>
  <c r="I138" i="277"/>
  <c r="I137" i="277"/>
  <c r="I136" i="277"/>
  <c r="I135" i="277"/>
  <c r="I134" i="277"/>
  <c r="I133" i="277"/>
  <c r="I132" i="277"/>
  <c r="I131" i="277"/>
  <c r="I130" i="277"/>
  <c r="I129" i="277"/>
  <c r="I128" i="277"/>
  <c r="I127" i="277"/>
  <c r="I126" i="277"/>
  <c r="I125" i="277"/>
  <c r="I124" i="277"/>
  <c r="I123" i="277"/>
  <c r="I122" i="277"/>
  <c r="I121" i="277"/>
  <c r="I120" i="277"/>
  <c r="I119" i="277"/>
  <c r="I118" i="277"/>
  <c r="I117" i="277"/>
  <c r="I116" i="277"/>
  <c r="I115" i="277"/>
  <c r="I114" i="277"/>
  <c r="I113" i="277"/>
  <c r="I112" i="277"/>
  <c r="I111" i="277"/>
  <c r="I110" i="277"/>
  <c r="I109" i="277"/>
  <c r="I108" i="277"/>
  <c r="I107" i="277"/>
  <c r="I106" i="277"/>
  <c r="I105" i="277"/>
  <c r="I104" i="277"/>
  <c r="I103" i="277"/>
  <c r="I102" i="277"/>
  <c r="I101" i="277"/>
  <c r="I100" i="277"/>
  <c r="I99" i="277"/>
  <c r="I98" i="277"/>
  <c r="I97" i="277"/>
  <c r="I96" i="277"/>
  <c r="I95" i="277"/>
  <c r="I94" i="277"/>
  <c r="I93" i="277"/>
  <c r="I92" i="277"/>
  <c r="I91" i="277"/>
  <c r="I90" i="277"/>
  <c r="I89" i="277"/>
  <c r="I88" i="277"/>
  <c r="I87" i="277"/>
  <c r="I86" i="277"/>
  <c r="I85" i="277"/>
  <c r="I84" i="277"/>
  <c r="I83" i="277"/>
  <c r="I82" i="277"/>
  <c r="I81" i="277"/>
  <c r="I80" i="277"/>
  <c r="I79" i="277"/>
  <c r="I78" i="277"/>
  <c r="I77" i="277"/>
  <c r="I76" i="277"/>
  <c r="I75" i="277"/>
  <c r="I74" i="277"/>
  <c r="I73" i="277"/>
  <c r="I72" i="277"/>
  <c r="I71" i="277"/>
  <c r="I70" i="277"/>
  <c r="I69" i="277"/>
  <c r="I68" i="277"/>
  <c r="I67" i="277"/>
  <c r="I66" i="277"/>
  <c r="I65" i="277"/>
  <c r="I64" i="277"/>
  <c r="I63" i="277"/>
  <c r="I62" i="277"/>
  <c r="I61" i="277"/>
  <c r="I60" i="277"/>
  <c r="I59" i="277"/>
  <c r="I58" i="277"/>
  <c r="I57" i="277"/>
  <c r="I56" i="277"/>
  <c r="I55" i="277"/>
  <c r="I54" i="277"/>
  <c r="I53" i="277"/>
  <c r="I52" i="277"/>
  <c r="I51" i="277"/>
  <c r="I50" i="277"/>
  <c r="I49" i="277"/>
  <c r="I48" i="277"/>
  <c r="I47" i="277"/>
  <c r="I46" i="277"/>
  <c r="I45" i="277"/>
  <c r="I44" i="277"/>
  <c r="I43" i="277"/>
  <c r="I42" i="277"/>
  <c r="I41" i="277"/>
  <c r="I40" i="277"/>
  <c r="I39" i="277"/>
  <c r="I38" i="277"/>
  <c r="I37" i="277"/>
  <c r="I36" i="277"/>
  <c r="I35" i="277"/>
  <c r="I34" i="277"/>
  <c r="I33" i="277"/>
  <c r="I32" i="277"/>
  <c r="I31" i="277"/>
  <c r="I30" i="277"/>
  <c r="I29" i="277"/>
  <c r="I28" i="277"/>
  <c r="I27" i="277"/>
  <c r="I26" i="277"/>
  <c r="I25" i="277"/>
  <c r="I24" i="277"/>
  <c r="I23" i="277"/>
  <c r="I22" i="277"/>
  <c r="I21" i="277"/>
  <c r="I20" i="277"/>
  <c r="I19" i="277"/>
  <c r="I18" i="277"/>
  <c r="I17" i="277"/>
  <c r="I16" i="277"/>
  <c r="I15" i="277"/>
  <c r="I14" i="277"/>
  <c r="I13" i="277"/>
  <c r="I12" i="277"/>
  <c r="I11" i="277"/>
  <c r="I10" i="277"/>
  <c r="I9" i="277"/>
  <c r="I8" i="277"/>
  <c r="I7" i="277"/>
  <c r="I6" i="277"/>
  <c r="I5" i="277"/>
  <c r="I4" i="277"/>
  <c r="I3" i="277"/>
  <c r="E1" i="277"/>
  <c r="D1" i="277"/>
  <c r="O6" i="274"/>
  <c r="F231" i="277" l="1"/>
  <c r="G210" i="277"/>
  <c r="H210" i="277" s="1"/>
  <c r="G209" i="277"/>
  <c r="H209" i="277" s="1"/>
  <c r="G194" i="277"/>
  <c r="H194" i="277" s="1"/>
  <c r="G69" i="277"/>
  <c r="H69" i="277" s="1"/>
  <c r="G193" i="277"/>
  <c r="H193" i="277" s="1"/>
  <c r="G223" i="277"/>
  <c r="H223" i="277" s="1"/>
  <c r="G68" i="277"/>
  <c r="H68" i="277" s="1"/>
  <c r="G208" i="277"/>
  <c r="H208" i="277" s="1"/>
  <c r="G67" i="277"/>
  <c r="H67" i="277" s="1"/>
  <c r="G14" i="277"/>
  <c r="H14" i="277" s="1"/>
  <c r="G66" i="277"/>
  <c r="H66" i="277" s="1"/>
  <c r="G207" i="277"/>
  <c r="H207" i="277" s="1"/>
  <c r="G47" i="277"/>
  <c r="H47" i="277" s="1"/>
  <c r="G76" i="277"/>
  <c r="H76" i="277" s="1"/>
  <c r="G75" i="277"/>
  <c r="H75" i="277" s="1"/>
  <c r="G178" i="277"/>
  <c r="H178" i="277" s="1"/>
  <c r="G177" i="277"/>
  <c r="H177" i="277" s="1"/>
  <c r="G176" i="277"/>
  <c r="H176" i="277" s="1"/>
  <c r="G175" i="277"/>
  <c r="H175" i="277" s="1"/>
  <c r="G174" i="277"/>
  <c r="H174" i="277" s="1"/>
  <c r="G173" i="277"/>
  <c r="H173" i="277" s="1"/>
  <c r="G172" i="277"/>
  <c r="H172" i="277" s="1"/>
  <c r="G171" i="277"/>
  <c r="H171" i="277" s="1"/>
  <c r="G170" i="277"/>
  <c r="H170" i="277" s="1"/>
  <c r="G169" i="277"/>
  <c r="H169" i="277" s="1"/>
  <c r="G168" i="277"/>
  <c r="H168" i="277" s="1"/>
  <c r="G167" i="277"/>
  <c r="H167" i="277" s="1"/>
  <c r="G166" i="277"/>
  <c r="H166" i="277" s="1"/>
  <c r="G165" i="277"/>
  <c r="H165" i="277" s="1"/>
  <c r="G164" i="277"/>
  <c r="H164" i="277" s="1"/>
  <c r="G163" i="277"/>
  <c r="H163" i="277" s="1"/>
  <c r="G162" i="277"/>
  <c r="H162" i="277" s="1"/>
  <c r="G161" i="277"/>
  <c r="H161" i="277" s="1"/>
  <c r="G160" i="277"/>
  <c r="H160" i="277" s="1"/>
  <c r="G159" i="277"/>
  <c r="H159" i="277" s="1"/>
  <c r="G158" i="277"/>
  <c r="H158" i="277" s="1"/>
  <c r="G157" i="277"/>
  <c r="H157" i="277" s="1"/>
  <c r="G156" i="277"/>
  <c r="H156" i="277" s="1"/>
  <c r="G155" i="277"/>
  <c r="H155" i="277" s="1"/>
  <c r="G154" i="277"/>
  <c r="H154" i="277" s="1"/>
  <c r="G153" i="277"/>
  <c r="H153" i="277" s="1"/>
  <c r="G152" i="277"/>
  <c r="H152" i="277" s="1"/>
  <c r="G151" i="277"/>
  <c r="H151" i="277" s="1"/>
  <c r="G150" i="277"/>
  <c r="H150" i="277" s="1"/>
  <c r="G149" i="277"/>
  <c r="H149" i="277" s="1"/>
  <c r="G148" i="277"/>
  <c r="H148" i="277" s="1"/>
  <c r="G147" i="277"/>
  <c r="H147" i="277" s="1"/>
  <c r="G146" i="277"/>
  <c r="H146" i="277" s="1"/>
  <c r="G145" i="277"/>
  <c r="H145" i="277" s="1"/>
  <c r="G144" i="277"/>
  <c r="H144" i="277" s="1"/>
  <c r="G143" i="277"/>
  <c r="H143" i="277" s="1"/>
  <c r="G142" i="277"/>
  <c r="H142" i="277" s="1"/>
  <c r="G141" i="277"/>
  <c r="H141" i="277" s="1"/>
  <c r="G140" i="277"/>
  <c r="H140" i="277" s="1"/>
  <c r="G139" i="277"/>
  <c r="H139" i="277" s="1"/>
  <c r="G138" i="277"/>
  <c r="H138" i="277" s="1"/>
  <c r="G137" i="277"/>
  <c r="H137" i="277" s="1"/>
  <c r="G136" i="277"/>
  <c r="H136" i="277" s="1"/>
  <c r="G135" i="277"/>
  <c r="H135" i="277" s="1"/>
  <c r="G134" i="277"/>
  <c r="H134" i="277" s="1"/>
  <c r="G133" i="277"/>
  <c r="H133" i="277" s="1"/>
  <c r="G132" i="277"/>
  <c r="H132" i="277" s="1"/>
  <c r="G131" i="277"/>
  <c r="H131" i="277" s="1"/>
  <c r="G130" i="277"/>
  <c r="H130" i="277" s="1"/>
  <c r="G129" i="277"/>
  <c r="H129" i="277" s="1"/>
  <c r="G128" i="277"/>
  <c r="H128" i="277" s="1"/>
  <c r="G127" i="277"/>
  <c r="H127" i="277" s="1"/>
  <c r="G126" i="277"/>
  <c r="H126" i="277" s="1"/>
  <c r="G125" i="277"/>
  <c r="H125" i="277" s="1"/>
  <c r="G124" i="277"/>
  <c r="H124" i="277" s="1"/>
  <c r="G123" i="277"/>
  <c r="H123" i="277" s="1"/>
  <c r="G122" i="277"/>
  <c r="H122" i="277" s="1"/>
  <c r="G121" i="277"/>
  <c r="H121" i="277" s="1"/>
  <c r="G120" i="277"/>
  <c r="H120" i="277" s="1"/>
  <c r="G119" i="277"/>
  <c r="H119" i="277" s="1"/>
  <c r="G118" i="277"/>
  <c r="H118" i="277" s="1"/>
  <c r="G117" i="277"/>
  <c r="H117" i="277" s="1"/>
  <c r="G116" i="277"/>
  <c r="H116" i="277" s="1"/>
  <c r="G115" i="277"/>
  <c r="H115" i="277" s="1"/>
  <c r="G114" i="277"/>
  <c r="H114" i="277" s="1"/>
  <c r="G113" i="277"/>
  <c r="H113" i="277" s="1"/>
  <c r="G112" i="277"/>
  <c r="H112" i="277" s="1"/>
  <c r="G111" i="277"/>
  <c r="H111" i="277" s="1"/>
  <c r="G110" i="277"/>
  <c r="H110" i="277" s="1"/>
  <c r="G109" i="277"/>
  <c r="H109" i="277" s="1"/>
  <c r="G108" i="277"/>
  <c r="H108" i="277" s="1"/>
  <c r="G107" i="277"/>
  <c r="H107" i="277" s="1"/>
  <c r="G106" i="277"/>
  <c r="H106" i="277" s="1"/>
  <c r="G105" i="277"/>
  <c r="H105" i="277" s="1"/>
  <c r="G104" i="277"/>
  <c r="H104" i="277" s="1"/>
  <c r="G103" i="277"/>
  <c r="H103" i="277" s="1"/>
  <c r="G102" i="277"/>
  <c r="H102" i="277" s="1"/>
  <c r="G101" i="277"/>
  <c r="H101" i="277" s="1"/>
  <c r="G100" i="277"/>
  <c r="H100" i="277" s="1"/>
  <c r="G99" i="277"/>
  <c r="H99" i="277" s="1"/>
  <c r="G98" i="277"/>
  <c r="H98" i="277" s="1"/>
  <c r="G97" i="277"/>
  <c r="H97" i="277" s="1"/>
  <c r="G96" i="277"/>
  <c r="H96" i="277" s="1"/>
  <c r="G95" i="277"/>
  <c r="H95" i="277" s="1"/>
  <c r="G94" i="277"/>
  <c r="H94" i="277" s="1"/>
  <c r="G93" i="277"/>
  <c r="H93" i="277" s="1"/>
  <c r="G92" i="277"/>
  <c r="H92" i="277" s="1"/>
  <c r="G91" i="277"/>
  <c r="H91" i="277" s="1"/>
  <c r="G90" i="277"/>
  <c r="H90" i="277" s="1"/>
  <c r="G89" i="277"/>
  <c r="H89" i="277" s="1"/>
  <c r="G88" i="277"/>
  <c r="H88" i="277" s="1"/>
  <c r="G87" i="277"/>
  <c r="H87" i="277" s="1"/>
  <c r="G65" i="277"/>
  <c r="H65" i="277" s="1"/>
  <c r="G13" i="277"/>
  <c r="H13" i="277" s="1"/>
  <c r="G206" i="277"/>
  <c r="H206" i="277" s="1"/>
  <c r="G189" i="277"/>
  <c r="H189" i="277" s="1"/>
  <c r="G205" i="277"/>
  <c r="H205" i="277" s="1"/>
  <c r="G64" i="277"/>
  <c r="H64" i="277" s="1"/>
  <c r="G190" i="277"/>
  <c r="H190" i="277" s="1"/>
  <c r="G46" i="277"/>
  <c r="H46" i="277" s="1"/>
  <c r="G222" i="277"/>
  <c r="H222" i="277" s="1"/>
  <c r="G35" i="277"/>
  <c r="H35" i="277" s="1"/>
  <c r="G187" i="277"/>
  <c r="H187" i="277" s="1"/>
  <c r="G221" i="277"/>
  <c r="H221" i="277" s="1"/>
  <c r="G229" i="277"/>
  <c r="H229" i="277" s="1"/>
  <c r="G10" i="277"/>
  <c r="H10" i="277" s="1"/>
  <c r="G74" i="277"/>
  <c r="H74" i="277" s="1"/>
  <c r="G34" i="277"/>
  <c r="H34" i="277" s="1"/>
  <c r="G7" i="277"/>
  <c r="H7" i="277" s="1"/>
  <c r="G9" i="277"/>
  <c r="H9" i="277" s="1"/>
  <c r="G73" i="277"/>
  <c r="H73" i="277" s="1"/>
  <c r="G33" i="277"/>
  <c r="H33" i="277" s="1"/>
  <c r="G204" i="277"/>
  <c r="H204" i="277" s="1"/>
  <c r="G186" i="277"/>
  <c r="H186" i="277" s="1"/>
  <c r="G45" i="277"/>
  <c r="H45" i="277" s="1"/>
  <c r="G44" i="277"/>
  <c r="H44" i="277" s="1"/>
  <c r="G220" i="277"/>
  <c r="H220" i="277" s="1"/>
  <c r="G32" i="277"/>
  <c r="H32" i="277" s="1"/>
  <c r="G63" i="277"/>
  <c r="H63" i="277" s="1"/>
  <c r="G59" i="277"/>
  <c r="H59" i="277" s="1"/>
  <c r="G214" i="277"/>
  <c r="H214" i="277" s="1"/>
  <c r="G31" i="277"/>
  <c r="H31" i="277" s="1"/>
  <c r="G30" i="277"/>
  <c r="H30" i="277" s="1"/>
  <c r="G43" i="277"/>
  <c r="H43" i="277" s="1"/>
  <c r="G185" i="277"/>
  <c r="H185" i="277" s="1"/>
  <c r="G42" i="277"/>
  <c r="H42" i="277" s="1"/>
  <c r="G58" i="277"/>
  <c r="H58" i="277" s="1"/>
  <c r="G219" i="277"/>
  <c r="H219" i="277" s="1"/>
  <c r="G218" i="277"/>
  <c r="H218" i="277" s="1"/>
  <c r="G228" i="277"/>
  <c r="H228" i="277" s="1"/>
  <c r="G213" i="277"/>
  <c r="H213" i="277" s="1"/>
  <c r="G62" i="277"/>
  <c r="H62" i="277" s="1"/>
  <c r="G184" i="277"/>
  <c r="H184" i="277" s="1"/>
  <c r="G57" i="277"/>
  <c r="H57" i="277" s="1"/>
  <c r="G56" i="277"/>
  <c r="H56" i="277" s="1"/>
  <c r="G72" i="277"/>
  <c r="H72" i="277" s="1"/>
  <c r="G41" i="277"/>
  <c r="H41" i="277" s="1"/>
  <c r="G29" i="277"/>
  <c r="H29" i="277" s="1"/>
  <c r="G203" i="277"/>
  <c r="H203" i="277" s="1"/>
  <c r="G230" i="277"/>
  <c r="H230" i="277" s="1"/>
  <c r="G28" i="277"/>
  <c r="H28" i="277" s="1"/>
  <c r="G199" i="277"/>
  <c r="H199" i="277" s="1"/>
  <c r="G183" i="277"/>
  <c r="H183" i="277" s="1"/>
  <c r="G202" i="277"/>
  <c r="H202" i="277" s="1"/>
  <c r="G40" i="277"/>
  <c r="H40" i="277" s="1"/>
  <c r="G198" i="277"/>
  <c r="H198" i="277" s="1"/>
  <c r="G197" i="277"/>
  <c r="H197" i="277" s="1"/>
  <c r="G27" i="277"/>
  <c r="H27" i="277" s="1"/>
  <c r="G227" i="277"/>
  <c r="H227" i="277" s="1"/>
  <c r="G217" i="277"/>
  <c r="H217" i="277" s="1"/>
  <c r="G55" i="277"/>
  <c r="H55" i="277" s="1"/>
  <c r="G26" i="277"/>
  <c r="H26" i="277" s="1"/>
  <c r="G182" i="277"/>
  <c r="H182" i="277" s="1"/>
  <c r="G54" i="277"/>
  <c r="H54" i="277" s="1"/>
  <c r="G181" i="277"/>
  <c r="H181" i="277" s="1"/>
  <c r="G6" i="277"/>
  <c r="H6" i="277" s="1"/>
  <c r="G180" i="277"/>
  <c r="H180" i="277" s="1"/>
  <c r="G226" i="277"/>
  <c r="H226" i="277" s="1"/>
  <c r="G25" i="277"/>
  <c r="H25" i="277" s="1"/>
  <c r="G216" i="277"/>
  <c r="H216" i="277" s="1"/>
  <c r="G39" i="277"/>
  <c r="H39" i="277" s="1"/>
  <c r="G212" i="277"/>
  <c r="H212" i="277" s="1"/>
  <c r="G71" i="277"/>
  <c r="H71" i="277" s="1"/>
  <c r="G38" i="277"/>
  <c r="H38" i="277" s="1"/>
  <c r="G48" i="277"/>
  <c r="H48" i="277" s="1"/>
  <c r="G8" i="277"/>
  <c r="H8" i="277" s="1"/>
  <c r="G37" i="277"/>
  <c r="H37" i="277" s="1"/>
  <c r="G225" i="277"/>
  <c r="H225" i="277" s="1"/>
  <c r="G24" i="277"/>
  <c r="H24" i="277" s="1"/>
  <c r="G23" i="277"/>
  <c r="H23" i="277" s="1"/>
  <c r="G211" i="277"/>
  <c r="H211" i="277" s="1"/>
  <c r="G53" i="277"/>
  <c r="H53" i="277" s="1"/>
  <c r="G52" i="277"/>
  <c r="H52" i="277" s="1"/>
  <c r="G224" i="277"/>
  <c r="H224" i="277" s="1"/>
  <c r="G22" i="277"/>
  <c r="H22" i="277" s="1"/>
  <c r="G21" i="277"/>
  <c r="H21" i="277" s="1"/>
  <c r="G215" i="277"/>
  <c r="H215" i="277" s="1"/>
  <c r="G20" i="277"/>
  <c r="H20" i="277" s="1"/>
  <c r="G19" i="277"/>
  <c r="H19" i="277" s="1"/>
  <c r="G18" i="277"/>
  <c r="H18" i="277" s="1"/>
  <c r="G17" i="277"/>
  <c r="H17" i="277" s="1"/>
  <c r="G179" i="277"/>
  <c r="H179" i="277" s="1"/>
  <c r="G51" i="277"/>
  <c r="H51" i="277" s="1"/>
  <c r="G192" i="277"/>
  <c r="H192" i="277" s="1"/>
  <c r="G50" i="277"/>
  <c r="H50" i="277" s="1"/>
  <c r="G49" i="277"/>
  <c r="H49" i="277" s="1"/>
  <c r="G16" i="277"/>
  <c r="H16" i="277" s="1"/>
  <c r="G15" i="277"/>
  <c r="H15" i="277" s="1"/>
  <c r="G5" i="277"/>
  <c r="H5" i="277" s="1"/>
  <c r="G70" i="277"/>
  <c r="H70" i="277" s="1"/>
  <c r="G196" i="277"/>
  <c r="H196" i="277" s="1"/>
  <c r="G191" i="277"/>
  <c r="H191" i="277" s="1"/>
  <c r="G4" i="277"/>
  <c r="H4" i="277" s="1"/>
  <c r="G11" i="277"/>
  <c r="H11" i="277" s="1"/>
  <c r="G36" i="277"/>
  <c r="H36" i="277" s="1"/>
  <c r="G195" i="277"/>
  <c r="H195" i="277" s="1"/>
  <c r="G86" i="277"/>
  <c r="H86" i="277" s="1"/>
  <c r="G85" i="277"/>
  <c r="H85" i="277" s="1"/>
  <c r="G84" i="277"/>
  <c r="H84" i="277" s="1"/>
  <c r="G83" i="277"/>
  <c r="H83" i="277" s="1"/>
  <c r="G82" i="277"/>
  <c r="H82" i="277" s="1"/>
  <c r="G81" i="277"/>
  <c r="H81" i="277" s="1"/>
  <c r="G80" i="277"/>
  <c r="H80" i="277" s="1"/>
  <c r="G79" i="277"/>
  <c r="H79" i="277" s="1"/>
  <c r="G78" i="277"/>
  <c r="H78" i="277" s="1"/>
  <c r="W10" i="277"/>
  <c r="G77" i="277"/>
  <c r="H77" i="277" s="1"/>
  <c r="W9" i="277"/>
  <c r="G61" i="277"/>
  <c r="H61" i="277" s="1"/>
  <c r="W8" i="277"/>
  <c r="G12" i="277"/>
  <c r="H12" i="277" s="1"/>
  <c r="W7" i="277"/>
  <c r="G201" i="277"/>
  <c r="H201" i="277" s="1"/>
  <c r="W6" i="277"/>
  <c r="G188" i="277"/>
  <c r="H188" i="277" s="1"/>
  <c r="W5" i="277"/>
  <c r="G200" i="277"/>
  <c r="H200" i="277" s="1"/>
  <c r="W4" i="277"/>
  <c r="G60" i="277"/>
  <c r="H60" i="277" s="1"/>
  <c r="G3" i="277"/>
  <c r="H3" i="277" s="1"/>
  <c r="C1" i="277"/>
  <c r="H117" i="266"/>
  <c r="H116" i="266"/>
  <c r="H115" i="266"/>
  <c r="H114" i="266"/>
  <c r="H113" i="266"/>
  <c r="H112" i="266"/>
  <c r="H111" i="266"/>
  <c r="H110" i="266"/>
  <c r="H109" i="266"/>
  <c r="H108" i="266"/>
  <c r="H107" i="266"/>
  <c r="H106" i="266"/>
  <c r="H105" i="266"/>
  <c r="H104" i="266"/>
  <c r="H103" i="266"/>
  <c r="H102" i="266"/>
  <c r="H101" i="266"/>
  <c r="H100" i="266"/>
  <c r="H99" i="266"/>
  <c r="H98" i="266"/>
  <c r="H97" i="266"/>
  <c r="H96" i="266"/>
  <c r="H95" i="266"/>
  <c r="H94" i="266"/>
  <c r="H93" i="266"/>
  <c r="H92" i="266"/>
  <c r="H91" i="266"/>
  <c r="H90" i="266"/>
  <c r="H89" i="266"/>
  <c r="H88" i="266"/>
  <c r="H87" i="266"/>
  <c r="H86" i="266"/>
  <c r="H85" i="266"/>
  <c r="H84" i="266"/>
  <c r="H83" i="266"/>
  <c r="H82" i="266"/>
  <c r="H81" i="266"/>
  <c r="H80" i="266"/>
  <c r="H79" i="266"/>
  <c r="H78" i="266"/>
  <c r="H77" i="266"/>
  <c r="H76" i="266"/>
  <c r="H75" i="266"/>
  <c r="H74" i="266"/>
  <c r="H73" i="266"/>
  <c r="H72" i="266"/>
  <c r="H71" i="266"/>
  <c r="H70" i="266"/>
  <c r="H69" i="266"/>
  <c r="H68" i="266"/>
  <c r="H67" i="266"/>
  <c r="H66" i="266"/>
  <c r="H65" i="266"/>
  <c r="H64" i="266"/>
  <c r="H63" i="266"/>
  <c r="H62" i="266"/>
  <c r="H61" i="266"/>
  <c r="H60" i="266"/>
  <c r="H59" i="266"/>
  <c r="H58" i="266"/>
  <c r="H57" i="266"/>
  <c r="H56" i="266"/>
  <c r="H55" i="266"/>
  <c r="H54" i="266"/>
  <c r="H53" i="266"/>
  <c r="H52" i="266"/>
  <c r="H51" i="266"/>
  <c r="H50" i="266"/>
  <c r="H49" i="266"/>
  <c r="H48" i="266"/>
  <c r="H47" i="266"/>
  <c r="H46" i="266"/>
  <c r="H45" i="266"/>
  <c r="H44" i="266"/>
  <c r="H43" i="266"/>
  <c r="H42" i="266"/>
  <c r="H41" i="266"/>
  <c r="H40" i="266"/>
  <c r="H39" i="266"/>
  <c r="H38" i="266"/>
  <c r="H37" i="266"/>
  <c r="H36" i="266"/>
  <c r="H35" i="266"/>
  <c r="H34" i="266"/>
  <c r="H33" i="266"/>
  <c r="H32" i="266"/>
  <c r="H31" i="266"/>
  <c r="H30" i="266"/>
  <c r="H29" i="266"/>
  <c r="H28" i="266"/>
  <c r="H27" i="266"/>
  <c r="H26" i="266"/>
  <c r="H25" i="266"/>
  <c r="H24" i="266"/>
  <c r="H23" i="266"/>
  <c r="H22" i="266"/>
  <c r="H21" i="266"/>
  <c r="H20" i="266"/>
  <c r="H19" i="266"/>
  <c r="H18" i="266"/>
  <c r="H17" i="266"/>
  <c r="H16" i="266"/>
  <c r="H15" i="266"/>
  <c r="H14" i="266"/>
  <c r="H13" i="266"/>
  <c r="H12" i="266"/>
  <c r="H11" i="266"/>
  <c r="H10" i="266"/>
  <c r="H9" i="266"/>
  <c r="H8" i="266"/>
  <c r="H7" i="266"/>
  <c r="H6" i="266"/>
  <c r="H5" i="266"/>
  <c r="H4" i="266"/>
  <c r="E8" i="273" l="1"/>
  <c r="G8" i="273"/>
  <c r="F8" i="273"/>
  <c r="I8" i="273" l="1"/>
  <c r="H8" i="273"/>
  <c r="J8" i="273"/>
  <c r="D10" i="264"/>
  <c r="D118" i="266"/>
  <c r="I117" i="266"/>
  <c r="I116" i="266"/>
  <c r="I115" i="266"/>
  <c r="I114" i="266"/>
  <c r="I113" i="266"/>
  <c r="I112" i="266"/>
  <c r="I111" i="266"/>
  <c r="I110" i="266"/>
  <c r="I109" i="266"/>
  <c r="I108" i="266"/>
  <c r="I107" i="266"/>
  <c r="I106" i="266"/>
  <c r="I105" i="266"/>
  <c r="I104" i="266"/>
  <c r="I103" i="266"/>
  <c r="I102" i="266"/>
  <c r="I101" i="266"/>
  <c r="I100" i="266"/>
  <c r="I99" i="266"/>
  <c r="I98" i="266"/>
  <c r="I97" i="266"/>
  <c r="I96" i="266"/>
  <c r="I95" i="266"/>
  <c r="I94" i="266"/>
  <c r="I93" i="266"/>
  <c r="I92" i="266"/>
  <c r="I91" i="266"/>
  <c r="I90" i="266"/>
  <c r="I89" i="266"/>
  <c r="I88" i="266"/>
  <c r="I87" i="266"/>
  <c r="I86" i="266"/>
  <c r="I85" i="266"/>
  <c r="I84" i="266"/>
  <c r="I83" i="266"/>
  <c r="I82" i="266"/>
  <c r="I81" i="266"/>
  <c r="I80" i="266"/>
  <c r="I79" i="266"/>
  <c r="I78" i="266"/>
  <c r="I77" i="266"/>
  <c r="I76" i="266"/>
  <c r="I75" i="266"/>
  <c r="I74" i="266"/>
  <c r="I73" i="266"/>
  <c r="I72" i="266"/>
  <c r="I71" i="266"/>
  <c r="I70" i="266"/>
  <c r="I69" i="266"/>
  <c r="I68" i="266"/>
  <c r="I67" i="266"/>
  <c r="I66" i="266"/>
  <c r="I65" i="266"/>
  <c r="I64" i="266"/>
  <c r="I63" i="266"/>
  <c r="I62" i="266"/>
  <c r="I61" i="266"/>
  <c r="I60" i="266"/>
  <c r="I59" i="266"/>
  <c r="I58" i="266"/>
  <c r="I57" i="266"/>
  <c r="I56" i="266"/>
  <c r="I55" i="266"/>
  <c r="I54" i="266"/>
  <c r="I53" i="266"/>
  <c r="I52" i="266"/>
  <c r="I51" i="266"/>
  <c r="I50" i="266"/>
  <c r="I49" i="266"/>
  <c r="I48" i="266"/>
  <c r="I47" i="266"/>
  <c r="I46" i="266"/>
  <c r="I45" i="266"/>
  <c r="I44" i="266"/>
  <c r="I43" i="266"/>
  <c r="I42" i="266"/>
  <c r="I41" i="266"/>
  <c r="I40" i="266"/>
  <c r="I39" i="266"/>
  <c r="I38" i="266"/>
  <c r="I37" i="266"/>
  <c r="I36" i="266"/>
  <c r="I35" i="266"/>
  <c r="I34" i="266"/>
  <c r="I33" i="266"/>
  <c r="I32" i="266"/>
  <c r="I31" i="266"/>
  <c r="I30" i="266"/>
  <c r="I29" i="266"/>
  <c r="I28" i="266"/>
  <c r="I27" i="266"/>
  <c r="I26" i="266"/>
  <c r="I25" i="266"/>
  <c r="I24" i="266"/>
  <c r="I23" i="266"/>
  <c r="I22" i="266"/>
  <c r="I21" i="266"/>
  <c r="I20" i="266"/>
  <c r="I19" i="266"/>
  <c r="I18" i="266"/>
  <c r="I17" i="266"/>
  <c r="I16" i="266"/>
  <c r="I15" i="266"/>
  <c r="I14" i="266"/>
  <c r="I13" i="266"/>
  <c r="I12" i="266"/>
  <c r="I11" i="266"/>
  <c r="I10" i="266"/>
  <c r="I9" i="266"/>
  <c r="I8" i="266"/>
  <c r="I7" i="266"/>
  <c r="I6" i="266"/>
  <c r="I5" i="266"/>
  <c r="I4" i="266"/>
  <c r="G9" i="273" l="1"/>
  <c r="E9" i="273"/>
  <c r="F9" i="273"/>
  <c r="I9" i="273" l="1"/>
  <c r="H9" i="273"/>
  <c r="J9" i="273"/>
  <c r="E26" i="274"/>
  <c r="E25" i="274"/>
  <c r="E24" i="274"/>
  <c r="E23" i="274"/>
  <c r="E22" i="274"/>
  <c r="E21" i="274"/>
  <c r="E20" i="274"/>
  <c r="E19" i="274"/>
  <c r="E18" i="274"/>
  <c r="E17" i="274"/>
  <c r="N16" i="274"/>
  <c r="M16" i="274"/>
  <c r="L16" i="274"/>
  <c r="K16" i="274"/>
  <c r="J16" i="274"/>
  <c r="I16" i="274"/>
  <c r="H16" i="274"/>
  <c r="G16" i="274"/>
  <c r="F16" i="274"/>
  <c r="E16" i="274"/>
  <c r="O14" i="274"/>
  <c r="O13" i="274"/>
  <c r="O12" i="274"/>
  <c r="O11" i="274"/>
  <c r="O10" i="274"/>
  <c r="O9" i="274"/>
  <c r="O8" i="274"/>
  <c r="O7" i="274"/>
  <c r="O5" i="274"/>
  <c r="F17" i="274" l="1" a="1"/>
  <c r="E71" i="277"/>
  <c r="Q71" i="277" s="1"/>
  <c r="R71" i="277" s="1"/>
  <c r="S71" i="277" s="1"/>
  <c r="E111" i="277"/>
  <c r="Q111" i="277" s="1"/>
  <c r="R111" i="277" s="1"/>
  <c r="S111" i="277" s="1"/>
  <c r="E23" i="277"/>
  <c r="Q23" i="277" s="1"/>
  <c r="R23" i="277" s="1"/>
  <c r="S23" i="277" s="1"/>
  <c r="E95" i="277"/>
  <c r="Q95" i="277" s="1"/>
  <c r="R95" i="277" s="1"/>
  <c r="S95" i="277" s="1"/>
  <c r="E127" i="277"/>
  <c r="Q127" i="277" s="1"/>
  <c r="R127" i="277" s="1"/>
  <c r="S127" i="277" s="1"/>
  <c r="E213" i="277"/>
  <c r="Q213" i="277" s="1"/>
  <c r="R213" i="277" s="1"/>
  <c r="S213" i="277" s="1"/>
  <c r="E219" i="277"/>
  <c r="Q219" i="277" s="1"/>
  <c r="R219" i="277" s="1"/>
  <c r="S219" i="277" s="1"/>
  <c r="E203" i="277"/>
  <c r="Q203" i="277" s="1"/>
  <c r="R203" i="277" s="1"/>
  <c r="S203" i="277" s="1"/>
  <c r="E187" i="277"/>
  <c r="Q187" i="277" s="1"/>
  <c r="R187" i="277" s="1"/>
  <c r="S187" i="277" s="1"/>
  <c r="E171" i="277"/>
  <c r="Q171" i="277" s="1"/>
  <c r="R171" i="277" s="1"/>
  <c r="S171" i="277" s="1"/>
  <c r="E18" i="277"/>
  <c r="Q18" i="277" s="1"/>
  <c r="R18" i="277" s="1"/>
  <c r="S18" i="277" s="1"/>
  <c r="E34" i="277"/>
  <c r="Q34" i="277" s="1"/>
  <c r="R34" i="277" s="1"/>
  <c r="S34" i="277" s="1"/>
  <c r="E50" i="277"/>
  <c r="Q50" i="277" s="1"/>
  <c r="R50" i="277" s="1"/>
  <c r="S50" i="277" s="1"/>
  <c r="E66" i="277"/>
  <c r="Q66" i="277" s="1"/>
  <c r="R66" i="277" s="1"/>
  <c r="S66" i="277" s="1"/>
  <c r="E82" i="277"/>
  <c r="Q82" i="277" s="1"/>
  <c r="R82" i="277" s="1"/>
  <c r="S82" i="277" s="1"/>
  <c r="E98" i="277"/>
  <c r="Q98" i="277" s="1"/>
  <c r="R98" i="277" s="1"/>
  <c r="S98" i="277" s="1"/>
  <c r="E114" i="277"/>
  <c r="Q114" i="277" s="1"/>
  <c r="R114" i="277" s="1"/>
  <c r="S114" i="277" s="1"/>
  <c r="E130" i="277"/>
  <c r="Q130" i="277" s="1"/>
  <c r="R130" i="277" s="1"/>
  <c r="S130" i="277" s="1"/>
  <c r="E146" i="277"/>
  <c r="Q146" i="277" s="1"/>
  <c r="R146" i="277" s="1"/>
  <c r="S146" i="277" s="1"/>
  <c r="E162" i="277"/>
  <c r="Q162" i="277" s="1"/>
  <c r="R162" i="277" s="1"/>
  <c r="S162" i="277" s="1"/>
  <c r="E178" i="277"/>
  <c r="Q178" i="277" s="1"/>
  <c r="R178" i="277" s="1"/>
  <c r="S178" i="277" s="1"/>
  <c r="E194" i="277"/>
  <c r="Q194" i="277" s="1"/>
  <c r="R194" i="277" s="1"/>
  <c r="S194" i="277" s="1"/>
  <c r="E210" i="277"/>
  <c r="Q210" i="277" s="1"/>
  <c r="R210" i="277" s="1"/>
  <c r="S210" i="277" s="1"/>
  <c r="E226" i="277"/>
  <c r="Q226" i="277" s="1"/>
  <c r="R226" i="277" s="1"/>
  <c r="S226" i="277" s="1"/>
  <c r="E25" i="277"/>
  <c r="Q25" i="277" s="1"/>
  <c r="R25" i="277" s="1"/>
  <c r="S25" i="277" s="1"/>
  <c r="E57" i="277"/>
  <c r="Q57" i="277" s="1"/>
  <c r="R57" i="277" s="1"/>
  <c r="S57" i="277" s="1"/>
  <c r="E89" i="277"/>
  <c r="Q89" i="277" s="1"/>
  <c r="R89" i="277" s="1"/>
  <c r="S89" i="277" s="1"/>
  <c r="E121" i="277"/>
  <c r="Q121" i="277" s="1"/>
  <c r="R121" i="277" s="1"/>
  <c r="S121" i="277" s="1"/>
  <c r="E153" i="277"/>
  <c r="Q153" i="277" s="1"/>
  <c r="R153" i="277" s="1"/>
  <c r="S153" i="277" s="1"/>
  <c r="E201" i="277"/>
  <c r="Q201" i="277" s="1"/>
  <c r="R201" i="277" s="1"/>
  <c r="S201" i="277" s="1"/>
  <c r="E19" i="277"/>
  <c r="Q19" i="277" s="1"/>
  <c r="R19" i="277" s="1"/>
  <c r="S19" i="277" s="1"/>
  <c r="E51" i="277"/>
  <c r="Q51" i="277" s="1"/>
  <c r="R51" i="277" s="1"/>
  <c r="S51" i="277" s="1"/>
  <c r="E83" i="277"/>
  <c r="Q83" i="277" s="1"/>
  <c r="R83" i="277" s="1"/>
  <c r="S83" i="277" s="1"/>
  <c r="E115" i="277"/>
  <c r="Q115" i="277" s="1"/>
  <c r="R115" i="277" s="1"/>
  <c r="S115" i="277" s="1"/>
  <c r="E147" i="277"/>
  <c r="Q147" i="277" s="1"/>
  <c r="R147" i="277" s="1"/>
  <c r="S147" i="277" s="1"/>
  <c r="E189" i="277"/>
  <c r="Q189" i="277" s="1"/>
  <c r="R189" i="277" s="1"/>
  <c r="S189" i="277" s="1"/>
  <c r="E8" i="277"/>
  <c r="Q8" i="277" s="1"/>
  <c r="R8" i="277" s="1"/>
  <c r="S8" i="277" s="1"/>
  <c r="E24" i="277"/>
  <c r="Q24" i="277" s="1"/>
  <c r="R24" i="277" s="1"/>
  <c r="S24" i="277" s="1"/>
  <c r="E40" i="277"/>
  <c r="Q40" i="277" s="1"/>
  <c r="R40" i="277" s="1"/>
  <c r="S40" i="277" s="1"/>
  <c r="E56" i="277"/>
  <c r="Q56" i="277" s="1"/>
  <c r="R56" i="277" s="1"/>
  <c r="S56" i="277" s="1"/>
  <c r="E72" i="277"/>
  <c r="Q72" i="277" s="1"/>
  <c r="R72" i="277" s="1"/>
  <c r="S72" i="277" s="1"/>
  <c r="E88" i="277"/>
  <c r="Q88" i="277" s="1"/>
  <c r="R88" i="277" s="1"/>
  <c r="S88" i="277" s="1"/>
  <c r="E104" i="277"/>
  <c r="Q104" i="277" s="1"/>
  <c r="R104" i="277" s="1"/>
  <c r="S104" i="277" s="1"/>
  <c r="E120" i="277"/>
  <c r="Q120" i="277" s="1"/>
  <c r="R120" i="277" s="1"/>
  <c r="S120" i="277" s="1"/>
  <c r="E152" i="277"/>
  <c r="Q152" i="277" s="1"/>
  <c r="R152" i="277" s="1"/>
  <c r="S152" i="277" s="1"/>
  <c r="E184" i="277"/>
  <c r="Q184" i="277" s="1"/>
  <c r="R184" i="277" s="1"/>
  <c r="S184" i="277" s="1"/>
  <c r="E216" i="277"/>
  <c r="Q216" i="277" s="1"/>
  <c r="R216" i="277" s="1"/>
  <c r="S216" i="277" s="1"/>
  <c r="E69" i="277"/>
  <c r="Q69" i="277" s="1"/>
  <c r="R69" i="277" s="1"/>
  <c r="S69" i="277" s="1"/>
  <c r="E133" i="277"/>
  <c r="Q133" i="277" s="1"/>
  <c r="R133" i="277" s="1"/>
  <c r="S133" i="277" s="1"/>
  <c r="E85" i="277"/>
  <c r="Q85" i="277" s="1"/>
  <c r="R85" i="277" s="1"/>
  <c r="S85" i="277" s="1"/>
  <c r="E15" i="277"/>
  <c r="Q15" i="277" s="1"/>
  <c r="R15" i="277" s="1"/>
  <c r="S15" i="277" s="1"/>
  <c r="E79" i="277"/>
  <c r="Q79" i="277" s="1"/>
  <c r="R79" i="277" s="1"/>
  <c r="S79" i="277" s="1"/>
  <c r="E119" i="277"/>
  <c r="Q119" i="277" s="1"/>
  <c r="R119" i="277" s="1"/>
  <c r="S119" i="277" s="1"/>
  <c r="E7" i="277"/>
  <c r="Q7" i="277" s="1"/>
  <c r="R7" i="277" s="1"/>
  <c r="S7" i="277" s="1"/>
  <c r="E135" i="277"/>
  <c r="Q135" i="277" s="1"/>
  <c r="R135" i="277" s="1"/>
  <c r="S135" i="277" s="1"/>
  <c r="E159" i="277"/>
  <c r="Q159" i="277" s="1"/>
  <c r="R159" i="277" s="1"/>
  <c r="S159" i="277" s="1"/>
  <c r="E229" i="277"/>
  <c r="Q229" i="277" s="1"/>
  <c r="R229" i="277" s="1"/>
  <c r="S229" i="277" s="1"/>
  <c r="E215" i="277"/>
  <c r="Q215" i="277" s="1"/>
  <c r="R215" i="277" s="1"/>
  <c r="S215" i="277" s="1"/>
  <c r="E199" i="277"/>
  <c r="Q199" i="277" s="1"/>
  <c r="R199" i="277" s="1"/>
  <c r="S199" i="277" s="1"/>
  <c r="E183" i="277"/>
  <c r="Q183" i="277" s="1"/>
  <c r="R183" i="277" s="1"/>
  <c r="S183" i="277" s="1"/>
  <c r="E6" i="277"/>
  <c r="Q6" i="277" s="1"/>
  <c r="R6" i="277" s="1"/>
  <c r="S6" i="277" s="1"/>
  <c r="E22" i="277"/>
  <c r="Q22" i="277" s="1"/>
  <c r="R22" i="277" s="1"/>
  <c r="S22" i="277" s="1"/>
  <c r="E38" i="277"/>
  <c r="Q38" i="277" s="1"/>
  <c r="R38" i="277" s="1"/>
  <c r="S38" i="277" s="1"/>
  <c r="E54" i="277"/>
  <c r="Q54" i="277" s="1"/>
  <c r="R54" i="277" s="1"/>
  <c r="S54" i="277" s="1"/>
  <c r="E70" i="277"/>
  <c r="Q70" i="277" s="1"/>
  <c r="R70" i="277" s="1"/>
  <c r="S70" i="277" s="1"/>
  <c r="E86" i="277"/>
  <c r="Q86" i="277" s="1"/>
  <c r="R86" i="277" s="1"/>
  <c r="S86" i="277" s="1"/>
  <c r="E102" i="277"/>
  <c r="Q102" i="277" s="1"/>
  <c r="R102" i="277" s="1"/>
  <c r="S102" i="277" s="1"/>
  <c r="E118" i="277"/>
  <c r="Q118" i="277" s="1"/>
  <c r="R118" i="277" s="1"/>
  <c r="S118" i="277" s="1"/>
  <c r="E134" i="277"/>
  <c r="Q134" i="277" s="1"/>
  <c r="R134" i="277" s="1"/>
  <c r="S134" i="277" s="1"/>
  <c r="E150" i="277"/>
  <c r="Q150" i="277" s="1"/>
  <c r="R150" i="277" s="1"/>
  <c r="S150" i="277" s="1"/>
  <c r="E166" i="277"/>
  <c r="Q166" i="277" s="1"/>
  <c r="R166" i="277" s="1"/>
  <c r="S166" i="277" s="1"/>
  <c r="E182" i="277"/>
  <c r="Q182" i="277" s="1"/>
  <c r="R182" i="277" s="1"/>
  <c r="S182" i="277" s="1"/>
  <c r="E198" i="277"/>
  <c r="Q198" i="277" s="1"/>
  <c r="R198" i="277" s="1"/>
  <c r="S198" i="277" s="1"/>
  <c r="E214" i="277"/>
  <c r="Q214" i="277" s="1"/>
  <c r="R214" i="277" s="1"/>
  <c r="S214" i="277" s="1"/>
  <c r="E230" i="277"/>
  <c r="Q230" i="277" s="1"/>
  <c r="R230" i="277" s="1"/>
  <c r="S230" i="277" s="1"/>
  <c r="E33" i="277"/>
  <c r="Q33" i="277" s="1"/>
  <c r="R33" i="277" s="1"/>
  <c r="S33" i="277" s="1"/>
  <c r="E65" i="277"/>
  <c r="Q65" i="277" s="1"/>
  <c r="R65" i="277" s="1"/>
  <c r="S65" i="277" s="1"/>
  <c r="E97" i="277"/>
  <c r="Q97" i="277" s="1"/>
  <c r="R97" i="277" s="1"/>
  <c r="S97" i="277" s="1"/>
  <c r="E129" i="277"/>
  <c r="Q129" i="277" s="1"/>
  <c r="R129" i="277" s="1"/>
  <c r="S129" i="277" s="1"/>
  <c r="E161" i="277"/>
  <c r="Q161" i="277" s="1"/>
  <c r="R161" i="277" s="1"/>
  <c r="S161" i="277" s="1"/>
  <c r="E217" i="277"/>
  <c r="Q217" i="277" s="1"/>
  <c r="R217" i="277" s="1"/>
  <c r="S217" i="277" s="1"/>
  <c r="E27" i="277"/>
  <c r="Q27" i="277" s="1"/>
  <c r="R27" i="277" s="1"/>
  <c r="S27" i="277" s="1"/>
  <c r="E59" i="277"/>
  <c r="Q59" i="277" s="1"/>
  <c r="R59" i="277" s="1"/>
  <c r="S59" i="277" s="1"/>
  <c r="E91" i="277"/>
  <c r="Q91" i="277" s="1"/>
  <c r="R91" i="277" s="1"/>
  <c r="S91" i="277" s="1"/>
  <c r="E123" i="277"/>
  <c r="Q123" i="277" s="1"/>
  <c r="R123" i="277" s="1"/>
  <c r="S123" i="277" s="1"/>
  <c r="E155" i="277"/>
  <c r="Q155" i="277" s="1"/>
  <c r="R155" i="277" s="1"/>
  <c r="S155" i="277" s="1"/>
  <c r="E205" i="277"/>
  <c r="Q205" i="277" s="1"/>
  <c r="R205" i="277" s="1"/>
  <c r="S205" i="277" s="1"/>
  <c r="E12" i="277"/>
  <c r="Q12" i="277" s="1"/>
  <c r="R12" i="277" s="1"/>
  <c r="S12" i="277" s="1"/>
  <c r="E28" i="277"/>
  <c r="Q28" i="277" s="1"/>
  <c r="R28" i="277" s="1"/>
  <c r="S28" i="277" s="1"/>
  <c r="E44" i="277"/>
  <c r="Q44" i="277" s="1"/>
  <c r="R44" i="277" s="1"/>
  <c r="S44" i="277" s="1"/>
  <c r="E60" i="277"/>
  <c r="Q60" i="277" s="1"/>
  <c r="R60" i="277" s="1"/>
  <c r="S60" i="277" s="1"/>
  <c r="E76" i="277"/>
  <c r="Q76" i="277" s="1"/>
  <c r="R76" i="277" s="1"/>
  <c r="S76" i="277" s="1"/>
  <c r="E92" i="277"/>
  <c r="Q92" i="277" s="1"/>
  <c r="R92" i="277" s="1"/>
  <c r="S92" i="277" s="1"/>
  <c r="E108" i="277"/>
  <c r="Q108" i="277" s="1"/>
  <c r="R108" i="277" s="1"/>
  <c r="S108" i="277" s="1"/>
  <c r="E124" i="277"/>
  <c r="Q124" i="277" s="1"/>
  <c r="R124" i="277" s="1"/>
  <c r="S124" i="277" s="1"/>
  <c r="E140" i="277"/>
  <c r="Q140" i="277" s="1"/>
  <c r="R140" i="277" s="1"/>
  <c r="S140" i="277" s="1"/>
  <c r="E156" i="277"/>
  <c r="Q156" i="277" s="1"/>
  <c r="R156" i="277" s="1"/>
  <c r="S156" i="277" s="1"/>
  <c r="E172" i="277"/>
  <c r="Q172" i="277" s="1"/>
  <c r="R172" i="277" s="1"/>
  <c r="S172" i="277" s="1"/>
  <c r="E188" i="277"/>
  <c r="Q188" i="277" s="1"/>
  <c r="R188" i="277" s="1"/>
  <c r="S188" i="277" s="1"/>
  <c r="E204" i="277"/>
  <c r="Q204" i="277" s="1"/>
  <c r="R204" i="277" s="1"/>
  <c r="S204" i="277" s="1"/>
  <c r="E220" i="277"/>
  <c r="Q220" i="277" s="1"/>
  <c r="R220" i="277" s="1"/>
  <c r="S220" i="277" s="1"/>
  <c r="E13" i="277"/>
  <c r="Q13" i="277" s="1"/>
  <c r="R13" i="277" s="1"/>
  <c r="S13" i="277" s="1"/>
  <c r="E45" i="277"/>
  <c r="Q45" i="277" s="1"/>
  <c r="R45" i="277" s="1"/>
  <c r="S45" i="277" s="1"/>
  <c r="E77" i="277"/>
  <c r="Q77" i="277" s="1"/>
  <c r="R77" i="277" s="1"/>
  <c r="S77" i="277" s="1"/>
  <c r="E109" i="277"/>
  <c r="Q109" i="277" s="1"/>
  <c r="R109" i="277" s="1"/>
  <c r="S109" i="277" s="1"/>
  <c r="E141" i="277"/>
  <c r="Q141" i="277" s="1"/>
  <c r="R141" i="277" s="1"/>
  <c r="S141" i="277" s="1"/>
  <c r="E177" i="277"/>
  <c r="Q177" i="277" s="1"/>
  <c r="R177" i="277" s="1"/>
  <c r="S177" i="277" s="1"/>
  <c r="E160" i="277"/>
  <c r="Q160" i="277" s="1"/>
  <c r="R160" i="277" s="1"/>
  <c r="S160" i="277" s="1"/>
  <c r="E192" i="277"/>
  <c r="Q192" i="277" s="1"/>
  <c r="R192" i="277" s="1"/>
  <c r="S192" i="277" s="1"/>
  <c r="E224" i="277"/>
  <c r="Q224" i="277" s="1"/>
  <c r="R224" i="277" s="1"/>
  <c r="S224" i="277" s="1"/>
  <c r="E21" i="277"/>
  <c r="Q21" i="277" s="1"/>
  <c r="R21" i="277" s="1"/>
  <c r="S21" i="277" s="1"/>
  <c r="E117" i="277"/>
  <c r="Q117" i="277" s="1"/>
  <c r="R117" i="277" s="1"/>
  <c r="S117" i="277" s="1"/>
  <c r="E47" i="277"/>
  <c r="Q47" i="277" s="1"/>
  <c r="R47" i="277" s="1"/>
  <c r="S47" i="277" s="1"/>
  <c r="E87" i="277"/>
  <c r="Q87" i="277" s="1"/>
  <c r="R87" i="277" s="1"/>
  <c r="S87" i="277" s="1"/>
  <c r="E143" i="277"/>
  <c r="Q143" i="277" s="1"/>
  <c r="R143" i="277" s="1"/>
  <c r="S143" i="277" s="1"/>
  <c r="E39" i="277"/>
  <c r="Q39" i="277" s="1"/>
  <c r="R39" i="277" s="1"/>
  <c r="S39" i="277" s="1"/>
  <c r="E167" i="277"/>
  <c r="Q167" i="277" s="1"/>
  <c r="R167" i="277" s="1"/>
  <c r="S167" i="277" s="1"/>
  <c r="E181" i="277"/>
  <c r="Q181" i="277" s="1"/>
  <c r="R181" i="277" s="1"/>
  <c r="S181" i="277" s="1"/>
  <c r="E227" i="277"/>
  <c r="Q227" i="277" s="1"/>
  <c r="R227" i="277" s="1"/>
  <c r="S227" i="277" s="1"/>
  <c r="E211" i="277"/>
  <c r="Q211" i="277" s="1"/>
  <c r="R211" i="277" s="1"/>
  <c r="S211" i="277" s="1"/>
  <c r="E195" i="277"/>
  <c r="Q195" i="277" s="1"/>
  <c r="R195" i="277" s="1"/>
  <c r="S195" i="277" s="1"/>
  <c r="E179" i="277"/>
  <c r="Q179" i="277" s="1"/>
  <c r="R179" i="277" s="1"/>
  <c r="S179" i="277" s="1"/>
  <c r="E10" i="277"/>
  <c r="Q10" i="277" s="1"/>
  <c r="R10" i="277" s="1"/>
  <c r="S10" i="277" s="1"/>
  <c r="E26" i="277"/>
  <c r="Q26" i="277" s="1"/>
  <c r="R26" i="277" s="1"/>
  <c r="S26" i="277" s="1"/>
  <c r="E42" i="277"/>
  <c r="Q42" i="277" s="1"/>
  <c r="R42" i="277" s="1"/>
  <c r="S42" i="277" s="1"/>
  <c r="E58" i="277"/>
  <c r="Q58" i="277" s="1"/>
  <c r="R58" i="277" s="1"/>
  <c r="S58" i="277" s="1"/>
  <c r="E74" i="277"/>
  <c r="Q74" i="277" s="1"/>
  <c r="R74" i="277" s="1"/>
  <c r="S74" i="277" s="1"/>
  <c r="E90" i="277"/>
  <c r="Q90" i="277" s="1"/>
  <c r="R90" i="277" s="1"/>
  <c r="S90" i="277" s="1"/>
  <c r="E106" i="277"/>
  <c r="Q106" i="277" s="1"/>
  <c r="R106" i="277" s="1"/>
  <c r="S106" i="277" s="1"/>
  <c r="E122" i="277"/>
  <c r="Q122" i="277" s="1"/>
  <c r="R122" i="277" s="1"/>
  <c r="S122" i="277" s="1"/>
  <c r="E138" i="277"/>
  <c r="Q138" i="277" s="1"/>
  <c r="R138" i="277" s="1"/>
  <c r="S138" i="277" s="1"/>
  <c r="E154" i="277"/>
  <c r="Q154" i="277" s="1"/>
  <c r="R154" i="277" s="1"/>
  <c r="S154" i="277" s="1"/>
  <c r="E170" i="277"/>
  <c r="Q170" i="277" s="1"/>
  <c r="R170" i="277" s="1"/>
  <c r="S170" i="277" s="1"/>
  <c r="E186" i="277"/>
  <c r="Q186" i="277" s="1"/>
  <c r="R186" i="277" s="1"/>
  <c r="S186" i="277" s="1"/>
  <c r="E202" i="277"/>
  <c r="Q202" i="277" s="1"/>
  <c r="R202" i="277" s="1"/>
  <c r="S202" i="277" s="1"/>
  <c r="E218" i="277"/>
  <c r="Q218" i="277" s="1"/>
  <c r="R218" i="277" s="1"/>
  <c r="S218" i="277" s="1"/>
  <c r="E9" i="277"/>
  <c r="Q9" i="277" s="1"/>
  <c r="R9" i="277" s="1"/>
  <c r="S9" i="277" s="1"/>
  <c r="E41" i="277"/>
  <c r="Q41" i="277" s="1"/>
  <c r="R41" i="277" s="1"/>
  <c r="S41" i="277" s="1"/>
  <c r="E73" i="277"/>
  <c r="Q73" i="277" s="1"/>
  <c r="R73" i="277" s="1"/>
  <c r="S73" i="277" s="1"/>
  <c r="E105" i="277"/>
  <c r="Q105" i="277" s="1"/>
  <c r="R105" i="277" s="1"/>
  <c r="S105" i="277" s="1"/>
  <c r="E137" i="277"/>
  <c r="Q137" i="277" s="1"/>
  <c r="R137" i="277" s="1"/>
  <c r="S137" i="277" s="1"/>
  <c r="E169" i="277"/>
  <c r="Q169" i="277" s="1"/>
  <c r="R169" i="277" s="1"/>
  <c r="S169" i="277" s="1"/>
  <c r="E3" i="277"/>
  <c r="E35" i="277"/>
  <c r="Q35" i="277" s="1"/>
  <c r="R35" i="277" s="1"/>
  <c r="S35" i="277" s="1"/>
  <c r="E67" i="277"/>
  <c r="Q67" i="277" s="1"/>
  <c r="R67" i="277" s="1"/>
  <c r="S67" i="277" s="1"/>
  <c r="E99" i="277"/>
  <c r="Q99" i="277" s="1"/>
  <c r="R99" i="277" s="1"/>
  <c r="S99" i="277" s="1"/>
  <c r="E131" i="277"/>
  <c r="Q131" i="277" s="1"/>
  <c r="R131" i="277" s="1"/>
  <c r="S131" i="277" s="1"/>
  <c r="E163" i="277"/>
  <c r="Q163" i="277" s="1"/>
  <c r="R163" i="277" s="1"/>
  <c r="S163" i="277" s="1"/>
  <c r="E221" i="277"/>
  <c r="Q221" i="277" s="1"/>
  <c r="R221" i="277" s="1"/>
  <c r="S221" i="277" s="1"/>
  <c r="E16" i="277"/>
  <c r="Q16" i="277" s="1"/>
  <c r="R16" i="277" s="1"/>
  <c r="S16" i="277" s="1"/>
  <c r="E32" i="277"/>
  <c r="Q32" i="277" s="1"/>
  <c r="R32" i="277" s="1"/>
  <c r="S32" i="277" s="1"/>
  <c r="E48" i="277"/>
  <c r="Q48" i="277" s="1"/>
  <c r="R48" i="277" s="1"/>
  <c r="S48" i="277" s="1"/>
  <c r="E64" i="277"/>
  <c r="Q64" i="277" s="1"/>
  <c r="R64" i="277" s="1"/>
  <c r="S64" i="277" s="1"/>
  <c r="E80" i="277"/>
  <c r="Q80" i="277" s="1"/>
  <c r="R80" i="277" s="1"/>
  <c r="S80" i="277" s="1"/>
  <c r="E96" i="277"/>
  <c r="Q96" i="277" s="1"/>
  <c r="R96" i="277" s="1"/>
  <c r="S96" i="277" s="1"/>
  <c r="E112" i="277"/>
  <c r="Q112" i="277" s="1"/>
  <c r="R112" i="277" s="1"/>
  <c r="S112" i="277" s="1"/>
  <c r="E128" i="277"/>
  <c r="Q128" i="277" s="1"/>
  <c r="R128" i="277" s="1"/>
  <c r="S128" i="277" s="1"/>
  <c r="E144" i="277"/>
  <c r="Q144" i="277" s="1"/>
  <c r="R144" i="277" s="1"/>
  <c r="S144" i="277" s="1"/>
  <c r="E176" i="277"/>
  <c r="Q176" i="277" s="1"/>
  <c r="R176" i="277" s="1"/>
  <c r="S176" i="277" s="1"/>
  <c r="E208" i="277"/>
  <c r="Q208" i="277" s="1"/>
  <c r="R208" i="277" s="1"/>
  <c r="S208" i="277" s="1"/>
  <c r="E53" i="277"/>
  <c r="Q53" i="277" s="1"/>
  <c r="R53" i="277" s="1"/>
  <c r="S53" i="277" s="1"/>
  <c r="E193" i="277"/>
  <c r="Q193" i="277" s="1"/>
  <c r="R193" i="277" s="1"/>
  <c r="S193" i="277" s="1"/>
  <c r="E55" i="277"/>
  <c r="Q55" i="277" s="1"/>
  <c r="R55" i="277" s="1"/>
  <c r="S55" i="277" s="1"/>
  <c r="E103" i="277"/>
  <c r="Q103" i="277" s="1"/>
  <c r="R103" i="277" s="1"/>
  <c r="S103" i="277" s="1"/>
  <c r="E151" i="277"/>
  <c r="Q151" i="277" s="1"/>
  <c r="R151" i="277" s="1"/>
  <c r="S151" i="277" s="1"/>
  <c r="E63" i="277"/>
  <c r="Q63" i="277" s="1"/>
  <c r="R63" i="277" s="1"/>
  <c r="S63" i="277" s="1"/>
  <c r="E31" i="277"/>
  <c r="Q31" i="277" s="1"/>
  <c r="R31" i="277" s="1"/>
  <c r="S31" i="277" s="1"/>
  <c r="E197" i="277"/>
  <c r="Q197" i="277" s="1"/>
  <c r="R197" i="277" s="1"/>
  <c r="S197" i="277" s="1"/>
  <c r="E223" i="277"/>
  <c r="Q223" i="277" s="1"/>
  <c r="R223" i="277" s="1"/>
  <c r="S223" i="277" s="1"/>
  <c r="E207" i="277"/>
  <c r="Q207" i="277" s="1"/>
  <c r="R207" i="277" s="1"/>
  <c r="S207" i="277" s="1"/>
  <c r="E191" i="277"/>
  <c r="Q191" i="277" s="1"/>
  <c r="R191" i="277" s="1"/>
  <c r="S191" i="277" s="1"/>
  <c r="E175" i="277"/>
  <c r="Q175" i="277" s="1"/>
  <c r="R175" i="277" s="1"/>
  <c r="S175" i="277" s="1"/>
  <c r="E14" i="277"/>
  <c r="Q14" i="277" s="1"/>
  <c r="R14" i="277" s="1"/>
  <c r="S14" i="277" s="1"/>
  <c r="E30" i="277"/>
  <c r="Q30" i="277" s="1"/>
  <c r="R30" i="277" s="1"/>
  <c r="S30" i="277" s="1"/>
  <c r="E46" i="277"/>
  <c r="Q46" i="277" s="1"/>
  <c r="R46" i="277" s="1"/>
  <c r="S46" i="277" s="1"/>
  <c r="E62" i="277"/>
  <c r="Q62" i="277" s="1"/>
  <c r="R62" i="277" s="1"/>
  <c r="S62" i="277" s="1"/>
  <c r="E78" i="277"/>
  <c r="Q78" i="277" s="1"/>
  <c r="R78" i="277" s="1"/>
  <c r="S78" i="277" s="1"/>
  <c r="E94" i="277"/>
  <c r="Q94" i="277" s="1"/>
  <c r="R94" i="277" s="1"/>
  <c r="S94" i="277" s="1"/>
  <c r="E110" i="277"/>
  <c r="Q110" i="277" s="1"/>
  <c r="R110" i="277" s="1"/>
  <c r="S110" i="277" s="1"/>
  <c r="E126" i="277"/>
  <c r="Q126" i="277" s="1"/>
  <c r="R126" i="277" s="1"/>
  <c r="S126" i="277" s="1"/>
  <c r="E142" i="277"/>
  <c r="Q142" i="277" s="1"/>
  <c r="R142" i="277" s="1"/>
  <c r="S142" i="277" s="1"/>
  <c r="E158" i="277"/>
  <c r="Q158" i="277" s="1"/>
  <c r="R158" i="277" s="1"/>
  <c r="S158" i="277" s="1"/>
  <c r="E174" i="277"/>
  <c r="Q174" i="277" s="1"/>
  <c r="R174" i="277" s="1"/>
  <c r="S174" i="277" s="1"/>
  <c r="E190" i="277"/>
  <c r="Q190" i="277" s="1"/>
  <c r="R190" i="277" s="1"/>
  <c r="S190" i="277" s="1"/>
  <c r="E206" i="277"/>
  <c r="Q206" i="277" s="1"/>
  <c r="R206" i="277" s="1"/>
  <c r="S206" i="277" s="1"/>
  <c r="E222" i="277"/>
  <c r="Q222" i="277" s="1"/>
  <c r="R222" i="277" s="1"/>
  <c r="S222" i="277" s="1"/>
  <c r="E17" i="277"/>
  <c r="Q17" i="277" s="1"/>
  <c r="R17" i="277" s="1"/>
  <c r="S17" i="277" s="1"/>
  <c r="E49" i="277"/>
  <c r="Q49" i="277" s="1"/>
  <c r="R49" i="277" s="1"/>
  <c r="S49" i="277" s="1"/>
  <c r="E81" i="277"/>
  <c r="Q81" i="277" s="1"/>
  <c r="R81" i="277" s="1"/>
  <c r="S81" i="277" s="1"/>
  <c r="E113" i="277"/>
  <c r="Q113" i="277" s="1"/>
  <c r="R113" i="277" s="1"/>
  <c r="S113" i="277" s="1"/>
  <c r="E145" i="277"/>
  <c r="Q145" i="277" s="1"/>
  <c r="R145" i="277" s="1"/>
  <c r="S145" i="277" s="1"/>
  <c r="E185" i="277"/>
  <c r="Q185" i="277" s="1"/>
  <c r="R185" i="277" s="1"/>
  <c r="S185" i="277" s="1"/>
  <c r="E11" i="277"/>
  <c r="Q11" i="277" s="1"/>
  <c r="R11" i="277" s="1"/>
  <c r="S11" i="277" s="1"/>
  <c r="E43" i="277"/>
  <c r="Q43" i="277" s="1"/>
  <c r="R43" i="277" s="1"/>
  <c r="S43" i="277" s="1"/>
  <c r="E75" i="277"/>
  <c r="Q75" i="277" s="1"/>
  <c r="R75" i="277" s="1"/>
  <c r="S75" i="277" s="1"/>
  <c r="E107" i="277"/>
  <c r="Q107" i="277" s="1"/>
  <c r="R107" i="277" s="1"/>
  <c r="S107" i="277" s="1"/>
  <c r="E139" i="277"/>
  <c r="Q139" i="277" s="1"/>
  <c r="R139" i="277" s="1"/>
  <c r="S139" i="277" s="1"/>
  <c r="E173" i="277"/>
  <c r="Q173" i="277" s="1"/>
  <c r="R173" i="277" s="1"/>
  <c r="S173" i="277" s="1"/>
  <c r="E4" i="277"/>
  <c r="Q4" i="277" s="1"/>
  <c r="R4" i="277" s="1"/>
  <c r="S4" i="277" s="1"/>
  <c r="E20" i="277"/>
  <c r="Q20" i="277" s="1"/>
  <c r="R20" i="277" s="1"/>
  <c r="S20" i="277" s="1"/>
  <c r="E36" i="277"/>
  <c r="Q36" i="277" s="1"/>
  <c r="R36" i="277" s="1"/>
  <c r="S36" i="277" s="1"/>
  <c r="E52" i="277"/>
  <c r="Q52" i="277" s="1"/>
  <c r="R52" i="277" s="1"/>
  <c r="S52" i="277" s="1"/>
  <c r="E68" i="277"/>
  <c r="Q68" i="277" s="1"/>
  <c r="R68" i="277" s="1"/>
  <c r="S68" i="277" s="1"/>
  <c r="E84" i="277"/>
  <c r="Q84" i="277" s="1"/>
  <c r="R84" i="277" s="1"/>
  <c r="S84" i="277" s="1"/>
  <c r="E100" i="277"/>
  <c r="Q100" i="277" s="1"/>
  <c r="R100" i="277" s="1"/>
  <c r="S100" i="277" s="1"/>
  <c r="E116" i="277"/>
  <c r="Q116" i="277" s="1"/>
  <c r="R116" i="277" s="1"/>
  <c r="S116" i="277" s="1"/>
  <c r="E132" i="277"/>
  <c r="Q132" i="277" s="1"/>
  <c r="R132" i="277" s="1"/>
  <c r="S132" i="277" s="1"/>
  <c r="E148" i="277"/>
  <c r="Q148" i="277" s="1"/>
  <c r="R148" i="277" s="1"/>
  <c r="S148" i="277" s="1"/>
  <c r="E164" i="277"/>
  <c r="Q164" i="277" s="1"/>
  <c r="R164" i="277" s="1"/>
  <c r="S164" i="277" s="1"/>
  <c r="E180" i="277"/>
  <c r="Q180" i="277" s="1"/>
  <c r="R180" i="277" s="1"/>
  <c r="S180" i="277" s="1"/>
  <c r="E196" i="277"/>
  <c r="Q196" i="277" s="1"/>
  <c r="R196" i="277" s="1"/>
  <c r="S196" i="277" s="1"/>
  <c r="E212" i="277"/>
  <c r="Q212" i="277" s="1"/>
  <c r="R212" i="277" s="1"/>
  <c r="S212" i="277" s="1"/>
  <c r="E228" i="277"/>
  <c r="Q228" i="277" s="1"/>
  <c r="R228" i="277" s="1"/>
  <c r="S228" i="277" s="1"/>
  <c r="E29" i="277"/>
  <c r="Q29" i="277" s="1"/>
  <c r="R29" i="277" s="1"/>
  <c r="S29" i="277" s="1"/>
  <c r="E61" i="277"/>
  <c r="Q61" i="277" s="1"/>
  <c r="R61" i="277" s="1"/>
  <c r="S61" i="277" s="1"/>
  <c r="E93" i="277"/>
  <c r="Q93" i="277" s="1"/>
  <c r="R93" i="277" s="1"/>
  <c r="S93" i="277" s="1"/>
  <c r="E125" i="277"/>
  <c r="Q125" i="277" s="1"/>
  <c r="R125" i="277" s="1"/>
  <c r="S125" i="277" s="1"/>
  <c r="E157" i="277"/>
  <c r="Q157" i="277" s="1"/>
  <c r="R157" i="277" s="1"/>
  <c r="S157" i="277" s="1"/>
  <c r="E209" i="277"/>
  <c r="Q209" i="277" s="1"/>
  <c r="R209" i="277" s="1"/>
  <c r="S209" i="277" s="1"/>
  <c r="E136" i="277"/>
  <c r="Q136" i="277" s="1"/>
  <c r="R136" i="277" s="1"/>
  <c r="S136" i="277" s="1"/>
  <c r="E168" i="277"/>
  <c r="Q168" i="277" s="1"/>
  <c r="R168" i="277" s="1"/>
  <c r="S168" i="277" s="1"/>
  <c r="E200" i="277"/>
  <c r="Q200" i="277" s="1"/>
  <c r="R200" i="277" s="1"/>
  <c r="S200" i="277" s="1"/>
  <c r="E5" i="277"/>
  <c r="Q5" i="277" s="1"/>
  <c r="R5" i="277" s="1"/>
  <c r="S5" i="277" s="1"/>
  <c r="E37" i="277"/>
  <c r="Q37" i="277" s="1"/>
  <c r="R37" i="277" s="1"/>
  <c r="S37" i="277" s="1"/>
  <c r="E101" i="277"/>
  <c r="Q101" i="277" s="1"/>
  <c r="R101" i="277" s="1"/>
  <c r="S101" i="277" s="1"/>
  <c r="E165" i="277"/>
  <c r="Q165" i="277" s="1"/>
  <c r="R165" i="277" s="1"/>
  <c r="S165" i="277" s="1"/>
  <c r="E225" i="277"/>
  <c r="Q225" i="277" s="1"/>
  <c r="R225" i="277" s="1"/>
  <c r="S225" i="277" s="1"/>
  <c r="E149" i="277"/>
  <c r="Q149" i="277" s="1"/>
  <c r="R149" i="277" s="1"/>
  <c r="S149" i="277" s="1"/>
  <c r="K227" i="277"/>
  <c r="K225" i="277"/>
  <c r="K226" i="277"/>
  <c r="F18" i="274"/>
  <c r="F17" i="274"/>
  <c r="F25" i="274"/>
  <c r="F20" i="274"/>
  <c r="F21" i="274"/>
  <c r="F24" i="274"/>
  <c r="F23" i="274"/>
  <c r="F19" i="274"/>
  <c r="F26" i="274"/>
  <c r="F22" i="274"/>
  <c r="Q3" i="277" l="1"/>
  <c r="R3" i="277" s="1"/>
  <c r="S3" i="277" s="1"/>
  <c r="G34" i="266"/>
  <c r="F34" i="266"/>
  <c r="G106" i="266"/>
  <c r="F106" i="266"/>
  <c r="F31" i="266"/>
  <c r="G31" i="266"/>
  <c r="F79" i="266"/>
  <c r="G79" i="266"/>
  <c r="G60" i="266"/>
  <c r="F60" i="266"/>
  <c r="G72" i="266"/>
  <c r="F72" i="266"/>
  <c r="G13" i="266"/>
  <c r="F13" i="266"/>
  <c r="G45" i="266"/>
  <c r="F45" i="266"/>
  <c r="G77" i="266"/>
  <c r="F77" i="266"/>
  <c r="G109" i="266"/>
  <c r="F109" i="266"/>
  <c r="G50" i="266"/>
  <c r="F50" i="266"/>
  <c r="G14" i="266"/>
  <c r="F14" i="266"/>
  <c r="G42" i="266"/>
  <c r="F42" i="266"/>
  <c r="F62" i="266"/>
  <c r="G62" i="266"/>
  <c r="G90" i="266"/>
  <c r="F90" i="266"/>
  <c r="F110" i="266"/>
  <c r="G110" i="266"/>
  <c r="F19" i="266"/>
  <c r="G19" i="266"/>
  <c r="F35" i="266"/>
  <c r="G35" i="266"/>
  <c r="F51" i="266"/>
  <c r="G51" i="266"/>
  <c r="F67" i="266"/>
  <c r="G67" i="266"/>
  <c r="F83" i="266"/>
  <c r="G83" i="266"/>
  <c r="F99" i="266"/>
  <c r="G99" i="266"/>
  <c r="F115" i="266"/>
  <c r="G115" i="266"/>
  <c r="G32" i="266"/>
  <c r="F32" i="266"/>
  <c r="G68" i="266"/>
  <c r="F68" i="266"/>
  <c r="G100" i="266"/>
  <c r="F100" i="266"/>
  <c r="G20" i="266"/>
  <c r="F20" i="266"/>
  <c r="G48" i="266"/>
  <c r="F48" i="266"/>
  <c r="G80" i="266"/>
  <c r="F80" i="266"/>
  <c r="G116" i="266"/>
  <c r="F116" i="266"/>
  <c r="G17" i="266"/>
  <c r="F17" i="266"/>
  <c r="G33" i="266"/>
  <c r="F33" i="266"/>
  <c r="G49" i="266"/>
  <c r="F49" i="266"/>
  <c r="G65" i="266"/>
  <c r="F65" i="266"/>
  <c r="G81" i="266"/>
  <c r="F81" i="266"/>
  <c r="G97" i="266"/>
  <c r="F97" i="266"/>
  <c r="G113" i="266"/>
  <c r="F113" i="266"/>
  <c r="G18" i="266"/>
  <c r="F18" i="266"/>
  <c r="G66" i="266"/>
  <c r="F66" i="266"/>
  <c r="F114" i="266"/>
  <c r="G114" i="266"/>
  <c r="F6" i="266"/>
  <c r="G6" i="266"/>
  <c r="F82" i="266"/>
  <c r="G82" i="266"/>
  <c r="F47" i="266"/>
  <c r="G47" i="266"/>
  <c r="F95" i="266"/>
  <c r="G95" i="266"/>
  <c r="G92" i="266"/>
  <c r="F92" i="266"/>
  <c r="G44" i="266"/>
  <c r="F44" i="266"/>
  <c r="G104" i="266"/>
  <c r="F104" i="266"/>
  <c r="G29" i="266"/>
  <c r="F29" i="266"/>
  <c r="G61" i="266"/>
  <c r="F61" i="266"/>
  <c r="G93" i="266"/>
  <c r="F93" i="266"/>
  <c r="G98" i="266"/>
  <c r="F98" i="266"/>
  <c r="G8" i="266"/>
  <c r="F8" i="266"/>
  <c r="F22" i="266"/>
  <c r="G22" i="266"/>
  <c r="F46" i="266"/>
  <c r="G46" i="266"/>
  <c r="F70" i="266"/>
  <c r="G70" i="266"/>
  <c r="F94" i="266"/>
  <c r="G94" i="266"/>
  <c r="F7" i="266"/>
  <c r="G7" i="266"/>
  <c r="F23" i="266"/>
  <c r="G23" i="266"/>
  <c r="F39" i="266"/>
  <c r="G39" i="266"/>
  <c r="F55" i="266"/>
  <c r="G55" i="266"/>
  <c r="F71" i="266"/>
  <c r="G71" i="266"/>
  <c r="F87" i="266"/>
  <c r="G87" i="266"/>
  <c r="F103" i="266"/>
  <c r="G103" i="266"/>
  <c r="G40" i="266"/>
  <c r="F40" i="266"/>
  <c r="G76" i="266"/>
  <c r="F76" i="266"/>
  <c r="G108" i="266"/>
  <c r="F108" i="266"/>
  <c r="G28" i="266"/>
  <c r="F28" i="266"/>
  <c r="G56" i="266"/>
  <c r="F56" i="266"/>
  <c r="G88" i="266"/>
  <c r="F88" i="266"/>
  <c r="G5" i="266"/>
  <c r="F5" i="266"/>
  <c r="G21" i="266"/>
  <c r="F21" i="266"/>
  <c r="G37" i="266"/>
  <c r="F37" i="266"/>
  <c r="G53" i="266"/>
  <c r="F53" i="266"/>
  <c r="G69" i="266"/>
  <c r="F69" i="266"/>
  <c r="G85" i="266"/>
  <c r="F85" i="266"/>
  <c r="G101" i="266"/>
  <c r="F101" i="266"/>
  <c r="G117" i="266"/>
  <c r="F117" i="266"/>
  <c r="G30" i="266"/>
  <c r="F30" i="266"/>
  <c r="F78" i="266"/>
  <c r="G78" i="266"/>
  <c r="G58" i="266"/>
  <c r="F58" i="266"/>
  <c r="F15" i="266"/>
  <c r="G15" i="266"/>
  <c r="F63" i="266"/>
  <c r="G63" i="266"/>
  <c r="F111" i="266"/>
  <c r="G111" i="266"/>
  <c r="G24" i="266"/>
  <c r="F24" i="266"/>
  <c r="G12" i="266"/>
  <c r="F12" i="266"/>
  <c r="G10" i="266"/>
  <c r="F10" i="266"/>
  <c r="G4" i="266"/>
  <c r="F4" i="266"/>
  <c r="G26" i="266"/>
  <c r="F26" i="266"/>
  <c r="F54" i="266"/>
  <c r="G54" i="266"/>
  <c r="G74" i="266"/>
  <c r="F74" i="266"/>
  <c r="F102" i="266"/>
  <c r="G102" i="266"/>
  <c r="F11" i="266"/>
  <c r="G11" i="266"/>
  <c r="F27" i="266"/>
  <c r="G27" i="266"/>
  <c r="F43" i="266"/>
  <c r="G43" i="266"/>
  <c r="F59" i="266"/>
  <c r="G59" i="266"/>
  <c r="F75" i="266"/>
  <c r="G75" i="266"/>
  <c r="F91" i="266"/>
  <c r="G91" i="266"/>
  <c r="F107" i="266"/>
  <c r="G107" i="266"/>
  <c r="G16" i="266"/>
  <c r="F16" i="266"/>
  <c r="G52" i="266"/>
  <c r="F52" i="266"/>
  <c r="G84" i="266"/>
  <c r="F84" i="266"/>
  <c r="G112" i="266"/>
  <c r="F112" i="266"/>
  <c r="G36" i="266"/>
  <c r="F36" i="266"/>
  <c r="G64" i="266"/>
  <c r="F64" i="266"/>
  <c r="G96" i="266"/>
  <c r="F96" i="266"/>
  <c r="G9" i="266"/>
  <c r="F9" i="266"/>
  <c r="G25" i="266"/>
  <c r="F25" i="266"/>
  <c r="G41" i="266"/>
  <c r="F41" i="266"/>
  <c r="G57" i="266"/>
  <c r="F57" i="266"/>
  <c r="G73" i="266"/>
  <c r="F73" i="266"/>
  <c r="G89" i="266"/>
  <c r="F89" i="266"/>
  <c r="G105" i="266"/>
  <c r="F105" i="266"/>
  <c r="F38" i="266"/>
  <c r="G38" i="266"/>
  <c r="F86" i="266"/>
  <c r="G86" i="266"/>
  <c r="D220" i="277"/>
  <c r="M220" i="277" s="1"/>
  <c r="N220" i="277" s="1"/>
  <c r="O220" i="277" s="1"/>
  <c r="D183" i="277"/>
  <c r="M183" i="277" s="1"/>
  <c r="N183" i="277" s="1"/>
  <c r="O183" i="277" s="1"/>
  <c r="D175" i="277"/>
  <c r="M175" i="277" s="1"/>
  <c r="N175" i="277" s="1"/>
  <c r="O175" i="277" s="1"/>
  <c r="D167" i="277"/>
  <c r="M167" i="277" s="1"/>
  <c r="N167" i="277" s="1"/>
  <c r="O167" i="277" s="1"/>
  <c r="D159" i="277"/>
  <c r="M159" i="277" s="1"/>
  <c r="N159" i="277" s="1"/>
  <c r="O159" i="277" s="1"/>
  <c r="D151" i="277"/>
  <c r="M151" i="277" s="1"/>
  <c r="N151" i="277" s="1"/>
  <c r="O151" i="277" s="1"/>
  <c r="D143" i="277"/>
  <c r="M143" i="277" s="1"/>
  <c r="N143" i="277" s="1"/>
  <c r="O143" i="277" s="1"/>
  <c r="D135" i="277"/>
  <c r="M135" i="277" s="1"/>
  <c r="N135" i="277" s="1"/>
  <c r="O135" i="277" s="1"/>
  <c r="D218" i="277"/>
  <c r="M218" i="277" s="1"/>
  <c r="N218" i="277" s="1"/>
  <c r="O218" i="277" s="1"/>
  <c r="D188" i="277"/>
  <c r="M188" i="277" s="1"/>
  <c r="N188" i="277" s="1"/>
  <c r="O188" i="277" s="1"/>
  <c r="D184" i="277"/>
  <c r="M184" i="277" s="1"/>
  <c r="N184" i="277" s="1"/>
  <c r="O184" i="277" s="1"/>
  <c r="D180" i="277"/>
  <c r="M180" i="277" s="1"/>
  <c r="N180" i="277" s="1"/>
  <c r="O180" i="277" s="1"/>
  <c r="D176" i="277"/>
  <c r="M176" i="277" s="1"/>
  <c r="N176" i="277" s="1"/>
  <c r="O176" i="277" s="1"/>
  <c r="D172" i="277"/>
  <c r="M172" i="277" s="1"/>
  <c r="N172" i="277" s="1"/>
  <c r="O172" i="277" s="1"/>
  <c r="D168" i="277"/>
  <c r="M168" i="277" s="1"/>
  <c r="N168" i="277" s="1"/>
  <c r="O168" i="277" s="1"/>
  <c r="D164" i="277"/>
  <c r="M164" i="277" s="1"/>
  <c r="N164" i="277" s="1"/>
  <c r="O164" i="277" s="1"/>
  <c r="D160" i="277"/>
  <c r="M160" i="277" s="1"/>
  <c r="N160" i="277" s="1"/>
  <c r="O160" i="277" s="1"/>
  <c r="D156" i="277"/>
  <c r="M156" i="277" s="1"/>
  <c r="N156" i="277" s="1"/>
  <c r="O156" i="277" s="1"/>
  <c r="D152" i="277"/>
  <c r="M152" i="277" s="1"/>
  <c r="N152" i="277" s="1"/>
  <c r="O152" i="277" s="1"/>
  <c r="D148" i="277"/>
  <c r="M148" i="277" s="1"/>
  <c r="N148" i="277" s="1"/>
  <c r="O148" i="277" s="1"/>
  <c r="D144" i="277"/>
  <c r="M144" i="277" s="1"/>
  <c r="N144" i="277" s="1"/>
  <c r="O144" i="277" s="1"/>
  <c r="D140" i="277"/>
  <c r="M140" i="277" s="1"/>
  <c r="N140" i="277" s="1"/>
  <c r="O140" i="277" s="1"/>
  <c r="D136" i="277"/>
  <c r="M136" i="277" s="1"/>
  <c r="N136" i="277" s="1"/>
  <c r="O136" i="277" s="1"/>
  <c r="D132" i="277"/>
  <c r="M132" i="277" s="1"/>
  <c r="N132" i="277" s="1"/>
  <c r="O132" i="277" s="1"/>
  <c r="D128" i="277"/>
  <c r="M128" i="277" s="1"/>
  <c r="N128" i="277" s="1"/>
  <c r="O128" i="277" s="1"/>
  <c r="D187" i="277"/>
  <c r="M187" i="277" s="1"/>
  <c r="N187" i="277" s="1"/>
  <c r="O187" i="277" s="1"/>
  <c r="D179" i="277"/>
  <c r="M179" i="277" s="1"/>
  <c r="N179" i="277" s="1"/>
  <c r="O179" i="277" s="1"/>
  <c r="D171" i="277"/>
  <c r="M171" i="277" s="1"/>
  <c r="N171" i="277" s="1"/>
  <c r="O171" i="277" s="1"/>
  <c r="D163" i="277"/>
  <c r="M163" i="277" s="1"/>
  <c r="N163" i="277" s="1"/>
  <c r="O163" i="277" s="1"/>
  <c r="D155" i="277"/>
  <c r="M155" i="277" s="1"/>
  <c r="N155" i="277" s="1"/>
  <c r="O155" i="277" s="1"/>
  <c r="D147" i="277"/>
  <c r="M147" i="277" s="1"/>
  <c r="N147" i="277" s="1"/>
  <c r="O147" i="277" s="1"/>
  <c r="D139" i="277"/>
  <c r="M139" i="277" s="1"/>
  <c r="N139" i="277" s="1"/>
  <c r="O139" i="277" s="1"/>
  <c r="D131" i="277"/>
  <c r="M131" i="277" s="1"/>
  <c r="N131" i="277" s="1"/>
  <c r="O131" i="277" s="1"/>
  <c r="D178" i="277"/>
  <c r="M178" i="277" s="1"/>
  <c r="N178" i="277" s="1"/>
  <c r="O178" i="277" s="1"/>
  <c r="D162" i="277"/>
  <c r="M162" i="277" s="1"/>
  <c r="N162" i="277" s="1"/>
  <c r="O162" i="277" s="1"/>
  <c r="D146" i="277"/>
  <c r="M146" i="277" s="1"/>
  <c r="N146" i="277" s="1"/>
  <c r="O146" i="277" s="1"/>
  <c r="D130" i="277"/>
  <c r="M130" i="277" s="1"/>
  <c r="N130" i="277" s="1"/>
  <c r="O130" i="277" s="1"/>
  <c r="D23" i="277"/>
  <c r="M23" i="277" s="1"/>
  <c r="N23" i="277" s="1"/>
  <c r="O23" i="277" s="1"/>
  <c r="D222" i="277"/>
  <c r="M222" i="277" s="1"/>
  <c r="N222" i="277" s="1"/>
  <c r="O222" i="277" s="1"/>
  <c r="D186" i="277"/>
  <c r="M186" i="277" s="1"/>
  <c r="N186" i="277" s="1"/>
  <c r="O186" i="277" s="1"/>
  <c r="D138" i="277"/>
  <c r="M138" i="277" s="1"/>
  <c r="N138" i="277" s="1"/>
  <c r="O138" i="277" s="1"/>
  <c r="D216" i="277"/>
  <c r="M216" i="277" s="1"/>
  <c r="N216" i="277" s="1"/>
  <c r="O216" i="277" s="1"/>
  <c r="D182" i="277"/>
  <c r="M182" i="277" s="1"/>
  <c r="N182" i="277" s="1"/>
  <c r="O182" i="277" s="1"/>
  <c r="D150" i="277"/>
  <c r="M150" i="277" s="1"/>
  <c r="N150" i="277" s="1"/>
  <c r="O150" i="277" s="1"/>
  <c r="D190" i="277"/>
  <c r="M190" i="277" s="1"/>
  <c r="N190" i="277" s="1"/>
  <c r="O190" i="277" s="1"/>
  <c r="D174" i="277"/>
  <c r="M174" i="277" s="1"/>
  <c r="N174" i="277" s="1"/>
  <c r="O174" i="277" s="1"/>
  <c r="D158" i="277"/>
  <c r="M158" i="277" s="1"/>
  <c r="N158" i="277" s="1"/>
  <c r="O158" i="277" s="1"/>
  <c r="D142" i="277"/>
  <c r="M142" i="277" s="1"/>
  <c r="N142" i="277" s="1"/>
  <c r="O142" i="277" s="1"/>
  <c r="D170" i="277"/>
  <c r="M170" i="277" s="1"/>
  <c r="N170" i="277" s="1"/>
  <c r="O170" i="277" s="1"/>
  <c r="D154" i="277"/>
  <c r="M154" i="277" s="1"/>
  <c r="N154" i="277" s="1"/>
  <c r="O154" i="277" s="1"/>
  <c r="D166" i="277"/>
  <c r="M166" i="277" s="1"/>
  <c r="N166" i="277" s="1"/>
  <c r="O166" i="277" s="1"/>
  <c r="D134" i="277"/>
  <c r="M134" i="277" s="1"/>
  <c r="N134" i="277" s="1"/>
  <c r="O134" i="277" s="1"/>
  <c r="D149" i="277"/>
  <c r="M149" i="277" s="1"/>
  <c r="N149" i="277" s="1"/>
  <c r="O149" i="277" s="1"/>
  <c r="D181" i="277"/>
  <c r="M181" i="277" s="1"/>
  <c r="N181" i="277" s="1"/>
  <c r="O181" i="277" s="1"/>
  <c r="D153" i="277"/>
  <c r="M153" i="277" s="1"/>
  <c r="N153" i="277" s="1"/>
  <c r="O153" i="277" s="1"/>
  <c r="D185" i="277"/>
  <c r="M185" i="277" s="1"/>
  <c r="N185" i="277" s="1"/>
  <c r="O185" i="277" s="1"/>
  <c r="D157" i="277"/>
  <c r="M157" i="277" s="1"/>
  <c r="N157" i="277" s="1"/>
  <c r="O157" i="277" s="1"/>
  <c r="D189" i="277"/>
  <c r="M189" i="277" s="1"/>
  <c r="N189" i="277" s="1"/>
  <c r="O189" i="277" s="1"/>
  <c r="D217" i="277"/>
  <c r="M217" i="277" s="1"/>
  <c r="N217" i="277" s="1"/>
  <c r="O217" i="277" s="1"/>
  <c r="D129" i="277"/>
  <c r="M129" i="277" s="1"/>
  <c r="N129" i="277" s="1"/>
  <c r="O129" i="277" s="1"/>
  <c r="D161" i="277"/>
  <c r="M161" i="277" s="1"/>
  <c r="N161" i="277" s="1"/>
  <c r="O161" i="277" s="1"/>
  <c r="D133" i="277"/>
  <c r="M133" i="277" s="1"/>
  <c r="N133" i="277" s="1"/>
  <c r="O133" i="277" s="1"/>
  <c r="D165" i="277"/>
  <c r="M165" i="277" s="1"/>
  <c r="N165" i="277" s="1"/>
  <c r="O165" i="277" s="1"/>
  <c r="D137" i="277"/>
  <c r="M137" i="277" s="1"/>
  <c r="N137" i="277" s="1"/>
  <c r="O137" i="277" s="1"/>
  <c r="D169" i="277"/>
  <c r="M169" i="277" s="1"/>
  <c r="N169" i="277" s="1"/>
  <c r="O169" i="277" s="1"/>
  <c r="D219" i="277"/>
  <c r="M219" i="277" s="1"/>
  <c r="N219" i="277" s="1"/>
  <c r="O219" i="277" s="1"/>
  <c r="D141" i="277"/>
  <c r="M141" i="277" s="1"/>
  <c r="N141" i="277" s="1"/>
  <c r="O141" i="277" s="1"/>
  <c r="D173" i="277"/>
  <c r="M173" i="277" s="1"/>
  <c r="N173" i="277" s="1"/>
  <c r="O173" i="277" s="1"/>
  <c r="D145" i="277"/>
  <c r="M145" i="277" s="1"/>
  <c r="N145" i="277" s="1"/>
  <c r="O145" i="277" s="1"/>
  <c r="D177" i="277"/>
  <c r="M177" i="277" s="1"/>
  <c r="N177" i="277" s="1"/>
  <c r="O177" i="277" s="1"/>
  <c r="D215" i="277"/>
  <c r="M215" i="277" s="1"/>
  <c r="N215" i="277" s="1"/>
  <c r="O215" i="277" s="1"/>
  <c r="D214" i="277"/>
  <c r="M214" i="277" s="1"/>
  <c r="N214" i="277" s="1"/>
  <c r="O214" i="277" s="1"/>
  <c r="D120" i="277"/>
  <c r="M120" i="277" s="1"/>
  <c r="N120" i="277" s="1"/>
  <c r="O120" i="277" s="1"/>
  <c r="D108" i="277"/>
  <c r="M108" i="277" s="1"/>
  <c r="N108" i="277" s="1"/>
  <c r="O108" i="277" s="1"/>
  <c r="D96" i="277"/>
  <c r="M96" i="277" s="1"/>
  <c r="N96" i="277" s="1"/>
  <c r="O96" i="277" s="1"/>
  <c r="D88" i="277"/>
  <c r="M88" i="277" s="1"/>
  <c r="N88" i="277" s="1"/>
  <c r="O88" i="277" s="1"/>
  <c r="D80" i="277"/>
  <c r="M80" i="277" s="1"/>
  <c r="N80" i="277" s="1"/>
  <c r="O80" i="277" s="1"/>
  <c r="D72" i="277"/>
  <c r="M72" i="277" s="1"/>
  <c r="N72" i="277" s="1"/>
  <c r="O72" i="277" s="1"/>
  <c r="D64" i="277"/>
  <c r="M64" i="277" s="1"/>
  <c r="N64" i="277" s="1"/>
  <c r="O64" i="277" s="1"/>
  <c r="D56" i="277"/>
  <c r="M56" i="277" s="1"/>
  <c r="N56" i="277" s="1"/>
  <c r="O56" i="277" s="1"/>
  <c r="D48" i="277"/>
  <c r="M48" i="277" s="1"/>
  <c r="N48" i="277" s="1"/>
  <c r="O48" i="277" s="1"/>
  <c r="D40" i="277"/>
  <c r="M40" i="277" s="1"/>
  <c r="N40" i="277" s="1"/>
  <c r="O40" i="277" s="1"/>
  <c r="D32" i="277"/>
  <c r="M32" i="277" s="1"/>
  <c r="N32" i="277" s="1"/>
  <c r="O32" i="277" s="1"/>
  <c r="D24" i="277"/>
  <c r="M24" i="277" s="1"/>
  <c r="N24" i="277" s="1"/>
  <c r="O24" i="277" s="1"/>
  <c r="D16" i="277"/>
  <c r="M16" i="277" s="1"/>
  <c r="N16" i="277" s="1"/>
  <c r="O16" i="277" s="1"/>
  <c r="D8" i="277"/>
  <c r="M8" i="277" s="1"/>
  <c r="N8" i="277" s="1"/>
  <c r="O8" i="277" s="1"/>
  <c r="D207" i="277"/>
  <c r="M207" i="277" s="1"/>
  <c r="N207" i="277" s="1"/>
  <c r="O207" i="277" s="1"/>
  <c r="D199" i="277"/>
  <c r="M199" i="277" s="1"/>
  <c r="N199" i="277" s="1"/>
  <c r="O199" i="277" s="1"/>
  <c r="D191" i="277"/>
  <c r="M191" i="277" s="1"/>
  <c r="N191" i="277" s="1"/>
  <c r="O191" i="277" s="1"/>
  <c r="D127" i="277"/>
  <c r="M127" i="277" s="1"/>
  <c r="N127" i="277" s="1"/>
  <c r="O127" i="277" s="1"/>
  <c r="D119" i="277"/>
  <c r="M119" i="277" s="1"/>
  <c r="N119" i="277" s="1"/>
  <c r="O119" i="277" s="1"/>
  <c r="D111" i="277"/>
  <c r="M111" i="277" s="1"/>
  <c r="N111" i="277" s="1"/>
  <c r="O111" i="277" s="1"/>
  <c r="D99" i="277"/>
  <c r="M99" i="277" s="1"/>
  <c r="N99" i="277" s="1"/>
  <c r="O99" i="277" s="1"/>
  <c r="D91" i="277"/>
  <c r="M91" i="277" s="1"/>
  <c r="N91" i="277" s="1"/>
  <c r="O91" i="277" s="1"/>
  <c r="D83" i="277"/>
  <c r="M83" i="277" s="1"/>
  <c r="N83" i="277" s="1"/>
  <c r="O83" i="277" s="1"/>
  <c r="D212" i="277"/>
  <c r="M212" i="277" s="1"/>
  <c r="N212" i="277" s="1"/>
  <c r="O212" i="277" s="1"/>
  <c r="D208" i="277"/>
  <c r="M208" i="277" s="1"/>
  <c r="N208" i="277" s="1"/>
  <c r="O208" i="277" s="1"/>
  <c r="D204" i="277"/>
  <c r="M204" i="277" s="1"/>
  <c r="N204" i="277" s="1"/>
  <c r="O204" i="277" s="1"/>
  <c r="D200" i="277"/>
  <c r="M200" i="277" s="1"/>
  <c r="N200" i="277" s="1"/>
  <c r="O200" i="277" s="1"/>
  <c r="D196" i="277"/>
  <c r="M196" i="277" s="1"/>
  <c r="N196" i="277" s="1"/>
  <c r="O196" i="277" s="1"/>
  <c r="D192" i="277"/>
  <c r="M192" i="277" s="1"/>
  <c r="N192" i="277" s="1"/>
  <c r="O192" i="277" s="1"/>
  <c r="D124" i="277"/>
  <c r="M124" i="277" s="1"/>
  <c r="N124" i="277" s="1"/>
  <c r="O124" i="277" s="1"/>
  <c r="D116" i="277"/>
  <c r="M116" i="277" s="1"/>
  <c r="N116" i="277" s="1"/>
  <c r="O116" i="277" s="1"/>
  <c r="D112" i="277"/>
  <c r="M112" i="277" s="1"/>
  <c r="N112" i="277" s="1"/>
  <c r="O112" i="277" s="1"/>
  <c r="D104" i="277"/>
  <c r="M104" i="277" s="1"/>
  <c r="N104" i="277" s="1"/>
  <c r="O104" i="277" s="1"/>
  <c r="D100" i="277"/>
  <c r="M100" i="277" s="1"/>
  <c r="N100" i="277" s="1"/>
  <c r="O100" i="277" s="1"/>
  <c r="D92" i="277"/>
  <c r="M92" i="277" s="1"/>
  <c r="N92" i="277" s="1"/>
  <c r="O92" i="277" s="1"/>
  <c r="D84" i="277"/>
  <c r="M84" i="277" s="1"/>
  <c r="N84" i="277" s="1"/>
  <c r="O84" i="277" s="1"/>
  <c r="D76" i="277"/>
  <c r="M76" i="277" s="1"/>
  <c r="N76" i="277" s="1"/>
  <c r="O76" i="277" s="1"/>
  <c r="D68" i="277"/>
  <c r="M68" i="277" s="1"/>
  <c r="N68" i="277" s="1"/>
  <c r="O68" i="277" s="1"/>
  <c r="D60" i="277"/>
  <c r="M60" i="277" s="1"/>
  <c r="N60" i="277" s="1"/>
  <c r="O60" i="277" s="1"/>
  <c r="D52" i="277"/>
  <c r="M52" i="277" s="1"/>
  <c r="N52" i="277" s="1"/>
  <c r="O52" i="277" s="1"/>
  <c r="D44" i="277"/>
  <c r="M44" i="277" s="1"/>
  <c r="N44" i="277" s="1"/>
  <c r="O44" i="277" s="1"/>
  <c r="D36" i="277"/>
  <c r="M36" i="277" s="1"/>
  <c r="N36" i="277" s="1"/>
  <c r="O36" i="277" s="1"/>
  <c r="D28" i="277"/>
  <c r="M28" i="277" s="1"/>
  <c r="N28" i="277" s="1"/>
  <c r="O28" i="277" s="1"/>
  <c r="D20" i="277"/>
  <c r="M20" i="277" s="1"/>
  <c r="N20" i="277" s="1"/>
  <c r="O20" i="277" s="1"/>
  <c r="D12" i="277"/>
  <c r="M12" i="277" s="1"/>
  <c r="N12" i="277" s="1"/>
  <c r="O12" i="277" s="1"/>
  <c r="D4" i="277"/>
  <c r="M4" i="277" s="1"/>
  <c r="N4" i="277" s="1"/>
  <c r="O4" i="277" s="1"/>
  <c r="D211" i="277"/>
  <c r="M211" i="277" s="1"/>
  <c r="N211" i="277" s="1"/>
  <c r="O211" i="277" s="1"/>
  <c r="D203" i="277"/>
  <c r="M203" i="277" s="1"/>
  <c r="N203" i="277" s="1"/>
  <c r="O203" i="277" s="1"/>
  <c r="D195" i="277"/>
  <c r="M195" i="277" s="1"/>
  <c r="N195" i="277" s="1"/>
  <c r="O195" i="277" s="1"/>
  <c r="D123" i="277"/>
  <c r="M123" i="277" s="1"/>
  <c r="N123" i="277" s="1"/>
  <c r="O123" i="277" s="1"/>
  <c r="D115" i="277"/>
  <c r="M115" i="277" s="1"/>
  <c r="N115" i="277" s="1"/>
  <c r="O115" i="277" s="1"/>
  <c r="D107" i="277"/>
  <c r="M107" i="277" s="1"/>
  <c r="N107" i="277" s="1"/>
  <c r="O107" i="277" s="1"/>
  <c r="D103" i="277"/>
  <c r="M103" i="277" s="1"/>
  <c r="N103" i="277" s="1"/>
  <c r="O103" i="277" s="1"/>
  <c r="D95" i="277"/>
  <c r="M95" i="277" s="1"/>
  <c r="N95" i="277" s="1"/>
  <c r="O95" i="277" s="1"/>
  <c r="D87" i="277"/>
  <c r="M87" i="277" s="1"/>
  <c r="N87" i="277" s="1"/>
  <c r="O87" i="277" s="1"/>
  <c r="D79" i="277"/>
  <c r="M79" i="277" s="1"/>
  <c r="N79" i="277" s="1"/>
  <c r="O79" i="277" s="1"/>
  <c r="D210" i="277"/>
  <c r="M210" i="277" s="1"/>
  <c r="N210" i="277" s="1"/>
  <c r="O210" i="277" s="1"/>
  <c r="D194" i="277"/>
  <c r="M194" i="277" s="1"/>
  <c r="N194" i="277" s="1"/>
  <c r="O194" i="277" s="1"/>
  <c r="D114" i="277"/>
  <c r="M114" i="277" s="1"/>
  <c r="N114" i="277" s="1"/>
  <c r="O114" i="277" s="1"/>
  <c r="D98" i="277"/>
  <c r="M98" i="277" s="1"/>
  <c r="N98" i="277" s="1"/>
  <c r="O98" i="277" s="1"/>
  <c r="D82" i="277"/>
  <c r="M82" i="277" s="1"/>
  <c r="N82" i="277" s="1"/>
  <c r="O82" i="277" s="1"/>
  <c r="D71" i="277"/>
  <c r="M71" i="277" s="1"/>
  <c r="N71" i="277" s="1"/>
  <c r="O71" i="277" s="1"/>
  <c r="D63" i="277"/>
  <c r="M63" i="277" s="1"/>
  <c r="N63" i="277" s="1"/>
  <c r="O63" i="277" s="1"/>
  <c r="D55" i="277"/>
  <c r="M55" i="277" s="1"/>
  <c r="N55" i="277" s="1"/>
  <c r="O55" i="277" s="1"/>
  <c r="D47" i="277"/>
  <c r="M47" i="277" s="1"/>
  <c r="N47" i="277" s="1"/>
  <c r="O47" i="277" s="1"/>
  <c r="D39" i="277"/>
  <c r="M39" i="277" s="1"/>
  <c r="N39" i="277" s="1"/>
  <c r="O39" i="277" s="1"/>
  <c r="D31" i="277"/>
  <c r="M31" i="277" s="1"/>
  <c r="N31" i="277" s="1"/>
  <c r="O31" i="277" s="1"/>
  <c r="D15" i="277"/>
  <c r="M15" i="277" s="1"/>
  <c r="N15" i="277" s="1"/>
  <c r="O15" i="277" s="1"/>
  <c r="D7" i="277"/>
  <c r="M7" i="277" s="1"/>
  <c r="N7" i="277" s="1"/>
  <c r="O7" i="277" s="1"/>
  <c r="D14" i="277"/>
  <c r="M14" i="277" s="1"/>
  <c r="N14" i="277" s="1"/>
  <c r="O14" i="277" s="1"/>
  <c r="D106" i="277"/>
  <c r="M106" i="277" s="1"/>
  <c r="N106" i="277" s="1"/>
  <c r="O106" i="277" s="1"/>
  <c r="D75" i="277"/>
  <c r="M75" i="277" s="1"/>
  <c r="N75" i="277" s="1"/>
  <c r="O75" i="277" s="1"/>
  <c r="D59" i="277"/>
  <c r="M59" i="277" s="1"/>
  <c r="N59" i="277" s="1"/>
  <c r="O59" i="277" s="1"/>
  <c r="D43" i="277"/>
  <c r="M43" i="277" s="1"/>
  <c r="N43" i="277" s="1"/>
  <c r="O43" i="277" s="1"/>
  <c r="D27" i="277"/>
  <c r="M27" i="277" s="1"/>
  <c r="N27" i="277" s="1"/>
  <c r="O27" i="277" s="1"/>
  <c r="D11" i="277"/>
  <c r="M11" i="277" s="1"/>
  <c r="N11" i="277" s="1"/>
  <c r="O11" i="277" s="1"/>
  <c r="D118" i="277"/>
  <c r="M118" i="277" s="1"/>
  <c r="N118" i="277" s="1"/>
  <c r="O118" i="277" s="1"/>
  <c r="D86" i="277"/>
  <c r="M86" i="277" s="1"/>
  <c r="N86" i="277" s="1"/>
  <c r="O86" i="277" s="1"/>
  <c r="D66" i="277"/>
  <c r="M66" i="277" s="1"/>
  <c r="N66" i="277" s="1"/>
  <c r="O66" i="277" s="1"/>
  <c r="D50" i="277"/>
  <c r="M50" i="277" s="1"/>
  <c r="N50" i="277" s="1"/>
  <c r="O50" i="277" s="1"/>
  <c r="D34" i="277"/>
  <c r="M34" i="277" s="1"/>
  <c r="N34" i="277" s="1"/>
  <c r="O34" i="277" s="1"/>
  <c r="D18" i="277"/>
  <c r="M18" i="277" s="1"/>
  <c r="N18" i="277" s="1"/>
  <c r="O18" i="277" s="1"/>
  <c r="D206" i="277"/>
  <c r="M206" i="277" s="1"/>
  <c r="N206" i="277" s="1"/>
  <c r="O206" i="277" s="1"/>
  <c r="D126" i="277"/>
  <c r="M126" i="277" s="1"/>
  <c r="N126" i="277" s="1"/>
  <c r="O126" i="277" s="1"/>
  <c r="D110" i="277"/>
  <c r="M110" i="277" s="1"/>
  <c r="N110" i="277" s="1"/>
  <c r="O110" i="277" s="1"/>
  <c r="D94" i="277"/>
  <c r="M94" i="277" s="1"/>
  <c r="N94" i="277" s="1"/>
  <c r="O94" i="277" s="1"/>
  <c r="D78" i="277"/>
  <c r="M78" i="277" s="1"/>
  <c r="N78" i="277" s="1"/>
  <c r="O78" i="277" s="1"/>
  <c r="D70" i="277"/>
  <c r="M70" i="277" s="1"/>
  <c r="N70" i="277" s="1"/>
  <c r="O70" i="277" s="1"/>
  <c r="D62" i="277"/>
  <c r="M62" i="277" s="1"/>
  <c r="N62" i="277" s="1"/>
  <c r="O62" i="277" s="1"/>
  <c r="D54" i="277"/>
  <c r="M54" i="277" s="1"/>
  <c r="N54" i="277" s="1"/>
  <c r="O54" i="277" s="1"/>
  <c r="D46" i="277"/>
  <c r="M46" i="277" s="1"/>
  <c r="N46" i="277" s="1"/>
  <c r="O46" i="277" s="1"/>
  <c r="D38" i="277"/>
  <c r="M38" i="277" s="1"/>
  <c r="N38" i="277" s="1"/>
  <c r="O38" i="277" s="1"/>
  <c r="D30" i="277"/>
  <c r="M30" i="277" s="1"/>
  <c r="N30" i="277" s="1"/>
  <c r="O30" i="277" s="1"/>
  <c r="D22" i="277"/>
  <c r="M22" i="277" s="1"/>
  <c r="N22" i="277" s="1"/>
  <c r="O22" i="277" s="1"/>
  <c r="D6" i="277"/>
  <c r="M6" i="277" s="1"/>
  <c r="N6" i="277" s="1"/>
  <c r="O6" i="277" s="1"/>
  <c r="D202" i="277"/>
  <c r="M202" i="277" s="1"/>
  <c r="N202" i="277" s="1"/>
  <c r="O202" i="277" s="1"/>
  <c r="D122" i="277"/>
  <c r="M122" i="277" s="1"/>
  <c r="N122" i="277" s="1"/>
  <c r="O122" i="277" s="1"/>
  <c r="D90" i="277"/>
  <c r="M90" i="277" s="1"/>
  <c r="N90" i="277" s="1"/>
  <c r="O90" i="277" s="1"/>
  <c r="D67" i="277"/>
  <c r="M67" i="277" s="1"/>
  <c r="N67" i="277" s="1"/>
  <c r="O67" i="277" s="1"/>
  <c r="D51" i="277"/>
  <c r="M51" i="277" s="1"/>
  <c r="N51" i="277" s="1"/>
  <c r="O51" i="277" s="1"/>
  <c r="D35" i="277"/>
  <c r="M35" i="277" s="1"/>
  <c r="N35" i="277" s="1"/>
  <c r="O35" i="277" s="1"/>
  <c r="D19" i="277"/>
  <c r="M19" i="277" s="1"/>
  <c r="N19" i="277" s="1"/>
  <c r="O19" i="277" s="1"/>
  <c r="D198" i="277"/>
  <c r="M198" i="277" s="1"/>
  <c r="N198" i="277" s="1"/>
  <c r="O198" i="277" s="1"/>
  <c r="D102" i="277"/>
  <c r="M102" i="277" s="1"/>
  <c r="N102" i="277" s="1"/>
  <c r="O102" i="277" s="1"/>
  <c r="D74" i="277"/>
  <c r="M74" i="277" s="1"/>
  <c r="N74" i="277" s="1"/>
  <c r="O74" i="277" s="1"/>
  <c r="D58" i="277"/>
  <c r="M58" i="277" s="1"/>
  <c r="N58" i="277" s="1"/>
  <c r="O58" i="277" s="1"/>
  <c r="D42" i="277"/>
  <c r="M42" i="277" s="1"/>
  <c r="N42" i="277" s="1"/>
  <c r="O42" i="277" s="1"/>
  <c r="D26" i="277"/>
  <c r="M26" i="277" s="1"/>
  <c r="N26" i="277" s="1"/>
  <c r="O26" i="277" s="1"/>
  <c r="D10" i="277"/>
  <c r="M10" i="277" s="1"/>
  <c r="N10" i="277" s="1"/>
  <c r="O10" i="277" s="1"/>
  <c r="D85" i="277"/>
  <c r="M85" i="277" s="1"/>
  <c r="N85" i="277" s="1"/>
  <c r="O85" i="277" s="1"/>
  <c r="D117" i="277"/>
  <c r="M117" i="277" s="1"/>
  <c r="N117" i="277" s="1"/>
  <c r="O117" i="277" s="1"/>
  <c r="D209" i="277"/>
  <c r="M209" i="277" s="1"/>
  <c r="N209" i="277" s="1"/>
  <c r="O209" i="277" s="1"/>
  <c r="D25" i="277"/>
  <c r="M25" i="277" s="1"/>
  <c r="N25" i="277" s="1"/>
  <c r="O25" i="277" s="1"/>
  <c r="D57" i="277"/>
  <c r="M57" i="277" s="1"/>
  <c r="N57" i="277" s="1"/>
  <c r="O57" i="277" s="1"/>
  <c r="D89" i="277"/>
  <c r="M89" i="277" s="1"/>
  <c r="N89" i="277" s="1"/>
  <c r="O89" i="277" s="1"/>
  <c r="D121" i="277"/>
  <c r="M121" i="277" s="1"/>
  <c r="N121" i="277" s="1"/>
  <c r="O121" i="277" s="1"/>
  <c r="D221" i="277"/>
  <c r="M221" i="277" s="1"/>
  <c r="N221" i="277" s="1"/>
  <c r="O221" i="277" s="1"/>
  <c r="D29" i="277"/>
  <c r="M29" i="277" s="1"/>
  <c r="N29" i="277" s="1"/>
  <c r="O29" i="277" s="1"/>
  <c r="D45" i="277"/>
  <c r="M45" i="277" s="1"/>
  <c r="N45" i="277" s="1"/>
  <c r="O45" i="277" s="1"/>
  <c r="D93" i="277"/>
  <c r="M93" i="277" s="1"/>
  <c r="N93" i="277" s="1"/>
  <c r="O93" i="277" s="1"/>
  <c r="D125" i="277"/>
  <c r="M125" i="277" s="1"/>
  <c r="N125" i="277" s="1"/>
  <c r="O125" i="277" s="1"/>
  <c r="D33" i="277"/>
  <c r="M33" i="277" s="1"/>
  <c r="N33" i="277" s="1"/>
  <c r="O33" i="277" s="1"/>
  <c r="D65" i="277"/>
  <c r="M65" i="277" s="1"/>
  <c r="N65" i="277" s="1"/>
  <c r="O65" i="277" s="1"/>
  <c r="D97" i="277"/>
  <c r="M97" i="277" s="1"/>
  <c r="N97" i="277" s="1"/>
  <c r="O97" i="277" s="1"/>
  <c r="D193" i="277"/>
  <c r="M193" i="277" s="1"/>
  <c r="N193" i="277" s="1"/>
  <c r="O193" i="277" s="1"/>
  <c r="D5" i="277"/>
  <c r="M5" i="277" s="1"/>
  <c r="N5" i="277" s="1"/>
  <c r="O5" i="277" s="1"/>
  <c r="D21" i="277"/>
  <c r="M21" i="277" s="1"/>
  <c r="N21" i="277" s="1"/>
  <c r="O21" i="277" s="1"/>
  <c r="D37" i="277"/>
  <c r="M37" i="277" s="1"/>
  <c r="N37" i="277" s="1"/>
  <c r="O37" i="277" s="1"/>
  <c r="D53" i="277"/>
  <c r="M53" i="277" s="1"/>
  <c r="N53" i="277" s="1"/>
  <c r="O53" i="277" s="1"/>
  <c r="D69" i="277"/>
  <c r="M69" i="277" s="1"/>
  <c r="N69" i="277" s="1"/>
  <c r="O69" i="277" s="1"/>
  <c r="D101" i="277"/>
  <c r="M101" i="277" s="1"/>
  <c r="N101" i="277" s="1"/>
  <c r="O101" i="277" s="1"/>
  <c r="D197" i="277"/>
  <c r="M197" i="277" s="1"/>
  <c r="N197" i="277" s="1"/>
  <c r="O197" i="277" s="1"/>
  <c r="D9" i="277"/>
  <c r="M9" i="277" s="1"/>
  <c r="N9" i="277" s="1"/>
  <c r="O9" i="277" s="1"/>
  <c r="D41" i="277"/>
  <c r="M41" i="277" s="1"/>
  <c r="N41" i="277" s="1"/>
  <c r="O41" i="277" s="1"/>
  <c r="D73" i="277"/>
  <c r="M73" i="277" s="1"/>
  <c r="N73" i="277" s="1"/>
  <c r="O73" i="277" s="1"/>
  <c r="D105" i="277"/>
  <c r="M105" i="277" s="1"/>
  <c r="N105" i="277" s="1"/>
  <c r="O105" i="277" s="1"/>
  <c r="D201" i="277"/>
  <c r="M201" i="277" s="1"/>
  <c r="N201" i="277" s="1"/>
  <c r="O201" i="277" s="1"/>
  <c r="D13" i="277"/>
  <c r="M13" i="277" s="1"/>
  <c r="N13" i="277" s="1"/>
  <c r="O13" i="277" s="1"/>
  <c r="D61" i="277"/>
  <c r="M61" i="277" s="1"/>
  <c r="N61" i="277" s="1"/>
  <c r="O61" i="277" s="1"/>
  <c r="D109" i="277"/>
  <c r="M109" i="277" s="1"/>
  <c r="N109" i="277" s="1"/>
  <c r="O109" i="277" s="1"/>
  <c r="D205" i="277"/>
  <c r="M205" i="277" s="1"/>
  <c r="N205" i="277" s="1"/>
  <c r="O205" i="277" s="1"/>
  <c r="D17" i="277"/>
  <c r="M17" i="277" s="1"/>
  <c r="N17" i="277" s="1"/>
  <c r="O17" i="277" s="1"/>
  <c r="D49" i="277"/>
  <c r="M49" i="277" s="1"/>
  <c r="N49" i="277" s="1"/>
  <c r="O49" i="277" s="1"/>
  <c r="D81" i="277"/>
  <c r="M81" i="277" s="1"/>
  <c r="N81" i="277" s="1"/>
  <c r="O81" i="277" s="1"/>
  <c r="D113" i="277"/>
  <c r="M113" i="277" s="1"/>
  <c r="N113" i="277" s="1"/>
  <c r="O113" i="277" s="1"/>
  <c r="D213" i="277"/>
  <c r="M213" i="277" s="1"/>
  <c r="N213" i="277" s="1"/>
  <c r="O213" i="277" s="1"/>
  <c r="D77" i="277"/>
  <c r="M77" i="277" s="1"/>
  <c r="N77" i="277" s="1"/>
  <c r="O77" i="277" s="1"/>
  <c r="D226" i="277"/>
  <c r="M226" i="277" s="1"/>
  <c r="N226" i="277" s="1"/>
  <c r="O226" i="277" s="1"/>
  <c r="D227" i="277"/>
  <c r="M227" i="277" s="1"/>
  <c r="N227" i="277" s="1"/>
  <c r="O227" i="277" s="1"/>
  <c r="D225" i="277"/>
  <c r="M225" i="277" s="1"/>
  <c r="N225" i="277" s="1"/>
  <c r="O225" i="277" s="1"/>
  <c r="D230" i="277"/>
  <c r="M230" i="277" s="1"/>
  <c r="N230" i="277" s="1"/>
  <c r="O230" i="277" s="1"/>
  <c r="D229" i="277"/>
  <c r="M229" i="277" s="1"/>
  <c r="N229" i="277" s="1"/>
  <c r="O229" i="277" s="1"/>
  <c r="D228" i="277"/>
  <c r="M228" i="277" s="1"/>
  <c r="N228" i="277" s="1"/>
  <c r="O228" i="277" s="1"/>
  <c r="D224" i="277"/>
  <c r="M224" i="277" s="1"/>
  <c r="N224" i="277" s="1"/>
  <c r="O224" i="277" s="1"/>
  <c r="D223" i="277"/>
  <c r="M223" i="277" s="1"/>
  <c r="N223" i="277" s="1"/>
  <c r="O223" i="277" s="1"/>
  <c r="D3" i="277"/>
  <c r="M3" i="277" s="1"/>
  <c r="N3" i="277" s="1"/>
  <c r="O3" i="277" s="1"/>
  <c r="G17" i="274" a="1"/>
  <c r="H5" i="273"/>
  <c r="J167" i="277" l="1"/>
  <c r="K167" i="277" s="1"/>
  <c r="J103" i="277"/>
  <c r="K103" i="277" s="1"/>
  <c r="J39" i="277"/>
  <c r="K39" i="277" s="1"/>
  <c r="J14" i="277"/>
  <c r="K14" i="277" s="1"/>
  <c r="J78" i="277"/>
  <c r="K78" i="277" s="1"/>
  <c r="J34" i="277"/>
  <c r="K34" i="277" s="1"/>
  <c r="J6" i="277"/>
  <c r="K6" i="277" s="1"/>
  <c r="J74" i="277"/>
  <c r="K74" i="277" s="1"/>
  <c r="J26" i="277"/>
  <c r="K26" i="277" s="1"/>
  <c r="J82" i="277"/>
  <c r="K82" i="277" s="1"/>
  <c r="J55" i="277"/>
  <c r="K55" i="277" s="1"/>
  <c r="J135" i="277"/>
  <c r="K135" i="277" s="1"/>
  <c r="J215" i="277"/>
  <c r="K215" i="277" s="1"/>
  <c r="J110" i="277"/>
  <c r="K110" i="277" s="1"/>
  <c r="J126" i="277"/>
  <c r="K126" i="277" s="1"/>
  <c r="J15" i="277"/>
  <c r="K15" i="277" s="1"/>
  <c r="J35" i="277"/>
  <c r="K35" i="277" s="1"/>
  <c r="J59" i="277"/>
  <c r="K59" i="277" s="1"/>
  <c r="J79" i="277"/>
  <c r="K79" i="277" s="1"/>
  <c r="J99" i="277"/>
  <c r="K99" i="277" s="1"/>
  <c r="J123" i="277"/>
  <c r="K123" i="277" s="1"/>
  <c r="J143" i="277"/>
  <c r="K143" i="277" s="1"/>
  <c r="J163" i="277"/>
  <c r="K163" i="277" s="1"/>
  <c r="J187" i="277"/>
  <c r="K187" i="277" s="1"/>
  <c r="J207" i="277"/>
  <c r="K207" i="277" s="1"/>
  <c r="J12" i="277"/>
  <c r="K12" i="277" s="1"/>
  <c r="J28" i="277"/>
  <c r="K28" i="277" s="1"/>
  <c r="J44" i="277"/>
  <c r="K44" i="277" s="1"/>
  <c r="J60" i="277"/>
  <c r="K60" i="277" s="1"/>
  <c r="J76" i="277"/>
  <c r="K76" i="277" s="1"/>
  <c r="J92" i="277"/>
  <c r="K92" i="277" s="1"/>
  <c r="J108" i="277"/>
  <c r="K108" i="277" s="1"/>
  <c r="J124" i="277"/>
  <c r="K124" i="277" s="1"/>
  <c r="J140" i="277"/>
  <c r="K140" i="277" s="1"/>
  <c r="J156" i="277"/>
  <c r="K156" i="277" s="1"/>
  <c r="J172" i="277"/>
  <c r="K172" i="277" s="1"/>
  <c r="J188" i="277"/>
  <c r="K188" i="277" s="1"/>
  <c r="J204" i="277"/>
  <c r="K204" i="277" s="1"/>
  <c r="J220" i="277"/>
  <c r="K220" i="277" s="1"/>
  <c r="J13" i="277"/>
  <c r="K13" i="277" s="1"/>
  <c r="J29" i="277"/>
  <c r="K29" i="277" s="1"/>
  <c r="J45" i="277"/>
  <c r="K45" i="277" s="1"/>
  <c r="J61" i="277"/>
  <c r="K61" i="277" s="1"/>
  <c r="J77" i="277"/>
  <c r="K77" i="277" s="1"/>
  <c r="J93" i="277"/>
  <c r="K93" i="277" s="1"/>
  <c r="J109" i="277"/>
  <c r="K109" i="277" s="1"/>
  <c r="J125" i="277"/>
  <c r="K125" i="277" s="1"/>
  <c r="J141" i="277"/>
  <c r="K141" i="277" s="1"/>
  <c r="J157" i="277"/>
  <c r="K157" i="277" s="1"/>
  <c r="K4" i="266"/>
  <c r="L4" i="266" s="1"/>
  <c r="J173" i="277"/>
  <c r="K173" i="277" s="1"/>
  <c r="J189" i="277"/>
  <c r="K189" i="277" s="1"/>
  <c r="J205" i="277"/>
  <c r="K205" i="277" s="1"/>
  <c r="J221" i="277"/>
  <c r="K221" i="277" s="1"/>
  <c r="K14" i="266"/>
  <c r="L14" i="266" s="1"/>
  <c r="K30" i="266"/>
  <c r="L30" i="266" s="1"/>
  <c r="K46" i="266"/>
  <c r="L46" i="266" s="1"/>
  <c r="K62" i="266"/>
  <c r="L62" i="266" s="1"/>
  <c r="K78" i="266"/>
  <c r="L78" i="266" s="1"/>
  <c r="K94" i="266"/>
  <c r="L94" i="266" s="1"/>
  <c r="K110" i="266"/>
  <c r="L110" i="266" s="1"/>
  <c r="J142" i="277"/>
  <c r="K142" i="277" s="1"/>
  <c r="J158" i="277"/>
  <c r="K158" i="277" s="1"/>
  <c r="J174" i="277"/>
  <c r="K174" i="277" s="1"/>
  <c r="J190" i="277"/>
  <c r="K190" i="277" s="1"/>
  <c r="J206" i="277"/>
  <c r="K206" i="277" s="1"/>
  <c r="J222" i="277"/>
  <c r="K222" i="277" s="1"/>
  <c r="K15" i="266"/>
  <c r="L15" i="266" s="1"/>
  <c r="K31" i="266"/>
  <c r="L31" i="266" s="1"/>
  <c r="K47" i="266"/>
  <c r="L47" i="266" s="1"/>
  <c r="K63" i="266"/>
  <c r="L63" i="266" s="1"/>
  <c r="K79" i="266"/>
  <c r="L79" i="266" s="1"/>
  <c r="K95" i="266"/>
  <c r="L95" i="266" s="1"/>
  <c r="K111" i="266"/>
  <c r="L111" i="266" s="1"/>
  <c r="K20" i="266"/>
  <c r="L20" i="266" s="1"/>
  <c r="K36" i="266"/>
  <c r="L36" i="266" s="1"/>
  <c r="K52" i="266"/>
  <c r="L52" i="266" s="1"/>
  <c r="K68" i="266"/>
  <c r="L68" i="266" s="1"/>
  <c r="K84" i="266"/>
  <c r="L84" i="266" s="1"/>
  <c r="K100" i="266"/>
  <c r="L100" i="266" s="1"/>
  <c r="K116" i="266"/>
  <c r="L116" i="266" s="1"/>
  <c r="K25" i="266"/>
  <c r="L25" i="266" s="1"/>
  <c r="K41" i="266"/>
  <c r="L41" i="266" s="1"/>
  <c r="K57" i="266"/>
  <c r="L57" i="266" s="1"/>
  <c r="K73" i="266"/>
  <c r="L73" i="266" s="1"/>
  <c r="K89" i="266"/>
  <c r="L89" i="266" s="1"/>
  <c r="K105" i="266"/>
  <c r="L105" i="266" s="1"/>
  <c r="J30" i="277"/>
  <c r="K30" i="277" s="1"/>
  <c r="J4" i="277"/>
  <c r="K4" i="277" s="1"/>
  <c r="J50" i="277"/>
  <c r="K50" i="277" s="1"/>
  <c r="J22" i="277"/>
  <c r="K22" i="277" s="1"/>
  <c r="J86" i="277"/>
  <c r="K86" i="277" s="1"/>
  <c r="J42" i="277"/>
  <c r="K42" i="277" s="1"/>
  <c r="J90" i="277"/>
  <c r="K90" i="277" s="1"/>
  <c r="J71" i="277"/>
  <c r="K71" i="277" s="1"/>
  <c r="J151" i="277"/>
  <c r="K151" i="277" s="1"/>
  <c r="J98" i="277"/>
  <c r="K98" i="277" s="1"/>
  <c r="J114" i="277"/>
  <c r="K114" i="277" s="1"/>
  <c r="J130" i="277"/>
  <c r="K130" i="277" s="1"/>
  <c r="J19" i="277"/>
  <c r="K19" i="277" s="1"/>
  <c r="J43" i="277"/>
  <c r="K43" i="277" s="1"/>
  <c r="J63" i="277"/>
  <c r="K63" i="277" s="1"/>
  <c r="J83" i="277"/>
  <c r="K83" i="277" s="1"/>
  <c r="J107" i="277"/>
  <c r="K107" i="277" s="1"/>
  <c r="J127" i="277"/>
  <c r="K127" i="277" s="1"/>
  <c r="J147" i="277"/>
  <c r="K147" i="277" s="1"/>
  <c r="J171" i="277"/>
  <c r="K171" i="277" s="1"/>
  <c r="J191" i="277"/>
  <c r="K191" i="277" s="1"/>
  <c r="J211" i="277"/>
  <c r="K211" i="277" s="1"/>
  <c r="J16" i="277"/>
  <c r="K16" i="277" s="1"/>
  <c r="J32" i="277"/>
  <c r="K32" i="277" s="1"/>
  <c r="J48" i="277"/>
  <c r="K48" i="277" s="1"/>
  <c r="J64" i="277"/>
  <c r="K64" i="277" s="1"/>
  <c r="J80" i="277"/>
  <c r="K80" i="277" s="1"/>
  <c r="J96" i="277"/>
  <c r="K96" i="277" s="1"/>
  <c r="J112" i="277"/>
  <c r="K112" i="277" s="1"/>
  <c r="J128" i="277"/>
  <c r="K128" i="277" s="1"/>
  <c r="J144" i="277"/>
  <c r="K144" i="277" s="1"/>
  <c r="J160" i="277"/>
  <c r="K160" i="277" s="1"/>
  <c r="J176" i="277"/>
  <c r="K176" i="277" s="1"/>
  <c r="J192" i="277"/>
  <c r="K192" i="277" s="1"/>
  <c r="J208" i="277"/>
  <c r="K208" i="277" s="1"/>
  <c r="J224" i="277"/>
  <c r="K224" i="277" s="1"/>
  <c r="J17" i="277"/>
  <c r="K17" i="277" s="1"/>
  <c r="J33" i="277"/>
  <c r="K33" i="277" s="1"/>
  <c r="J49" i="277"/>
  <c r="K49" i="277" s="1"/>
  <c r="J65" i="277"/>
  <c r="K65" i="277" s="1"/>
  <c r="J81" i="277"/>
  <c r="K81" i="277" s="1"/>
  <c r="J97" i="277"/>
  <c r="K97" i="277" s="1"/>
  <c r="J113" i="277"/>
  <c r="K113" i="277" s="1"/>
  <c r="J129" i="277"/>
  <c r="K129" i="277" s="1"/>
  <c r="J145" i="277"/>
  <c r="K145" i="277" s="1"/>
  <c r="J161" i="277"/>
  <c r="K161" i="277" s="1"/>
  <c r="K8" i="266"/>
  <c r="L8" i="266" s="1"/>
  <c r="J177" i="277"/>
  <c r="K177" i="277" s="1"/>
  <c r="J193" i="277"/>
  <c r="K193" i="277" s="1"/>
  <c r="J209" i="277"/>
  <c r="K209" i="277" s="1"/>
  <c r="J229" i="277"/>
  <c r="K229" i="277" s="1"/>
  <c r="K18" i="266"/>
  <c r="L18" i="266" s="1"/>
  <c r="K34" i="266"/>
  <c r="L34" i="266" s="1"/>
  <c r="K50" i="266"/>
  <c r="L50" i="266" s="1"/>
  <c r="K66" i="266"/>
  <c r="L66" i="266" s="1"/>
  <c r="K82" i="266"/>
  <c r="L82" i="266" s="1"/>
  <c r="K98" i="266"/>
  <c r="L98" i="266" s="1"/>
  <c r="K114" i="266"/>
  <c r="L114" i="266" s="1"/>
  <c r="J146" i="277"/>
  <c r="K146" i="277" s="1"/>
  <c r="J162" i="277"/>
  <c r="K162" i="277" s="1"/>
  <c r="J178" i="277"/>
  <c r="K178" i="277" s="1"/>
  <c r="J194" i="277"/>
  <c r="K194" i="277" s="1"/>
  <c r="J210" i="277"/>
  <c r="K210" i="277" s="1"/>
  <c r="J230" i="277"/>
  <c r="K230" i="277" s="1"/>
  <c r="K19" i="266"/>
  <c r="L19" i="266" s="1"/>
  <c r="K35" i="266"/>
  <c r="L35" i="266" s="1"/>
  <c r="K51" i="266"/>
  <c r="L51" i="266" s="1"/>
  <c r="K67" i="266"/>
  <c r="L67" i="266" s="1"/>
  <c r="K83" i="266"/>
  <c r="L83" i="266" s="1"/>
  <c r="K99" i="266"/>
  <c r="L99" i="266" s="1"/>
  <c r="K115" i="266"/>
  <c r="L115" i="266" s="1"/>
  <c r="K24" i="266"/>
  <c r="L24" i="266" s="1"/>
  <c r="K40" i="266"/>
  <c r="L40" i="266" s="1"/>
  <c r="K56" i="266"/>
  <c r="L56" i="266" s="1"/>
  <c r="K72" i="266"/>
  <c r="L72" i="266" s="1"/>
  <c r="K88" i="266"/>
  <c r="L88" i="266" s="1"/>
  <c r="K104" i="266"/>
  <c r="L104" i="266" s="1"/>
  <c r="K13" i="266"/>
  <c r="L13" i="266" s="1"/>
  <c r="K29" i="266"/>
  <c r="L29" i="266" s="1"/>
  <c r="K45" i="266"/>
  <c r="L45" i="266" s="1"/>
  <c r="K61" i="266"/>
  <c r="L61" i="266" s="1"/>
  <c r="K77" i="266"/>
  <c r="L77" i="266" s="1"/>
  <c r="K93" i="266"/>
  <c r="L93" i="266" s="1"/>
  <c r="K109" i="266"/>
  <c r="L109" i="266" s="1"/>
  <c r="J46" i="277"/>
  <c r="K46" i="277" s="1"/>
  <c r="J228" i="277"/>
  <c r="K228" i="277" s="1"/>
  <c r="J66" i="277"/>
  <c r="K66" i="277" s="1"/>
  <c r="J38" i="277"/>
  <c r="K38" i="277" s="1"/>
  <c r="J94" i="277"/>
  <c r="K94" i="277" s="1"/>
  <c r="J54" i="277"/>
  <c r="K54" i="277" s="1"/>
  <c r="J7" i="277"/>
  <c r="K7" i="277" s="1"/>
  <c r="J87" i="277"/>
  <c r="K87" i="277" s="1"/>
  <c r="J183" i="277"/>
  <c r="K183" i="277" s="1"/>
  <c r="J102" i="277"/>
  <c r="K102" i="277" s="1"/>
  <c r="J118" i="277"/>
  <c r="K118" i="277" s="1"/>
  <c r="J3" i="277"/>
  <c r="K3" i="277" s="1"/>
  <c r="J27" i="277"/>
  <c r="K27" i="277" s="1"/>
  <c r="J47" i="277"/>
  <c r="K47" i="277" s="1"/>
  <c r="J67" i="277"/>
  <c r="K67" i="277" s="1"/>
  <c r="J91" i="277"/>
  <c r="K91" i="277" s="1"/>
  <c r="J111" i="277"/>
  <c r="K111" i="277" s="1"/>
  <c r="J131" i="277"/>
  <c r="K131" i="277" s="1"/>
  <c r="J155" i="277"/>
  <c r="K155" i="277" s="1"/>
  <c r="J175" i="277"/>
  <c r="K175" i="277" s="1"/>
  <c r="J195" i="277"/>
  <c r="K195" i="277" s="1"/>
  <c r="J219" i="277"/>
  <c r="K219" i="277" s="1"/>
  <c r="J20" i="277"/>
  <c r="K20" i="277" s="1"/>
  <c r="J36" i="277"/>
  <c r="K36" i="277" s="1"/>
  <c r="J52" i="277"/>
  <c r="K52" i="277" s="1"/>
  <c r="J68" i="277"/>
  <c r="K68" i="277" s="1"/>
  <c r="J84" i="277"/>
  <c r="K84" i="277" s="1"/>
  <c r="J100" i="277"/>
  <c r="K100" i="277" s="1"/>
  <c r="J116" i="277"/>
  <c r="K116" i="277" s="1"/>
  <c r="J132" i="277"/>
  <c r="K132" i="277" s="1"/>
  <c r="J148" i="277"/>
  <c r="K148" i="277" s="1"/>
  <c r="J164" i="277"/>
  <c r="K164" i="277" s="1"/>
  <c r="J180" i="277"/>
  <c r="K180" i="277" s="1"/>
  <c r="J196" i="277"/>
  <c r="K196" i="277" s="1"/>
  <c r="J212" i="277"/>
  <c r="K212" i="277" s="1"/>
  <c r="J5" i="277"/>
  <c r="K5" i="277" s="1"/>
  <c r="J21" i="277"/>
  <c r="K21" i="277" s="1"/>
  <c r="J37" i="277"/>
  <c r="K37" i="277" s="1"/>
  <c r="J53" i="277"/>
  <c r="K53" i="277" s="1"/>
  <c r="J69" i="277"/>
  <c r="K69" i="277" s="1"/>
  <c r="J85" i="277"/>
  <c r="K85" i="277" s="1"/>
  <c r="J101" i="277"/>
  <c r="K101" i="277" s="1"/>
  <c r="J117" i="277"/>
  <c r="K117" i="277" s="1"/>
  <c r="J133" i="277"/>
  <c r="K133" i="277" s="1"/>
  <c r="J149" i="277"/>
  <c r="K149" i="277" s="1"/>
  <c r="J165" i="277"/>
  <c r="K165" i="277" s="1"/>
  <c r="K5" i="266"/>
  <c r="L5" i="266" s="1"/>
  <c r="J181" i="277"/>
  <c r="K181" i="277" s="1"/>
  <c r="J197" i="277"/>
  <c r="K197" i="277" s="1"/>
  <c r="J213" i="277"/>
  <c r="K213" i="277" s="1"/>
  <c r="K6" i="266"/>
  <c r="L6" i="266" s="1"/>
  <c r="K22" i="266"/>
  <c r="L22" i="266" s="1"/>
  <c r="K38" i="266"/>
  <c r="L38" i="266" s="1"/>
  <c r="K54" i="266"/>
  <c r="L54" i="266" s="1"/>
  <c r="K70" i="266"/>
  <c r="L70" i="266" s="1"/>
  <c r="K86" i="266"/>
  <c r="L86" i="266" s="1"/>
  <c r="K102" i="266"/>
  <c r="L102" i="266" s="1"/>
  <c r="J134" i="277"/>
  <c r="K134" i="277" s="1"/>
  <c r="J150" i="277"/>
  <c r="K150" i="277" s="1"/>
  <c r="J166" i="277"/>
  <c r="K166" i="277" s="1"/>
  <c r="J182" i="277"/>
  <c r="K182" i="277" s="1"/>
  <c r="J198" i="277"/>
  <c r="K198" i="277" s="1"/>
  <c r="J214" i="277"/>
  <c r="K214" i="277" s="1"/>
  <c r="K7" i="266"/>
  <c r="L7" i="266" s="1"/>
  <c r="K23" i="266"/>
  <c r="L23" i="266" s="1"/>
  <c r="K39" i="266"/>
  <c r="L39" i="266" s="1"/>
  <c r="K55" i="266"/>
  <c r="L55" i="266" s="1"/>
  <c r="K71" i="266"/>
  <c r="L71" i="266" s="1"/>
  <c r="K87" i="266"/>
  <c r="L87" i="266" s="1"/>
  <c r="K103" i="266"/>
  <c r="L103" i="266" s="1"/>
  <c r="K12" i="266"/>
  <c r="L12" i="266" s="1"/>
  <c r="K28" i="266"/>
  <c r="L28" i="266" s="1"/>
  <c r="K44" i="266"/>
  <c r="L44" i="266" s="1"/>
  <c r="K60" i="266"/>
  <c r="L60" i="266" s="1"/>
  <c r="K76" i="266"/>
  <c r="L76" i="266" s="1"/>
  <c r="K92" i="266"/>
  <c r="L92" i="266" s="1"/>
  <c r="K108" i="266"/>
  <c r="L108" i="266" s="1"/>
  <c r="K17" i="266"/>
  <c r="L17" i="266" s="1"/>
  <c r="K33" i="266"/>
  <c r="L33" i="266" s="1"/>
  <c r="K49" i="266"/>
  <c r="L49" i="266" s="1"/>
  <c r="K65" i="266"/>
  <c r="L65" i="266" s="1"/>
  <c r="K81" i="266"/>
  <c r="L81" i="266" s="1"/>
  <c r="K97" i="266"/>
  <c r="L97" i="266" s="1"/>
  <c r="K113" i="266"/>
  <c r="L113" i="266" s="1"/>
  <c r="J62" i="277"/>
  <c r="K62" i="277" s="1"/>
  <c r="J18" i="277"/>
  <c r="K18" i="277" s="1"/>
  <c r="J8" i="277"/>
  <c r="K8" i="277" s="1"/>
  <c r="J58" i="277"/>
  <c r="K58" i="277" s="1"/>
  <c r="J10" i="277"/>
  <c r="K10" i="277" s="1"/>
  <c r="J70" i="277"/>
  <c r="K70" i="277" s="1"/>
  <c r="J23" i="277"/>
  <c r="K23" i="277" s="1"/>
  <c r="J119" i="277"/>
  <c r="K119" i="277" s="1"/>
  <c r="J199" i="277"/>
  <c r="K199" i="277" s="1"/>
  <c r="J106" i="277"/>
  <c r="K106" i="277" s="1"/>
  <c r="J122" i="277"/>
  <c r="K122" i="277" s="1"/>
  <c r="J11" i="277"/>
  <c r="K11" i="277" s="1"/>
  <c r="J31" i="277"/>
  <c r="K31" i="277" s="1"/>
  <c r="J51" i="277"/>
  <c r="K51" i="277" s="1"/>
  <c r="J75" i="277"/>
  <c r="K75" i="277" s="1"/>
  <c r="J95" i="277"/>
  <c r="K95" i="277" s="1"/>
  <c r="J115" i="277"/>
  <c r="K115" i="277" s="1"/>
  <c r="J139" i="277"/>
  <c r="K139" i="277" s="1"/>
  <c r="J159" i="277"/>
  <c r="K159" i="277" s="1"/>
  <c r="J179" i="277"/>
  <c r="K179" i="277" s="1"/>
  <c r="J203" i="277"/>
  <c r="K203" i="277" s="1"/>
  <c r="J223" i="277"/>
  <c r="K223" i="277" s="1"/>
  <c r="J24" i="277"/>
  <c r="K24" i="277" s="1"/>
  <c r="J40" i="277"/>
  <c r="K40" i="277" s="1"/>
  <c r="J56" i="277"/>
  <c r="K56" i="277" s="1"/>
  <c r="J72" i="277"/>
  <c r="K72" i="277" s="1"/>
  <c r="J88" i="277"/>
  <c r="K88" i="277" s="1"/>
  <c r="J104" i="277"/>
  <c r="K104" i="277" s="1"/>
  <c r="J120" i="277"/>
  <c r="K120" i="277" s="1"/>
  <c r="J136" i="277"/>
  <c r="K136" i="277" s="1"/>
  <c r="J152" i="277"/>
  <c r="K152" i="277" s="1"/>
  <c r="J168" i="277"/>
  <c r="K168" i="277" s="1"/>
  <c r="J184" i="277"/>
  <c r="K184" i="277" s="1"/>
  <c r="J200" i="277"/>
  <c r="K200" i="277" s="1"/>
  <c r="J216" i="277"/>
  <c r="K216" i="277" s="1"/>
  <c r="J9" i="277"/>
  <c r="K9" i="277" s="1"/>
  <c r="J25" i="277"/>
  <c r="K25" i="277" s="1"/>
  <c r="J41" i="277"/>
  <c r="K41" i="277" s="1"/>
  <c r="J57" i="277"/>
  <c r="K57" i="277" s="1"/>
  <c r="J73" i="277"/>
  <c r="K73" i="277" s="1"/>
  <c r="J89" i="277"/>
  <c r="K89" i="277" s="1"/>
  <c r="J105" i="277"/>
  <c r="K105" i="277" s="1"/>
  <c r="J121" i="277"/>
  <c r="K121" i="277" s="1"/>
  <c r="J137" i="277"/>
  <c r="K137" i="277" s="1"/>
  <c r="J153" i="277"/>
  <c r="K153" i="277" s="1"/>
  <c r="J169" i="277"/>
  <c r="K169" i="277" s="1"/>
  <c r="K9" i="266"/>
  <c r="L9" i="266" s="1"/>
  <c r="J185" i="277"/>
  <c r="K185" i="277" s="1"/>
  <c r="J201" i="277"/>
  <c r="K201" i="277" s="1"/>
  <c r="J217" i="277"/>
  <c r="K217" i="277" s="1"/>
  <c r="K10" i="266"/>
  <c r="L10" i="266" s="1"/>
  <c r="K26" i="266"/>
  <c r="L26" i="266" s="1"/>
  <c r="K42" i="266"/>
  <c r="L42" i="266" s="1"/>
  <c r="K58" i="266"/>
  <c r="L58" i="266" s="1"/>
  <c r="K74" i="266"/>
  <c r="L74" i="266" s="1"/>
  <c r="K90" i="266"/>
  <c r="L90" i="266" s="1"/>
  <c r="K106" i="266"/>
  <c r="L106" i="266" s="1"/>
  <c r="J138" i="277"/>
  <c r="K138" i="277" s="1"/>
  <c r="J154" i="277"/>
  <c r="K154" i="277" s="1"/>
  <c r="J170" i="277"/>
  <c r="K170" i="277" s="1"/>
  <c r="J186" i="277"/>
  <c r="K186" i="277" s="1"/>
  <c r="J202" i="277"/>
  <c r="K202" i="277" s="1"/>
  <c r="J218" i="277"/>
  <c r="K218" i="277" s="1"/>
  <c r="K43" i="266"/>
  <c r="L43" i="266" s="1"/>
  <c r="K107" i="266"/>
  <c r="L107" i="266" s="1"/>
  <c r="K64" i="266"/>
  <c r="L64" i="266" s="1"/>
  <c r="K21" i="266"/>
  <c r="L21" i="266" s="1"/>
  <c r="K85" i="266"/>
  <c r="L85" i="266" s="1"/>
  <c r="K59" i="266"/>
  <c r="L59" i="266" s="1"/>
  <c r="K16" i="266"/>
  <c r="L16" i="266" s="1"/>
  <c r="K80" i="266"/>
  <c r="L80" i="266" s="1"/>
  <c r="K37" i="266"/>
  <c r="L37" i="266" s="1"/>
  <c r="K101" i="266"/>
  <c r="L101" i="266" s="1"/>
  <c r="K11" i="266"/>
  <c r="L11" i="266" s="1"/>
  <c r="K75" i="266"/>
  <c r="L75" i="266" s="1"/>
  <c r="K32" i="266"/>
  <c r="L32" i="266" s="1"/>
  <c r="K96" i="266"/>
  <c r="L96" i="266" s="1"/>
  <c r="K53" i="266"/>
  <c r="L53" i="266" s="1"/>
  <c r="K117" i="266"/>
  <c r="L117" i="266" s="1"/>
  <c r="K27" i="266"/>
  <c r="L27" i="266" s="1"/>
  <c r="K91" i="266"/>
  <c r="L91" i="266" s="1"/>
  <c r="K48" i="266"/>
  <c r="L48" i="266" s="1"/>
  <c r="K112" i="266"/>
  <c r="K69" i="266"/>
  <c r="L69" i="266" s="1"/>
  <c r="T3" i="277"/>
  <c r="S231" i="277"/>
  <c r="N86" i="266"/>
  <c r="O86" i="266" s="1"/>
  <c r="P86" i="266" s="1"/>
  <c r="R105" i="266"/>
  <c r="S105" i="266" s="1"/>
  <c r="T105" i="266" s="1"/>
  <c r="R73" i="266"/>
  <c r="S73" i="266" s="1"/>
  <c r="T73" i="266" s="1"/>
  <c r="R41" i="266"/>
  <c r="S41" i="266" s="1"/>
  <c r="T41" i="266" s="1"/>
  <c r="R9" i="266"/>
  <c r="S9" i="266" s="1"/>
  <c r="T9" i="266" s="1"/>
  <c r="R64" i="266"/>
  <c r="S64" i="266" s="1"/>
  <c r="T64" i="266" s="1"/>
  <c r="R112" i="266"/>
  <c r="S112" i="266" s="1"/>
  <c r="T112" i="266" s="1"/>
  <c r="R52" i="266"/>
  <c r="S52" i="266" s="1"/>
  <c r="T52" i="266" s="1"/>
  <c r="N107" i="266"/>
  <c r="O107" i="266" s="1"/>
  <c r="P107" i="266" s="1"/>
  <c r="N75" i="266"/>
  <c r="O75" i="266" s="1"/>
  <c r="P75" i="266" s="1"/>
  <c r="N43" i="266"/>
  <c r="O43" i="266" s="1"/>
  <c r="P43" i="266" s="1"/>
  <c r="N11" i="266"/>
  <c r="O11" i="266" s="1"/>
  <c r="P11" i="266" s="1"/>
  <c r="R74" i="266"/>
  <c r="S74" i="266" s="1"/>
  <c r="T74" i="266" s="1"/>
  <c r="R26" i="266"/>
  <c r="S26" i="266" s="1"/>
  <c r="T26" i="266" s="1"/>
  <c r="N10" i="266"/>
  <c r="O10" i="266" s="1"/>
  <c r="P10" i="266" s="1"/>
  <c r="N24" i="266"/>
  <c r="O24" i="266" s="1"/>
  <c r="P24" i="266" s="1"/>
  <c r="R63" i="266"/>
  <c r="S63" i="266" s="1"/>
  <c r="T63" i="266" s="1"/>
  <c r="N58" i="266"/>
  <c r="O58" i="266" s="1"/>
  <c r="P58" i="266" s="1"/>
  <c r="N30" i="266"/>
  <c r="O30" i="266" s="1"/>
  <c r="P30" i="266" s="1"/>
  <c r="N101" i="266"/>
  <c r="O101" i="266" s="1"/>
  <c r="P101" i="266" s="1"/>
  <c r="N69" i="266"/>
  <c r="O69" i="266" s="1"/>
  <c r="P69" i="266" s="1"/>
  <c r="N37" i="266"/>
  <c r="O37" i="266" s="1"/>
  <c r="P37" i="266" s="1"/>
  <c r="N5" i="266"/>
  <c r="O5" i="266" s="1"/>
  <c r="P5" i="266" s="1"/>
  <c r="N56" i="266"/>
  <c r="O56" i="266" s="1"/>
  <c r="P56" i="266" s="1"/>
  <c r="N108" i="266"/>
  <c r="O108" i="266" s="1"/>
  <c r="P108" i="266" s="1"/>
  <c r="N40" i="266"/>
  <c r="O40" i="266" s="1"/>
  <c r="P40" i="266" s="1"/>
  <c r="R87" i="266"/>
  <c r="S87" i="266" s="1"/>
  <c r="T87" i="266" s="1"/>
  <c r="R55" i="266"/>
  <c r="S55" i="266" s="1"/>
  <c r="T55" i="266" s="1"/>
  <c r="R23" i="266"/>
  <c r="S23" i="266" s="1"/>
  <c r="T23" i="266" s="1"/>
  <c r="R94" i="266"/>
  <c r="S94" i="266" s="1"/>
  <c r="T94" i="266" s="1"/>
  <c r="R46" i="266"/>
  <c r="S46" i="266" s="1"/>
  <c r="T46" i="266" s="1"/>
  <c r="N8" i="266"/>
  <c r="O8" i="266" s="1"/>
  <c r="P8" i="266" s="1"/>
  <c r="N93" i="266"/>
  <c r="O93" i="266" s="1"/>
  <c r="P93" i="266" s="1"/>
  <c r="N29" i="266"/>
  <c r="O29" i="266" s="1"/>
  <c r="P29" i="266" s="1"/>
  <c r="N44" i="266"/>
  <c r="O44" i="266" s="1"/>
  <c r="P44" i="266" s="1"/>
  <c r="R95" i="266"/>
  <c r="S95" i="266" s="1"/>
  <c r="T95" i="266" s="1"/>
  <c r="R82" i="266"/>
  <c r="S82" i="266" s="1"/>
  <c r="T82" i="266" s="1"/>
  <c r="R114" i="266"/>
  <c r="S114" i="266" s="1"/>
  <c r="T114" i="266" s="1"/>
  <c r="N18" i="266"/>
  <c r="O18" i="266" s="1"/>
  <c r="P18" i="266" s="1"/>
  <c r="N97" i="266"/>
  <c r="O97" i="266" s="1"/>
  <c r="P97" i="266" s="1"/>
  <c r="N65" i="266"/>
  <c r="O65" i="266" s="1"/>
  <c r="P65" i="266" s="1"/>
  <c r="N33" i="266"/>
  <c r="O33" i="266" s="1"/>
  <c r="P33" i="266" s="1"/>
  <c r="N116" i="266"/>
  <c r="O116" i="266" s="1"/>
  <c r="P116" i="266" s="1"/>
  <c r="N48" i="266"/>
  <c r="O48" i="266" s="1"/>
  <c r="P48" i="266" s="1"/>
  <c r="N100" i="266"/>
  <c r="O100" i="266" s="1"/>
  <c r="P100" i="266" s="1"/>
  <c r="N32" i="266"/>
  <c r="O32" i="266" s="1"/>
  <c r="P32" i="266" s="1"/>
  <c r="R99" i="266"/>
  <c r="S99" i="266" s="1"/>
  <c r="T99" i="266" s="1"/>
  <c r="R67" i="266"/>
  <c r="S67" i="266" s="1"/>
  <c r="T67" i="266" s="1"/>
  <c r="R35" i="266"/>
  <c r="S35" i="266" s="1"/>
  <c r="T35" i="266" s="1"/>
  <c r="R110" i="266"/>
  <c r="S110" i="266" s="1"/>
  <c r="T110" i="266" s="1"/>
  <c r="R62" i="266"/>
  <c r="S62" i="266" s="1"/>
  <c r="T62" i="266" s="1"/>
  <c r="N14" i="266"/>
  <c r="O14" i="266" s="1"/>
  <c r="P14" i="266" s="1"/>
  <c r="N109" i="266"/>
  <c r="O109" i="266" s="1"/>
  <c r="P109" i="266" s="1"/>
  <c r="N45" i="266"/>
  <c r="O45" i="266" s="1"/>
  <c r="P45" i="266" s="1"/>
  <c r="N72" i="266"/>
  <c r="O72" i="266" s="1"/>
  <c r="P72" i="266" s="1"/>
  <c r="R79" i="266"/>
  <c r="S79" i="266" s="1"/>
  <c r="T79" i="266" s="1"/>
  <c r="N106" i="266"/>
  <c r="O106" i="266" s="1"/>
  <c r="P106" i="266" s="1"/>
  <c r="R38" i="266"/>
  <c r="S38" i="266" s="1"/>
  <c r="T38" i="266" s="1"/>
  <c r="N89" i="266"/>
  <c r="O89" i="266" s="1"/>
  <c r="P89" i="266" s="1"/>
  <c r="N57" i="266"/>
  <c r="O57" i="266" s="1"/>
  <c r="P57" i="266" s="1"/>
  <c r="N25" i="266"/>
  <c r="O25" i="266" s="1"/>
  <c r="P25" i="266" s="1"/>
  <c r="N96" i="266"/>
  <c r="O96" i="266" s="1"/>
  <c r="P96" i="266" s="1"/>
  <c r="N36" i="266"/>
  <c r="O36" i="266" s="1"/>
  <c r="P36" i="266" s="1"/>
  <c r="N84" i="266"/>
  <c r="O84" i="266" s="1"/>
  <c r="P84" i="266" s="1"/>
  <c r="N16" i="266"/>
  <c r="O16" i="266" s="1"/>
  <c r="P16" i="266" s="1"/>
  <c r="R91" i="266"/>
  <c r="S91" i="266" s="1"/>
  <c r="T91" i="266" s="1"/>
  <c r="R59" i="266"/>
  <c r="S59" i="266" s="1"/>
  <c r="T59" i="266" s="1"/>
  <c r="R27" i="266"/>
  <c r="S27" i="266" s="1"/>
  <c r="T27" i="266" s="1"/>
  <c r="R102" i="266"/>
  <c r="S102" i="266" s="1"/>
  <c r="T102" i="266" s="1"/>
  <c r="R54" i="266"/>
  <c r="S54" i="266" s="1"/>
  <c r="T54" i="266" s="1"/>
  <c r="N4" i="266"/>
  <c r="O4" i="266" s="1"/>
  <c r="P4" i="266" s="1"/>
  <c r="R10" i="266"/>
  <c r="S10" i="266" s="1"/>
  <c r="T10" i="266" s="1"/>
  <c r="R24" i="266"/>
  <c r="S24" i="266" s="1"/>
  <c r="T24" i="266" s="1"/>
  <c r="N63" i="266"/>
  <c r="O63" i="266" s="1"/>
  <c r="P63" i="266" s="1"/>
  <c r="R58" i="266"/>
  <c r="S58" i="266" s="1"/>
  <c r="T58" i="266" s="1"/>
  <c r="R30" i="266"/>
  <c r="S30" i="266" s="1"/>
  <c r="T30" i="266" s="1"/>
  <c r="R101" i="266"/>
  <c r="S101" i="266" s="1"/>
  <c r="T101" i="266" s="1"/>
  <c r="R69" i="266"/>
  <c r="S69" i="266" s="1"/>
  <c r="T69" i="266" s="1"/>
  <c r="R37" i="266"/>
  <c r="S37" i="266" s="1"/>
  <c r="T37" i="266" s="1"/>
  <c r="R5" i="266"/>
  <c r="S5" i="266" s="1"/>
  <c r="T5" i="266" s="1"/>
  <c r="R56" i="266"/>
  <c r="S56" i="266" s="1"/>
  <c r="T56" i="266" s="1"/>
  <c r="R108" i="266"/>
  <c r="S108" i="266" s="1"/>
  <c r="T108" i="266" s="1"/>
  <c r="R40" i="266"/>
  <c r="S40" i="266" s="1"/>
  <c r="T40" i="266" s="1"/>
  <c r="N87" i="266"/>
  <c r="O87" i="266" s="1"/>
  <c r="P87" i="266" s="1"/>
  <c r="N55" i="266"/>
  <c r="O55" i="266" s="1"/>
  <c r="P55" i="266" s="1"/>
  <c r="N23" i="266"/>
  <c r="O23" i="266" s="1"/>
  <c r="P23" i="266" s="1"/>
  <c r="N94" i="266"/>
  <c r="O94" i="266" s="1"/>
  <c r="P94" i="266" s="1"/>
  <c r="N46" i="266"/>
  <c r="O46" i="266" s="1"/>
  <c r="P46" i="266" s="1"/>
  <c r="R8" i="266"/>
  <c r="S8" i="266" s="1"/>
  <c r="T8" i="266" s="1"/>
  <c r="R93" i="266"/>
  <c r="S93" i="266" s="1"/>
  <c r="T93" i="266" s="1"/>
  <c r="R29" i="266"/>
  <c r="S29" i="266" s="1"/>
  <c r="T29" i="266" s="1"/>
  <c r="R44" i="266"/>
  <c r="S44" i="266" s="1"/>
  <c r="T44" i="266" s="1"/>
  <c r="N95" i="266"/>
  <c r="O95" i="266" s="1"/>
  <c r="P95" i="266" s="1"/>
  <c r="N82" i="266"/>
  <c r="O82" i="266" s="1"/>
  <c r="P82" i="266" s="1"/>
  <c r="N114" i="266"/>
  <c r="O114" i="266" s="1"/>
  <c r="P114" i="266" s="1"/>
  <c r="R18" i="266"/>
  <c r="S18" i="266" s="1"/>
  <c r="T18" i="266" s="1"/>
  <c r="R97" i="266"/>
  <c r="S97" i="266" s="1"/>
  <c r="T97" i="266" s="1"/>
  <c r="R65" i="266"/>
  <c r="S65" i="266" s="1"/>
  <c r="T65" i="266" s="1"/>
  <c r="R33" i="266"/>
  <c r="S33" i="266" s="1"/>
  <c r="T33" i="266" s="1"/>
  <c r="R116" i="266"/>
  <c r="S116" i="266" s="1"/>
  <c r="T116" i="266" s="1"/>
  <c r="R48" i="266"/>
  <c r="S48" i="266" s="1"/>
  <c r="T48" i="266" s="1"/>
  <c r="R100" i="266"/>
  <c r="S100" i="266" s="1"/>
  <c r="T100" i="266" s="1"/>
  <c r="R32" i="266"/>
  <c r="S32" i="266" s="1"/>
  <c r="T32" i="266" s="1"/>
  <c r="N99" i="266"/>
  <c r="O99" i="266" s="1"/>
  <c r="P99" i="266" s="1"/>
  <c r="N67" i="266"/>
  <c r="O67" i="266" s="1"/>
  <c r="P67" i="266" s="1"/>
  <c r="N35" i="266"/>
  <c r="O35" i="266" s="1"/>
  <c r="P35" i="266" s="1"/>
  <c r="N110" i="266"/>
  <c r="O110" i="266" s="1"/>
  <c r="P110" i="266" s="1"/>
  <c r="N62" i="266"/>
  <c r="O62" i="266" s="1"/>
  <c r="P62" i="266" s="1"/>
  <c r="R14" i="266"/>
  <c r="S14" i="266" s="1"/>
  <c r="T14" i="266" s="1"/>
  <c r="R109" i="266"/>
  <c r="S109" i="266" s="1"/>
  <c r="T109" i="266" s="1"/>
  <c r="R45" i="266"/>
  <c r="S45" i="266" s="1"/>
  <c r="T45" i="266" s="1"/>
  <c r="R72" i="266"/>
  <c r="S72" i="266" s="1"/>
  <c r="T72" i="266" s="1"/>
  <c r="N79" i="266"/>
  <c r="O79" i="266" s="1"/>
  <c r="P79" i="266" s="1"/>
  <c r="R106" i="266"/>
  <c r="S106" i="266" s="1"/>
  <c r="T106" i="266" s="1"/>
  <c r="N38" i="266"/>
  <c r="O38" i="266" s="1"/>
  <c r="P38" i="266" s="1"/>
  <c r="R89" i="266"/>
  <c r="S89" i="266" s="1"/>
  <c r="T89" i="266" s="1"/>
  <c r="R57" i="266"/>
  <c r="S57" i="266" s="1"/>
  <c r="T57" i="266" s="1"/>
  <c r="R25" i="266"/>
  <c r="S25" i="266" s="1"/>
  <c r="T25" i="266" s="1"/>
  <c r="R96" i="266"/>
  <c r="S96" i="266" s="1"/>
  <c r="T96" i="266" s="1"/>
  <c r="R36" i="266"/>
  <c r="S36" i="266" s="1"/>
  <c r="T36" i="266" s="1"/>
  <c r="R84" i="266"/>
  <c r="S84" i="266" s="1"/>
  <c r="T84" i="266" s="1"/>
  <c r="R16" i="266"/>
  <c r="S16" i="266" s="1"/>
  <c r="T16" i="266" s="1"/>
  <c r="N91" i="266"/>
  <c r="O91" i="266" s="1"/>
  <c r="P91" i="266" s="1"/>
  <c r="N59" i="266"/>
  <c r="O59" i="266" s="1"/>
  <c r="P59" i="266" s="1"/>
  <c r="N27" i="266"/>
  <c r="O27" i="266" s="1"/>
  <c r="P27" i="266" s="1"/>
  <c r="N102" i="266"/>
  <c r="O102" i="266" s="1"/>
  <c r="P102" i="266" s="1"/>
  <c r="N54" i="266"/>
  <c r="O54" i="266" s="1"/>
  <c r="P54" i="266" s="1"/>
  <c r="R4" i="266"/>
  <c r="S4" i="266" s="1"/>
  <c r="T4" i="266" s="1"/>
  <c r="N12" i="266"/>
  <c r="O12" i="266" s="1"/>
  <c r="P12" i="266" s="1"/>
  <c r="R111" i="266"/>
  <c r="S111" i="266" s="1"/>
  <c r="T111" i="266" s="1"/>
  <c r="R15" i="266"/>
  <c r="S15" i="266" s="1"/>
  <c r="T15" i="266" s="1"/>
  <c r="R78" i="266"/>
  <c r="S78" i="266" s="1"/>
  <c r="T78" i="266" s="1"/>
  <c r="N117" i="266"/>
  <c r="O117" i="266" s="1"/>
  <c r="P117" i="266" s="1"/>
  <c r="N85" i="266"/>
  <c r="O85" i="266" s="1"/>
  <c r="P85" i="266" s="1"/>
  <c r="N53" i="266"/>
  <c r="O53" i="266" s="1"/>
  <c r="P53" i="266" s="1"/>
  <c r="N21" i="266"/>
  <c r="O21" i="266" s="1"/>
  <c r="P21" i="266" s="1"/>
  <c r="N88" i="266"/>
  <c r="O88" i="266" s="1"/>
  <c r="P88" i="266" s="1"/>
  <c r="N28" i="266"/>
  <c r="O28" i="266" s="1"/>
  <c r="P28" i="266" s="1"/>
  <c r="N76" i="266"/>
  <c r="O76" i="266" s="1"/>
  <c r="P76" i="266" s="1"/>
  <c r="R103" i="266"/>
  <c r="S103" i="266" s="1"/>
  <c r="T103" i="266" s="1"/>
  <c r="R71" i="266"/>
  <c r="S71" i="266" s="1"/>
  <c r="T71" i="266" s="1"/>
  <c r="R39" i="266"/>
  <c r="S39" i="266" s="1"/>
  <c r="T39" i="266" s="1"/>
  <c r="R7" i="266"/>
  <c r="S7" i="266" s="1"/>
  <c r="T7" i="266" s="1"/>
  <c r="R70" i="266"/>
  <c r="S70" i="266" s="1"/>
  <c r="T70" i="266" s="1"/>
  <c r="R22" i="266"/>
  <c r="S22" i="266" s="1"/>
  <c r="T22" i="266" s="1"/>
  <c r="N98" i="266"/>
  <c r="O98" i="266" s="1"/>
  <c r="P98" i="266" s="1"/>
  <c r="N61" i="266"/>
  <c r="O61" i="266" s="1"/>
  <c r="P61" i="266" s="1"/>
  <c r="N104" i="266"/>
  <c r="O104" i="266" s="1"/>
  <c r="P104" i="266" s="1"/>
  <c r="N92" i="266"/>
  <c r="O92" i="266" s="1"/>
  <c r="P92" i="266" s="1"/>
  <c r="R47" i="266"/>
  <c r="S47" i="266" s="1"/>
  <c r="T47" i="266" s="1"/>
  <c r="R6" i="266"/>
  <c r="S6" i="266" s="1"/>
  <c r="T6" i="266" s="1"/>
  <c r="N66" i="266"/>
  <c r="O66" i="266" s="1"/>
  <c r="P66" i="266" s="1"/>
  <c r="N113" i="266"/>
  <c r="O113" i="266" s="1"/>
  <c r="P113" i="266" s="1"/>
  <c r="N81" i="266"/>
  <c r="O81" i="266" s="1"/>
  <c r="P81" i="266" s="1"/>
  <c r="N49" i="266"/>
  <c r="O49" i="266" s="1"/>
  <c r="P49" i="266" s="1"/>
  <c r="N17" i="266"/>
  <c r="O17" i="266" s="1"/>
  <c r="P17" i="266" s="1"/>
  <c r="N80" i="266"/>
  <c r="O80" i="266" s="1"/>
  <c r="P80" i="266" s="1"/>
  <c r="N20" i="266"/>
  <c r="O20" i="266" s="1"/>
  <c r="P20" i="266" s="1"/>
  <c r="N68" i="266"/>
  <c r="O68" i="266" s="1"/>
  <c r="P68" i="266" s="1"/>
  <c r="R115" i="266"/>
  <c r="S115" i="266" s="1"/>
  <c r="T115" i="266" s="1"/>
  <c r="R83" i="266"/>
  <c r="S83" i="266" s="1"/>
  <c r="T83" i="266" s="1"/>
  <c r="R51" i="266"/>
  <c r="S51" i="266" s="1"/>
  <c r="T51" i="266" s="1"/>
  <c r="R19" i="266"/>
  <c r="S19" i="266" s="1"/>
  <c r="T19" i="266" s="1"/>
  <c r="N90" i="266"/>
  <c r="O90" i="266" s="1"/>
  <c r="P90" i="266" s="1"/>
  <c r="N42" i="266"/>
  <c r="O42" i="266" s="1"/>
  <c r="P42" i="266" s="1"/>
  <c r="N50" i="266"/>
  <c r="O50" i="266" s="1"/>
  <c r="P50" i="266" s="1"/>
  <c r="N77" i="266"/>
  <c r="O77" i="266" s="1"/>
  <c r="P77" i="266" s="1"/>
  <c r="N13" i="266"/>
  <c r="O13" i="266" s="1"/>
  <c r="P13" i="266" s="1"/>
  <c r="N60" i="266"/>
  <c r="O60" i="266" s="1"/>
  <c r="P60" i="266" s="1"/>
  <c r="R31" i="266"/>
  <c r="S31" i="266" s="1"/>
  <c r="T31" i="266" s="1"/>
  <c r="N34" i="266"/>
  <c r="O34" i="266" s="1"/>
  <c r="P34" i="266" s="1"/>
  <c r="R86" i="266"/>
  <c r="S86" i="266" s="1"/>
  <c r="T86" i="266" s="1"/>
  <c r="N105" i="266"/>
  <c r="O105" i="266" s="1"/>
  <c r="P105" i="266" s="1"/>
  <c r="N73" i="266"/>
  <c r="O73" i="266" s="1"/>
  <c r="P73" i="266" s="1"/>
  <c r="N41" i="266"/>
  <c r="O41" i="266" s="1"/>
  <c r="P41" i="266" s="1"/>
  <c r="N9" i="266"/>
  <c r="O9" i="266" s="1"/>
  <c r="P9" i="266" s="1"/>
  <c r="N64" i="266"/>
  <c r="O64" i="266" s="1"/>
  <c r="P64" i="266" s="1"/>
  <c r="N112" i="266"/>
  <c r="O112" i="266" s="1"/>
  <c r="P112" i="266" s="1"/>
  <c r="N52" i="266"/>
  <c r="O52" i="266" s="1"/>
  <c r="P52" i="266" s="1"/>
  <c r="R107" i="266"/>
  <c r="S107" i="266" s="1"/>
  <c r="T107" i="266" s="1"/>
  <c r="R75" i="266"/>
  <c r="S75" i="266" s="1"/>
  <c r="T75" i="266" s="1"/>
  <c r="R43" i="266"/>
  <c r="S43" i="266" s="1"/>
  <c r="T43" i="266" s="1"/>
  <c r="R11" i="266"/>
  <c r="S11" i="266" s="1"/>
  <c r="T11" i="266" s="1"/>
  <c r="N74" i="266"/>
  <c r="O74" i="266" s="1"/>
  <c r="P74" i="266" s="1"/>
  <c r="N26" i="266"/>
  <c r="O26" i="266" s="1"/>
  <c r="P26" i="266" s="1"/>
  <c r="R12" i="266"/>
  <c r="S12" i="266" s="1"/>
  <c r="T12" i="266" s="1"/>
  <c r="N111" i="266"/>
  <c r="O111" i="266" s="1"/>
  <c r="P111" i="266" s="1"/>
  <c r="N15" i="266"/>
  <c r="O15" i="266" s="1"/>
  <c r="P15" i="266" s="1"/>
  <c r="N78" i="266"/>
  <c r="O78" i="266" s="1"/>
  <c r="P78" i="266" s="1"/>
  <c r="R117" i="266"/>
  <c r="S117" i="266" s="1"/>
  <c r="T117" i="266" s="1"/>
  <c r="R85" i="266"/>
  <c r="S85" i="266" s="1"/>
  <c r="T85" i="266" s="1"/>
  <c r="R53" i="266"/>
  <c r="S53" i="266" s="1"/>
  <c r="T53" i="266" s="1"/>
  <c r="R21" i="266"/>
  <c r="S21" i="266" s="1"/>
  <c r="T21" i="266" s="1"/>
  <c r="R88" i="266"/>
  <c r="S88" i="266" s="1"/>
  <c r="T88" i="266" s="1"/>
  <c r="R28" i="266"/>
  <c r="S28" i="266" s="1"/>
  <c r="T28" i="266" s="1"/>
  <c r="R76" i="266"/>
  <c r="S76" i="266" s="1"/>
  <c r="T76" i="266" s="1"/>
  <c r="N103" i="266"/>
  <c r="O103" i="266" s="1"/>
  <c r="P103" i="266" s="1"/>
  <c r="N71" i="266"/>
  <c r="O71" i="266" s="1"/>
  <c r="P71" i="266" s="1"/>
  <c r="N39" i="266"/>
  <c r="O39" i="266" s="1"/>
  <c r="P39" i="266" s="1"/>
  <c r="N7" i="266"/>
  <c r="O7" i="266" s="1"/>
  <c r="P7" i="266" s="1"/>
  <c r="N70" i="266"/>
  <c r="O70" i="266" s="1"/>
  <c r="P70" i="266" s="1"/>
  <c r="N22" i="266"/>
  <c r="O22" i="266" s="1"/>
  <c r="P22" i="266" s="1"/>
  <c r="R98" i="266"/>
  <c r="S98" i="266" s="1"/>
  <c r="T98" i="266" s="1"/>
  <c r="R61" i="266"/>
  <c r="S61" i="266" s="1"/>
  <c r="T61" i="266" s="1"/>
  <c r="R104" i="266"/>
  <c r="S104" i="266" s="1"/>
  <c r="T104" i="266" s="1"/>
  <c r="R92" i="266"/>
  <c r="S92" i="266" s="1"/>
  <c r="T92" i="266" s="1"/>
  <c r="N47" i="266"/>
  <c r="O47" i="266" s="1"/>
  <c r="P47" i="266" s="1"/>
  <c r="N6" i="266"/>
  <c r="O6" i="266" s="1"/>
  <c r="P6" i="266" s="1"/>
  <c r="R66" i="266"/>
  <c r="S66" i="266" s="1"/>
  <c r="T66" i="266" s="1"/>
  <c r="R113" i="266"/>
  <c r="S113" i="266" s="1"/>
  <c r="T113" i="266" s="1"/>
  <c r="R81" i="266"/>
  <c r="S81" i="266" s="1"/>
  <c r="T81" i="266" s="1"/>
  <c r="R49" i="266"/>
  <c r="S49" i="266" s="1"/>
  <c r="T49" i="266" s="1"/>
  <c r="R17" i="266"/>
  <c r="S17" i="266" s="1"/>
  <c r="T17" i="266" s="1"/>
  <c r="R80" i="266"/>
  <c r="S80" i="266" s="1"/>
  <c r="T80" i="266" s="1"/>
  <c r="R20" i="266"/>
  <c r="S20" i="266" s="1"/>
  <c r="T20" i="266" s="1"/>
  <c r="R68" i="266"/>
  <c r="S68" i="266" s="1"/>
  <c r="T68" i="266" s="1"/>
  <c r="N115" i="266"/>
  <c r="O115" i="266" s="1"/>
  <c r="P115" i="266" s="1"/>
  <c r="N83" i="266"/>
  <c r="O83" i="266" s="1"/>
  <c r="P83" i="266" s="1"/>
  <c r="N51" i="266"/>
  <c r="O51" i="266" s="1"/>
  <c r="P51" i="266" s="1"/>
  <c r="N19" i="266"/>
  <c r="O19" i="266" s="1"/>
  <c r="P19" i="266" s="1"/>
  <c r="R90" i="266"/>
  <c r="S90" i="266" s="1"/>
  <c r="T90" i="266" s="1"/>
  <c r="R42" i="266"/>
  <c r="S42" i="266" s="1"/>
  <c r="T42" i="266" s="1"/>
  <c r="R50" i="266"/>
  <c r="S50" i="266" s="1"/>
  <c r="T50" i="266" s="1"/>
  <c r="R77" i="266"/>
  <c r="S77" i="266" s="1"/>
  <c r="T77" i="266" s="1"/>
  <c r="R13" i="266"/>
  <c r="S13" i="266" s="1"/>
  <c r="T13" i="266" s="1"/>
  <c r="R60" i="266"/>
  <c r="S60" i="266" s="1"/>
  <c r="T60" i="266" s="1"/>
  <c r="N31" i="266"/>
  <c r="O31" i="266" s="1"/>
  <c r="P31" i="266" s="1"/>
  <c r="R34" i="266"/>
  <c r="S34" i="266" s="1"/>
  <c r="T34" i="266" s="1"/>
  <c r="P3" i="277"/>
  <c r="O231" i="277"/>
  <c r="K8" i="273"/>
  <c r="L8" i="273" s="1"/>
  <c r="M8" i="273" s="1"/>
  <c r="O8" i="273" s="1"/>
  <c r="K9" i="273"/>
  <c r="L9" i="273" s="1"/>
  <c r="M9" i="273" s="1"/>
  <c r="O9" i="273" s="1"/>
  <c r="G17" i="274"/>
  <c r="G20" i="274"/>
  <c r="G23" i="274"/>
  <c r="G24" i="274"/>
  <c r="G26" i="274"/>
  <c r="G25" i="274"/>
  <c r="G22" i="274"/>
  <c r="G21" i="274"/>
  <c r="G18" i="274"/>
  <c r="G19" i="274"/>
  <c r="L112" i="266"/>
  <c r="L3" i="277" l="1"/>
  <c r="K231" i="277"/>
  <c r="Q4" i="266"/>
  <c r="U4" i="266"/>
  <c r="P118" i="266"/>
  <c r="M4" i="266"/>
  <c r="N9" i="273" s="1"/>
  <c r="L118" i="266"/>
  <c r="H17" i="274" a="1"/>
  <c r="M11" i="266"/>
  <c r="N8" i="273" l="1"/>
  <c r="H17" i="274"/>
  <c r="H20" i="274"/>
  <c r="H22" i="274"/>
  <c r="H23" i="274"/>
  <c r="H18" i="274"/>
  <c r="H19" i="274"/>
  <c r="H25" i="274"/>
  <c r="H24" i="274"/>
  <c r="H26" i="274"/>
  <c r="H21" i="274"/>
  <c r="I17" i="274" l="1" a="1"/>
  <c r="I17" i="274" s="1"/>
  <c r="I26" i="274" l="1"/>
  <c r="I20" i="274"/>
  <c r="I25" i="274"/>
  <c r="I24" i="274"/>
  <c r="I22" i="274"/>
  <c r="I19" i="274"/>
  <c r="I23" i="274"/>
  <c r="I21" i="274"/>
  <c r="J17" i="274" s="1" a="1"/>
  <c r="I18" i="274"/>
  <c r="J18" i="274" l="1"/>
  <c r="J24" i="274"/>
  <c r="J17" i="274"/>
  <c r="J25" i="274"/>
  <c r="J21" i="274"/>
  <c r="J20" i="274"/>
  <c r="J22" i="274"/>
  <c r="J23" i="274"/>
  <c r="J19" i="274"/>
  <c r="J26" i="274"/>
  <c r="K17" i="274" l="1" a="1"/>
  <c r="K17" i="274" l="1"/>
  <c r="K20" i="274"/>
  <c r="K24" i="274"/>
  <c r="K23" i="274"/>
  <c r="K22" i="274"/>
  <c r="K21" i="274"/>
  <c r="K18" i="274"/>
  <c r="K19" i="274"/>
  <c r="K26" i="274"/>
  <c r="K25" i="274"/>
  <c r="L17" i="274" l="1" a="1"/>
  <c r="L17" i="274" l="1"/>
  <c r="L19" i="274"/>
  <c r="L20" i="274"/>
  <c r="L24" i="274"/>
  <c r="L23" i="274"/>
  <c r="L18" i="274"/>
  <c r="L25" i="274"/>
  <c r="L26" i="274"/>
  <c r="L21" i="274"/>
  <c r="L22" i="274"/>
  <c r="M17" i="274" l="1" a="1"/>
  <c r="M17" i="274" l="1"/>
  <c r="M20" i="274"/>
  <c r="M24" i="274"/>
  <c r="M26" i="274"/>
  <c r="M25" i="274"/>
  <c r="M22" i="274"/>
  <c r="M21" i="274"/>
  <c r="M18" i="274"/>
  <c r="M19" i="274"/>
  <c r="M23" i="274"/>
  <c r="N17" i="274" l="1" a="1"/>
  <c r="N17" i="274" l="1"/>
  <c r="N20" i="274"/>
  <c r="N24" i="274"/>
  <c r="N26" i="274"/>
  <c r="N25" i="274"/>
  <c r="N23" i="274"/>
  <c r="N21" i="274"/>
  <c r="N22" i="274"/>
  <c r="N18" i="274"/>
  <c r="N19" i="274"/>
</calcChain>
</file>

<file path=xl/sharedStrings.xml><?xml version="1.0" encoding="utf-8"?>
<sst xmlns="http://schemas.openxmlformats.org/spreadsheetml/2006/main" count="580" uniqueCount="82">
  <si>
    <t>Correlations</t>
  </si>
  <si>
    <t>Asset Class</t>
  </si>
  <si>
    <t>Rho bottom</t>
  </si>
  <si>
    <t>Rho top</t>
  </si>
  <si>
    <t>Rho multiplier</t>
  </si>
  <si>
    <t>Information taken directly by the Basel II accord and that is necessary to calculate the correlation of a portfolio based on its asset class</t>
  </si>
  <si>
    <t>Corporate</t>
  </si>
  <si>
    <t>Cyclicality</t>
  </si>
  <si>
    <t>Retail</t>
  </si>
  <si>
    <t>Segment</t>
  </si>
  <si>
    <t>PD</t>
  </si>
  <si>
    <t>LGD</t>
  </si>
  <si>
    <t>Credit Risk Correlation Calibration parameter</t>
  </si>
  <si>
    <t>Retail SME Other</t>
  </si>
  <si>
    <t>Retail Other</t>
  </si>
  <si>
    <t>Calibration scaling parameter</t>
  </si>
  <si>
    <t>Volatility</t>
  </si>
  <si>
    <t>Recovery rate</t>
  </si>
  <si>
    <t xml:space="preserve">Commercial </t>
  </si>
  <si>
    <t>Res'l Mortgages uninsured</t>
  </si>
  <si>
    <t>Cust_ID</t>
  </si>
  <si>
    <t>Industry</t>
  </si>
  <si>
    <t>EAD</t>
  </si>
  <si>
    <t>Top 3</t>
  </si>
  <si>
    <t>IND3</t>
  </si>
  <si>
    <t>IND7</t>
  </si>
  <si>
    <t>IND4</t>
  </si>
  <si>
    <t>IND10</t>
  </si>
  <si>
    <t>IND9</t>
  </si>
  <si>
    <t>IND2</t>
  </si>
  <si>
    <t>IND13</t>
  </si>
  <si>
    <t>D</t>
  </si>
  <si>
    <t>Rank Order</t>
  </si>
  <si>
    <t>Master Rating Scale</t>
  </si>
  <si>
    <t>Minimum PD</t>
  </si>
  <si>
    <t>Mid Point PD</t>
  </si>
  <si>
    <t>Maximum PD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</si>
  <si>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</si>
  <si>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</si>
  <si>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</si>
  <si>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</si>
  <si>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</si>
  <si>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</si>
  <si>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</si>
  <si>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</si>
  <si>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</si>
  <si>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</si>
  <si>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CAR</t>
  </si>
  <si>
    <t>Confidence Interval</t>
  </si>
  <si>
    <t>Z value</t>
  </si>
  <si>
    <t>PD - EAD Weighted</t>
  </si>
  <si>
    <t xml:space="preserve">Correlation (R) </t>
  </si>
  <si>
    <t>G(PD)</t>
  </si>
  <si>
    <t>N</t>
  </si>
  <si>
    <t>VAR</t>
  </si>
  <si>
    <t>UL</t>
  </si>
  <si>
    <t xml:space="preserve">DICO Risk Weight </t>
  </si>
  <si>
    <t>Risk Weight</t>
  </si>
  <si>
    <t>Tests</t>
  </si>
  <si>
    <t xml:space="preserve">Weighted risk </t>
  </si>
  <si>
    <t>Economic Capital</t>
  </si>
  <si>
    <t>EAD (000s)</t>
  </si>
  <si>
    <t xml:space="preserve">PD Migration </t>
  </si>
  <si>
    <t>Unsecured</t>
  </si>
  <si>
    <t>Additional capital in CAD$,000</t>
  </si>
  <si>
    <t>RR</t>
  </si>
  <si>
    <t>Res'l Stressed</t>
  </si>
  <si>
    <t>Loss Ratio</t>
  </si>
  <si>
    <t xml:space="preserve">Res'l Mortgages Uninsured </t>
  </si>
  <si>
    <t xml:space="preserve">DICO Capital </t>
  </si>
  <si>
    <t xml:space="preserve">Residential Mortgages </t>
  </si>
  <si>
    <t>2017 Base Case</t>
  </si>
  <si>
    <t xml:space="preserve">PD </t>
  </si>
  <si>
    <t>MRS</t>
  </si>
  <si>
    <t>Corporate (HVCRE)</t>
  </si>
  <si>
    <t>Retail Mortgages</t>
  </si>
  <si>
    <t>Retail Qualifying Revolving Retail Exposures</t>
  </si>
  <si>
    <r>
      <rPr>
        <sz val="12"/>
        <color indexed="9"/>
        <rFont val="Arial"/>
        <family val="2"/>
      </rPr>
      <t>Ma</t>
    </r>
    <r>
      <rPr>
        <b/>
        <sz val="12"/>
        <color indexed="9"/>
        <rFont val="Arial"/>
        <family val="2"/>
      </rPr>
      <t>ster rating scale (MRS)</t>
    </r>
  </si>
  <si>
    <t>RWA multiplier</t>
  </si>
  <si>
    <t>Anchor_Yr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</si>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</sst>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"/>
    <numFmt numFmtId="167" formatCode="_(* #,##0_);_(* \(#,##0\);_(* &quot;-&quot;??_);_(@_)"/>
    <numFmt numFmtId="168" formatCode="#,##0.0_);\(#,##0.0\)"/>
    <numFmt numFmtId="169" formatCode="#,##0\ &quot;F&quot;;\-#,##0\ &quot;F&quot;"/>
    <numFmt numFmtId="170" formatCode="#,##0."/>
    <numFmt numFmtId="171" formatCode="\$#."/>
    <numFmt numFmtId="172" formatCode="#.00"/>
    <numFmt numFmtId="173" formatCode="0.000%"/>
    <numFmt numFmtId="174" formatCode="0.000"/>
    <numFmt numFmtId="175" formatCode="_ * #,##0_ ;_ * \-#,##0_ ;_ * &quot;-&quot;??_ ;_ @_ "/>
    <numFmt numFmtId="176" formatCode="0.0000"/>
    <numFmt numFmtId="177" formatCode="0.00000"/>
  </numFmts>
  <fonts count="5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b/>
      <sz val="14"/>
      <color indexed="9"/>
      <name val="Arial"/>
      <family val="2"/>
    </font>
    <font>
      <sz val="10"/>
      <name val="Helv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9"/>
      <name val="Arial"/>
      <family val="2"/>
    </font>
    <font>
      <sz val="8"/>
      <name val="Verdana"/>
      <family val="2"/>
    </font>
    <font>
      <sz val="12"/>
      <name val="Helv"/>
      <family val="2"/>
    </font>
    <font>
      <b/>
      <sz val="10"/>
      <color indexed="8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Tms Rmn"/>
      <family val="1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indexed="24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b/>
      <sz val="12"/>
      <color indexed="24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2"/>
      <color indexed="9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sz val="12"/>
      <name val="Times New Roman"/>
      <family val="1"/>
    </font>
    <font>
      <b/>
      <sz val="9"/>
      <color indexed="9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D88F"/>
        <bgColor indexed="64"/>
      </patternFill>
    </fill>
    <fill>
      <patternFill patternType="solid">
        <fgColor rgb="FF92D050"/>
        <bgColor indexed="64"/>
      </patternFill>
    </fill>
  </fills>
  <borders count="6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auto="1"/>
      </top>
      <bottom style="thin">
        <color auto="1"/>
      </bottom>
      <diagonal/>
    </border>
    <border>
      <left/>
      <right style="thin">
        <color indexed="62"/>
      </right>
      <top style="thin">
        <color auto="1"/>
      </top>
      <bottom style="thin">
        <color auto="1"/>
      </bottom>
      <diagonal/>
    </border>
    <border>
      <left style="thin">
        <color indexed="62"/>
      </left>
      <right/>
      <top style="thin">
        <color indexed="62"/>
      </top>
      <bottom/>
      <diagonal/>
    </border>
    <border>
      <left style="thin">
        <color indexed="62"/>
      </left>
      <right/>
      <top/>
      <bottom style="thin">
        <color auto="1"/>
      </bottom>
      <diagonal/>
    </border>
    <border>
      <left/>
      <right style="thin">
        <color indexed="62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2"/>
      </bottom>
      <diagonal/>
    </border>
    <border>
      <left/>
      <right style="thin">
        <color indexed="62"/>
      </right>
      <top style="thin">
        <color auto="1"/>
      </top>
      <bottom style="thin">
        <color indexed="62"/>
      </bottom>
      <diagonal/>
    </border>
    <border>
      <left style="thin">
        <color indexed="62"/>
      </left>
      <right/>
      <top style="thin">
        <color auto="1"/>
      </top>
      <bottom style="thin">
        <color indexed="62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2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2"/>
      </bottom>
      <diagonal/>
    </border>
    <border>
      <left/>
      <right/>
      <top style="thin">
        <color indexed="64"/>
      </top>
      <bottom style="thin">
        <color indexed="62"/>
      </bottom>
      <diagonal/>
    </border>
    <border>
      <left/>
      <right style="thin">
        <color indexed="62"/>
      </right>
      <top style="thin">
        <color indexed="64"/>
      </top>
      <bottom style="thin">
        <color indexed="62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40">
    <xf numFmtId="0" fontId="0" fillId="0" borderId="0"/>
    <xf numFmtId="0" fontId="4" fillId="0" borderId="0"/>
    <xf numFmtId="0" fontId="42" fillId="0" borderId="0">
      <alignment vertical="top"/>
    </xf>
    <xf numFmtId="3" fontId="13" fillId="0" borderId="0">
      <alignment vertical="center"/>
    </xf>
    <xf numFmtId="0" fontId="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3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3" fontId="13" fillId="0" borderId="0">
      <alignment vertical="center"/>
    </xf>
    <xf numFmtId="0" fontId="9" fillId="0" borderId="0">
      <alignment vertical="center"/>
    </xf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5" fillId="0" borderId="0">
      <alignment horizontal="center" wrapText="1"/>
      <protection locked="0"/>
    </xf>
    <xf numFmtId="0" fontId="28" fillId="3" borderId="0" applyNumberFormat="0" applyBorder="0" applyAlignment="0" applyProtection="0"/>
    <xf numFmtId="0" fontId="29" fillId="20" borderId="1" applyNumberFormat="0" applyAlignment="0" applyProtection="0"/>
    <xf numFmtId="0" fontId="30" fillId="21" borderId="2" applyNumberFormat="0" applyAlignment="0" applyProtection="0"/>
    <xf numFmtId="43" fontId="2" fillId="0" borderId="0" applyFont="0" applyFill="0" applyBorder="0" applyAlignment="0" applyProtection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0" fontId="16" fillId="0" borderId="0">
      <protection locked="0"/>
    </xf>
    <xf numFmtId="171" fontId="16" fillId="0" borderId="0">
      <protection locked="0"/>
    </xf>
    <xf numFmtId="0" fontId="16" fillId="0" borderId="0">
      <protection locked="0"/>
    </xf>
    <xf numFmtId="0" fontId="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72" fontId="16" fillId="0" borderId="0">
      <protection locked="0"/>
    </xf>
    <xf numFmtId="0" fontId="33" fillId="4" borderId="0" applyNumberFormat="0" applyBorder="0" applyAlignment="0" applyProtection="0"/>
    <xf numFmtId="0" fontId="6" fillId="0" borderId="3" applyNumberFormat="0" applyAlignment="0" applyProtection="0">
      <alignment horizontal="left" vertical="center"/>
    </xf>
    <xf numFmtId="0" fontId="6" fillId="0" borderId="4">
      <alignment horizontal="left" vertical="center"/>
    </xf>
    <xf numFmtId="0" fontId="17" fillId="0" borderId="0">
      <protection locked="0"/>
    </xf>
    <xf numFmtId="0" fontId="17" fillId="0" borderId="0">
      <protection locked="0"/>
    </xf>
    <xf numFmtId="0" fontId="17" fillId="0" borderId="0">
      <alignment horizontal="left"/>
      <protection locked="0"/>
    </xf>
    <xf numFmtId="0" fontId="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5" fillId="0" borderId="0" applyProtection="0"/>
    <xf numFmtId="0" fontId="36" fillId="7" borderId="1" applyNumberFormat="0" applyAlignment="0" applyProtection="0"/>
    <xf numFmtId="168" fontId="14" fillId="22" borderId="0"/>
    <xf numFmtId="0" fontId="37" fillId="0" borderId="5" applyNumberFormat="0" applyFill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8" fillId="23" borderId="0" applyNumberFormat="0" applyBorder="0" applyAlignment="0" applyProtection="0"/>
    <xf numFmtId="0" fontId="4" fillId="0" borderId="0"/>
    <xf numFmtId="0" fontId="18" fillId="0" borderId="0"/>
    <xf numFmtId="0" fontId="2" fillId="0" borderId="0"/>
    <xf numFmtId="0" fontId="4" fillId="0" borderId="0"/>
    <xf numFmtId="0" fontId="2" fillId="0" borderId="0"/>
    <xf numFmtId="0" fontId="4" fillId="24" borderId="6" applyNumberFormat="0" applyFont="0" applyAlignment="0" applyProtection="0"/>
    <xf numFmtId="0" fontId="39" fillId="20" borderId="7" applyNumberFormat="0" applyAlignment="0" applyProtection="0"/>
    <xf numFmtId="14" fontId="5" fillId="0" borderId="0">
      <alignment horizontal="center" wrapText="1"/>
      <protection locked="0"/>
    </xf>
    <xf numFmtId="9" fontId="2" fillId="0" borderId="0" applyFont="0" applyFill="0" applyBorder="0" applyAlignment="0" applyProtection="0"/>
    <xf numFmtId="4" fontId="19" fillId="25" borderId="8" applyNumberFormat="0" applyProtection="0">
      <alignment vertical="center"/>
    </xf>
    <xf numFmtId="4" fontId="20" fillId="25" borderId="8" applyNumberFormat="0" applyProtection="0">
      <alignment vertical="center"/>
    </xf>
    <xf numFmtId="4" fontId="21" fillId="25" borderId="8" applyNumberFormat="0" applyProtection="0">
      <alignment horizontal="left" vertical="center" indent="1"/>
    </xf>
    <xf numFmtId="0" fontId="15" fillId="25" borderId="8" applyNumberFormat="0" applyProtection="0">
      <alignment horizontal="left" vertical="top" indent="1"/>
    </xf>
    <xf numFmtId="4" fontId="21" fillId="26" borderId="0" applyNumberFormat="0" applyProtection="0">
      <alignment horizontal="left" vertical="center" indent="1"/>
    </xf>
    <xf numFmtId="4" fontId="21" fillId="27" borderId="8" applyNumberFormat="0" applyProtection="0">
      <alignment horizontal="right" vertical="center"/>
    </xf>
    <xf numFmtId="4" fontId="21" fillId="28" borderId="8" applyNumberFormat="0" applyProtection="0">
      <alignment horizontal="right" vertical="center"/>
    </xf>
    <xf numFmtId="4" fontId="21" fillId="29" borderId="8" applyNumberFormat="0" applyProtection="0">
      <alignment horizontal="right" vertical="center"/>
    </xf>
    <xf numFmtId="4" fontId="21" fillId="30" borderId="8" applyNumberFormat="0" applyProtection="0">
      <alignment horizontal="right" vertical="center"/>
    </xf>
    <xf numFmtId="4" fontId="21" fillId="31" borderId="8" applyNumberFormat="0" applyProtection="0">
      <alignment horizontal="right" vertical="center"/>
    </xf>
    <xf numFmtId="4" fontId="21" fillId="32" borderId="8" applyNumberFormat="0" applyProtection="0">
      <alignment horizontal="right" vertical="center"/>
    </xf>
    <xf numFmtId="4" fontId="21" fillId="33" borderId="8" applyNumberFormat="0" applyProtection="0">
      <alignment horizontal="right" vertical="center"/>
    </xf>
    <xf numFmtId="4" fontId="21" fillId="34" borderId="8" applyNumberFormat="0" applyProtection="0">
      <alignment horizontal="right" vertical="center"/>
    </xf>
    <xf numFmtId="4" fontId="21" fillId="35" borderId="8" applyNumberFormat="0" applyProtection="0">
      <alignment horizontal="right" vertical="center"/>
    </xf>
    <xf numFmtId="4" fontId="19" fillId="36" borderId="9" applyNumberFormat="0" applyProtection="0">
      <alignment horizontal="left" vertical="center" indent="1"/>
    </xf>
    <xf numFmtId="4" fontId="19" fillId="37" borderId="0" applyNumberFormat="0" applyProtection="0">
      <alignment horizontal="left" vertical="center" indent="1"/>
    </xf>
    <xf numFmtId="4" fontId="19" fillId="38" borderId="0" applyNumberFormat="0" applyProtection="0">
      <alignment horizontal="left" vertical="center" indent="1"/>
    </xf>
    <xf numFmtId="4" fontId="21" fillId="37" borderId="8" applyNumberFormat="0" applyProtection="0">
      <alignment horizontal="right" vertical="center"/>
    </xf>
    <xf numFmtId="4" fontId="10" fillId="37" borderId="0" applyNumberFormat="0" applyProtection="0">
      <alignment horizontal="left" vertical="center" indent="1"/>
    </xf>
    <xf numFmtId="4" fontId="10" fillId="26" borderId="0" applyNumberFormat="0" applyProtection="0">
      <alignment horizontal="left" vertical="center" indent="1"/>
    </xf>
    <xf numFmtId="0" fontId="2" fillId="38" borderId="8" applyNumberFormat="0" applyProtection="0">
      <alignment horizontal="left" vertical="center" indent="1"/>
    </xf>
    <xf numFmtId="0" fontId="2" fillId="38" borderId="8" applyNumberFormat="0" applyProtection="0">
      <alignment horizontal="left" vertical="top" indent="1"/>
    </xf>
    <xf numFmtId="0" fontId="2" fillId="39" borderId="8" applyNumberFormat="0" applyProtection="0">
      <alignment horizontal="left" vertical="center" indent="1"/>
    </xf>
    <xf numFmtId="0" fontId="2" fillId="39" borderId="8" applyNumberFormat="0" applyProtection="0">
      <alignment horizontal="left" vertical="top" indent="1"/>
    </xf>
    <xf numFmtId="0" fontId="2" fillId="37" borderId="8" applyNumberFormat="0" applyProtection="0">
      <alignment horizontal="left" vertical="center" indent="1"/>
    </xf>
    <xf numFmtId="0" fontId="2" fillId="37" borderId="8" applyNumberFormat="0" applyProtection="0">
      <alignment horizontal="left" vertical="top" indent="1"/>
    </xf>
    <xf numFmtId="0" fontId="2" fillId="40" borderId="8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4" fontId="21" fillId="40" borderId="8" applyNumberFormat="0" applyProtection="0">
      <alignment vertical="center"/>
    </xf>
    <xf numFmtId="4" fontId="22" fillId="40" borderId="8" applyNumberFormat="0" applyProtection="0">
      <alignment vertical="center"/>
    </xf>
    <xf numFmtId="4" fontId="19" fillId="37" borderId="10" applyNumberFormat="0" applyProtection="0">
      <alignment horizontal="left" vertical="center" indent="1"/>
    </xf>
    <xf numFmtId="0" fontId="11" fillId="41" borderId="8" applyNumberFormat="0" applyProtection="0">
      <alignment horizontal="left" vertical="top" indent="1"/>
    </xf>
    <xf numFmtId="4" fontId="21" fillId="40" borderId="8" applyNumberFormat="0" applyProtection="0">
      <alignment horizontal="right" vertical="center"/>
    </xf>
    <xf numFmtId="4" fontId="22" fillId="40" borderId="8" applyNumberFormat="0" applyProtection="0">
      <alignment horizontal="right" vertical="center"/>
    </xf>
    <xf numFmtId="4" fontId="19" fillId="37" borderId="8" applyNumberFormat="0" applyProtection="0">
      <alignment horizontal="left" vertical="center" indent="1"/>
    </xf>
    <xf numFmtId="0" fontId="11" fillId="39" borderId="8" applyNumberFormat="0" applyProtection="0">
      <alignment horizontal="left" vertical="top" indent="1"/>
    </xf>
    <xf numFmtId="4" fontId="23" fillId="26" borderId="10" applyNumberFormat="0" applyProtection="0">
      <alignment horizontal="left" vertical="center" indent="1"/>
    </xf>
    <xf numFmtId="4" fontId="24" fillId="40" borderId="8" applyNumberFormat="0" applyProtection="0">
      <alignment horizontal="right" vertical="center"/>
    </xf>
    <xf numFmtId="0" fontId="2" fillId="24" borderId="0" applyNumberFormat="0" applyFont="0" applyBorder="0" applyAlignment="0" applyProtection="0"/>
    <xf numFmtId="0" fontId="2" fillId="42" borderId="0" applyNumberFormat="0" applyFont="0" applyBorder="0" applyAlignment="0" applyProtection="0"/>
    <xf numFmtId="0" fontId="2" fillId="20" borderId="0" applyNumberFormat="0" applyFont="0" applyBorder="0" applyAlignment="0" applyProtection="0"/>
    <xf numFmtId="0" fontId="2" fillId="0" borderId="0" applyNumberFormat="0" applyFont="0" applyFill="0" applyBorder="0" applyAlignment="0" applyProtection="0"/>
    <xf numFmtId="0" fontId="2" fillId="20" borderId="0" applyNumberFormat="0" applyFon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Border="0" applyAlignment="0" applyProtection="0"/>
    <xf numFmtId="0" fontId="2" fillId="0" borderId="0"/>
    <xf numFmtId="0" fontId="8" fillId="0" borderId="0"/>
    <xf numFmtId="0" fontId="40" fillId="0" borderId="0" applyNumberFormat="0" applyFill="0" applyBorder="0" applyAlignment="0" applyProtection="0"/>
    <xf numFmtId="0" fontId="16" fillId="0" borderId="11">
      <protection locked="0"/>
    </xf>
    <xf numFmtId="0" fontId="41" fillId="0" borderId="0" applyNumberFormat="0" applyFill="0" applyBorder="0" applyAlignment="0" applyProtection="0"/>
    <xf numFmtId="0" fontId="1" fillId="0" borderId="0"/>
    <xf numFmtId="164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9">
    <xf numFmtId="0" fontId="0" fillId="0" borderId="0" xfId="0"/>
    <xf numFmtId="0" fontId="12" fillId="43" borderId="0" xfId="0" applyFont="1" applyFill="1" applyAlignment="1">
      <alignment vertical="center"/>
    </xf>
    <xf numFmtId="0" fontId="7" fillId="43" borderId="0" xfId="0" applyFont="1" applyFill="1" applyAlignment="1">
      <alignment vertical="center"/>
    </xf>
    <xf numFmtId="0" fontId="0" fillId="0" borderId="0" xfId="0" applyBorder="1"/>
    <xf numFmtId="0" fontId="7" fillId="43" borderId="0" xfId="80" applyFont="1" applyFill="1" applyBorder="1"/>
    <xf numFmtId="0" fontId="12" fillId="43" borderId="0" xfId="80" applyFont="1" applyFill="1" applyBorder="1"/>
    <xf numFmtId="0" fontId="2" fillId="0" borderId="0" xfId="80" applyBorder="1"/>
    <xf numFmtId="0" fontId="12" fillId="43" borderId="19" xfId="80" applyFont="1" applyFill="1" applyBorder="1"/>
    <xf numFmtId="0" fontId="43" fillId="43" borderId="15" xfId="80" applyFont="1" applyFill="1" applyBorder="1"/>
    <xf numFmtId="0" fontId="43" fillId="43" borderId="16" xfId="80" applyFont="1" applyFill="1" applyBorder="1"/>
    <xf numFmtId="0" fontId="2" fillId="39" borderId="20" xfId="80" applyFill="1" applyBorder="1"/>
    <xf numFmtId="0" fontId="3" fillId="39" borderId="14" xfId="80" applyFont="1" applyFill="1" applyBorder="1"/>
    <xf numFmtId="0" fontId="2" fillId="39" borderId="17" xfId="80" applyFont="1" applyFill="1" applyBorder="1"/>
    <xf numFmtId="0" fontId="3" fillId="39" borderId="0" xfId="80" applyFont="1" applyFill="1" applyBorder="1" applyAlignment="1">
      <alignment horizontal="center"/>
    </xf>
    <xf numFmtId="0" fontId="3" fillId="39" borderId="13" xfId="80" applyFont="1" applyFill="1" applyBorder="1" applyAlignment="1">
      <alignment horizontal="center"/>
    </xf>
    <xf numFmtId="0" fontId="2" fillId="39" borderId="12" xfId="80" applyFill="1" applyBorder="1" applyAlignment="1">
      <alignment horizontal="center"/>
    </xf>
    <xf numFmtId="9" fontId="2" fillId="39" borderId="21" xfId="84" applyNumberFormat="1" applyFill="1" applyBorder="1" applyAlignment="1">
      <alignment horizontal="center"/>
    </xf>
    <xf numFmtId="0" fontId="2" fillId="39" borderId="4" xfId="80" applyFill="1" applyBorder="1" applyAlignment="1">
      <alignment horizontal="center"/>
    </xf>
    <xf numFmtId="0" fontId="2" fillId="39" borderId="18" xfId="84" applyNumberFormat="1" applyFill="1" applyBorder="1" applyAlignment="1">
      <alignment horizontal="center"/>
    </xf>
    <xf numFmtId="0" fontId="2" fillId="39" borderId="22" xfId="80" applyFill="1" applyBorder="1" applyAlignment="1">
      <alignment horizontal="center"/>
    </xf>
    <xf numFmtId="0" fontId="2" fillId="39" borderId="23" xfId="84" applyNumberFormat="1" applyFill="1" applyBorder="1" applyAlignment="1">
      <alignment horizontal="center"/>
    </xf>
    <xf numFmtId="0" fontId="4" fillId="39" borderId="17" xfId="80" applyFont="1" applyFill="1" applyBorder="1"/>
    <xf numFmtId="0" fontId="4" fillId="39" borderId="24" xfId="80" applyFont="1" applyFill="1" applyBorder="1"/>
    <xf numFmtId="0" fontId="2" fillId="39" borderId="24" xfId="80" applyFont="1" applyFill="1" applyBorder="1"/>
    <xf numFmtId="0" fontId="3" fillId="39" borderId="26" xfId="78" applyFont="1" applyFill="1" applyBorder="1"/>
    <xf numFmtId="0" fontId="3" fillId="39" borderId="27" xfId="78" applyFont="1" applyFill="1" applyBorder="1" applyAlignment="1">
      <alignment vertical="center"/>
    </xf>
    <xf numFmtId="0" fontId="3" fillId="39" borderId="28" xfId="78" applyFont="1" applyFill="1" applyBorder="1" applyAlignment="1">
      <alignment vertical="center"/>
    </xf>
    <xf numFmtId="0" fontId="2" fillId="39" borderId="29" xfId="78" applyFont="1" applyFill="1" applyBorder="1" applyAlignment="1">
      <alignment vertical="center"/>
    </xf>
    <xf numFmtId="0" fontId="3" fillId="39" borderId="30" xfId="78" applyFont="1" applyFill="1" applyBorder="1" applyAlignment="1">
      <alignment vertical="center"/>
    </xf>
    <xf numFmtId="10" fontId="4" fillId="44" borderId="32" xfId="84" applyNumberFormat="1" applyFont="1" applyFill="1" applyBorder="1" applyAlignment="1">
      <alignment horizontal="center"/>
    </xf>
    <xf numFmtId="0" fontId="3" fillId="39" borderId="31" xfId="78" applyFont="1" applyFill="1" applyBorder="1" applyAlignment="1">
      <alignment vertical="center"/>
    </xf>
    <xf numFmtId="10" fontId="2" fillId="46" borderId="4" xfId="84" applyNumberFormat="1" applyFill="1" applyBorder="1" applyAlignment="1">
      <alignment horizontal="center"/>
    </xf>
    <xf numFmtId="10" fontId="2" fillId="46" borderId="22" xfId="84" applyNumberFormat="1" applyFill="1" applyBorder="1" applyAlignment="1">
      <alignment horizontal="center"/>
    </xf>
    <xf numFmtId="0" fontId="46" fillId="45" borderId="33" xfId="0" applyFont="1" applyFill="1" applyBorder="1" applyAlignment="1">
      <alignment horizontal="center" vertical="top"/>
    </xf>
    <xf numFmtId="0" fontId="46" fillId="45" borderId="34" xfId="0" applyFont="1" applyFill="1" applyBorder="1" applyAlignment="1">
      <alignment horizontal="center" vertical="top"/>
    </xf>
    <xf numFmtId="0" fontId="46" fillId="45" borderId="35" xfId="0" applyFont="1" applyFill="1" applyBorder="1" applyAlignment="1">
      <alignment horizontal="center" vertical="top"/>
    </xf>
    <xf numFmtId="0" fontId="47" fillId="0" borderId="36" xfId="0" applyFont="1" applyBorder="1" applyAlignment="1">
      <alignment horizontal="center" vertical="top"/>
    </xf>
    <xf numFmtId="0" fontId="47" fillId="0" borderId="37" xfId="0" applyFont="1" applyBorder="1" applyAlignment="1">
      <alignment horizontal="center" vertical="top"/>
    </xf>
    <xf numFmtId="173" fontId="47" fillId="0" borderId="37" xfId="84" applyNumberFormat="1" applyFont="1" applyBorder="1" applyAlignment="1">
      <alignment horizontal="center" vertical="top"/>
    </xf>
    <xf numFmtId="1" fontId="47" fillId="0" borderId="37" xfId="0" applyNumberFormat="1" applyFont="1" applyBorder="1" applyAlignment="1">
      <alignment horizontal="center" vertical="top"/>
    </xf>
    <xf numFmtId="0" fontId="47" fillId="0" borderId="0" xfId="0" applyFont="1" applyAlignment="1">
      <alignment horizontal="center"/>
    </xf>
    <xf numFmtId="0" fontId="48" fillId="47" borderId="38" xfId="0" applyFont="1" applyFill="1" applyBorder="1" applyAlignment="1">
      <alignment horizontal="center"/>
    </xf>
    <xf numFmtId="0" fontId="0" fillId="48" borderId="0" xfId="0" applyFill="1" applyAlignment="1">
      <alignment horizontal="center"/>
    </xf>
    <xf numFmtId="0" fontId="0" fillId="0" borderId="0" xfId="0" applyAlignment="1">
      <alignment horizontal="center"/>
    </xf>
    <xf numFmtId="175" fontId="0" fillId="0" borderId="0" xfId="46" applyNumberFormat="1" applyFont="1" applyAlignment="1">
      <alignment horizontal="center"/>
    </xf>
    <xf numFmtId="0" fontId="49" fillId="49" borderId="39" xfId="0" applyFont="1" applyFill="1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50" fillId="0" borderId="39" xfId="0" applyFont="1" applyBorder="1" applyAlignment="1">
      <alignment horizontal="center"/>
    </xf>
    <xf numFmtId="10" fontId="50" fillId="0" borderId="39" xfId="0" applyNumberFormat="1" applyFont="1" applyBorder="1" applyAlignment="1">
      <alignment horizontal="center"/>
    </xf>
    <xf numFmtId="0" fontId="51" fillId="0" borderId="0" xfId="0" applyFont="1"/>
    <xf numFmtId="10" fontId="45" fillId="0" borderId="39" xfId="0" applyNumberFormat="1" applyFont="1" applyBorder="1" applyAlignment="1">
      <alignment horizontal="center" vertical="center"/>
    </xf>
    <xf numFmtId="167" fontId="2" fillId="0" borderId="39" xfId="0" applyNumberFormat="1" applyFont="1" applyFill="1" applyBorder="1" applyAlignment="1">
      <alignment horizontal="center" vertical="center" wrapText="1"/>
    </xf>
    <xf numFmtId="43" fontId="2" fillId="0" borderId="39" xfId="0" applyNumberFormat="1" applyFont="1" applyFill="1" applyBorder="1" applyAlignment="1">
      <alignment horizontal="center" vertical="center" wrapText="1"/>
    </xf>
    <xf numFmtId="0" fontId="52" fillId="0" borderId="40" xfId="0" applyFont="1" applyBorder="1"/>
    <xf numFmtId="176" fontId="45" fillId="0" borderId="41" xfId="0" applyNumberFormat="1" applyFont="1" applyBorder="1"/>
    <xf numFmtId="0" fontId="52" fillId="0" borderId="42" xfId="0" applyFont="1" applyBorder="1"/>
    <xf numFmtId="0" fontId="45" fillId="0" borderId="25" xfId="0" applyFont="1" applyBorder="1"/>
    <xf numFmtId="0" fontId="52" fillId="0" borderId="43" xfId="0" applyFont="1" applyBorder="1"/>
    <xf numFmtId="0" fontId="45" fillId="0" borderId="44" xfId="0" applyFont="1" applyBorder="1"/>
    <xf numFmtId="0" fontId="53" fillId="50" borderId="39" xfId="0" applyFont="1" applyFill="1" applyBorder="1" applyAlignment="1">
      <alignment horizontal="center" vertical="center"/>
    </xf>
    <xf numFmtId="43" fontId="0" fillId="0" borderId="0" xfId="46" applyFont="1"/>
    <xf numFmtId="43" fontId="47" fillId="0" borderId="37" xfId="46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43" fontId="47" fillId="0" borderId="0" xfId="46" applyFont="1" applyBorder="1" applyAlignment="1">
      <alignment horizontal="center" vertical="top"/>
    </xf>
    <xf numFmtId="1" fontId="0" fillId="48" borderId="0" xfId="46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46" applyNumberFormat="1" applyFont="1" applyFill="1" applyAlignment="1">
      <alignment horizontal="center"/>
    </xf>
    <xf numFmtId="0" fontId="54" fillId="0" borderId="0" xfId="0" applyFont="1" applyAlignment="1">
      <alignment horizontal="left" vertical="center" wrapText="1"/>
    </xf>
    <xf numFmtId="0" fontId="6" fillId="51" borderId="0" xfId="78" applyFont="1" applyFill="1" applyBorder="1"/>
    <xf numFmtId="0" fontId="12" fillId="43" borderId="15" xfId="78" applyFont="1" applyFill="1" applyBorder="1"/>
    <xf numFmtId="1" fontId="2" fillId="39" borderId="45" xfId="79" applyNumberFormat="1" applyFont="1" applyFill="1" applyBorder="1" applyAlignment="1">
      <alignment horizontal="left" vertical="center"/>
    </xf>
    <xf numFmtId="10" fontId="0" fillId="0" borderId="0" xfId="0" applyNumberFormat="1" applyAlignment="1">
      <alignment wrapText="1"/>
    </xf>
    <xf numFmtId="0" fontId="12" fillId="43" borderId="19" xfId="78" applyFont="1" applyFill="1" applyBorder="1" applyAlignment="1">
      <alignment horizontal="center"/>
    </xf>
    <xf numFmtId="0" fontId="12" fillId="43" borderId="15" xfId="78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50" fillId="0" borderId="39" xfId="0" applyFont="1" applyFill="1" applyBorder="1" applyAlignment="1">
      <alignment horizontal="center"/>
    </xf>
    <xf numFmtId="10" fontId="50" fillId="0" borderId="39" xfId="0" applyNumberFormat="1" applyFont="1" applyFill="1" applyBorder="1" applyAlignment="1">
      <alignment horizontal="center"/>
    </xf>
    <xf numFmtId="10" fontId="2" fillId="39" borderId="46" xfId="84" applyNumberFormat="1" applyFont="1" applyFill="1" applyBorder="1" applyAlignment="1">
      <alignment horizontal="center"/>
    </xf>
    <xf numFmtId="173" fontId="2" fillId="39" borderId="46" xfId="84" applyNumberFormat="1" applyFont="1" applyFill="1" applyBorder="1" applyAlignment="1">
      <alignment horizontal="center"/>
    </xf>
    <xf numFmtId="0" fontId="46" fillId="45" borderId="47" xfId="0" applyFont="1" applyFill="1" applyBorder="1" applyAlignment="1">
      <alignment horizontal="center" vertical="top"/>
    </xf>
    <xf numFmtId="0" fontId="47" fillId="0" borderId="48" xfId="0" applyFont="1" applyBorder="1" applyAlignment="1">
      <alignment horizontal="center" vertical="top"/>
    </xf>
    <xf numFmtId="9" fontId="47" fillId="0" borderId="37" xfId="84" applyFont="1" applyBorder="1" applyAlignment="1">
      <alignment horizontal="center" vertical="top"/>
    </xf>
    <xf numFmtId="0" fontId="55" fillId="43" borderId="19" xfId="78" applyFont="1" applyFill="1" applyBorder="1" applyAlignment="1">
      <alignment horizontal="center" wrapText="1"/>
    </xf>
    <xf numFmtId="1" fontId="2" fillId="39" borderId="45" xfId="79" applyNumberFormat="1" applyFont="1" applyFill="1" applyBorder="1" applyAlignment="1">
      <alignment horizontal="center" vertical="center"/>
    </xf>
    <xf numFmtId="0" fontId="12" fillId="43" borderId="19" xfId="78" applyFont="1" applyFill="1" applyBorder="1" applyAlignment="1">
      <alignment vertical="center"/>
    </xf>
    <xf numFmtId="0" fontId="52" fillId="0" borderId="39" xfId="0" applyFont="1" applyFill="1" applyBorder="1" applyAlignment="1">
      <alignment vertical="center"/>
    </xf>
    <xf numFmtId="10" fontId="2" fillId="0" borderId="39" xfId="139" applyNumberFormat="1" applyFont="1" applyFill="1" applyBorder="1" applyAlignment="1">
      <alignment horizontal="center" vertical="center" wrapText="1"/>
    </xf>
    <xf numFmtId="9" fontId="2" fillId="0" borderId="39" xfId="0" applyNumberFormat="1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177" fontId="2" fillId="0" borderId="39" xfId="0" applyNumberFormat="1" applyFont="1" applyFill="1" applyBorder="1" applyAlignment="1">
      <alignment horizontal="center" vertical="center" wrapText="1"/>
    </xf>
    <xf numFmtId="0" fontId="44" fillId="50" borderId="50" xfId="0" applyFont="1" applyFill="1" applyBorder="1" applyAlignment="1">
      <alignment vertical="center" wrapText="1"/>
    </xf>
    <xf numFmtId="0" fontId="44" fillId="50" borderId="50" xfId="0" applyFont="1" applyFill="1" applyBorder="1" applyAlignment="1">
      <alignment horizontal="center" vertical="center" wrapText="1"/>
    </xf>
    <xf numFmtId="0" fontId="52" fillId="0" borderId="51" xfId="0" applyFont="1" applyFill="1" applyBorder="1" applyAlignment="1">
      <alignment vertical="center"/>
    </xf>
    <xf numFmtId="10" fontId="2" fillId="0" borderId="51" xfId="139" applyNumberFormat="1" applyFont="1" applyFill="1" applyBorder="1" applyAlignment="1">
      <alignment horizontal="center" vertical="center" wrapText="1"/>
    </xf>
    <xf numFmtId="167" fontId="2" fillId="0" borderId="51" xfId="0" applyNumberFormat="1" applyFont="1" applyFill="1" applyBorder="1" applyAlignment="1">
      <alignment horizontal="center" vertical="center" wrapText="1"/>
    </xf>
    <xf numFmtId="10" fontId="2" fillId="51" borderId="51" xfId="139" applyNumberFormat="1" applyFont="1" applyFill="1" applyBorder="1" applyAlignment="1">
      <alignment horizontal="center" vertical="center" wrapText="1"/>
    </xf>
    <xf numFmtId="176" fontId="2" fillId="0" borderId="51" xfId="0" applyNumberFormat="1" applyFont="1" applyFill="1" applyBorder="1" applyAlignment="1">
      <alignment horizontal="center" vertical="center" wrapText="1"/>
    </xf>
    <xf numFmtId="43" fontId="2" fillId="0" borderId="51" xfId="0" applyNumberFormat="1" applyFont="1" applyFill="1" applyBorder="1" applyAlignment="1">
      <alignment horizontal="center" vertical="center" wrapText="1"/>
    </xf>
    <xf numFmtId="10" fontId="2" fillId="0" borderId="51" xfId="138" applyNumberFormat="1" applyFont="1" applyFill="1" applyBorder="1" applyAlignment="1">
      <alignment horizontal="center" vertical="center" wrapText="1"/>
    </xf>
    <xf numFmtId="10" fontId="2" fillId="0" borderId="39" xfId="138" applyNumberFormat="1" applyFont="1" applyFill="1" applyBorder="1" applyAlignment="1">
      <alignment horizontal="center" vertical="center" wrapText="1"/>
    </xf>
    <xf numFmtId="43" fontId="2" fillId="0" borderId="0" xfId="46" applyFont="1" applyFill="1" applyBorder="1" applyAlignment="1">
      <alignment horizontal="right" vertical="center" wrapText="1"/>
    </xf>
    <xf numFmtId="176" fontId="45" fillId="0" borderId="0" xfId="0" applyNumberFormat="1" applyFont="1" applyBorder="1"/>
    <xf numFmtId="0" fontId="45" fillId="0" borderId="0" xfId="0" applyFont="1" applyBorder="1"/>
    <xf numFmtId="0" fontId="52" fillId="0" borderId="51" xfId="0" applyFont="1" applyFill="1" applyBorder="1" applyAlignment="1">
      <alignment horizontal="center" vertical="top" wrapText="1"/>
    </xf>
    <xf numFmtId="177" fontId="2" fillId="0" borderId="51" xfId="0" applyNumberFormat="1" applyFont="1" applyFill="1" applyBorder="1" applyAlignment="1">
      <alignment horizontal="center" vertical="center" wrapText="1"/>
    </xf>
    <xf numFmtId="0" fontId="47" fillId="0" borderId="0" xfId="0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43" fontId="0" fillId="52" borderId="0" xfId="46" applyFont="1" applyFill="1" applyBorder="1" applyAlignment="1">
      <alignment horizontal="center"/>
    </xf>
    <xf numFmtId="43" fontId="0" fillId="52" borderId="0" xfId="46" applyFont="1" applyFill="1"/>
    <xf numFmtId="167" fontId="0" fillId="0" borderId="0" xfId="46" applyNumberFormat="1" applyFont="1" applyFill="1" applyBorder="1" applyAlignment="1">
      <alignment horizontal="center"/>
    </xf>
    <xf numFmtId="10" fontId="3" fillId="0" borderId="39" xfId="139" applyNumberFormat="1" applyFont="1" applyFill="1" applyBorder="1" applyAlignment="1">
      <alignment horizontal="center" vertical="center" wrapText="1"/>
    </xf>
    <xf numFmtId="174" fontId="45" fillId="53" borderId="39" xfId="0" applyNumberFormat="1" applyFont="1" applyFill="1" applyBorder="1" applyAlignment="1">
      <alignment horizontal="center" vertical="center"/>
    </xf>
    <xf numFmtId="0" fontId="2" fillId="39" borderId="52" xfId="80" applyFont="1" applyFill="1" applyBorder="1"/>
    <xf numFmtId="0" fontId="2" fillId="39" borderId="53" xfId="80" applyFill="1" applyBorder="1" applyAlignment="1">
      <alignment horizontal="center"/>
    </xf>
    <xf numFmtId="0" fontId="2" fillId="39" borderId="54" xfId="84" applyNumberFormat="1" applyFill="1" applyBorder="1" applyAlignment="1">
      <alignment horizontal="center"/>
    </xf>
    <xf numFmtId="0" fontId="2" fillId="39" borderId="52" xfId="80" applyFill="1" applyBorder="1"/>
    <xf numFmtId="0" fontId="2" fillId="39" borderId="55" xfId="80" applyFont="1" applyFill="1" applyBorder="1"/>
    <xf numFmtId="0" fontId="2" fillId="39" borderId="56" xfId="80" applyFill="1" applyBorder="1" applyAlignment="1">
      <alignment horizontal="center"/>
    </xf>
    <xf numFmtId="0" fontId="2" fillId="39" borderId="57" xfId="84" applyNumberFormat="1" applyFill="1" applyBorder="1" applyAlignment="1">
      <alignment horizontal="center"/>
    </xf>
    <xf numFmtId="10" fontId="2" fillId="0" borderId="51" xfId="84" applyNumberFormat="1" applyFont="1" applyFill="1" applyBorder="1" applyAlignment="1">
      <alignment horizontal="center" vertical="center" wrapText="1"/>
    </xf>
    <xf numFmtId="9" fontId="2" fillId="39" borderId="18" xfId="84" applyFill="1" applyBorder="1" applyAlignment="1">
      <alignment horizontal="center"/>
    </xf>
    <xf numFmtId="9" fontId="2" fillId="39" borderId="23" xfId="84" applyFill="1" applyBorder="1" applyAlignment="1">
      <alignment horizontal="center"/>
    </xf>
    <xf numFmtId="9" fontId="2" fillId="39" borderId="54" xfId="84" applyFill="1" applyBorder="1" applyAlignment="1">
      <alignment horizontal="center"/>
    </xf>
    <xf numFmtId="9" fontId="2" fillId="39" borderId="57" xfId="84" applyFill="1" applyBorder="1" applyAlignment="1">
      <alignment horizontal="center"/>
    </xf>
    <xf numFmtId="166" fontId="2" fillId="39" borderId="18" xfId="84" applyNumberFormat="1" applyFill="1" applyBorder="1" applyAlignment="1">
      <alignment horizontal="center"/>
    </xf>
    <xf numFmtId="49" fontId="51" fillId="0" borderId="0" xfId="0" applyNumberFormat="1" applyFont="1" applyAlignment="1">
      <alignment horizontal="center"/>
    </xf>
    <xf numFmtId="0" fontId="46" fillId="45" borderId="58" xfId="0" applyFont="1" applyFill="1" applyBorder="1" applyAlignment="1">
      <alignment horizontal="center" vertical="top"/>
    </xf>
    <xf numFmtId="0" fontId="46" fillId="45" borderId="59" xfId="0" applyFont="1" applyFill="1" applyBorder="1" applyAlignment="1">
      <alignment horizontal="center" vertical="top"/>
    </xf>
    <xf numFmtId="0" fontId="46" fillId="45" borderId="60" xfId="0" applyFont="1" applyFill="1" applyBorder="1" applyAlignment="1">
      <alignment horizontal="center" vertical="top"/>
    </xf>
    <xf numFmtId="0" fontId="0" fillId="52" borderId="0" xfId="0" applyFill="1" applyBorder="1" applyAlignment="1">
      <alignment horizontal="center"/>
    </xf>
    <xf numFmtId="0" fontId="0" fillId="54" borderId="0" xfId="0" applyFill="1"/>
    <xf numFmtId="0" fontId="45" fillId="0" borderId="49" xfId="0" applyFont="1" applyBorder="1" applyAlignment="1">
      <alignment horizontal="center" vertical="center" textRotation="90" wrapText="1"/>
    </xf>
    <xf numFmtId="0" fontId="45" fillId="0" borderId="25" xfId="0" applyFont="1" applyBorder="1" applyAlignment="1">
      <alignment horizontal="center" vertical="center" textRotation="90" wrapText="1"/>
    </xf>
    <xf numFmtId="0" fontId="0" fillId="52" borderId="0" xfId="0" applyFill="1" applyBorder="1" applyAlignment="1">
      <alignment horizontal="center"/>
    </xf>
    <xf numFmtId="0" fontId="2" fillId="54" borderId="0" xfId="0" applyFont="1" applyFill="1" applyAlignment="1">
      <alignment horizontal="center"/>
    </xf>
    <xf numFmtId="0" fontId="0" fillId="54" borderId="0" xfId="0" applyFill="1" applyAlignment="1">
      <alignment horizontal="center"/>
    </xf>
    <xf numFmtId="0" fontId="12" fillId="43" borderId="19" xfId="78" applyFont="1" applyFill="1" applyBorder="1" applyAlignment="1">
      <alignment horizontal="center" wrapText="1"/>
    </xf>
    <xf numFmtId="0" fontId="12" fillId="43" borderId="15" xfId="78" applyFont="1" applyFill="1" applyBorder="1" applyAlignment="1">
      <alignment horizontal="center" wrapText="1"/>
    </xf>
  </cellXfs>
  <cellStyles count="140">
    <cellStyle name="_01338660" xfId="1" xr:uid="{00000000-0005-0000-0000-000000000000}"/>
    <cellStyle name="_2 Years Forecast" xfId="2" xr:uid="{00000000-0005-0000-0000-000001000000}"/>
    <cellStyle name="_alt" xfId="3" xr:uid="{00000000-0005-0000-0000-000002000000}"/>
    <cellStyle name="_CAPM 2006-2009 - v37" xfId="4" xr:uid="{00000000-0005-0000-0000-000003000000}"/>
    <cellStyle name="_CIB BS Dec Monthly Average Budget '08 vs RE2 '07 (TM1) - B&amp;TF" xfId="5" xr:uid="{00000000-0005-0000-0000-000004000000}"/>
    <cellStyle name="_CIB BS Dec Monthly Average Budget '08 vs RE2 '07 (TM1) - Bus.Enablers" xfId="6" xr:uid="{00000000-0005-0000-0000-000005000000}"/>
    <cellStyle name="_CIB BS Dec Monthly Average Budget '08 vs RE2 '07 (TM1) - GM" xfId="7" xr:uid="{00000000-0005-0000-0000-000006000000}"/>
    <cellStyle name="_CIB BS Dec Monthly Average Budget '08 vs RE2 '07 (TM1) - IB" xfId="8" xr:uid="{00000000-0005-0000-0000-000007000000}"/>
    <cellStyle name="_CIB BS Dec Monthly Average Budget '08 vs RE2 '07 (TM1) - ICB" xfId="9" xr:uid="{00000000-0005-0000-0000-000008000000}"/>
    <cellStyle name="_CIB BS Dec Monthly Average Budget '08 vs RE2 '07 (TM1) - IRDev" xfId="10" xr:uid="{00000000-0005-0000-0000-000009000000}"/>
    <cellStyle name="_CIB BS Dec Monthly Average Budget '08 vs RE2 '07 (TM1) - Prop" xfId="11" xr:uid="{00000000-0005-0000-0000-00000A000000}"/>
    <cellStyle name="_CIB International Templatesv2" xfId="12" xr:uid="{00000000-0005-0000-0000-00000B000000}"/>
    <cellStyle name="_dcb essentials" xfId="13" xr:uid="{00000000-0005-0000-0000-00000C000000}"/>
    <cellStyle name="_Dividend Update" xfId="14" xr:uid="{00000000-0005-0000-0000-00000D000000}"/>
    <cellStyle name="_ICAAP 2008 Budget - submission with Ave" xfId="15" xr:uid="{00000000-0005-0000-0000-00000E000000}"/>
    <cellStyle name="_Interest rate sensitivity 060412" xfId="16" xr:uid="{00000000-0005-0000-0000-00000F000000}"/>
    <cellStyle name="_summary projections" xfId="17" xr:uid="{00000000-0005-0000-0000-000010000000}"/>
    <cellStyle name="20% - Accent1" xfId="18" builtinId="30" customBuiltin="1"/>
    <cellStyle name="20% - Accent2" xfId="19" builtinId="34" customBuiltin="1"/>
    <cellStyle name="20% - Accent3" xfId="20" builtinId="38" customBuiltin="1"/>
    <cellStyle name="20% - Accent4" xfId="21" builtinId="42" customBuiltin="1"/>
    <cellStyle name="20% - Accent5" xfId="22" builtinId="46" customBuiltin="1"/>
    <cellStyle name="20% - Accent6" xfId="23" builtinId="50" customBuiltin="1"/>
    <cellStyle name="40% - Accent1" xfId="24" builtinId="31" customBuiltin="1"/>
    <cellStyle name="40% - Accent2" xfId="25" builtinId="35" customBuiltin="1"/>
    <cellStyle name="40% - Accent3" xfId="26" builtinId="39" customBuiltin="1"/>
    <cellStyle name="40% - Accent4" xfId="27" builtinId="43" customBuiltin="1"/>
    <cellStyle name="40% - Accent5" xfId="28" builtinId="47" customBuiltin="1"/>
    <cellStyle name="40% - Accent6" xfId="29" builtinId="51" customBuiltin="1"/>
    <cellStyle name="60% - Accent1" xfId="30" builtinId="32" customBuiltin="1"/>
    <cellStyle name="60% - Accent2" xfId="31" builtinId="36" customBuiltin="1"/>
    <cellStyle name="60% - Accent3" xfId="32" builtinId="40" customBuiltin="1"/>
    <cellStyle name="60% - Accent4" xfId="33" builtinId="44" customBuiltin="1"/>
    <cellStyle name="60% - Accent5" xfId="34" builtinId="48" customBuiltin="1"/>
    <cellStyle name="60% - Accent6" xfId="35" builtinId="52" customBuiltin="1"/>
    <cellStyle name="Accent1" xfId="36" builtinId="29" customBuiltin="1"/>
    <cellStyle name="Accent2" xfId="37" builtinId="33" customBuiltin="1"/>
    <cellStyle name="Accent3" xfId="38" builtinId="37" customBuiltin="1"/>
    <cellStyle name="Accent4" xfId="39" builtinId="41" customBuiltin="1"/>
    <cellStyle name="Accent5" xfId="40" builtinId="45" customBuiltin="1"/>
    <cellStyle name="Accent6" xfId="41" builtinId="49" customBuiltin="1"/>
    <cellStyle name="args.style" xfId="42" xr:uid="{00000000-0005-0000-0000-000029000000}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 - Style1" xfId="47" xr:uid="{00000000-0005-0000-0000-00002E000000}"/>
    <cellStyle name="Comma  - Style2" xfId="48" xr:uid="{00000000-0005-0000-0000-00002F000000}"/>
    <cellStyle name="Comma  - Style3" xfId="49" xr:uid="{00000000-0005-0000-0000-000030000000}"/>
    <cellStyle name="Comma  - Style4" xfId="50" xr:uid="{00000000-0005-0000-0000-000031000000}"/>
    <cellStyle name="Comma  - Style5" xfId="51" xr:uid="{00000000-0005-0000-0000-000032000000}"/>
    <cellStyle name="Comma  - Style6" xfId="52" xr:uid="{00000000-0005-0000-0000-000033000000}"/>
    <cellStyle name="Comma  - Style7" xfId="53" xr:uid="{00000000-0005-0000-0000-000034000000}"/>
    <cellStyle name="Comma  - Style8" xfId="54" xr:uid="{00000000-0005-0000-0000-000035000000}"/>
    <cellStyle name="Comma 2" xfId="137" xr:uid="{00000000-0005-0000-0000-000036000000}"/>
    <cellStyle name="Comma0" xfId="55" xr:uid="{00000000-0005-0000-0000-000037000000}"/>
    <cellStyle name="Currency 2" xfId="136" xr:uid="{00000000-0005-0000-0000-000038000000}"/>
    <cellStyle name="Currency0" xfId="56" xr:uid="{00000000-0005-0000-0000-000039000000}"/>
    <cellStyle name="Date" xfId="57" xr:uid="{00000000-0005-0000-0000-00003A000000}"/>
    <cellStyle name="Euro" xfId="58" xr:uid="{00000000-0005-0000-0000-00003B000000}"/>
    <cellStyle name="Explanatory Text" xfId="59" builtinId="53" customBuiltin="1"/>
    <cellStyle name="Fixed" xfId="60" xr:uid="{00000000-0005-0000-0000-00003D000000}"/>
    <cellStyle name="Good" xfId="61" builtinId="26" customBuiltin="1"/>
    <cellStyle name="Header1" xfId="62" xr:uid="{00000000-0005-0000-0000-00003F000000}"/>
    <cellStyle name="Header2" xfId="63" xr:uid="{00000000-0005-0000-0000-000040000000}"/>
    <cellStyle name="Heading 1" xfId="64" builtinId="16" customBuiltin="1"/>
    <cellStyle name="Heading 2" xfId="65" builtinId="17" customBuiltin="1"/>
    <cellStyle name="Heading 3" xfId="66" builtinId="18" customBuiltin="1"/>
    <cellStyle name="Heading 4" xfId="67" builtinId="19" customBuiltin="1"/>
    <cellStyle name="HEADING1" xfId="68" xr:uid="{00000000-0005-0000-0000-000045000000}"/>
    <cellStyle name="HEADING2" xfId="69" xr:uid="{00000000-0005-0000-0000-000046000000}"/>
    <cellStyle name="Input" xfId="70" builtinId="20" customBuiltin="1"/>
    <cellStyle name="Input Cells" xfId="71" xr:uid="{00000000-0005-0000-0000-000048000000}"/>
    <cellStyle name="Linked Cell" xfId="72" builtinId="24" customBuiltin="1"/>
    <cellStyle name="Moeda [0]_BALUS$092000" xfId="73" xr:uid="{00000000-0005-0000-0000-00004A000000}"/>
    <cellStyle name="Moeda_BALUS$092000" xfId="74" xr:uid="{00000000-0005-0000-0000-00004B000000}"/>
    <cellStyle name="Neutral" xfId="75" builtinId="28" customBuiltin="1"/>
    <cellStyle name="Nor}al" xfId="76" xr:uid="{00000000-0005-0000-0000-00004D000000}"/>
    <cellStyle name="Normal" xfId="0" builtinId="0"/>
    <cellStyle name="Normal - Style1" xfId="77" xr:uid="{00000000-0005-0000-0000-00004F000000}"/>
    <cellStyle name="Normal 2" xfId="135" xr:uid="{00000000-0005-0000-0000-000050000000}"/>
    <cellStyle name="Normal_Capital Projection Model 20060509" xfId="78" xr:uid="{00000000-0005-0000-0000-000051000000}"/>
    <cellStyle name="Normal_CAPM 2006-2009 - v37" xfId="79" xr:uid="{00000000-0005-0000-0000-000052000000}"/>
    <cellStyle name="Normal_cyclicality" xfId="80" xr:uid="{00000000-0005-0000-0000-000053000000}"/>
    <cellStyle name="Note" xfId="81" builtinId="10" customBuiltin="1"/>
    <cellStyle name="Output" xfId="82" builtinId="21" customBuiltin="1"/>
    <cellStyle name="per.style" xfId="83" xr:uid="{00000000-0005-0000-0000-000056000000}"/>
    <cellStyle name="Percent" xfId="84" builtinId="5"/>
    <cellStyle name="Percent 2" xfId="138" xr:uid="{00000000-0005-0000-0000-000058000000}"/>
    <cellStyle name="Percent 2 2" xfId="139" xr:uid="{F56E3402-4750-4CE6-805F-818EF2B91AA6}"/>
    <cellStyle name="SAPBEXaggData" xfId="85" xr:uid="{00000000-0005-0000-0000-000059000000}"/>
    <cellStyle name="SAPBEXaggDataEmph" xfId="86" xr:uid="{00000000-0005-0000-0000-00005A000000}"/>
    <cellStyle name="SAPBEXaggItem" xfId="87" xr:uid="{00000000-0005-0000-0000-00005B000000}"/>
    <cellStyle name="SAPBEXaggItemX" xfId="88" xr:uid="{00000000-0005-0000-0000-00005C000000}"/>
    <cellStyle name="SAPBEXchaText" xfId="89" xr:uid="{00000000-0005-0000-0000-00005D000000}"/>
    <cellStyle name="SAPBEXexcBad7" xfId="90" xr:uid="{00000000-0005-0000-0000-00005E000000}"/>
    <cellStyle name="SAPBEXexcBad8" xfId="91" xr:uid="{00000000-0005-0000-0000-00005F000000}"/>
    <cellStyle name="SAPBEXexcBad9" xfId="92" xr:uid="{00000000-0005-0000-0000-000060000000}"/>
    <cellStyle name="SAPBEXexcCritical4" xfId="93" xr:uid="{00000000-0005-0000-0000-000061000000}"/>
    <cellStyle name="SAPBEXexcCritical5" xfId="94" xr:uid="{00000000-0005-0000-0000-000062000000}"/>
    <cellStyle name="SAPBEXexcCritical6" xfId="95" xr:uid="{00000000-0005-0000-0000-000063000000}"/>
    <cellStyle name="SAPBEXexcGood1" xfId="96" xr:uid="{00000000-0005-0000-0000-000064000000}"/>
    <cellStyle name="SAPBEXexcGood2" xfId="97" xr:uid="{00000000-0005-0000-0000-000065000000}"/>
    <cellStyle name="SAPBEXexcGood3" xfId="98" xr:uid="{00000000-0005-0000-0000-000066000000}"/>
    <cellStyle name="SAPBEXfilterDrill" xfId="99" xr:uid="{00000000-0005-0000-0000-000067000000}"/>
    <cellStyle name="SAPBEXfilterItem" xfId="100" xr:uid="{00000000-0005-0000-0000-000068000000}"/>
    <cellStyle name="SAPBEXfilterText" xfId="101" xr:uid="{00000000-0005-0000-0000-000069000000}"/>
    <cellStyle name="SAPBEXformats" xfId="102" xr:uid="{00000000-0005-0000-0000-00006A000000}"/>
    <cellStyle name="SAPBEXheaderItem" xfId="103" xr:uid="{00000000-0005-0000-0000-00006B000000}"/>
    <cellStyle name="SAPBEXheaderText" xfId="104" xr:uid="{00000000-0005-0000-0000-00006C000000}"/>
    <cellStyle name="SAPBEXHLevel0" xfId="105" xr:uid="{00000000-0005-0000-0000-00006D000000}"/>
    <cellStyle name="SAPBEXHLevel0X" xfId="106" xr:uid="{00000000-0005-0000-0000-00006E000000}"/>
    <cellStyle name="SAPBEXHLevel1" xfId="107" xr:uid="{00000000-0005-0000-0000-00006F000000}"/>
    <cellStyle name="SAPBEXHLevel1X" xfId="108" xr:uid="{00000000-0005-0000-0000-000070000000}"/>
    <cellStyle name="SAPBEXHLevel2" xfId="109" xr:uid="{00000000-0005-0000-0000-000071000000}"/>
    <cellStyle name="SAPBEXHLevel2X" xfId="110" xr:uid="{00000000-0005-0000-0000-000072000000}"/>
    <cellStyle name="SAPBEXHLevel3" xfId="111" xr:uid="{00000000-0005-0000-0000-000073000000}"/>
    <cellStyle name="SAPBEXHLevel3X" xfId="112" xr:uid="{00000000-0005-0000-0000-000074000000}"/>
    <cellStyle name="SAPBEXresData" xfId="113" xr:uid="{00000000-0005-0000-0000-000075000000}"/>
    <cellStyle name="SAPBEXresDataEmph" xfId="114" xr:uid="{00000000-0005-0000-0000-000076000000}"/>
    <cellStyle name="SAPBEXresItem" xfId="115" xr:uid="{00000000-0005-0000-0000-000077000000}"/>
    <cellStyle name="SAPBEXresItemX" xfId="116" xr:uid="{00000000-0005-0000-0000-000078000000}"/>
    <cellStyle name="SAPBEXstdData" xfId="117" xr:uid="{00000000-0005-0000-0000-000079000000}"/>
    <cellStyle name="SAPBEXstdDataEmph" xfId="118" xr:uid="{00000000-0005-0000-0000-00007A000000}"/>
    <cellStyle name="SAPBEXstdItem" xfId="119" xr:uid="{00000000-0005-0000-0000-00007B000000}"/>
    <cellStyle name="SAPBEXstdItemX" xfId="120" xr:uid="{00000000-0005-0000-0000-00007C000000}"/>
    <cellStyle name="SAPBEXtitle" xfId="121" xr:uid="{00000000-0005-0000-0000-00007D000000}"/>
    <cellStyle name="SAPBEXundefined" xfId="122" xr:uid="{00000000-0005-0000-0000-00007E000000}"/>
    <cellStyle name="SAPError" xfId="123" xr:uid="{00000000-0005-0000-0000-00007F000000}"/>
    <cellStyle name="SAPKey" xfId="124" xr:uid="{00000000-0005-0000-0000-000080000000}"/>
    <cellStyle name="SAPLocked" xfId="125" xr:uid="{00000000-0005-0000-0000-000081000000}"/>
    <cellStyle name="SAPOutput" xfId="126" xr:uid="{00000000-0005-0000-0000-000082000000}"/>
    <cellStyle name="SAPSpace" xfId="127" xr:uid="{00000000-0005-0000-0000-000083000000}"/>
    <cellStyle name="SAPText" xfId="128" xr:uid="{00000000-0005-0000-0000-000084000000}"/>
    <cellStyle name="SAPUnLocked" xfId="129" xr:uid="{00000000-0005-0000-0000-000085000000}"/>
    <cellStyle name="SDEntry" xfId="130" xr:uid="{00000000-0005-0000-0000-000086000000}"/>
    <cellStyle name="Style 1" xfId="131" xr:uid="{00000000-0005-0000-0000-000087000000}"/>
    <cellStyle name="Title" xfId="132" builtinId="15" customBuiltin="1"/>
    <cellStyle name="Total" xfId="133" builtinId="25" customBuiltin="1"/>
    <cellStyle name="Warning Text" xfId="13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8585"/>
      <rgbColor rgb="0000FF00"/>
      <rgbColor rgb="000000FF"/>
      <rgbColor rgb="00F1F3F7"/>
      <rgbColor rgb="00FF00FF"/>
      <rgbColor rgb="0000FFFF"/>
      <rgbColor rgb="00CC0000"/>
      <rgbColor rgb="00008000"/>
      <rgbColor rgb="00000080"/>
      <rgbColor rgb="00808000"/>
      <rgbColor rgb="00800080"/>
      <rgbColor rgb="00008080"/>
      <rgbColor rgb="00C0C0C0"/>
      <rgbColor rgb="00808080"/>
      <rgbColor rgb="00C0C0C0"/>
      <rgbColor rgb="00000000"/>
      <rgbColor rgb="00F4F4F4"/>
      <rgbColor rgb="00777777"/>
      <rgbColor rgb="00DDDDDD"/>
      <rgbColor rgb="00989898"/>
      <rgbColor rgb="00808080"/>
      <rgbColor rgb="00B2B2B2"/>
      <rgbColor rgb="00CC0000"/>
      <rgbColor rgb="00C0C0C0"/>
      <rgbColor rgb="00000000"/>
      <rgbColor rgb="00FFFFFF"/>
      <rgbColor rgb="00777777"/>
      <rgbColor rgb="00DDDDDD"/>
      <rgbColor rgb="0099A3A3"/>
      <rgbColor rgb="00808C8A"/>
      <rgbColor rgb="00C2CADC"/>
      <rgbColor rgb="00CCFFFF"/>
      <rgbColor rgb="00CCFFCC"/>
      <rgbColor rgb="00FFFF99"/>
      <rgbColor rgb="0099CCFF"/>
      <rgbColor rgb="00FF99CC"/>
      <rgbColor rgb="00CC99FF"/>
      <rgbColor rgb="00FFCC99"/>
      <rgbColor rgb="00E6E88C"/>
      <rgbColor rgb="00EACC9A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5D88F"/>
      <color rgb="FFFFCC99"/>
      <color rgb="FFDA9100"/>
      <color rgb="FFFFE7B7"/>
      <color rgb="FFFFCD69"/>
      <color rgb="FFFFAA01"/>
      <color rgb="FFFFDE9B"/>
      <color rgb="FFFFCC66"/>
      <color rgb="FFFFCC00"/>
      <color rgb="FF8A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131295</xdr:colOff>
      <xdr:row>1</xdr:row>
      <xdr:rowOff>198967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98120" cy="618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EBC0-20DB-4CFC-A0C5-FF1D2FE46152}">
  <sheetPr codeName="Sheet28"/>
  <dimension ref="A1:Q32"/>
  <sheetViews>
    <sheetView showGridLines="0" defaultGridColor="0" colorId="9" zoomScaleNormal="100" workbookViewId="0">
      <pane ySplit="1" topLeftCell="A2" activePane="bottomLeft" state="frozen"/>
      <selection pane="bottomLeft" activeCell="B36" sqref="B36"/>
    </sheetView>
  </sheetViews>
  <sheetFormatPr baseColWidth="10" defaultColWidth="8.83203125" defaultRowHeight="13"/>
  <cols>
    <col min="1" max="1" width="9.33203125" customWidth="1"/>
    <col min="2" max="2" width="36" customWidth="1"/>
    <col min="3" max="3" width="15.6640625" bestFit="1" customWidth="1"/>
    <col min="4" max="4" width="13.6640625" customWidth="1"/>
    <col min="5" max="5" width="11" customWidth="1"/>
    <col min="6" max="6" width="12.1640625" customWidth="1"/>
    <col min="7" max="7" width="16.5" bestFit="1" customWidth="1"/>
    <col min="8" max="8" width="11.6640625" customWidth="1"/>
    <col min="9" max="9" width="14.33203125" customWidth="1"/>
    <col min="10" max="10" width="8.1640625" bestFit="1" customWidth="1"/>
    <col min="11" max="11" width="13.33203125" customWidth="1"/>
    <col min="12" max="12" width="9.5" customWidth="1"/>
    <col min="13" max="13" width="8.83203125" customWidth="1"/>
    <col min="14" max="14" width="10" customWidth="1"/>
    <col min="15" max="15" width="13.33203125" customWidth="1"/>
  </cols>
  <sheetData>
    <row r="1" spans="1:17" ht="14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ht="14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ht="14">
      <c r="A3" s="49"/>
      <c r="B3" s="49"/>
      <c r="C3" s="49"/>
      <c r="D3" s="49"/>
      <c r="E3" s="49"/>
      <c r="F3" s="49"/>
      <c r="G3" s="59" t="s">
        <v>47</v>
      </c>
      <c r="H3" s="50">
        <v>0.08</v>
      </c>
      <c r="I3" s="49"/>
      <c r="J3" s="49"/>
      <c r="K3" s="49"/>
      <c r="L3" s="49"/>
      <c r="M3" s="49"/>
      <c r="N3" s="49"/>
      <c r="O3" s="49"/>
      <c r="P3" s="49"/>
      <c r="Q3" s="49"/>
    </row>
    <row r="4" spans="1:17" ht="14">
      <c r="A4" s="49"/>
      <c r="B4" s="49" t="s">
        <v>79</v>
      </c>
      <c r="C4" s="126">
        <v>2017</v>
      </c>
      <c r="D4" s="49"/>
      <c r="E4" s="49"/>
      <c r="F4" s="49"/>
      <c r="G4" s="59" t="s">
        <v>48</v>
      </c>
      <c r="H4" s="50">
        <v>0.99450000000000005</v>
      </c>
      <c r="I4" s="49"/>
      <c r="J4" s="49"/>
      <c r="K4" s="49"/>
      <c r="L4" s="49"/>
      <c r="M4" s="49"/>
      <c r="N4" s="49"/>
      <c r="O4" s="49"/>
      <c r="P4" s="49"/>
      <c r="Q4" s="49"/>
    </row>
    <row r="5" spans="1:17" ht="14">
      <c r="A5" s="49"/>
      <c r="B5" s="49"/>
      <c r="C5" s="49"/>
      <c r="D5" s="49"/>
      <c r="E5" s="49"/>
      <c r="F5" s="49"/>
      <c r="G5" s="59" t="s">
        <v>49</v>
      </c>
      <c r="H5" s="112">
        <f>NORMSINV($H$4)</f>
        <v>2.5426988193990505</v>
      </c>
      <c r="I5" s="49"/>
      <c r="J5" s="49"/>
      <c r="K5" s="49"/>
      <c r="L5" s="49"/>
      <c r="M5" s="49"/>
      <c r="N5" s="49"/>
      <c r="O5" s="49"/>
      <c r="P5" s="49"/>
      <c r="Q5" s="49"/>
    </row>
    <row r="6" spans="1:17" ht="14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</row>
    <row r="7" spans="1:17" ht="28">
      <c r="A7" s="49"/>
      <c r="B7" s="91" t="s">
        <v>58</v>
      </c>
      <c r="C7" s="92"/>
      <c r="D7" s="92" t="s">
        <v>9</v>
      </c>
      <c r="E7" s="92" t="s">
        <v>50</v>
      </c>
      <c r="F7" s="92" t="s">
        <v>11</v>
      </c>
      <c r="G7" s="92" t="s">
        <v>61</v>
      </c>
      <c r="H7" s="92" t="s">
        <v>51</v>
      </c>
      <c r="I7" s="92" t="s">
        <v>67</v>
      </c>
      <c r="J7" s="92" t="s">
        <v>52</v>
      </c>
      <c r="K7" s="92" t="s">
        <v>53</v>
      </c>
      <c r="L7" s="92" t="s">
        <v>54</v>
      </c>
      <c r="M7" s="92" t="s">
        <v>55</v>
      </c>
      <c r="N7" s="92" t="s">
        <v>69</v>
      </c>
      <c r="O7" s="92" t="s">
        <v>60</v>
      </c>
      <c r="Q7" s="49"/>
    </row>
    <row r="8" spans="1:17" ht="25.5" customHeight="1">
      <c r="A8" s="132" t="s">
        <v>71</v>
      </c>
      <c r="B8" s="93" t="s">
        <v>68</v>
      </c>
      <c r="C8" s="94"/>
      <c r="D8" s="104" t="s">
        <v>70</v>
      </c>
      <c r="E8" s="94">
        <f>SUMPRODUCT('Data Res''l Mortgages Uninsured'!C3:C230,'Data Res''l Mortgages Uninsured'!$F$3:$F$230)/'Data Res''l Mortgages Uninsured'!$F$231</f>
        <v>2.7128887840807178E-2</v>
      </c>
      <c r="F8" s="94">
        <f>SUMPRODUCT('Data Res''l Mortgages Uninsured'!$H$3:$H$230,'Data Res''l Mortgages Uninsured'!$F$3:$F$230)/'Data Res''l Mortgages Uninsured'!$F$231</f>
        <v>0.33381167072117446</v>
      </c>
      <c r="G8" s="95">
        <f>'Data Res''l Mortgages Uninsured'!$F$231/1000</f>
        <v>9246.1258452349957</v>
      </c>
      <c r="H8" s="120">
        <f t="shared" ref="H8:H9" si="0">VLOOKUP(D8,correlation_tab,2,0)*(1-EXP(-(VLOOKUP(D8,correlation_tab,4,0)*E8)))/(1-EXP(-(VLOOKUP(D8,correlation_tab,4,0))))+VLOOKUP(D8,correlation_tab,3,0)*(1-(1-EXP(-(VLOOKUP(D8,correlation_tab,4,0)*E8))))/(1-EXP(-(VLOOKUP(D8,correlation_tab,4,0))))</f>
        <v>8.0300920444179982E-2</v>
      </c>
      <c r="I8" s="96">
        <f t="shared" ref="I8:I9" si="1">F8*E8</f>
        <v>9.055939374947199E-3</v>
      </c>
      <c r="J8" s="97">
        <f t="shared" ref="J8:J9" si="2">IF(E8&gt;0,(NORMSINV(E8))," ")</f>
        <v>-1.9247729004989824</v>
      </c>
      <c r="K8" s="105">
        <f t="shared" ref="K8:K9" si="3">IF(J8&lt;&gt;" ",(NORMSDIST((1-H8)^-0.5*J8+(H8/(1-H8))^0.5*$H$5)),"")</f>
        <v>0.10461056510580986</v>
      </c>
      <c r="L8" s="99">
        <f t="shared" ref="L8:L9" si="4">IF(K8&lt;&gt;"",(F8*K8),"")</f>
        <v>3.4920227513056581E-2</v>
      </c>
      <c r="M8" s="99">
        <f t="shared" ref="M8:M9" si="5">IF(L8&lt;&gt;"",(L8-I8),"")</f>
        <v>2.5864288138109384E-2</v>
      </c>
      <c r="N8" s="101">
        <f>'Data Res''l Mortgages Uninsured'!L3</f>
        <v>445.53777093696272</v>
      </c>
      <c r="O8" s="98">
        <f t="shared" ref="O8:O9" si="6">M8*G8</f>
        <v>239.14446302237809</v>
      </c>
      <c r="Q8" s="49"/>
    </row>
    <row r="9" spans="1:17" ht="30.75" customHeight="1">
      <c r="A9" s="133"/>
      <c r="B9" s="86" t="s">
        <v>18</v>
      </c>
      <c r="C9" s="87"/>
      <c r="D9" s="111" t="s">
        <v>18</v>
      </c>
      <c r="E9" s="87">
        <f>SUMPRODUCT('Data Commercial'!E4:E117,'Data Commercial'!D4:D117)/'Data Commercial'!D118</f>
        <v>3.2145153414368584E-2</v>
      </c>
      <c r="F9" s="88">
        <f>SUMPRODUCT('Data Commercial'!$D$4:$D$117,'Data Commercial'!$I$4:$I$117)/'Data Commercial'!$D$118</f>
        <v>0.26714251488777346</v>
      </c>
      <c r="G9" s="51">
        <f>'Data Commercial'!$D$118/1000</f>
        <v>2071.0960560000003</v>
      </c>
      <c r="H9" s="120">
        <f t="shared" si="0"/>
        <v>7.2201428912423538E-2</v>
      </c>
      <c r="I9" s="87">
        <f t="shared" si="1"/>
        <v>8.5873371245677212E-3</v>
      </c>
      <c r="J9" s="89">
        <f t="shared" si="2"/>
        <v>-1.8501612868306003</v>
      </c>
      <c r="K9" s="90">
        <f t="shared" si="3"/>
        <v>0.11285485850845969</v>
      </c>
      <c r="L9" s="100">
        <f t="shared" si="4"/>
        <v>3.0148330719253762E-2</v>
      </c>
      <c r="M9" s="100">
        <f t="shared" si="5"/>
        <v>2.1560993594686041E-2</v>
      </c>
      <c r="N9" s="101">
        <f>'Data Commercial'!M4</f>
        <v>101.80499063999966</v>
      </c>
      <c r="O9" s="52">
        <f t="shared" si="6"/>
        <v>44.654888797395529</v>
      </c>
      <c r="Q9" s="49"/>
    </row>
    <row r="10" spans="1:17" ht="14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</row>
    <row r="11" spans="1:17" ht="14">
      <c r="A11" s="49"/>
      <c r="B11" s="53"/>
      <c r="C11" s="54"/>
      <c r="D11" s="102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</row>
    <row r="12" spans="1:17" ht="14">
      <c r="A12" s="49"/>
      <c r="B12" s="55"/>
      <c r="C12" s="56"/>
      <c r="D12" s="103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</row>
    <row r="13" spans="1:17" ht="14">
      <c r="A13" s="49"/>
      <c r="B13" s="55"/>
      <c r="C13" s="56"/>
      <c r="D13" s="103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</row>
    <row r="14" spans="1:17" ht="14">
      <c r="A14" s="49"/>
      <c r="B14" s="55"/>
      <c r="C14" s="56"/>
      <c r="D14" s="103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</row>
    <row r="15" spans="1:17" ht="14">
      <c r="A15" s="49"/>
      <c r="B15" s="55"/>
      <c r="C15" s="56"/>
      <c r="D15" s="103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</row>
    <row r="16" spans="1:17" ht="14">
      <c r="A16" s="49"/>
      <c r="B16" s="55"/>
      <c r="C16" s="56"/>
      <c r="D16" s="103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</row>
    <row r="17" spans="1:17" ht="14">
      <c r="A17" s="49"/>
      <c r="B17" s="55"/>
      <c r="C17" s="56"/>
      <c r="D17" s="103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</row>
    <row r="18" spans="1:17" ht="14">
      <c r="A18" s="49"/>
      <c r="B18" s="57"/>
      <c r="C18" s="58"/>
      <c r="D18" s="103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</row>
    <row r="19" spans="1:17" ht="14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</row>
    <row r="20" spans="1:17" ht="14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</row>
    <row r="21" spans="1:17" ht="14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</row>
    <row r="22" spans="1:17" ht="14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</row>
    <row r="23" spans="1:17" ht="14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</row>
    <row r="24" spans="1:17" ht="1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</row>
    <row r="25" spans="1:17" ht="14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</row>
    <row r="26" spans="1:17" ht="14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</row>
    <row r="27" spans="1:17" ht="14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</row>
    <row r="28" spans="1:17" ht="14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</row>
    <row r="29" spans="1:17" ht="14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</row>
    <row r="30" spans="1:17" ht="14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</row>
    <row r="31" spans="1:17" ht="14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</row>
    <row r="32" spans="1:17" ht="14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</row>
  </sheetData>
  <mergeCells count="1">
    <mergeCell ref="A8:A9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B558-C385-4A24-B2F2-BA67361A6ADB}">
  <sheetPr codeName="Sheet31"/>
  <dimension ref="A1:X231"/>
  <sheetViews>
    <sheetView showGridLines="0" defaultGridColor="0" colorId="9" zoomScale="130" zoomScaleNormal="130" workbookViewId="0">
      <pane ySplit="2" topLeftCell="A3" activePane="bottomLeft" state="frozen"/>
      <selection activeCell="S2" sqref="S2"/>
      <selection pane="bottomLeft" activeCell="C1" sqref="C1"/>
    </sheetView>
  </sheetViews>
  <sheetFormatPr baseColWidth="10" defaultColWidth="8.83203125" defaultRowHeight="13"/>
  <cols>
    <col min="1" max="1" width="16.1640625" bestFit="1" customWidth="1"/>
    <col min="2" max="2" width="21.5" customWidth="1"/>
    <col min="3" max="3" width="20.33203125" bestFit="1" customWidth="1"/>
    <col min="4" max="7" width="20.33203125" customWidth="1"/>
    <col min="8" max="8" width="13.1640625" customWidth="1"/>
    <col min="9" max="9" width="16.83203125" bestFit="1" customWidth="1"/>
    <col min="10" max="10" width="14" customWidth="1"/>
    <col min="11" max="11" width="14.33203125" customWidth="1"/>
    <col min="12" max="20" width="24.83203125" customWidth="1"/>
    <col min="21" max="21" width="8.33203125" bestFit="1" customWidth="1"/>
    <col min="22" max="22" width="18" bestFit="1" customWidth="1"/>
    <col min="23" max="23" width="13.6640625" bestFit="1" customWidth="1"/>
  </cols>
  <sheetData>
    <row r="1" spans="1:24" ht="14" thickBot="1">
      <c r="C1">
        <f>AnchorYr</f>
        <v>2017</v>
      </c>
      <c r="D1">
        <f>AnchorYr+1</f>
        <v>2018</v>
      </c>
      <c r="E1">
        <f>AnchorYr+2</f>
        <v>2019</v>
      </c>
      <c r="L1" s="43">
        <f>AnchorYr</f>
        <v>2017</v>
      </c>
      <c r="M1" s="43"/>
      <c r="N1" s="43"/>
      <c r="O1" s="43"/>
      <c r="P1" s="43">
        <f>AnchorYr+1</f>
        <v>2018</v>
      </c>
      <c r="Q1" s="43"/>
      <c r="R1" s="43"/>
      <c r="S1" s="43"/>
      <c r="T1" s="43">
        <f>AnchorYr+2</f>
        <v>2019</v>
      </c>
    </row>
    <row r="2" spans="1:24">
      <c r="A2" s="33" t="s">
        <v>20</v>
      </c>
      <c r="B2" s="80" t="s">
        <v>9</v>
      </c>
      <c r="C2" s="34" t="s">
        <v>10</v>
      </c>
      <c r="D2" s="34" t="s">
        <v>10</v>
      </c>
      <c r="E2" s="34" t="s">
        <v>10</v>
      </c>
      <c r="F2" s="34" t="s">
        <v>22</v>
      </c>
      <c r="G2" s="34" t="s">
        <v>65</v>
      </c>
      <c r="H2" s="34" t="s">
        <v>11</v>
      </c>
      <c r="I2" s="35" t="s">
        <v>73</v>
      </c>
      <c r="J2" s="35" t="s">
        <v>57</v>
      </c>
      <c r="K2" s="35" t="s">
        <v>59</v>
      </c>
      <c r="L2" s="35" t="s">
        <v>64</v>
      </c>
      <c r="M2" s="35" t="s">
        <v>73</v>
      </c>
      <c r="N2" s="35" t="s">
        <v>57</v>
      </c>
      <c r="O2" s="35" t="s">
        <v>59</v>
      </c>
      <c r="P2" s="35" t="s">
        <v>64</v>
      </c>
      <c r="Q2" s="35" t="s">
        <v>73</v>
      </c>
      <c r="R2" s="35" t="s">
        <v>57</v>
      </c>
      <c r="S2" s="35" t="s">
        <v>59</v>
      </c>
      <c r="T2" s="35" t="s">
        <v>64</v>
      </c>
    </row>
    <row r="3" spans="1:24" ht="15">
      <c r="A3" s="36">
        <v>352062</v>
      </c>
      <c r="B3" s="81" t="s">
        <v>19</v>
      </c>
      <c r="C3" s="38">
        <v>1.5711105999999999E-2</v>
      </c>
      <c r="D3" s="38">
        <f>INDEX('PD Term Structure'!$E$17:$N$26,MATCH($I3,'PD Term Structure'!$D$17:$D$26,0),MATCH(D$1,'PD Term Structure'!$E$16:$N$16,0))</f>
        <v>2.8507278481012657E-2</v>
      </c>
      <c r="E3" s="38">
        <f>INDEX('PD Term Structure'!$E$17:$N$26,MATCH($I3,'PD Term Structure'!$D$17:$D$26,0),MATCH(E$1,'PD Term Structure'!$E$16:$N$16,0))</f>
        <v>4.7291677269631509E-2</v>
      </c>
      <c r="F3" s="39">
        <v>508.59699000000001</v>
      </c>
      <c r="G3" s="82">
        <f t="shared" ref="G3:G12" si="0">VLOOKUP(B3,LGD_para,2,FALSE)</f>
        <v>0.41974816177099206</v>
      </c>
      <c r="H3" s="82">
        <f>(NORMSDIST(-LN(G3)+(VLOOKUP(B3,LGD_para,3,FALSE)^2/2))/VLOOKUP(B3,LGD_para,3,FALSE)-(VLOOKUP(B3,LGD_para,3,FALSE))-G3*(NORMSDIST(-LN(G3)+(VLOOKUP(B3,LGD_para,3,FALSE)^2/2))/VLOOKUP(B3,LGD_para,3,FALSE)))/LOGNORMDIST(1,LN(G3),(VLOOKUP(B3,LGD_para,3,FALSE)))*'LGD parameters'!$D$11</f>
        <v>0.33381167072117429</v>
      </c>
      <c r="I3" s="106">
        <f>VLOOKUP(C3,'PD Term Structure'!$C$5:$D$14,2,TRUE)</f>
        <v>3</v>
      </c>
      <c r="J3" s="43">
        <f>VLOOKUP(I3,'Master rating scale'!$G$5:$H$14,2,FALSE)</f>
        <v>3</v>
      </c>
      <c r="K3" s="107">
        <f t="shared" ref="K3:K66" si="1">F3/$F$231*J3</f>
        <v>1.650194898424748E-4</v>
      </c>
      <c r="L3" s="108">
        <f>IF(SUM(K3:K230)&gt;3,(SUM(K3:K230)-3)*$F$231*0.08/1000,"")</f>
        <v>445.53777093696272</v>
      </c>
      <c r="M3" s="110">
        <f>VLOOKUP(D3,'PD Term Structure'!$C$5:$D$14,2,TRUE)</f>
        <v>4</v>
      </c>
      <c r="N3" s="110">
        <f>M3</f>
        <v>4</v>
      </c>
      <c r="O3" s="107">
        <f>$F3/$F$231*N3</f>
        <v>2.2002598645663306E-4</v>
      </c>
      <c r="P3" s="108">
        <f>IF(SUM(O3:O230)&gt;3,(SUM(O3:O230)-3)*$F$231*0.08/1000,"")</f>
        <v>738.06197878680223</v>
      </c>
      <c r="Q3" s="110">
        <f>VLOOKUP(E3,'PD Term Structure'!$C$5:$D$14,2,TRUE)</f>
        <v>4</v>
      </c>
      <c r="R3" s="110">
        <f>Q3</f>
        <v>4</v>
      </c>
      <c r="S3" s="107">
        <f>$F3/$F$231*R3</f>
        <v>2.2002598645663306E-4</v>
      </c>
      <c r="T3" s="108">
        <f>IF(SUM(S3:S230)&gt;3,(SUM(S3:S230)-3)*$F$231*0.08/1000,"")</f>
        <v>1199.408723285361</v>
      </c>
      <c r="V3" s="41" t="s">
        <v>21</v>
      </c>
      <c r="W3" s="41"/>
      <c r="X3" s="41" t="s">
        <v>23</v>
      </c>
    </row>
    <row r="4" spans="1:24" ht="14">
      <c r="A4" s="36">
        <v>228131</v>
      </c>
      <c r="B4" s="81" t="s">
        <v>19</v>
      </c>
      <c r="C4" s="38">
        <v>1.7999999999999999E-2</v>
      </c>
      <c r="D4" s="38">
        <f>INDEX('PD Term Structure'!$E$17:$N$26,MATCH($I4,'PD Term Structure'!$D$17:$D$26,0),MATCH(D$1,'PD Term Structure'!$E$16:$N$16,0))</f>
        <v>5.2108354430379748E-2</v>
      </c>
      <c r="E4" s="38">
        <f>INDEX('PD Term Structure'!$E$17:$N$26,MATCH($I4,'PD Term Structure'!$D$17:$D$26,0),MATCH(E$1,'PD Term Structure'!$E$16:$N$16,0))</f>
        <v>6.3676339047537805E-2</v>
      </c>
      <c r="F4" s="39">
        <v>10139.665359999999</v>
      </c>
      <c r="G4" s="82">
        <f t="shared" si="0"/>
        <v>0.41974816177099206</v>
      </c>
      <c r="H4" s="82">
        <f>(NORMSDIST(-LN(G4)+(VLOOKUP(B4,LGD_para,3,FALSE)^2/2))/VLOOKUP(B4,LGD_para,3,FALSE)-(VLOOKUP(B4,LGD_para,3,FALSE))-G4*(NORMSDIST(-LN(G4)+(VLOOKUP(B4,LGD_para,3,FALSE)^2/2))/VLOOKUP(B4,LGD_para,3,FALSE)))/LOGNORMDIST(1,LN(G4),(VLOOKUP(B4,LGD_para,3,FALSE)))*'LGD parameters'!$D$11</f>
        <v>0.33381167072117429</v>
      </c>
      <c r="I4" s="106">
        <f>VLOOKUP(C4,'PD Term Structure'!$C$5:$D$14,2,TRUE)</f>
        <v>4</v>
      </c>
      <c r="J4" s="43">
        <f>VLOOKUP(I4,'Master rating scale'!$G$5:$H$14,2,FALSE)</f>
        <v>4</v>
      </c>
      <c r="K4" s="107">
        <f t="shared" si="1"/>
        <v>4.3865573667161324E-3</v>
      </c>
      <c r="L4" s="3"/>
      <c r="M4" s="110">
        <f>VLOOKUP(D4,'PD Term Structure'!$C$5:$D$14,2,TRUE)</f>
        <v>4</v>
      </c>
      <c r="N4" s="110">
        <f t="shared" ref="N4:N67" si="2">M4</f>
        <v>4</v>
      </c>
      <c r="O4" s="107">
        <f t="shared" ref="O4:O67" si="3">$F4/$F$231*N4</f>
        <v>4.3865573667161324E-3</v>
      </c>
      <c r="P4" s="3"/>
      <c r="Q4" s="110">
        <f>VLOOKUP(E4,'PD Term Structure'!$C$5:$D$14,2,TRUE)</f>
        <v>5</v>
      </c>
      <c r="R4" s="110">
        <f t="shared" ref="R4:R67" si="4">Q4</f>
        <v>5</v>
      </c>
      <c r="S4" s="107">
        <f t="shared" ref="S4:S67" si="5">$F4/$F$231*R4</f>
        <v>5.4831967083951655E-3</v>
      </c>
      <c r="T4" s="3"/>
      <c r="V4" s="42" t="s">
        <v>29</v>
      </c>
      <c r="W4" s="64">
        <f>SUM(C8:C99)</f>
        <v>3.5910000000000042</v>
      </c>
      <c r="X4" s="42">
        <v>1</v>
      </c>
    </row>
    <row r="5" spans="1:24" ht="14">
      <c r="A5" s="36">
        <v>327242</v>
      </c>
      <c r="B5" s="81" t="s">
        <v>19</v>
      </c>
      <c r="C5" s="38">
        <v>0.02</v>
      </c>
      <c r="D5" s="38">
        <f>INDEX('PD Term Structure'!$E$17:$N$26,MATCH($I5,'PD Term Structure'!$D$17:$D$26,0),MATCH(D$1,'PD Term Structure'!$E$16:$N$16,0))</f>
        <v>5.2108354430379748E-2</v>
      </c>
      <c r="E5" s="38">
        <f>INDEX('PD Term Structure'!$E$17:$N$26,MATCH($I5,'PD Term Structure'!$D$17:$D$26,0),MATCH(E$1,'PD Term Structure'!$E$16:$N$16,0))</f>
        <v>6.3676339047537805E-2</v>
      </c>
      <c r="F5" s="39">
        <v>4129.1646060000003</v>
      </c>
      <c r="G5" s="82">
        <f t="shared" si="0"/>
        <v>0.41974816177099206</v>
      </c>
      <c r="H5" s="82">
        <f>(NORMSDIST(-LN(G5)+(VLOOKUP(B5,LGD_para,3,FALSE)^2/2))/VLOOKUP(B5,LGD_para,3,FALSE)-(VLOOKUP(B5,LGD_para,3,FALSE))-G5*(NORMSDIST(-LN(G5)+(VLOOKUP(B5,LGD_para,3,FALSE)^2/2))/VLOOKUP(B5,LGD_para,3,FALSE)))/LOGNORMDIST(1,LN(G5),(VLOOKUP(B5,LGD_para,3,FALSE)))*'LGD parameters'!$D$11</f>
        <v>0.33381167072117429</v>
      </c>
      <c r="I5" s="106">
        <f>VLOOKUP(C5,'PD Term Structure'!$C$5:$D$14,2,TRUE)</f>
        <v>4</v>
      </c>
      <c r="J5" s="43">
        <f>VLOOKUP(I5,'Master rating scale'!$G$5:$H$14,2,FALSE)</f>
        <v>4</v>
      </c>
      <c r="K5" s="62">
        <f t="shared" si="1"/>
        <v>1.7863328598876776E-3</v>
      </c>
      <c r="M5" s="110">
        <f>VLOOKUP(D5,'PD Term Structure'!$C$5:$D$14,2,TRUE)</f>
        <v>4</v>
      </c>
      <c r="N5" s="110">
        <f t="shared" si="2"/>
        <v>4</v>
      </c>
      <c r="O5" s="107">
        <f t="shared" si="3"/>
        <v>1.7863328598876776E-3</v>
      </c>
      <c r="Q5" s="110">
        <f>VLOOKUP(E5,'PD Term Structure'!$C$5:$D$14,2,TRUE)</f>
        <v>5</v>
      </c>
      <c r="R5" s="110">
        <f t="shared" si="4"/>
        <v>5</v>
      </c>
      <c r="S5" s="107">
        <f t="shared" si="5"/>
        <v>2.232916074859597E-3</v>
      </c>
      <c r="V5" s="42" t="s">
        <v>24</v>
      </c>
      <c r="W5" s="64">
        <f>SUM(C101:C105)</f>
        <v>0.21499999999999997</v>
      </c>
      <c r="X5" s="42">
        <v>1</v>
      </c>
    </row>
    <row r="6" spans="1:24" ht="14">
      <c r="A6" s="36">
        <v>425659</v>
      </c>
      <c r="B6" s="81" t="s">
        <v>19</v>
      </c>
      <c r="C6" s="38">
        <v>2.1309999999999999E-2</v>
      </c>
      <c r="D6" s="38">
        <f>INDEX('PD Term Structure'!$E$17:$N$26,MATCH($I6,'PD Term Structure'!$D$17:$D$26,0),MATCH(D$1,'PD Term Structure'!$E$16:$N$16,0))</f>
        <v>5.2108354430379748E-2</v>
      </c>
      <c r="E6" s="38">
        <f>INDEX('PD Term Structure'!$E$17:$N$26,MATCH($I6,'PD Term Structure'!$D$17:$D$26,0),MATCH(E$1,'PD Term Structure'!$E$16:$N$16,0))</f>
        <v>6.3676339047537805E-2</v>
      </c>
      <c r="F6" s="39">
        <v>57.906948</v>
      </c>
      <c r="G6" s="82">
        <f t="shared" si="0"/>
        <v>0.41974816177099206</v>
      </c>
      <c r="H6" s="82">
        <f>(NORMSDIST(-LN(G6)+(VLOOKUP(B6,LGD_para,3,FALSE)^2/2))/VLOOKUP(B6,LGD_para,3,FALSE)-(VLOOKUP(B6,LGD_para,3,FALSE))-G6*(NORMSDIST(-LN(G6)+(VLOOKUP(B6,LGD_para,3,FALSE)^2/2))/VLOOKUP(B6,LGD_para,3,FALSE)))/LOGNORMDIST(1,LN(G6),(VLOOKUP(B6,LGD_para,3,FALSE)))*'LGD parameters'!$D$11</f>
        <v>0.33381167072117429</v>
      </c>
      <c r="I6" s="106">
        <f>VLOOKUP(C6,'PD Term Structure'!$C$5:$D$14,2,TRUE)</f>
        <v>4</v>
      </c>
      <c r="J6" s="43">
        <f>VLOOKUP(I6,'Master rating scale'!$G$5:$H$14,2,FALSE)</f>
        <v>4</v>
      </c>
      <c r="K6" s="62">
        <f t="shared" si="1"/>
        <v>2.5051334567263079E-5</v>
      </c>
      <c r="M6" s="110">
        <f>VLOOKUP(D6,'PD Term Structure'!$C$5:$D$14,2,TRUE)</f>
        <v>4</v>
      </c>
      <c r="N6" s="110">
        <f t="shared" si="2"/>
        <v>4</v>
      </c>
      <c r="O6" s="107">
        <f t="shared" si="3"/>
        <v>2.5051334567263079E-5</v>
      </c>
      <c r="Q6" s="110">
        <f>VLOOKUP(E6,'PD Term Structure'!$C$5:$D$14,2,TRUE)</f>
        <v>5</v>
      </c>
      <c r="R6" s="110">
        <f t="shared" si="4"/>
        <v>5</v>
      </c>
      <c r="S6" s="107">
        <f t="shared" si="5"/>
        <v>3.1314168209078846E-5</v>
      </c>
      <c r="V6" s="42" t="s">
        <v>30</v>
      </c>
      <c r="W6" s="64">
        <f>SUM(C6:C10)</f>
        <v>0.10851999999999998</v>
      </c>
      <c r="X6" s="42">
        <v>1</v>
      </c>
    </row>
    <row r="7" spans="1:24" ht="14">
      <c r="A7" s="36">
        <v>176453</v>
      </c>
      <c r="B7" s="81" t="s">
        <v>19</v>
      </c>
      <c r="C7" s="38">
        <v>2.121E-2</v>
      </c>
      <c r="D7" s="38">
        <f>INDEX('PD Term Structure'!$E$17:$N$26,MATCH($I7,'PD Term Structure'!$D$17:$D$26,0),MATCH(D$1,'PD Term Structure'!$E$16:$N$16,0))</f>
        <v>5.2108354430379748E-2</v>
      </c>
      <c r="E7" s="38">
        <f>INDEX('PD Term Structure'!$E$17:$N$26,MATCH($I7,'PD Term Structure'!$D$17:$D$26,0),MATCH(E$1,'PD Term Structure'!$E$16:$N$16,0))</f>
        <v>6.3676339047537805E-2</v>
      </c>
      <c r="F7" s="39">
        <v>30000</v>
      </c>
      <c r="G7" s="82">
        <f t="shared" si="0"/>
        <v>0.41974816177099206</v>
      </c>
      <c r="H7" s="82">
        <f>(NORMSDIST(-LN(G7)+(VLOOKUP(B7,LGD_para,3,FALSE)^2/2))/VLOOKUP(B7,LGD_para,3,FALSE)-(VLOOKUP(B7,LGD_para,3,FALSE))-G7*(NORMSDIST(-LN(G7)+(VLOOKUP(B7,LGD_para,3,FALSE)^2/2))/VLOOKUP(B7,LGD_para,3,FALSE)))/LOGNORMDIST(1,LN(G7),(VLOOKUP(B7,LGD_para,3,FALSE)))*'LGD parameters'!$D$11</f>
        <v>0.33381167072117429</v>
      </c>
      <c r="I7" s="106">
        <f>VLOOKUP(C7,'PD Term Structure'!$C$5:$D$14,2,TRUE)</f>
        <v>4</v>
      </c>
      <c r="J7" s="43">
        <f>VLOOKUP(I7,'Master rating scale'!$G$5:$H$14,2,FALSE)</f>
        <v>4</v>
      </c>
      <c r="K7" s="62">
        <f t="shared" si="1"/>
        <v>1.2978408687984944E-2</v>
      </c>
      <c r="M7" s="110">
        <f>VLOOKUP(D7,'PD Term Structure'!$C$5:$D$14,2,TRUE)</f>
        <v>4</v>
      </c>
      <c r="N7" s="110">
        <f t="shared" si="2"/>
        <v>4</v>
      </c>
      <c r="O7" s="107">
        <f t="shared" si="3"/>
        <v>1.2978408687984944E-2</v>
      </c>
      <c r="Q7" s="110">
        <f>VLOOKUP(E7,'PD Term Structure'!$C$5:$D$14,2,TRUE)</f>
        <v>5</v>
      </c>
      <c r="R7" s="110">
        <f t="shared" si="4"/>
        <v>5</v>
      </c>
      <c r="S7" s="107">
        <f t="shared" si="5"/>
        <v>1.622301085998118E-2</v>
      </c>
      <c r="V7" s="65" t="s">
        <v>26</v>
      </c>
      <c r="W7" s="66">
        <f>SUM(C111:C113)</f>
        <v>0.129</v>
      </c>
      <c r="X7" s="65">
        <v>0</v>
      </c>
    </row>
    <row r="8" spans="1:24" ht="14">
      <c r="A8" s="36">
        <v>465170</v>
      </c>
      <c r="B8" s="81" t="s">
        <v>19</v>
      </c>
      <c r="C8" s="38">
        <v>2.1999999999999999E-2</v>
      </c>
      <c r="D8" s="38">
        <f>INDEX('PD Term Structure'!$E$17:$N$26,MATCH($I8,'PD Term Structure'!$D$17:$D$26,0),MATCH(D$1,'PD Term Structure'!$E$16:$N$16,0))</f>
        <v>5.2108354430379748E-2</v>
      </c>
      <c r="E8" s="38">
        <f>INDEX('PD Term Structure'!$E$17:$N$26,MATCH($I8,'PD Term Structure'!$D$17:$D$26,0),MATCH(E$1,'PD Term Structure'!$E$16:$N$16,0))</f>
        <v>6.3676339047537805E-2</v>
      </c>
      <c r="F8" s="39">
        <v>7947.0075199999992</v>
      </c>
      <c r="G8" s="82">
        <f t="shared" si="0"/>
        <v>0.41974816177099206</v>
      </c>
      <c r="H8" s="82">
        <f>(NORMSDIST(-LN(G8)+(VLOOKUP(B8,LGD_para,3,FALSE)^2/2))/VLOOKUP(B8,LGD_para,3,FALSE)-(VLOOKUP(B8,LGD_para,3,FALSE))-G8*(NORMSDIST(-LN(G8)+(VLOOKUP(B8,LGD_para,3,FALSE)^2/2))/VLOOKUP(B8,LGD_para,3,FALSE)))/LOGNORMDIST(1,LN(G8),(VLOOKUP(B8,LGD_para,3,FALSE)))*'LGD parameters'!$D$11</f>
        <v>0.33381167072117429</v>
      </c>
      <c r="I8" s="106">
        <f>VLOOKUP(C8,'PD Term Structure'!$C$5:$D$14,2,TRUE)</f>
        <v>4</v>
      </c>
      <c r="J8" s="43">
        <f>VLOOKUP(I8,'Master rating scale'!$G$5:$H$14,2,FALSE)</f>
        <v>4</v>
      </c>
      <c r="K8" s="62">
        <f t="shared" si="1"/>
        <v>3.4379837147016559E-3</v>
      </c>
      <c r="M8" s="110">
        <f>VLOOKUP(D8,'PD Term Structure'!$C$5:$D$14,2,TRUE)</f>
        <v>4</v>
      </c>
      <c r="N8" s="110">
        <f t="shared" si="2"/>
        <v>4</v>
      </c>
      <c r="O8" s="107">
        <f t="shared" si="3"/>
        <v>3.4379837147016559E-3</v>
      </c>
      <c r="Q8" s="110">
        <f>VLOOKUP(E8,'PD Term Structure'!$C$5:$D$14,2,TRUE)</f>
        <v>5</v>
      </c>
      <c r="R8" s="110">
        <f t="shared" si="4"/>
        <v>5</v>
      </c>
      <c r="S8" s="107">
        <f t="shared" si="5"/>
        <v>4.2974796433770703E-3</v>
      </c>
      <c r="V8" s="65" t="s">
        <v>25</v>
      </c>
      <c r="W8" s="66">
        <f>SUM(C111:C113)</f>
        <v>0.129</v>
      </c>
      <c r="X8" s="65">
        <v>0</v>
      </c>
    </row>
    <row r="9" spans="1:24" ht="14">
      <c r="A9" s="36">
        <v>166585</v>
      </c>
      <c r="B9" s="81" t="s">
        <v>19</v>
      </c>
      <c r="C9" s="38">
        <v>2.1999999999999999E-2</v>
      </c>
      <c r="D9" s="38">
        <f>INDEX('PD Term Structure'!$E$17:$N$26,MATCH($I9,'PD Term Structure'!$D$17:$D$26,0),MATCH(D$1,'PD Term Structure'!$E$16:$N$16,0))</f>
        <v>5.2108354430379748E-2</v>
      </c>
      <c r="E9" s="38">
        <f>INDEX('PD Term Structure'!$E$17:$N$26,MATCH($I9,'PD Term Structure'!$D$17:$D$26,0),MATCH(E$1,'PD Term Structure'!$E$16:$N$16,0))</f>
        <v>6.3676339047537805E-2</v>
      </c>
      <c r="F9" s="39">
        <v>25500</v>
      </c>
      <c r="G9" s="82">
        <f t="shared" si="0"/>
        <v>0.41974816177099206</v>
      </c>
      <c r="H9" s="82">
        <f>(NORMSDIST(-LN(G9)+(VLOOKUP(B9,LGD_para,3,FALSE)^2/2))/VLOOKUP(B9,LGD_para,3,FALSE)-(VLOOKUP(B9,LGD_para,3,FALSE))-G9*(NORMSDIST(-LN(G9)+(VLOOKUP(B9,LGD_para,3,FALSE)^2/2))/VLOOKUP(B9,LGD_para,3,FALSE)))/LOGNORMDIST(1,LN(G9),(VLOOKUP(B9,LGD_para,3,FALSE)))*'LGD parameters'!$D$11</f>
        <v>0.33381167072117429</v>
      </c>
      <c r="I9" s="106">
        <f>VLOOKUP(C9,'PD Term Structure'!$C$5:$D$14,2,TRUE)</f>
        <v>4</v>
      </c>
      <c r="J9" s="43">
        <f>VLOOKUP(I9,'Master rating scale'!$G$5:$H$14,2,FALSE)</f>
        <v>4</v>
      </c>
      <c r="K9" s="62">
        <f t="shared" si="1"/>
        <v>1.1031647384787202E-2</v>
      </c>
      <c r="M9" s="110">
        <f>VLOOKUP(D9,'PD Term Structure'!$C$5:$D$14,2,TRUE)</f>
        <v>4</v>
      </c>
      <c r="N9" s="110">
        <f t="shared" si="2"/>
        <v>4</v>
      </c>
      <c r="O9" s="107">
        <f t="shared" si="3"/>
        <v>1.1031647384787202E-2</v>
      </c>
      <c r="Q9" s="110">
        <f>VLOOKUP(E9,'PD Term Structure'!$C$5:$D$14,2,TRUE)</f>
        <v>5</v>
      </c>
      <c r="R9" s="110">
        <f t="shared" si="4"/>
        <v>5</v>
      </c>
      <c r="S9" s="107">
        <f t="shared" si="5"/>
        <v>1.3789559230984003E-2</v>
      </c>
      <c r="V9" s="65" t="s">
        <v>27</v>
      </c>
      <c r="W9" s="66">
        <f>SUM(C8:C9)</f>
        <v>4.3999999999999997E-2</v>
      </c>
      <c r="X9" s="65">
        <v>0</v>
      </c>
    </row>
    <row r="10" spans="1:24" ht="14">
      <c r="A10" s="36">
        <v>455458</v>
      </c>
      <c r="B10" s="81" t="s">
        <v>19</v>
      </c>
      <c r="C10" s="38">
        <v>2.1999999999999999E-2</v>
      </c>
      <c r="D10" s="38">
        <f>INDEX('PD Term Structure'!$E$17:$N$26,MATCH($I10,'PD Term Structure'!$D$17:$D$26,0),MATCH(D$1,'PD Term Structure'!$E$16:$N$16,0))</f>
        <v>5.2108354430379748E-2</v>
      </c>
      <c r="E10" s="38">
        <f>INDEX('PD Term Structure'!$E$17:$N$26,MATCH($I10,'PD Term Structure'!$D$17:$D$26,0),MATCH(E$1,'PD Term Structure'!$E$16:$N$16,0))</f>
        <v>6.3676339047537805E-2</v>
      </c>
      <c r="F10" s="39">
        <v>25000</v>
      </c>
      <c r="G10" s="82">
        <f t="shared" si="0"/>
        <v>0.41974816177099206</v>
      </c>
      <c r="H10" s="82">
        <f>(NORMSDIST(-LN(G10)+(VLOOKUP(B10,LGD_para,3,FALSE)^2/2))/VLOOKUP(B10,LGD_para,3,FALSE)-(VLOOKUP(B10,LGD_para,3,FALSE))-G10*(NORMSDIST(-LN(G10)+(VLOOKUP(B10,LGD_para,3,FALSE)^2/2))/VLOOKUP(B10,LGD_para,3,FALSE)))/LOGNORMDIST(1,LN(G10),(VLOOKUP(B10,LGD_para,3,FALSE)))*'LGD parameters'!$D$11</f>
        <v>0.33381167072117429</v>
      </c>
      <c r="I10" s="106">
        <f>VLOOKUP(C10,'PD Term Structure'!$C$5:$D$14,2,TRUE)</f>
        <v>4</v>
      </c>
      <c r="J10" s="43">
        <f>VLOOKUP(I10,'Master rating scale'!$G$5:$H$14,2,FALSE)</f>
        <v>4</v>
      </c>
      <c r="K10" s="62">
        <f t="shared" si="1"/>
        <v>1.0815340573320786E-2</v>
      </c>
      <c r="M10" s="110">
        <f>VLOOKUP(D10,'PD Term Structure'!$C$5:$D$14,2,TRUE)</f>
        <v>4</v>
      </c>
      <c r="N10" s="110">
        <f t="shared" si="2"/>
        <v>4</v>
      </c>
      <c r="O10" s="107">
        <f t="shared" si="3"/>
        <v>1.0815340573320786E-2</v>
      </c>
      <c r="Q10" s="110">
        <f>VLOOKUP(E10,'PD Term Structure'!$C$5:$D$14,2,TRUE)</f>
        <v>5</v>
      </c>
      <c r="R10" s="110">
        <f t="shared" si="4"/>
        <v>5</v>
      </c>
      <c r="S10" s="107">
        <f t="shared" si="5"/>
        <v>1.3519175716650983E-2</v>
      </c>
      <c r="V10" s="65" t="s">
        <v>28</v>
      </c>
      <c r="W10" s="66">
        <f>SUM(C115:C116)</f>
        <v>8.5999999999999993E-2</v>
      </c>
      <c r="X10" s="65">
        <v>0</v>
      </c>
    </row>
    <row r="11" spans="1:24" ht="14">
      <c r="A11" s="36">
        <v>201425</v>
      </c>
      <c r="B11" s="81" t="s">
        <v>19</v>
      </c>
      <c r="C11" s="38">
        <v>2.3300000000000001E-2</v>
      </c>
      <c r="D11" s="38">
        <f>INDEX('PD Term Structure'!$E$17:$N$26,MATCH($I11,'PD Term Structure'!$D$17:$D$26,0),MATCH(D$1,'PD Term Structure'!$E$16:$N$16,0))</f>
        <v>5.2108354430379748E-2</v>
      </c>
      <c r="E11" s="38">
        <f>INDEX('PD Term Structure'!$E$17:$N$26,MATCH($I11,'PD Term Structure'!$D$17:$D$26,0),MATCH(E$1,'PD Term Structure'!$E$16:$N$16,0))</f>
        <v>6.3676339047537805E-2</v>
      </c>
      <c r="F11" s="39">
        <v>11905.86246</v>
      </c>
      <c r="G11" s="82">
        <f t="shared" si="0"/>
        <v>0.41974816177099206</v>
      </c>
      <c r="H11" s="82">
        <f>(NORMSDIST(-LN(G11)+(VLOOKUP(B11,LGD_para,3,FALSE)^2/2))/VLOOKUP(B11,LGD_para,3,FALSE)-(VLOOKUP(B11,LGD_para,3,FALSE))-G11*(NORMSDIST(-LN(G11)+(VLOOKUP(B11,LGD_para,3,FALSE)^2/2))/VLOOKUP(B11,LGD_para,3,FALSE)))/LOGNORMDIST(1,LN(G11),(VLOOKUP(B11,LGD_para,3,FALSE)))*'LGD parameters'!$D$11</f>
        <v>0.33381167072117429</v>
      </c>
      <c r="I11" s="106">
        <f>VLOOKUP(C11,'PD Term Structure'!$C$5:$D$14,2,TRUE)</f>
        <v>4</v>
      </c>
      <c r="J11" s="43">
        <f>VLOOKUP(I11,'Master rating scale'!$G$5:$H$14,2,FALSE)</f>
        <v>4</v>
      </c>
      <c r="K11" s="62">
        <f t="shared" si="1"/>
        <v>5.1506382929605932E-3</v>
      </c>
      <c r="M11" s="110">
        <f>VLOOKUP(D11,'PD Term Structure'!$C$5:$D$14,2,TRUE)</f>
        <v>4</v>
      </c>
      <c r="N11" s="110">
        <f t="shared" si="2"/>
        <v>4</v>
      </c>
      <c r="O11" s="107">
        <f t="shared" si="3"/>
        <v>5.1506382929605932E-3</v>
      </c>
      <c r="Q11" s="110">
        <f>VLOOKUP(E11,'PD Term Structure'!$C$5:$D$14,2,TRUE)</f>
        <v>5</v>
      </c>
      <c r="R11" s="110">
        <f t="shared" si="4"/>
        <v>5</v>
      </c>
      <c r="S11" s="107">
        <f t="shared" si="5"/>
        <v>6.4382978662007413E-3</v>
      </c>
      <c r="V11" s="43"/>
      <c r="W11" s="44"/>
      <c r="X11" s="43"/>
    </row>
    <row r="12" spans="1:24" ht="14">
      <c r="A12" s="36">
        <v>84854</v>
      </c>
      <c r="B12" s="81" t="s">
        <v>19</v>
      </c>
      <c r="C12" s="38">
        <v>2.35E-2</v>
      </c>
      <c r="D12" s="38">
        <f>INDEX('PD Term Structure'!$E$17:$N$26,MATCH($I12,'PD Term Structure'!$D$17:$D$26,0),MATCH(D$1,'PD Term Structure'!$E$16:$N$16,0))</f>
        <v>5.2108354430379748E-2</v>
      </c>
      <c r="E12" s="38">
        <f>INDEX('PD Term Structure'!$E$17:$N$26,MATCH($I12,'PD Term Structure'!$D$17:$D$26,0),MATCH(E$1,'PD Term Structure'!$E$16:$N$16,0))</f>
        <v>6.3676339047537805E-2</v>
      </c>
      <c r="F12" s="39">
        <v>134133.50279999999</v>
      </c>
      <c r="G12" s="82">
        <f t="shared" si="0"/>
        <v>0.41974816177099206</v>
      </c>
      <c r="H12" s="82">
        <f>(NORMSDIST(-LN(G12)+(VLOOKUP(B12,LGD_para,3,FALSE)^2/2))/VLOOKUP(B12,LGD_para,3,FALSE)-(VLOOKUP(B12,LGD_para,3,FALSE))-G12*(NORMSDIST(-LN(G12)+(VLOOKUP(B12,LGD_para,3,FALSE)^2/2))/VLOOKUP(B12,LGD_para,3,FALSE)))/LOGNORMDIST(1,LN(G12),(VLOOKUP(B12,LGD_para,3,FALSE)))*'LGD parameters'!$D$11</f>
        <v>0.33381167072117429</v>
      </c>
      <c r="I12" s="106">
        <f>VLOOKUP(C12,'PD Term Structure'!$C$5:$D$14,2,TRUE)</f>
        <v>4</v>
      </c>
      <c r="J12" s="43">
        <f>VLOOKUP(I12,'Master rating scale'!$G$5:$H$14,2,FALSE)</f>
        <v>4</v>
      </c>
      <c r="K12" s="62">
        <f t="shared" si="1"/>
        <v>5.802798060297909E-2</v>
      </c>
      <c r="M12" s="110">
        <f>VLOOKUP(D12,'PD Term Structure'!$C$5:$D$14,2,TRUE)</f>
        <v>4</v>
      </c>
      <c r="N12" s="110">
        <f t="shared" si="2"/>
        <v>4</v>
      </c>
      <c r="O12" s="107">
        <f t="shared" si="3"/>
        <v>5.802798060297909E-2</v>
      </c>
      <c r="Q12" s="110">
        <f>VLOOKUP(E12,'PD Term Structure'!$C$5:$D$14,2,TRUE)</f>
        <v>5</v>
      </c>
      <c r="R12" s="110">
        <f t="shared" si="4"/>
        <v>5</v>
      </c>
      <c r="S12" s="107">
        <f t="shared" si="5"/>
        <v>7.2534975753723863E-2</v>
      </c>
      <c r="V12" s="43"/>
      <c r="W12" s="44"/>
      <c r="X12" s="43"/>
    </row>
    <row r="13" spans="1:24" ht="14">
      <c r="A13" s="36">
        <v>84854</v>
      </c>
      <c r="B13" s="81" t="s">
        <v>19</v>
      </c>
      <c r="C13" s="38">
        <v>2.35E-2</v>
      </c>
      <c r="D13" s="38">
        <f>INDEX('PD Term Structure'!$E$17:$N$26,MATCH($I13,'PD Term Structure'!$D$17:$D$26,0),MATCH(D$1,'PD Term Structure'!$E$16:$N$16,0))</f>
        <v>5.2108354430379748E-2</v>
      </c>
      <c r="E13" s="38">
        <f>INDEX('PD Term Structure'!$E$17:$N$26,MATCH($I13,'PD Term Structure'!$D$17:$D$26,0),MATCH(E$1,'PD Term Structure'!$E$16:$N$16,0))</f>
        <v>6.3676339047537805E-2</v>
      </c>
      <c r="F13" s="39">
        <v>27300</v>
      </c>
      <c r="G13" s="82">
        <f>VLOOKUP(B13,'LGD parameters'!$C$7:$E$11,2,FALSE)</f>
        <v>0.41974816177099206</v>
      </c>
      <c r="H13" s="82">
        <f>(NORMSDIST(-LN(G13)+(VLOOKUP(B13,LGD_para,3,FALSE)^2/2))/VLOOKUP(B13,LGD_para,3,FALSE)-(VLOOKUP(B13,LGD_para,3,FALSE))-G13*(NORMSDIST(-LN(G13)+(VLOOKUP(B13,LGD_para,3,FALSE)^2/2))/VLOOKUP(B13,LGD_para,3,FALSE)))/LOGNORMDIST(1,LN(G13),(VLOOKUP(B13,LGD_para,3,FALSE)))*'LGD parameters'!$D$11</f>
        <v>0.33381167072117429</v>
      </c>
      <c r="I13" s="106">
        <f>VLOOKUP(C13,'PD Term Structure'!$C$5:$D$14,2,TRUE)</f>
        <v>4</v>
      </c>
      <c r="J13" s="43">
        <f>VLOOKUP(I13,'Master rating scale'!$G$5:$H$14,2,FALSE)</f>
        <v>4</v>
      </c>
      <c r="K13" s="62">
        <f t="shared" si="1"/>
        <v>1.1810351906066299E-2</v>
      </c>
      <c r="M13" s="110">
        <f>VLOOKUP(D13,'PD Term Structure'!$C$5:$D$14,2,TRUE)</f>
        <v>4</v>
      </c>
      <c r="N13" s="110">
        <f t="shared" si="2"/>
        <v>4</v>
      </c>
      <c r="O13" s="107">
        <f t="shared" si="3"/>
        <v>1.1810351906066299E-2</v>
      </c>
      <c r="Q13" s="110">
        <f>VLOOKUP(E13,'PD Term Structure'!$C$5:$D$14,2,TRUE)</f>
        <v>5</v>
      </c>
      <c r="R13" s="110">
        <f t="shared" si="4"/>
        <v>5</v>
      </c>
      <c r="S13" s="107">
        <f t="shared" si="5"/>
        <v>1.4762939882582874E-2</v>
      </c>
      <c r="V13" s="43"/>
      <c r="W13" s="44"/>
      <c r="X13" s="43"/>
    </row>
    <row r="14" spans="1:24" ht="14">
      <c r="A14" s="36">
        <v>176453</v>
      </c>
      <c r="B14" s="81" t="s">
        <v>19</v>
      </c>
      <c r="C14" s="38">
        <v>2.35E-2</v>
      </c>
      <c r="D14" s="38">
        <f>INDEX('PD Term Structure'!$E$17:$N$26,MATCH($I14,'PD Term Structure'!$D$17:$D$26,0),MATCH(D$1,'PD Term Structure'!$E$16:$N$16,0))</f>
        <v>5.2108354430379748E-2</v>
      </c>
      <c r="E14" s="38">
        <f>INDEX('PD Term Structure'!$E$17:$N$26,MATCH($I14,'PD Term Structure'!$D$17:$D$26,0),MATCH(E$1,'PD Term Structure'!$E$16:$N$16,0))</f>
        <v>6.3676339047537805E-2</v>
      </c>
      <c r="F14" s="39">
        <v>30000</v>
      </c>
      <c r="G14" s="82">
        <f>VLOOKUP(B14,'LGD parameters'!$C$7:$E$11,2,FALSE)</f>
        <v>0.41974816177099206</v>
      </c>
      <c r="H14" s="82">
        <f>(NORMSDIST(-LN(G14)+(VLOOKUP(B14,LGD_para,3,FALSE)^2/2))/VLOOKUP(B14,LGD_para,3,FALSE)-(VLOOKUP(B14,LGD_para,3,FALSE))-G14*(NORMSDIST(-LN(G14)+(VLOOKUP(B14,LGD_para,3,FALSE)^2/2))/VLOOKUP(B14,LGD_para,3,FALSE)))/LOGNORMDIST(1,LN(G14),(VLOOKUP(B14,LGD_para,3,FALSE)))*'LGD parameters'!$D$11</f>
        <v>0.33381167072117429</v>
      </c>
      <c r="I14" s="106">
        <f>VLOOKUP(C14,'PD Term Structure'!$C$5:$D$14,2,TRUE)</f>
        <v>4</v>
      </c>
      <c r="J14" s="43">
        <f>VLOOKUP(I14,'Master rating scale'!$G$5:$H$14,2,FALSE)</f>
        <v>4</v>
      </c>
      <c r="K14" s="62">
        <f t="shared" si="1"/>
        <v>1.2978408687984944E-2</v>
      </c>
      <c r="M14" s="110">
        <f>VLOOKUP(D14,'PD Term Structure'!$C$5:$D$14,2,TRUE)</f>
        <v>4</v>
      </c>
      <c r="N14" s="110">
        <f t="shared" si="2"/>
        <v>4</v>
      </c>
      <c r="O14" s="107">
        <f t="shared" si="3"/>
        <v>1.2978408687984944E-2</v>
      </c>
      <c r="Q14" s="110">
        <f>VLOOKUP(E14,'PD Term Structure'!$C$5:$D$14,2,TRUE)</f>
        <v>5</v>
      </c>
      <c r="R14" s="110">
        <f t="shared" si="4"/>
        <v>5</v>
      </c>
      <c r="S14" s="107">
        <f t="shared" si="5"/>
        <v>1.622301085998118E-2</v>
      </c>
      <c r="V14" s="43"/>
      <c r="W14" s="44"/>
      <c r="X14" s="43"/>
    </row>
    <row r="15" spans="1:24" ht="14">
      <c r="A15" s="36">
        <v>330651</v>
      </c>
      <c r="B15" s="81" t="s">
        <v>19</v>
      </c>
      <c r="C15" s="38">
        <v>2.41E-2</v>
      </c>
      <c r="D15" s="38">
        <f>INDEX('PD Term Structure'!$E$17:$N$26,MATCH($I15,'PD Term Structure'!$D$17:$D$26,0),MATCH(D$1,'PD Term Structure'!$E$16:$N$16,0))</f>
        <v>5.2108354430379748E-2</v>
      </c>
      <c r="E15" s="38">
        <f>INDEX('PD Term Structure'!$E$17:$N$26,MATCH($I15,'PD Term Structure'!$D$17:$D$26,0),MATCH(E$1,'PD Term Structure'!$E$16:$N$16,0))</f>
        <v>6.3676339047537805E-2</v>
      </c>
      <c r="F15" s="39">
        <v>3658.83779</v>
      </c>
      <c r="G15" s="82">
        <f t="shared" ref="G15:G46" si="6">VLOOKUP(B15,LGD_para,2,FALSE)</f>
        <v>0.41974816177099206</v>
      </c>
      <c r="H15" s="82">
        <f>(NORMSDIST(-LN(G15)+(VLOOKUP(B15,LGD_para,3,FALSE)^2/2))/VLOOKUP(B15,LGD_para,3,FALSE)-(VLOOKUP(B15,LGD_para,3,FALSE))-G15*(NORMSDIST(-LN(G15)+(VLOOKUP(B15,LGD_para,3,FALSE)^2/2))/VLOOKUP(B15,LGD_para,3,FALSE)))/LOGNORMDIST(1,LN(G15),(VLOOKUP(B15,LGD_para,3,FALSE)))*'LGD parameters'!$D$11</f>
        <v>0.33381167072117429</v>
      </c>
      <c r="I15" s="106">
        <f>VLOOKUP(C15,'PD Term Structure'!$C$5:$D$14,2,TRUE)</f>
        <v>4</v>
      </c>
      <c r="J15" s="43">
        <f>VLOOKUP(I15,'Master rating scale'!$G$5:$H$14,2,FALSE)</f>
        <v>4</v>
      </c>
      <c r="K15" s="62">
        <f t="shared" si="1"/>
        <v>1.5828630720554544E-3</v>
      </c>
      <c r="M15" s="110">
        <f>VLOOKUP(D15,'PD Term Structure'!$C$5:$D$14,2,TRUE)</f>
        <v>4</v>
      </c>
      <c r="N15" s="110">
        <f t="shared" si="2"/>
        <v>4</v>
      </c>
      <c r="O15" s="107">
        <f t="shared" si="3"/>
        <v>1.5828630720554544E-3</v>
      </c>
      <c r="Q15" s="110">
        <f>VLOOKUP(E15,'PD Term Structure'!$C$5:$D$14,2,TRUE)</f>
        <v>5</v>
      </c>
      <c r="R15" s="110">
        <f t="shared" si="4"/>
        <v>5</v>
      </c>
      <c r="S15" s="107">
        <f t="shared" si="5"/>
        <v>1.9785788400693179E-3</v>
      </c>
      <c r="V15" s="43"/>
      <c r="W15" s="44"/>
      <c r="X15" s="43"/>
    </row>
    <row r="16" spans="1:24" ht="14">
      <c r="A16" s="36">
        <v>339441</v>
      </c>
      <c r="B16" s="81" t="s">
        <v>19</v>
      </c>
      <c r="C16" s="38">
        <v>2.1399999999999999E-2</v>
      </c>
      <c r="D16" s="38">
        <f>INDEX('PD Term Structure'!$E$17:$N$26,MATCH($I16,'PD Term Structure'!$D$17:$D$26,0),MATCH(D$1,'PD Term Structure'!$E$16:$N$16,0))</f>
        <v>5.2108354430379748E-2</v>
      </c>
      <c r="E16" s="38">
        <f>INDEX('PD Term Structure'!$E$17:$N$26,MATCH($I16,'PD Term Structure'!$D$17:$D$26,0),MATCH(E$1,'PD Term Structure'!$E$16:$N$16,0))</f>
        <v>6.3676339047537805E-2</v>
      </c>
      <c r="F16" s="39">
        <v>2329.1242590000002</v>
      </c>
      <c r="G16" s="82">
        <f t="shared" si="6"/>
        <v>0.41974816177099206</v>
      </c>
      <c r="H16" s="82">
        <f>(NORMSDIST(-LN(G16)+(VLOOKUP(B16,LGD_para,3,FALSE)^2/2))/VLOOKUP(B16,LGD_para,3,FALSE)-(VLOOKUP(B16,LGD_para,3,FALSE))-G16*(NORMSDIST(-LN(G16)+(VLOOKUP(B16,LGD_para,3,FALSE)^2/2))/VLOOKUP(B16,LGD_para,3,FALSE)))/LOGNORMDIST(1,LN(G16),(VLOOKUP(B16,LGD_para,3,FALSE)))*'LGD parameters'!$D$11</f>
        <v>0.33381167072117429</v>
      </c>
      <c r="I16" s="106">
        <f>VLOOKUP(C16,'PD Term Structure'!$C$5:$D$14,2,TRUE)</f>
        <v>4</v>
      </c>
      <c r="J16" s="43">
        <f>VLOOKUP(I16,'Master rating scale'!$G$5:$H$14,2,FALSE)</f>
        <v>4</v>
      </c>
      <c r="K16" s="62">
        <f t="shared" si="1"/>
        <v>1.0076108839467365E-3</v>
      </c>
      <c r="M16" s="110">
        <f>VLOOKUP(D16,'PD Term Structure'!$C$5:$D$14,2,TRUE)</f>
        <v>4</v>
      </c>
      <c r="N16" s="110">
        <f t="shared" si="2"/>
        <v>4</v>
      </c>
      <c r="O16" s="107">
        <f t="shared" si="3"/>
        <v>1.0076108839467365E-3</v>
      </c>
      <c r="Q16" s="110">
        <f>VLOOKUP(E16,'PD Term Structure'!$C$5:$D$14,2,TRUE)</f>
        <v>5</v>
      </c>
      <c r="R16" s="110">
        <f t="shared" si="4"/>
        <v>5</v>
      </c>
      <c r="S16" s="107">
        <f t="shared" si="5"/>
        <v>1.2595136049334205E-3</v>
      </c>
      <c r="V16" s="43"/>
      <c r="W16" s="44"/>
      <c r="X16" s="43"/>
    </row>
    <row r="17" spans="1:24" ht="14">
      <c r="A17" s="36">
        <v>371890</v>
      </c>
      <c r="B17" s="81" t="s">
        <v>19</v>
      </c>
      <c r="C17" s="38">
        <v>2.41E-2</v>
      </c>
      <c r="D17" s="38">
        <f>INDEX('PD Term Structure'!$E$17:$N$26,MATCH($I17,'PD Term Structure'!$D$17:$D$26,0),MATCH(D$1,'PD Term Structure'!$E$16:$N$16,0))</f>
        <v>5.2108354430379748E-2</v>
      </c>
      <c r="E17" s="38">
        <f>INDEX('PD Term Structure'!$E$17:$N$26,MATCH($I17,'PD Term Structure'!$D$17:$D$26,0),MATCH(E$1,'PD Term Structure'!$E$16:$N$16,0))</f>
        <v>6.3676339047537805E-2</v>
      </c>
      <c r="F17" s="39">
        <v>8270.995719999999</v>
      </c>
      <c r="G17" s="82">
        <f t="shared" si="6"/>
        <v>0.41974816177099206</v>
      </c>
      <c r="H17" s="82">
        <f>(NORMSDIST(-LN(G17)+(VLOOKUP(B17,LGD_para,3,FALSE)^2/2))/VLOOKUP(B17,LGD_para,3,FALSE)-(VLOOKUP(B17,LGD_para,3,FALSE))-G17*(NORMSDIST(-LN(G17)+(VLOOKUP(B17,LGD_para,3,FALSE)^2/2))/VLOOKUP(B17,LGD_para,3,FALSE)))/LOGNORMDIST(1,LN(G17),(VLOOKUP(B17,LGD_para,3,FALSE)))*'LGD parameters'!$D$11</f>
        <v>0.33381167072117429</v>
      </c>
      <c r="I17" s="106">
        <f>VLOOKUP(C17,'PD Term Structure'!$C$5:$D$14,2,TRUE)</f>
        <v>4</v>
      </c>
      <c r="J17" s="43">
        <f>VLOOKUP(I17,'Master rating scale'!$G$5:$H$14,2,FALSE)</f>
        <v>4</v>
      </c>
      <c r="K17" s="62">
        <f t="shared" si="1"/>
        <v>3.5781454236911425E-3</v>
      </c>
      <c r="M17" s="110">
        <f>VLOOKUP(D17,'PD Term Structure'!$C$5:$D$14,2,TRUE)</f>
        <v>4</v>
      </c>
      <c r="N17" s="110">
        <f t="shared" si="2"/>
        <v>4</v>
      </c>
      <c r="O17" s="107">
        <f t="shared" si="3"/>
        <v>3.5781454236911425E-3</v>
      </c>
      <c r="Q17" s="110">
        <f>VLOOKUP(E17,'PD Term Structure'!$C$5:$D$14,2,TRUE)</f>
        <v>5</v>
      </c>
      <c r="R17" s="110">
        <f t="shared" si="4"/>
        <v>5</v>
      </c>
      <c r="S17" s="107">
        <f t="shared" si="5"/>
        <v>4.4726817796139282E-3</v>
      </c>
      <c r="V17" s="43"/>
      <c r="W17" s="44"/>
      <c r="X17" s="43"/>
    </row>
    <row r="18" spans="1:24" ht="14">
      <c r="A18" s="36">
        <v>379291</v>
      </c>
      <c r="B18" s="81" t="s">
        <v>19</v>
      </c>
      <c r="C18" s="38">
        <v>2.41E-2</v>
      </c>
      <c r="D18" s="38">
        <f>INDEX('PD Term Structure'!$E$17:$N$26,MATCH($I18,'PD Term Structure'!$D$17:$D$26,0),MATCH(D$1,'PD Term Structure'!$E$16:$N$16,0))</f>
        <v>5.2108354430379748E-2</v>
      </c>
      <c r="E18" s="38">
        <f>INDEX('PD Term Structure'!$E$17:$N$26,MATCH($I18,'PD Term Structure'!$D$17:$D$26,0),MATCH(E$1,'PD Term Structure'!$E$16:$N$16,0))</f>
        <v>6.3676339047537805E-2</v>
      </c>
      <c r="F18" s="39">
        <v>5468.2016399999993</v>
      </c>
      <c r="G18" s="82">
        <f t="shared" si="6"/>
        <v>0.41974816177099206</v>
      </c>
      <c r="H18" s="82">
        <f>(NORMSDIST(-LN(G18)+(VLOOKUP(B18,LGD_para,3,FALSE)^2/2))/VLOOKUP(B18,LGD_para,3,FALSE)-(VLOOKUP(B18,LGD_para,3,FALSE))-G18*(NORMSDIST(-LN(G18)+(VLOOKUP(B18,LGD_para,3,FALSE)^2/2))/VLOOKUP(B18,LGD_para,3,FALSE)))/LOGNORMDIST(1,LN(G18),(VLOOKUP(B18,LGD_para,3,FALSE)))*'LGD parameters'!$D$11</f>
        <v>0.33381167072117429</v>
      </c>
      <c r="I18" s="106">
        <f>VLOOKUP(C18,'PD Term Structure'!$C$5:$D$14,2,TRUE)</f>
        <v>4</v>
      </c>
      <c r="J18" s="43">
        <f>VLOOKUP(I18,'Master rating scale'!$G$5:$H$14,2,FALSE)</f>
        <v>4</v>
      </c>
      <c r="K18" s="62">
        <f t="shared" si="1"/>
        <v>2.3656185224076504E-3</v>
      </c>
      <c r="M18" s="110">
        <f>VLOOKUP(D18,'PD Term Structure'!$C$5:$D$14,2,TRUE)</f>
        <v>4</v>
      </c>
      <c r="N18" s="110">
        <f t="shared" si="2"/>
        <v>4</v>
      </c>
      <c r="O18" s="107">
        <f t="shared" si="3"/>
        <v>2.3656185224076504E-3</v>
      </c>
      <c r="Q18" s="110">
        <f>VLOOKUP(E18,'PD Term Structure'!$C$5:$D$14,2,TRUE)</f>
        <v>5</v>
      </c>
      <c r="R18" s="110">
        <f t="shared" si="4"/>
        <v>5</v>
      </c>
      <c r="S18" s="107">
        <f t="shared" si="5"/>
        <v>2.9570231530095629E-3</v>
      </c>
      <c r="V18" s="43"/>
      <c r="W18" s="44"/>
      <c r="X18" s="43"/>
    </row>
    <row r="19" spans="1:24" ht="14">
      <c r="A19" s="36">
        <v>423623</v>
      </c>
      <c r="B19" s="81" t="s">
        <v>19</v>
      </c>
      <c r="C19" s="38">
        <v>2.3400000000000001E-2</v>
      </c>
      <c r="D19" s="38">
        <f>INDEX('PD Term Structure'!$E$17:$N$26,MATCH($I19,'PD Term Structure'!$D$17:$D$26,0),MATCH(D$1,'PD Term Structure'!$E$16:$N$16,0))</f>
        <v>5.2108354430379748E-2</v>
      </c>
      <c r="E19" s="38">
        <f>INDEX('PD Term Structure'!$E$17:$N$26,MATCH($I19,'PD Term Structure'!$D$17:$D$26,0),MATCH(E$1,'PD Term Structure'!$E$16:$N$16,0))</f>
        <v>6.3676339047537805E-2</v>
      </c>
      <c r="F19" s="39">
        <v>2645.0497599999999</v>
      </c>
      <c r="G19" s="82">
        <f t="shared" si="6"/>
        <v>0.41974816177099206</v>
      </c>
      <c r="H19" s="82">
        <f>(NORMSDIST(-LN(G19)+(VLOOKUP(B19,LGD_para,3,FALSE)^2/2))/VLOOKUP(B19,LGD_para,3,FALSE)-(VLOOKUP(B19,LGD_para,3,FALSE))-G19*(NORMSDIST(-LN(G19)+(VLOOKUP(B19,LGD_para,3,FALSE)^2/2))/VLOOKUP(B19,LGD_para,3,FALSE)))/LOGNORMDIST(1,LN(G19),(VLOOKUP(B19,LGD_para,3,FALSE)))*'LGD parameters'!$D$11</f>
        <v>0.33381167072117429</v>
      </c>
      <c r="I19" s="106">
        <f>VLOOKUP(C19,'PD Term Structure'!$C$5:$D$14,2,TRUE)</f>
        <v>4</v>
      </c>
      <c r="J19" s="43">
        <f>VLOOKUP(I19,'Master rating scale'!$G$5:$H$14,2,FALSE)</f>
        <v>4</v>
      </c>
      <c r="K19" s="62">
        <f t="shared" si="1"/>
        <v>1.1442845595112162E-3</v>
      </c>
      <c r="M19" s="110">
        <f>VLOOKUP(D19,'PD Term Structure'!$C$5:$D$14,2,TRUE)</f>
        <v>4</v>
      </c>
      <c r="N19" s="110">
        <f t="shared" si="2"/>
        <v>4</v>
      </c>
      <c r="O19" s="107">
        <f t="shared" si="3"/>
        <v>1.1442845595112162E-3</v>
      </c>
      <c r="Q19" s="110">
        <f>VLOOKUP(E19,'PD Term Structure'!$C$5:$D$14,2,TRUE)</f>
        <v>5</v>
      </c>
      <c r="R19" s="110">
        <f t="shared" si="4"/>
        <v>5</v>
      </c>
      <c r="S19" s="107">
        <f t="shared" si="5"/>
        <v>1.4303556993890201E-3</v>
      </c>
    </row>
    <row r="20" spans="1:24" ht="14">
      <c r="A20" s="36">
        <v>63168</v>
      </c>
      <c r="B20" s="81" t="s">
        <v>19</v>
      </c>
      <c r="C20" s="38">
        <v>3.2399999999999998E-2</v>
      </c>
      <c r="D20" s="38">
        <f>INDEX('PD Term Structure'!$E$17:$N$26,MATCH($I20,'PD Term Structure'!$D$17:$D$26,0),MATCH(D$1,'PD Term Structure'!$E$16:$N$16,0))</f>
        <v>5.2108354430379748E-2</v>
      </c>
      <c r="E20" s="38">
        <f>INDEX('PD Term Structure'!$E$17:$N$26,MATCH($I20,'PD Term Structure'!$D$17:$D$26,0),MATCH(E$1,'PD Term Structure'!$E$16:$N$16,0))</f>
        <v>6.3676339047537805E-2</v>
      </c>
      <c r="F20" s="39">
        <v>56.381639999999997</v>
      </c>
      <c r="G20" s="82">
        <f t="shared" si="6"/>
        <v>0.41974816177099206</v>
      </c>
      <c r="H20" s="82">
        <f>(NORMSDIST(-LN(G20)+(VLOOKUP(B20,LGD_para,3,FALSE)^2/2))/VLOOKUP(B20,LGD_para,3,FALSE)-(VLOOKUP(B20,LGD_para,3,FALSE))-G20*(NORMSDIST(-LN(G20)+(VLOOKUP(B20,LGD_para,3,FALSE)^2/2))/VLOOKUP(B20,LGD_para,3,FALSE)))/LOGNORMDIST(1,LN(G20),(VLOOKUP(B20,LGD_para,3,FALSE)))*'LGD parameters'!$D$11</f>
        <v>0.33381167072117429</v>
      </c>
      <c r="I20" s="106">
        <f>VLOOKUP(C20,'PD Term Structure'!$C$5:$D$14,2,TRUE)</f>
        <v>4</v>
      </c>
      <c r="J20" s="43">
        <f>VLOOKUP(I20,'Master rating scale'!$G$5:$H$14,2,FALSE)</f>
        <v>4</v>
      </c>
      <c r="K20" s="62">
        <f t="shared" si="1"/>
        <v>2.4391465547294648E-5</v>
      </c>
      <c r="M20" s="110">
        <f>VLOOKUP(D20,'PD Term Structure'!$C$5:$D$14,2,TRUE)</f>
        <v>4</v>
      </c>
      <c r="N20" s="110">
        <f t="shared" si="2"/>
        <v>4</v>
      </c>
      <c r="O20" s="107">
        <f t="shared" si="3"/>
        <v>2.4391465547294648E-5</v>
      </c>
      <c r="Q20" s="110">
        <f>VLOOKUP(E20,'PD Term Structure'!$C$5:$D$14,2,TRUE)</f>
        <v>5</v>
      </c>
      <c r="R20" s="110">
        <f t="shared" si="4"/>
        <v>5</v>
      </c>
      <c r="S20" s="107">
        <f t="shared" si="5"/>
        <v>3.048933193411831E-5</v>
      </c>
    </row>
    <row r="21" spans="1:24" ht="14">
      <c r="A21" s="36">
        <v>115222</v>
      </c>
      <c r="B21" s="81" t="s">
        <v>19</v>
      </c>
      <c r="C21" s="38">
        <v>2.1299999999999999E-2</v>
      </c>
      <c r="D21" s="38">
        <f>INDEX('PD Term Structure'!$E$17:$N$26,MATCH($I21,'PD Term Structure'!$D$17:$D$26,0),MATCH(D$1,'PD Term Structure'!$E$16:$N$16,0))</f>
        <v>5.2108354430379748E-2</v>
      </c>
      <c r="E21" s="38">
        <f>INDEX('PD Term Structure'!$E$17:$N$26,MATCH($I21,'PD Term Structure'!$D$17:$D$26,0),MATCH(E$1,'PD Term Structure'!$E$16:$N$16,0))</f>
        <v>6.3676339047537805E-2</v>
      </c>
      <c r="F21" s="39">
        <v>104453.8705</v>
      </c>
      <c r="G21" s="82">
        <f t="shared" si="6"/>
        <v>0.41974816177099206</v>
      </c>
      <c r="H21" s="82">
        <f>(NORMSDIST(-LN(G21)+(VLOOKUP(B21,LGD_para,3,FALSE)^2/2))/VLOOKUP(B21,LGD_para,3,FALSE)-(VLOOKUP(B21,LGD_para,3,FALSE))-G21*(NORMSDIST(-LN(G21)+(VLOOKUP(B21,LGD_para,3,FALSE)^2/2))/VLOOKUP(B21,LGD_para,3,FALSE)))/LOGNORMDIST(1,LN(G21),(VLOOKUP(B21,LGD_para,3,FALSE)))*'LGD parameters'!$D$11</f>
        <v>0.33381167072117429</v>
      </c>
      <c r="I21" s="106">
        <f>VLOOKUP(C21,'PD Term Structure'!$C$5:$D$14,2,TRUE)</f>
        <v>4</v>
      </c>
      <c r="J21" s="43">
        <f>VLOOKUP(I21,'Master rating scale'!$G$5:$H$14,2,FALSE)</f>
        <v>4</v>
      </c>
      <c r="K21" s="62">
        <f t="shared" si="1"/>
        <v>4.5188167346361809E-2</v>
      </c>
      <c r="M21" s="110">
        <f>VLOOKUP(D21,'PD Term Structure'!$C$5:$D$14,2,TRUE)</f>
        <v>4</v>
      </c>
      <c r="N21" s="110">
        <f t="shared" si="2"/>
        <v>4</v>
      </c>
      <c r="O21" s="107">
        <f t="shared" si="3"/>
        <v>4.5188167346361809E-2</v>
      </c>
      <c r="Q21" s="110">
        <f>VLOOKUP(E21,'PD Term Structure'!$C$5:$D$14,2,TRUE)</f>
        <v>5</v>
      </c>
      <c r="R21" s="110">
        <f t="shared" si="4"/>
        <v>5</v>
      </c>
      <c r="S21" s="107">
        <f t="shared" si="5"/>
        <v>5.6485209182952259E-2</v>
      </c>
    </row>
    <row r="22" spans="1:24" ht="14">
      <c r="A22" s="36">
        <v>245395</v>
      </c>
      <c r="B22" s="81" t="s">
        <v>19</v>
      </c>
      <c r="C22" s="38">
        <v>2.3400000000000001E-2</v>
      </c>
      <c r="D22" s="38">
        <f>INDEX('PD Term Structure'!$E$17:$N$26,MATCH($I22,'PD Term Structure'!$D$17:$D$26,0),MATCH(D$1,'PD Term Structure'!$E$16:$N$16,0))</f>
        <v>5.2108354430379748E-2</v>
      </c>
      <c r="E22" s="38">
        <f>INDEX('PD Term Structure'!$E$17:$N$26,MATCH($I22,'PD Term Structure'!$D$17:$D$26,0),MATCH(E$1,'PD Term Structure'!$E$16:$N$16,0))</f>
        <v>6.3676339047537805E-2</v>
      </c>
      <c r="F22" s="39">
        <v>79928.48698999999</v>
      </c>
      <c r="G22" s="82">
        <f t="shared" si="6"/>
        <v>0.41974816177099206</v>
      </c>
      <c r="H22" s="82">
        <f>(NORMSDIST(-LN(G22)+(VLOOKUP(B22,LGD_para,3,FALSE)^2/2))/VLOOKUP(B22,LGD_para,3,FALSE)-(VLOOKUP(B22,LGD_para,3,FALSE))-G22*(NORMSDIST(-LN(G22)+(VLOOKUP(B22,LGD_para,3,FALSE)^2/2))/VLOOKUP(B22,LGD_para,3,FALSE)))/LOGNORMDIST(1,LN(G22),(VLOOKUP(B22,LGD_para,3,FALSE)))*'LGD parameters'!$D$11</f>
        <v>0.33381167072117429</v>
      </c>
      <c r="I22" s="106">
        <f>VLOOKUP(C22,'PD Term Structure'!$C$5:$D$14,2,TRUE)</f>
        <v>4</v>
      </c>
      <c r="J22" s="43">
        <f>VLOOKUP(I22,'Master rating scale'!$G$5:$H$14,2,FALSE)</f>
        <v>4</v>
      </c>
      <c r="K22" s="62">
        <f t="shared" si="1"/>
        <v>3.4578152332283583E-2</v>
      </c>
      <c r="M22" s="110">
        <f>VLOOKUP(D22,'PD Term Structure'!$C$5:$D$14,2,TRUE)</f>
        <v>4</v>
      </c>
      <c r="N22" s="110">
        <f t="shared" si="2"/>
        <v>4</v>
      </c>
      <c r="O22" s="107">
        <f t="shared" si="3"/>
        <v>3.4578152332283583E-2</v>
      </c>
      <c r="Q22" s="110">
        <f>VLOOKUP(E22,'PD Term Structure'!$C$5:$D$14,2,TRUE)</f>
        <v>5</v>
      </c>
      <c r="R22" s="110">
        <f t="shared" si="4"/>
        <v>5</v>
      </c>
      <c r="S22" s="107">
        <f t="shared" si="5"/>
        <v>4.3222690415354481E-2</v>
      </c>
    </row>
    <row r="23" spans="1:24" ht="14">
      <c r="A23" s="36">
        <v>1218</v>
      </c>
      <c r="B23" s="81" t="s">
        <v>19</v>
      </c>
      <c r="C23" s="38">
        <v>1.0999999999999999E-2</v>
      </c>
      <c r="D23" s="38">
        <f>INDEX('PD Term Structure'!$E$17:$N$26,MATCH($I23,'PD Term Structure'!$D$17:$D$26,0),MATCH(D$1,'PD Term Structure'!$E$16:$N$16,0))</f>
        <v>2.8507278481012657E-2</v>
      </c>
      <c r="E23" s="38">
        <f>INDEX('PD Term Structure'!$E$17:$N$26,MATCH($I23,'PD Term Structure'!$D$17:$D$26,0),MATCH(E$1,'PD Term Structure'!$E$16:$N$16,0))</f>
        <v>4.7291677269631509E-2</v>
      </c>
      <c r="F23" s="39">
        <v>13595.238140000001</v>
      </c>
      <c r="G23" s="82">
        <f t="shared" si="6"/>
        <v>0.41974816177099206</v>
      </c>
      <c r="H23" s="82">
        <f>(NORMSDIST(-LN(G23)+(VLOOKUP(B23,LGD_para,3,FALSE)^2/2))/VLOOKUP(B23,LGD_para,3,FALSE)-(VLOOKUP(B23,LGD_para,3,FALSE))-G23*(NORMSDIST(-LN(G23)+(VLOOKUP(B23,LGD_para,3,FALSE)^2/2))/VLOOKUP(B23,LGD_para,3,FALSE)))/LOGNORMDIST(1,LN(G23),(VLOOKUP(B23,LGD_para,3,FALSE)))*'LGD parameters'!$D$11</f>
        <v>0.33381167072117429</v>
      </c>
      <c r="I23" s="106">
        <f>VLOOKUP(C23,'PD Term Structure'!$C$5:$D$14,2,TRUE)</f>
        <v>3</v>
      </c>
      <c r="J23" s="43">
        <f>VLOOKUP(I23,'Master rating scale'!$G$5:$H$14,2,FALSE)</f>
        <v>3</v>
      </c>
      <c r="K23" s="62">
        <f t="shared" si="1"/>
        <v>4.4111139197850072E-3</v>
      </c>
      <c r="M23" s="110">
        <f>VLOOKUP(D23,'PD Term Structure'!$C$5:$D$14,2,TRUE)</f>
        <v>4</v>
      </c>
      <c r="N23" s="110">
        <f t="shared" si="2"/>
        <v>4</v>
      </c>
      <c r="O23" s="107">
        <f t="shared" si="3"/>
        <v>5.8814852263800099E-3</v>
      </c>
      <c r="Q23" s="110">
        <f>VLOOKUP(E23,'PD Term Structure'!$C$5:$D$14,2,TRUE)</f>
        <v>4</v>
      </c>
      <c r="R23" s="110">
        <f t="shared" si="4"/>
        <v>4</v>
      </c>
      <c r="S23" s="107">
        <f t="shared" si="5"/>
        <v>5.8814852263800099E-3</v>
      </c>
    </row>
    <row r="24" spans="1:24" ht="14">
      <c r="A24" s="36">
        <v>336710</v>
      </c>
      <c r="B24" s="81" t="s">
        <v>19</v>
      </c>
      <c r="C24" s="38">
        <v>2.3E-2</v>
      </c>
      <c r="D24" s="38">
        <f>INDEX('PD Term Structure'!$E$17:$N$26,MATCH($I24,'PD Term Structure'!$D$17:$D$26,0),MATCH(D$1,'PD Term Structure'!$E$16:$N$16,0))</f>
        <v>5.2108354430379748E-2</v>
      </c>
      <c r="E24" s="38">
        <f>INDEX('PD Term Structure'!$E$17:$N$26,MATCH($I24,'PD Term Structure'!$D$17:$D$26,0),MATCH(E$1,'PD Term Structure'!$E$16:$N$16,0))</f>
        <v>6.3676339047537805E-2</v>
      </c>
      <c r="F24" s="39">
        <v>12829.932470000002</v>
      </c>
      <c r="G24" s="82">
        <f t="shared" si="6"/>
        <v>0.41974816177099206</v>
      </c>
      <c r="H24" s="82">
        <f>(NORMSDIST(-LN(G24)+(VLOOKUP(B24,LGD_para,3,FALSE)^2/2))/VLOOKUP(B24,LGD_para,3,FALSE)-(VLOOKUP(B24,LGD_para,3,FALSE))-G24*(NORMSDIST(-LN(G24)+(VLOOKUP(B24,LGD_para,3,FALSE)^2/2))/VLOOKUP(B24,LGD_para,3,FALSE)))/LOGNORMDIST(1,LN(G24),(VLOOKUP(B24,LGD_para,3,FALSE)))*'LGD parameters'!$D$11</f>
        <v>0.33381167072117429</v>
      </c>
      <c r="I24" s="106">
        <f>VLOOKUP(C24,'PD Term Structure'!$C$5:$D$14,2,TRUE)</f>
        <v>4</v>
      </c>
      <c r="J24" s="43">
        <f>VLOOKUP(I24,'Master rating scale'!$G$5:$H$14,2,FALSE)</f>
        <v>4</v>
      </c>
      <c r="K24" s="62">
        <f t="shared" si="1"/>
        <v>5.5504035678302713E-3</v>
      </c>
      <c r="M24" s="110">
        <f>VLOOKUP(D24,'PD Term Structure'!$C$5:$D$14,2,TRUE)</f>
        <v>4</v>
      </c>
      <c r="N24" s="110">
        <f t="shared" si="2"/>
        <v>4</v>
      </c>
      <c r="O24" s="107">
        <f t="shared" si="3"/>
        <v>5.5504035678302713E-3</v>
      </c>
      <c r="Q24" s="110">
        <f>VLOOKUP(E24,'PD Term Structure'!$C$5:$D$14,2,TRUE)</f>
        <v>5</v>
      </c>
      <c r="R24" s="110">
        <f t="shared" si="4"/>
        <v>5</v>
      </c>
      <c r="S24" s="107">
        <f t="shared" si="5"/>
        <v>6.9380044597878391E-3</v>
      </c>
    </row>
    <row r="25" spans="1:24" ht="14">
      <c r="A25" s="36">
        <v>67438</v>
      </c>
      <c r="B25" s="81" t="s">
        <v>19</v>
      </c>
      <c r="C25" s="38">
        <v>2.1000000000000001E-2</v>
      </c>
      <c r="D25" s="38">
        <f>INDEX('PD Term Structure'!$E$17:$N$26,MATCH($I25,'PD Term Structure'!$D$17:$D$26,0),MATCH(D$1,'PD Term Structure'!$E$16:$N$16,0))</f>
        <v>5.2108354430379748E-2</v>
      </c>
      <c r="E25" s="38">
        <f>INDEX('PD Term Structure'!$E$17:$N$26,MATCH($I25,'PD Term Structure'!$D$17:$D$26,0),MATCH(E$1,'PD Term Structure'!$E$16:$N$16,0))</f>
        <v>6.3676339047537805E-2</v>
      </c>
      <c r="F25" s="39">
        <v>1501.7521880000002</v>
      </c>
      <c r="G25" s="82">
        <f t="shared" si="6"/>
        <v>0.41974816177099206</v>
      </c>
      <c r="H25" s="82">
        <f>(NORMSDIST(-LN(G25)+(VLOOKUP(B25,LGD_para,3,FALSE)^2/2))/VLOOKUP(B25,LGD_para,3,FALSE)-(VLOOKUP(B25,LGD_para,3,FALSE))-G25*(NORMSDIST(-LN(G25)+(VLOOKUP(B25,LGD_para,3,FALSE)^2/2))/VLOOKUP(B25,LGD_para,3,FALSE)))/LOGNORMDIST(1,LN(G25),(VLOOKUP(B25,LGD_para,3,FALSE)))*'LGD parameters'!$D$11</f>
        <v>0.33381167072117429</v>
      </c>
      <c r="I25" s="106">
        <f>VLOOKUP(C25,'PD Term Structure'!$C$5:$D$14,2,TRUE)</f>
        <v>4</v>
      </c>
      <c r="J25" s="43">
        <f>VLOOKUP(I25,'Master rating scale'!$G$5:$H$14,2,FALSE)</f>
        <v>4</v>
      </c>
      <c r="K25" s="62">
        <f t="shared" si="1"/>
        <v>6.496784547979867E-4</v>
      </c>
      <c r="M25" s="110">
        <f>VLOOKUP(D25,'PD Term Structure'!$C$5:$D$14,2,TRUE)</f>
        <v>4</v>
      </c>
      <c r="N25" s="110">
        <f t="shared" si="2"/>
        <v>4</v>
      </c>
      <c r="O25" s="107">
        <f t="shared" si="3"/>
        <v>6.496784547979867E-4</v>
      </c>
      <c r="Q25" s="110">
        <f>VLOOKUP(E25,'PD Term Structure'!$C$5:$D$14,2,TRUE)</f>
        <v>5</v>
      </c>
      <c r="R25" s="110">
        <f t="shared" si="4"/>
        <v>5</v>
      </c>
      <c r="S25" s="107">
        <f t="shared" si="5"/>
        <v>8.1209806849748332E-4</v>
      </c>
    </row>
    <row r="26" spans="1:24" ht="14">
      <c r="A26" s="36">
        <v>252928</v>
      </c>
      <c r="B26" s="81" t="s">
        <v>19</v>
      </c>
      <c r="C26" s="38">
        <v>4.2999999999999997E-2</v>
      </c>
      <c r="D26" s="38">
        <f>INDEX('PD Term Structure'!$E$17:$N$26,MATCH($I26,'PD Term Structure'!$D$17:$D$26,0),MATCH(D$1,'PD Term Structure'!$E$16:$N$16,0))</f>
        <v>5.2108354430379748E-2</v>
      </c>
      <c r="E26" s="38">
        <f>INDEX('PD Term Structure'!$E$17:$N$26,MATCH($I26,'PD Term Structure'!$D$17:$D$26,0),MATCH(E$1,'PD Term Structure'!$E$16:$N$16,0))</f>
        <v>6.3676339047537805E-2</v>
      </c>
      <c r="F26" s="39">
        <v>3323.7341200000001</v>
      </c>
      <c r="G26" s="82">
        <f t="shared" si="6"/>
        <v>0.41974816177099206</v>
      </c>
      <c r="H26" s="82">
        <f>(NORMSDIST(-LN(G26)+(VLOOKUP(B26,LGD_para,3,FALSE)^2/2))/VLOOKUP(B26,LGD_para,3,FALSE)-(VLOOKUP(B26,LGD_para,3,FALSE))-G26*(NORMSDIST(-LN(G26)+(VLOOKUP(B26,LGD_para,3,FALSE)^2/2))/VLOOKUP(B26,LGD_para,3,FALSE)))/LOGNORMDIST(1,LN(G26),(VLOOKUP(B26,LGD_para,3,FALSE)))*'LGD parameters'!$D$11</f>
        <v>0.33381167072117429</v>
      </c>
      <c r="I26" s="106">
        <f>VLOOKUP(C26,'PD Term Structure'!$C$5:$D$14,2,TRUE)</f>
        <v>4</v>
      </c>
      <c r="J26" s="43">
        <f>VLOOKUP(I26,'Master rating scale'!$G$5:$H$14,2,FALSE)</f>
        <v>4</v>
      </c>
      <c r="K26" s="62">
        <f t="shared" si="1"/>
        <v>1.4378926593186664E-3</v>
      </c>
      <c r="M26" s="110">
        <f>VLOOKUP(D26,'PD Term Structure'!$C$5:$D$14,2,TRUE)</f>
        <v>4</v>
      </c>
      <c r="N26" s="110">
        <f t="shared" si="2"/>
        <v>4</v>
      </c>
      <c r="O26" s="107">
        <f t="shared" si="3"/>
        <v>1.4378926593186664E-3</v>
      </c>
      <c r="Q26" s="110">
        <f>VLOOKUP(E26,'PD Term Structure'!$C$5:$D$14,2,TRUE)</f>
        <v>5</v>
      </c>
      <c r="R26" s="110">
        <f t="shared" si="4"/>
        <v>5</v>
      </c>
      <c r="S26" s="107">
        <f t="shared" si="5"/>
        <v>1.7973658241483329E-3</v>
      </c>
    </row>
    <row r="27" spans="1:24" ht="14">
      <c r="A27" s="36">
        <v>148027</v>
      </c>
      <c r="B27" s="81" t="s">
        <v>19</v>
      </c>
      <c r="C27" s="38">
        <v>4.2999999999999997E-2</v>
      </c>
      <c r="D27" s="38">
        <f>INDEX('PD Term Structure'!$E$17:$N$26,MATCH($I27,'PD Term Structure'!$D$17:$D$26,0),MATCH(D$1,'PD Term Structure'!$E$16:$N$16,0))</f>
        <v>5.2108354430379748E-2</v>
      </c>
      <c r="E27" s="38">
        <f>INDEX('PD Term Structure'!$E$17:$N$26,MATCH($I27,'PD Term Structure'!$D$17:$D$26,0),MATCH(E$1,'PD Term Structure'!$E$16:$N$16,0))</f>
        <v>6.3676339047537805E-2</v>
      </c>
      <c r="F27" s="39">
        <v>673193.91370000003</v>
      </c>
      <c r="G27" s="82">
        <f t="shared" si="6"/>
        <v>0.41974816177099206</v>
      </c>
      <c r="H27" s="82">
        <f>(NORMSDIST(-LN(G27)+(VLOOKUP(B27,LGD_para,3,FALSE)^2/2))/VLOOKUP(B27,LGD_para,3,FALSE)-(VLOOKUP(B27,LGD_para,3,FALSE))-G27*(NORMSDIST(-LN(G27)+(VLOOKUP(B27,LGD_para,3,FALSE)^2/2))/VLOOKUP(B27,LGD_para,3,FALSE)))/LOGNORMDIST(1,LN(G27),(VLOOKUP(B27,LGD_para,3,FALSE)))*'LGD parameters'!$D$11</f>
        <v>0.33381167072117429</v>
      </c>
      <c r="I27" s="106">
        <f>VLOOKUP(C27,'PD Term Structure'!$C$5:$D$14,2,TRUE)</f>
        <v>4</v>
      </c>
      <c r="J27" s="43">
        <f>VLOOKUP(I27,'Master rating scale'!$G$5:$H$14,2,FALSE)</f>
        <v>4</v>
      </c>
      <c r="K27" s="62">
        <f t="shared" si="1"/>
        <v>0.29123285794208892</v>
      </c>
      <c r="M27" s="110">
        <f>VLOOKUP(D27,'PD Term Structure'!$C$5:$D$14,2,TRUE)</f>
        <v>4</v>
      </c>
      <c r="N27" s="110">
        <f t="shared" si="2"/>
        <v>4</v>
      </c>
      <c r="O27" s="107">
        <f t="shared" si="3"/>
        <v>0.29123285794208892</v>
      </c>
      <c r="Q27" s="110">
        <f>VLOOKUP(E27,'PD Term Structure'!$C$5:$D$14,2,TRUE)</f>
        <v>5</v>
      </c>
      <c r="R27" s="110">
        <f t="shared" si="4"/>
        <v>5</v>
      </c>
      <c r="S27" s="107">
        <f t="shared" si="5"/>
        <v>0.36404107242761113</v>
      </c>
    </row>
    <row r="28" spans="1:24" ht="14">
      <c r="A28" s="36">
        <v>31982</v>
      </c>
      <c r="B28" s="81" t="s">
        <v>19</v>
      </c>
      <c r="C28" s="38">
        <v>4.2999999999999997E-2</v>
      </c>
      <c r="D28" s="38">
        <f>INDEX('PD Term Structure'!$E$17:$N$26,MATCH($I28,'PD Term Structure'!$D$17:$D$26,0),MATCH(D$1,'PD Term Structure'!$E$16:$N$16,0))</f>
        <v>5.2108354430379748E-2</v>
      </c>
      <c r="E28" s="38">
        <f>INDEX('PD Term Structure'!$E$17:$N$26,MATCH($I28,'PD Term Structure'!$D$17:$D$26,0),MATCH(E$1,'PD Term Structure'!$E$16:$N$16,0))</f>
        <v>6.3676339047537805E-2</v>
      </c>
      <c r="F28" s="39">
        <v>50656.184630000003</v>
      </c>
      <c r="G28" s="82">
        <f t="shared" si="6"/>
        <v>0.41974816177099206</v>
      </c>
      <c r="H28" s="82">
        <f>(NORMSDIST(-LN(G28)+(VLOOKUP(B28,LGD_para,3,FALSE)^2/2))/VLOOKUP(B28,LGD_para,3,FALSE)-(VLOOKUP(B28,LGD_para,3,FALSE))-G28*(NORMSDIST(-LN(G28)+(VLOOKUP(B28,LGD_para,3,FALSE)^2/2))/VLOOKUP(B28,LGD_para,3,FALSE)))/LOGNORMDIST(1,LN(G28),(VLOOKUP(B28,LGD_para,3,FALSE)))*'LGD parameters'!$D$11</f>
        <v>0.33381167072117429</v>
      </c>
      <c r="I28" s="106">
        <f>VLOOKUP(C28,'PD Term Structure'!$C$5:$D$14,2,TRUE)</f>
        <v>4</v>
      </c>
      <c r="J28" s="43">
        <f>VLOOKUP(I28,'Master rating scale'!$G$5:$H$14,2,FALSE)</f>
        <v>4</v>
      </c>
      <c r="K28" s="62">
        <f t="shared" si="1"/>
        <v>2.1914555556738713E-2</v>
      </c>
      <c r="M28" s="110">
        <f>VLOOKUP(D28,'PD Term Structure'!$C$5:$D$14,2,TRUE)</f>
        <v>4</v>
      </c>
      <c r="N28" s="110">
        <f t="shared" si="2"/>
        <v>4</v>
      </c>
      <c r="O28" s="107">
        <f t="shared" si="3"/>
        <v>2.1914555556738713E-2</v>
      </c>
      <c r="Q28" s="110">
        <f>VLOOKUP(E28,'PD Term Structure'!$C$5:$D$14,2,TRUE)</f>
        <v>5</v>
      </c>
      <c r="R28" s="110">
        <f t="shared" si="4"/>
        <v>5</v>
      </c>
      <c r="S28" s="107">
        <f t="shared" si="5"/>
        <v>2.7393194445923391E-2</v>
      </c>
    </row>
    <row r="29" spans="1:24" ht="14">
      <c r="A29" s="36">
        <v>182032</v>
      </c>
      <c r="B29" s="81" t="s">
        <v>19</v>
      </c>
      <c r="C29" s="38">
        <v>4.2999999999999997E-2</v>
      </c>
      <c r="D29" s="38">
        <f>INDEX('PD Term Structure'!$E$17:$N$26,MATCH($I29,'PD Term Structure'!$D$17:$D$26,0),MATCH(D$1,'PD Term Structure'!$E$16:$N$16,0))</f>
        <v>5.2108354430379748E-2</v>
      </c>
      <c r="E29" s="38">
        <f>INDEX('PD Term Structure'!$E$17:$N$26,MATCH($I29,'PD Term Structure'!$D$17:$D$26,0),MATCH(E$1,'PD Term Structure'!$E$16:$N$16,0))</f>
        <v>6.3676339047537805E-2</v>
      </c>
      <c r="F29" s="39">
        <v>22500</v>
      </c>
      <c r="G29" s="82">
        <f t="shared" si="6"/>
        <v>0.41974816177099206</v>
      </c>
      <c r="H29" s="82">
        <f>(NORMSDIST(-LN(G29)+(VLOOKUP(B29,LGD_para,3,FALSE)^2/2))/VLOOKUP(B29,LGD_para,3,FALSE)-(VLOOKUP(B29,LGD_para,3,FALSE))-G29*(NORMSDIST(-LN(G29)+(VLOOKUP(B29,LGD_para,3,FALSE)^2/2))/VLOOKUP(B29,LGD_para,3,FALSE)))/LOGNORMDIST(1,LN(G29),(VLOOKUP(B29,LGD_para,3,FALSE)))*'LGD parameters'!$D$11</f>
        <v>0.33381167072117429</v>
      </c>
      <c r="I29" s="106">
        <f>VLOOKUP(C29,'PD Term Structure'!$C$5:$D$14,2,TRUE)</f>
        <v>4</v>
      </c>
      <c r="J29" s="43">
        <f>VLOOKUP(I29,'Master rating scale'!$G$5:$H$14,2,FALSE)</f>
        <v>4</v>
      </c>
      <c r="K29" s="62">
        <f t="shared" si="1"/>
        <v>9.7338065159887077E-3</v>
      </c>
      <c r="M29" s="110">
        <f>VLOOKUP(D29,'PD Term Structure'!$C$5:$D$14,2,TRUE)</f>
        <v>4</v>
      </c>
      <c r="N29" s="110">
        <f t="shared" si="2"/>
        <v>4</v>
      </c>
      <c r="O29" s="107">
        <f t="shared" si="3"/>
        <v>9.7338065159887077E-3</v>
      </c>
      <c r="Q29" s="110">
        <f>VLOOKUP(E29,'PD Term Structure'!$C$5:$D$14,2,TRUE)</f>
        <v>5</v>
      </c>
      <c r="R29" s="110">
        <f t="shared" si="4"/>
        <v>5</v>
      </c>
      <c r="S29" s="107">
        <f t="shared" si="5"/>
        <v>1.2167258144985885E-2</v>
      </c>
    </row>
    <row r="30" spans="1:24" ht="14">
      <c r="A30" s="36">
        <v>206051</v>
      </c>
      <c r="B30" s="81" t="s">
        <v>19</v>
      </c>
      <c r="C30" s="38">
        <v>4.2999999999999997E-2</v>
      </c>
      <c r="D30" s="38">
        <f>INDEX('PD Term Structure'!$E$17:$N$26,MATCH($I30,'PD Term Structure'!$D$17:$D$26,0),MATCH(D$1,'PD Term Structure'!$E$16:$N$16,0))</f>
        <v>5.2108354430379748E-2</v>
      </c>
      <c r="E30" s="38">
        <f>INDEX('PD Term Structure'!$E$17:$N$26,MATCH($I30,'PD Term Structure'!$D$17:$D$26,0),MATCH(E$1,'PD Term Structure'!$E$16:$N$16,0))</f>
        <v>6.3676339047537805E-2</v>
      </c>
      <c r="F30" s="39">
        <v>30000</v>
      </c>
      <c r="G30" s="82">
        <f t="shared" si="6"/>
        <v>0.41974816177099206</v>
      </c>
      <c r="H30" s="82">
        <f>(NORMSDIST(-LN(G30)+(VLOOKUP(B30,LGD_para,3,FALSE)^2/2))/VLOOKUP(B30,LGD_para,3,FALSE)-(VLOOKUP(B30,LGD_para,3,FALSE))-G30*(NORMSDIST(-LN(G30)+(VLOOKUP(B30,LGD_para,3,FALSE)^2/2))/VLOOKUP(B30,LGD_para,3,FALSE)))/LOGNORMDIST(1,LN(G30),(VLOOKUP(B30,LGD_para,3,FALSE)))*'LGD parameters'!$D$11</f>
        <v>0.33381167072117429</v>
      </c>
      <c r="I30" s="106">
        <f>VLOOKUP(C30,'PD Term Structure'!$C$5:$D$14,2,TRUE)</f>
        <v>4</v>
      </c>
      <c r="J30" s="43">
        <f>VLOOKUP(I30,'Master rating scale'!$G$5:$H$14,2,FALSE)</f>
        <v>4</v>
      </c>
      <c r="K30" s="62">
        <f t="shared" si="1"/>
        <v>1.2978408687984944E-2</v>
      </c>
      <c r="M30" s="110">
        <f>VLOOKUP(D30,'PD Term Structure'!$C$5:$D$14,2,TRUE)</f>
        <v>4</v>
      </c>
      <c r="N30" s="110">
        <f t="shared" si="2"/>
        <v>4</v>
      </c>
      <c r="O30" s="107">
        <f t="shared" si="3"/>
        <v>1.2978408687984944E-2</v>
      </c>
      <c r="Q30" s="110">
        <f>VLOOKUP(E30,'PD Term Structure'!$C$5:$D$14,2,TRUE)</f>
        <v>5</v>
      </c>
      <c r="R30" s="110">
        <f t="shared" si="4"/>
        <v>5</v>
      </c>
      <c r="S30" s="107">
        <f t="shared" si="5"/>
        <v>1.622301085998118E-2</v>
      </c>
    </row>
    <row r="31" spans="1:24" ht="14">
      <c r="A31" s="36">
        <v>362213</v>
      </c>
      <c r="B31" s="81" t="s">
        <v>19</v>
      </c>
      <c r="C31" s="38">
        <v>4.2999999999999997E-2</v>
      </c>
      <c r="D31" s="38">
        <f>INDEX('PD Term Structure'!$E$17:$N$26,MATCH($I31,'PD Term Structure'!$D$17:$D$26,0),MATCH(D$1,'PD Term Structure'!$E$16:$N$16,0))</f>
        <v>5.2108354430379748E-2</v>
      </c>
      <c r="E31" s="38">
        <f>INDEX('PD Term Structure'!$E$17:$N$26,MATCH($I31,'PD Term Structure'!$D$17:$D$26,0),MATCH(E$1,'PD Term Structure'!$E$16:$N$16,0))</f>
        <v>6.3676339047537805E-2</v>
      </c>
      <c r="F31" s="39">
        <v>30026</v>
      </c>
      <c r="G31" s="82">
        <f t="shared" si="6"/>
        <v>0.41974816177099206</v>
      </c>
      <c r="H31" s="82">
        <f>(NORMSDIST(-LN(G31)+(VLOOKUP(B31,LGD_para,3,FALSE)^2/2))/VLOOKUP(B31,LGD_para,3,FALSE)-(VLOOKUP(B31,LGD_para,3,FALSE))-G31*(NORMSDIST(-LN(G31)+(VLOOKUP(B31,LGD_para,3,FALSE)^2/2))/VLOOKUP(B31,LGD_para,3,FALSE)))/LOGNORMDIST(1,LN(G31),(VLOOKUP(B31,LGD_para,3,FALSE)))*'LGD parameters'!$D$11</f>
        <v>0.33381167072117429</v>
      </c>
      <c r="I31" s="106">
        <f>VLOOKUP(C31,'PD Term Structure'!$C$5:$D$14,2,TRUE)</f>
        <v>4</v>
      </c>
      <c r="J31" s="43">
        <f>VLOOKUP(I31,'Master rating scale'!$G$5:$H$14,2,FALSE)</f>
        <v>4</v>
      </c>
      <c r="K31" s="62">
        <f t="shared" si="1"/>
        <v>1.2989656642181198E-2</v>
      </c>
      <c r="M31" s="110">
        <f>VLOOKUP(D31,'PD Term Structure'!$C$5:$D$14,2,TRUE)</f>
        <v>4</v>
      </c>
      <c r="N31" s="110">
        <f t="shared" si="2"/>
        <v>4</v>
      </c>
      <c r="O31" s="107">
        <f t="shared" si="3"/>
        <v>1.2989656642181198E-2</v>
      </c>
      <c r="Q31" s="110">
        <f>VLOOKUP(E31,'PD Term Structure'!$C$5:$D$14,2,TRUE)</f>
        <v>5</v>
      </c>
      <c r="R31" s="110">
        <f t="shared" si="4"/>
        <v>5</v>
      </c>
      <c r="S31" s="107">
        <f t="shared" si="5"/>
        <v>1.6237070802726496E-2</v>
      </c>
    </row>
    <row r="32" spans="1:24" ht="14">
      <c r="A32" s="36">
        <v>114060</v>
      </c>
      <c r="B32" s="81" t="s">
        <v>19</v>
      </c>
      <c r="C32" s="38">
        <v>4.2999999999999997E-2</v>
      </c>
      <c r="D32" s="38">
        <f>INDEX('PD Term Structure'!$E$17:$N$26,MATCH($I32,'PD Term Structure'!$D$17:$D$26,0),MATCH(D$1,'PD Term Structure'!$E$16:$N$16,0))</f>
        <v>5.2108354430379748E-2</v>
      </c>
      <c r="E32" s="38">
        <f>INDEX('PD Term Structure'!$E$17:$N$26,MATCH($I32,'PD Term Structure'!$D$17:$D$26,0),MATCH(E$1,'PD Term Structure'!$E$16:$N$16,0))</f>
        <v>6.3676339047537805E-2</v>
      </c>
      <c r="F32" s="39">
        <v>31500</v>
      </c>
      <c r="G32" s="82">
        <f t="shared" si="6"/>
        <v>0.41974816177099206</v>
      </c>
      <c r="H32" s="82">
        <f>(NORMSDIST(-LN(G32)+(VLOOKUP(B32,LGD_para,3,FALSE)^2/2))/VLOOKUP(B32,LGD_para,3,FALSE)-(VLOOKUP(B32,LGD_para,3,FALSE))-G32*(NORMSDIST(-LN(G32)+(VLOOKUP(B32,LGD_para,3,FALSE)^2/2))/VLOOKUP(B32,LGD_para,3,FALSE)))/LOGNORMDIST(1,LN(G32),(VLOOKUP(B32,LGD_para,3,FALSE)))*'LGD parameters'!$D$11</f>
        <v>0.33381167072117429</v>
      </c>
      <c r="I32" s="106">
        <f>VLOOKUP(C32,'PD Term Structure'!$C$5:$D$14,2,TRUE)</f>
        <v>4</v>
      </c>
      <c r="J32" s="43">
        <f>VLOOKUP(I32,'Master rating scale'!$G$5:$H$14,2,FALSE)</f>
        <v>4</v>
      </c>
      <c r="K32" s="62">
        <f t="shared" si="1"/>
        <v>1.362732912238419E-2</v>
      </c>
      <c r="M32" s="110">
        <f>VLOOKUP(D32,'PD Term Structure'!$C$5:$D$14,2,TRUE)</f>
        <v>4</v>
      </c>
      <c r="N32" s="110">
        <f t="shared" si="2"/>
        <v>4</v>
      </c>
      <c r="O32" s="107">
        <f t="shared" si="3"/>
        <v>1.362732912238419E-2</v>
      </c>
      <c r="Q32" s="110">
        <f>VLOOKUP(E32,'PD Term Structure'!$C$5:$D$14,2,TRUE)</f>
        <v>5</v>
      </c>
      <c r="R32" s="110">
        <f t="shared" si="4"/>
        <v>5</v>
      </c>
      <c r="S32" s="107">
        <f t="shared" si="5"/>
        <v>1.7034161402980239E-2</v>
      </c>
    </row>
    <row r="33" spans="1:19" ht="14">
      <c r="A33" s="36">
        <v>58043</v>
      </c>
      <c r="B33" s="81" t="s">
        <v>19</v>
      </c>
      <c r="C33" s="38">
        <v>4.2999999999999997E-2</v>
      </c>
      <c r="D33" s="38">
        <f>INDEX('PD Term Structure'!$E$17:$N$26,MATCH($I33,'PD Term Structure'!$D$17:$D$26,0),MATCH(D$1,'PD Term Structure'!$E$16:$N$16,0))</f>
        <v>5.2108354430379748E-2</v>
      </c>
      <c r="E33" s="38">
        <f>INDEX('PD Term Structure'!$E$17:$N$26,MATCH($I33,'PD Term Structure'!$D$17:$D$26,0),MATCH(E$1,'PD Term Structure'!$E$16:$N$16,0))</f>
        <v>6.3676339047537805E-2</v>
      </c>
      <c r="F33" s="39">
        <v>19687.5</v>
      </c>
      <c r="G33" s="82">
        <f t="shared" si="6"/>
        <v>0.41974816177099206</v>
      </c>
      <c r="H33" s="82">
        <f>(NORMSDIST(-LN(G33)+(VLOOKUP(B33,LGD_para,3,FALSE)^2/2))/VLOOKUP(B33,LGD_para,3,FALSE)-(VLOOKUP(B33,LGD_para,3,FALSE))-G33*(NORMSDIST(-LN(G33)+(VLOOKUP(B33,LGD_para,3,FALSE)^2/2))/VLOOKUP(B33,LGD_para,3,FALSE)))/LOGNORMDIST(1,LN(G33),(VLOOKUP(B33,LGD_para,3,FALSE)))*'LGD parameters'!$D$11</f>
        <v>0.33381167072117429</v>
      </c>
      <c r="I33" s="106">
        <f>VLOOKUP(C33,'PD Term Structure'!$C$5:$D$14,2,TRUE)</f>
        <v>4</v>
      </c>
      <c r="J33" s="43">
        <f>VLOOKUP(I33,'Master rating scale'!$G$5:$H$14,2,FALSE)</f>
        <v>4</v>
      </c>
      <c r="K33" s="62">
        <f t="shared" si="1"/>
        <v>8.5170807014901193E-3</v>
      </c>
      <c r="M33" s="110">
        <f>VLOOKUP(D33,'PD Term Structure'!$C$5:$D$14,2,TRUE)</f>
        <v>4</v>
      </c>
      <c r="N33" s="110">
        <f t="shared" si="2"/>
        <v>4</v>
      </c>
      <c r="O33" s="107">
        <f t="shared" si="3"/>
        <v>8.5170807014901193E-3</v>
      </c>
      <c r="Q33" s="110">
        <f>VLOOKUP(E33,'PD Term Structure'!$C$5:$D$14,2,TRUE)</f>
        <v>5</v>
      </c>
      <c r="R33" s="110">
        <f t="shared" si="4"/>
        <v>5</v>
      </c>
      <c r="S33" s="107">
        <f t="shared" si="5"/>
        <v>1.0646350876862649E-2</v>
      </c>
    </row>
    <row r="34" spans="1:19" ht="14">
      <c r="A34" s="36">
        <v>309383</v>
      </c>
      <c r="B34" s="81" t="s">
        <v>19</v>
      </c>
      <c r="C34" s="38">
        <v>4.2999999999999997E-2</v>
      </c>
      <c r="D34" s="38">
        <f>INDEX('PD Term Structure'!$E$17:$N$26,MATCH($I34,'PD Term Structure'!$D$17:$D$26,0),MATCH(D$1,'PD Term Structure'!$E$16:$N$16,0))</f>
        <v>5.2108354430379748E-2</v>
      </c>
      <c r="E34" s="38">
        <f>INDEX('PD Term Structure'!$E$17:$N$26,MATCH($I34,'PD Term Structure'!$D$17:$D$26,0),MATCH(E$1,'PD Term Structure'!$E$16:$N$16,0))</f>
        <v>6.3676339047537805E-2</v>
      </c>
      <c r="F34" s="39">
        <v>24552</v>
      </c>
      <c r="G34" s="82">
        <f t="shared" si="6"/>
        <v>0.41974816177099206</v>
      </c>
      <c r="H34" s="82">
        <f>(NORMSDIST(-LN(G34)+(VLOOKUP(B34,LGD_para,3,FALSE)^2/2))/VLOOKUP(B34,LGD_para,3,FALSE)-(VLOOKUP(B34,LGD_para,3,FALSE))-G34*(NORMSDIST(-LN(G34)+(VLOOKUP(B34,LGD_para,3,FALSE)^2/2))/VLOOKUP(B34,LGD_para,3,FALSE)))/LOGNORMDIST(1,LN(G34),(VLOOKUP(B34,LGD_para,3,FALSE)))*'LGD parameters'!$D$11</f>
        <v>0.33381167072117429</v>
      </c>
      <c r="I34" s="106">
        <f>VLOOKUP(C34,'PD Term Structure'!$C$5:$D$14,2,TRUE)</f>
        <v>4</v>
      </c>
      <c r="J34" s="43">
        <f>VLOOKUP(I34,'Master rating scale'!$G$5:$H$14,2,FALSE)</f>
        <v>4</v>
      </c>
      <c r="K34" s="62">
        <f t="shared" si="1"/>
        <v>1.0621529670246878E-2</v>
      </c>
      <c r="M34" s="110">
        <f>VLOOKUP(D34,'PD Term Structure'!$C$5:$D$14,2,TRUE)</f>
        <v>4</v>
      </c>
      <c r="N34" s="110">
        <f t="shared" si="2"/>
        <v>4</v>
      </c>
      <c r="O34" s="107">
        <f t="shared" si="3"/>
        <v>1.0621529670246878E-2</v>
      </c>
      <c r="Q34" s="110">
        <f>VLOOKUP(E34,'PD Term Structure'!$C$5:$D$14,2,TRUE)</f>
        <v>5</v>
      </c>
      <c r="R34" s="110">
        <f t="shared" si="4"/>
        <v>5</v>
      </c>
      <c r="S34" s="107">
        <f t="shared" si="5"/>
        <v>1.3276912087808597E-2</v>
      </c>
    </row>
    <row r="35" spans="1:19" ht="14">
      <c r="A35" s="36">
        <v>200677</v>
      </c>
      <c r="B35" s="81" t="s">
        <v>19</v>
      </c>
      <c r="C35" s="38">
        <v>4.2999999999999997E-2</v>
      </c>
      <c r="D35" s="38">
        <f>INDEX('PD Term Structure'!$E$17:$N$26,MATCH($I35,'PD Term Structure'!$D$17:$D$26,0),MATCH(D$1,'PD Term Structure'!$E$16:$N$16,0))</f>
        <v>5.2108354430379748E-2</v>
      </c>
      <c r="E35" s="38">
        <f>INDEX('PD Term Structure'!$E$17:$N$26,MATCH($I35,'PD Term Structure'!$D$17:$D$26,0),MATCH(E$1,'PD Term Structure'!$E$16:$N$16,0))</f>
        <v>6.3676339047537805E-2</v>
      </c>
      <c r="F35" s="39">
        <v>25750</v>
      </c>
      <c r="G35" s="82">
        <f t="shared" si="6"/>
        <v>0.41974816177099206</v>
      </c>
      <c r="H35" s="82">
        <f>(NORMSDIST(-LN(G35)+(VLOOKUP(B35,LGD_para,3,FALSE)^2/2))/VLOOKUP(B35,LGD_para,3,FALSE)-(VLOOKUP(B35,LGD_para,3,FALSE))-G35*(NORMSDIST(-LN(G35)+(VLOOKUP(B35,LGD_para,3,FALSE)^2/2))/VLOOKUP(B35,LGD_para,3,FALSE)))/LOGNORMDIST(1,LN(G35),(VLOOKUP(B35,LGD_para,3,FALSE)))*'LGD parameters'!$D$11</f>
        <v>0.33381167072117429</v>
      </c>
      <c r="I35" s="106">
        <f>VLOOKUP(C35,'PD Term Structure'!$C$5:$D$14,2,TRUE)</f>
        <v>4</v>
      </c>
      <c r="J35" s="43">
        <f>VLOOKUP(I35,'Master rating scale'!$G$5:$H$14,2,FALSE)</f>
        <v>4</v>
      </c>
      <c r="K35" s="62">
        <f t="shared" si="1"/>
        <v>1.113980079052041E-2</v>
      </c>
      <c r="M35" s="110">
        <f>VLOOKUP(D35,'PD Term Structure'!$C$5:$D$14,2,TRUE)</f>
        <v>4</v>
      </c>
      <c r="N35" s="110">
        <f t="shared" si="2"/>
        <v>4</v>
      </c>
      <c r="O35" s="107">
        <f t="shared" si="3"/>
        <v>1.113980079052041E-2</v>
      </c>
      <c r="Q35" s="110">
        <f>VLOOKUP(E35,'PD Term Structure'!$C$5:$D$14,2,TRUE)</f>
        <v>5</v>
      </c>
      <c r="R35" s="110">
        <f t="shared" si="4"/>
        <v>5</v>
      </c>
      <c r="S35" s="107">
        <f t="shared" si="5"/>
        <v>1.3924750988150512E-2</v>
      </c>
    </row>
    <row r="36" spans="1:19" ht="14">
      <c r="A36" s="36">
        <v>199825</v>
      </c>
      <c r="B36" s="81" t="s">
        <v>19</v>
      </c>
      <c r="C36" s="38">
        <v>4.2999999999999997E-2</v>
      </c>
      <c r="D36" s="38">
        <f>INDEX('PD Term Structure'!$E$17:$N$26,MATCH($I36,'PD Term Structure'!$D$17:$D$26,0),MATCH(D$1,'PD Term Structure'!$E$16:$N$16,0))</f>
        <v>5.2108354430379748E-2</v>
      </c>
      <c r="E36" s="38">
        <f>INDEX('PD Term Structure'!$E$17:$N$26,MATCH($I36,'PD Term Structure'!$D$17:$D$26,0),MATCH(E$1,'PD Term Structure'!$E$16:$N$16,0))</f>
        <v>6.3676339047537805E-2</v>
      </c>
      <c r="F36" s="39">
        <v>12373.038710000001</v>
      </c>
      <c r="G36" s="82">
        <f t="shared" si="6"/>
        <v>0.41974816177099206</v>
      </c>
      <c r="H36" s="82">
        <f>(NORMSDIST(-LN(G36)+(VLOOKUP(B36,LGD_para,3,FALSE)^2/2))/VLOOKUP(B36,LGD_para,3,FALSE)-(VLOOKUP(B36,LGD_para,3,FALSE))-G36*(NORMSDIST(-LN(G36)+(VLOOKUP(B36,LGD_para,3,FALSE)^2/2))/VLOOKUP(B36,LGD_para,3,FALSE)))/LOGNORMDIST(1,LN(G36),(VLOOKUP(B36,LGD_para,3,FALSE)))*'LGD parameters'!$D$11</f>
        <v>0.33381167072117429</v>
      </c>
      <c r="I36" s="106">
        <f>VLOOKUP(C36,'PD Term Structure'!$C$5:$D$14,2,TRUE)</f>
        <v>4</v>
      </c>
      <c r="J36" s="43">
        <f>VLOOKUP(I36,'Master rating scale'!$G$5:$H$14,2,FALSE)</f>
        <v>4</v>
      </c>
      <c r="K36" s="62">
        <f t="shared" si="1"/>
        <v>5.3527451030212676E-3</v>
      </c>
      <c r="M36" s="110">
        <f>VLOOKUP(D36,'PD Term Structure'!$C$5:$D$14,2,TRUE)</f>
        <v>4</v>
      </c>
      <c r="N36" s="110">
        <f t="shared" si="2"/>
        <v>4</v>
      </c>
      <c r="O36" s="107">
        <f t="shared" si="3"/>
        <v>5.3527451030212676E-3</v>
      </c>
      <c r="Q36" s="110">
        <f>VLOOKUP(E36,'PD Term Structure'!$C$5:$D$14,2,TRUE)</f>
        <v>5</v>
      </c>
      <c r="R36" s="110">
        <f t="shared" si="4"/>
        <v>5</v>
      </c>
      <c r="S36" s="107">
        <f t="shared" si="5"/>
        <v>6.6909313787765845E-3</v>
      </c>
    </row>
    <row r="37" spans="1:19" ht="14">
      <c r="A37" s="36">
        <v>231192</v>
      </c>
      <c r="B37" s="81" t="s">
        <v>19</v>
      </c>
      <c r="C37" s="38">
        <v>4.2999999999999997E-2</v>
      </c>
      <c r="D37" s="38">
        <f>INDEX('PD Term Structure'!$E$17:$N$26,MATCH($I37,'PD Term Structure'!$D$17:$D$26,0),MATCH(D$1,'PD Term Structure'!$E$16:$N$16,0))</f>
        <v>5.2108354430379748E-2</v>
      </c>
      <c r="E37" s="38">
        <f>INDEX('PD Term Structure'!$E$17:$N$26,MATCH($I37,'PD Term Structure'!$D$17:$D$26,0),MATCH(E$1,'PD Term Structure'!$E$16:$N$16,0))</f>
        <v>6.3676339047537805E-2</v>
      </c>
      <c r="F37" s="39">
        <v>9574.738797</v>
      </c>
      <c r="G37" s="82">
        <f t="shared" si="6"/>
        <v>0.41974816177099206</v>
      </c>
      <c r="H37" s="82">
        <f>(NORMSDIST(-LN(G37)+(VLOOKUP(B37,LGD_para,3,FALSE)^2/2))/VLOOKUP(B37,LGD_para,3,FALSE)-(VLOOKUP(B37,LGD_para,3,FALSE))-G37*(NORMSDIST(-LN(G37)+(VLOOKUP(B37,LGD_para,3,FALSE)^2/2))/VLOOKUP(B37,LGD_para,3,FALSE)))/LOGNORMDIST(1,LN(G37),(VLOOKUP(B37,LGD_para,3,FALSE)))*'LGD parameters'!$D$11</f>
        <v>0.33381167072117429</v>
      </c>
      <c r="I37" s="106">
        <f>VLOOKUP(C37,'PD Term Structure'!$C$5:$D$14,2,TRUE)</f>
        <v>4</v>
      </c>
      <c r="J37" s="43">
        <f>VLOOKUP(I37,'Master rating scale'!$G$5:$H$14,2,FALSE)</f>
        <v>4</v>
      </c>
      <c r="K37" s="62">
        <f t="shared" si="1"/>
        <v>4.1421624396057099E-3</v>
      </c>
      <c r="M37" s="110">
        <f>VLOOKUP(D37,'PD Term Structure'!$C$5:$D$14,2,TRUE)</f>
        <v>4</v>
      </c>
      <c r="N37" s="110">
        <f t="shared" si="2"/>
        <v>4</v>
      </c>
      <c r="O37" s="107">
        <f t="shared" si="3"/>
        <v>4.1421624396057099E-3</v>
      </c>
      <c r="Q37" s="110">
        <f>VLOOKUP(E37,'PD Term Structure'!$C$5:$D$14,2,TRUE)</f>
        <v>5</v>
      </c>
      <c r="R37" s="110">
        <f t="shared" si="4"/>
        <v>5</v>
      </c>
      <c r="S37" s="107">
        <f t="shared" si="5"/>
        <v>5.1777030495071376E-3</v>
      </c>
    </row>
    <row r="38" spans="1:19" ht="14">
      <c r="A38" s="36">
        <v>187848</v>
      </c>
      <c r="B38" s="81" t="s">
        <v>19</v>
      </c>
      <c r="C38" s="38">
        <v>4.2999999999999997E-2</v>
      </c>
      <c r="D38" s="38">
        <f>INDEX('PD Term Structure'!$E$17:$N$26,MATCH($I38,'PD Term Structure'!$D$17:$D$26,0),MATCH(D$1,'PD Term Structure'!$E$16:$N$16,0))</f>
        <v>5.2108354430379748E-2</v>
      </c>
      <c r="E38" s="38">
        <f>INDEX('PD Term Structure'!$E$17:$N$26,MATCH($I38,'PD Term Structure'!$D$17:$D$26,0),MATCH(E$1,'PD Term Structure'!$E$16:$N$16,0))</f>
        <v>6.3676339047537805E-2</v>
      </c>
      <c r="F38" s="39">
        <v>5994.4670700000006</v>
      </c>
      <c r="G38" s="82">
        <f t="shared" si="6"/>
        <v>0.41974816177099206</v>
      </c>
      <c r="H38" s="82">
        <f>(NORMSDIST(-LN(G38)+(VLOOKUP(B38,LGD_para,3,FALSE)^2/2))/VLOOKUP(B38,LGD_para,3,FALSE)-(VLOOKUP(B38,LGD_para,3,FALSE))-G38*(NORMSDIST(-LN(G38)+(VLOOKUP(B38,LGD_para,3,FALSE)^2/2))/VLOOKUP(B38,LGD_para,3,FALSE)))/LOGNORMDIST(1,LN(G38),(VLOOKUP(B38,LGD_para,3,FALSE)))*'LGD parameters'!$D$11</f>
        <v>0.33381167072117429</v>
      </c>
      <c r="I38" s="106">
        <f>VLOOKUP(C38,'PD Term Structure'!$C$5:$D$14,2,TRUE)</f>
        <v>4</v>
      </c>
      <c r="J38" s="43">
        <f>VLOOKUP(I38,'Master rating scale'!$G$5:$H$14,2,FALSE)</f>
        <v>4</v>
      </c>
      <c r="K38" s="62">
        <f t="shared" si="1"/>
        <v>2.5932881167042552E-3</v>
      </c>
      <c r="M38" s="110">
        <f>VLOOKUP(D38,'PD Term Structure'!$C$5:$D$14,2,TRUE)</f>
        <v>4</v>
      </c>
      <c r="N38" s="110">
        <f t="shared" si="2"/>
        <v>4</v>
      </c>
      <c r="O38" s="107">
        <f t="shared" si="3"/>
        <v>2.5932881167042552E-3</v>
      </c>
      <c r="Q38" s="110">
        <f>VLOOKUP(E38,'PD Term Structure'!$C$5:$D$14,2,TRUE)</f>
        <v>5</v>
      </c>
      <c r="R38" s="110">
        <f t="shared" si="4"/>
        <v>5</v>
      </c>
      <c r="S38" s="107">
        <f t="shared" si="5"/>
        <v>3.2416101458803189E-3</v>
      </c>
    </row>
    <row r="39" spans="1:19" ht="14">
      <c r="A39" s="36">
        <v>32467</v>
      </c>
      <c r="B39" s="81" t="s">
        <v>19</v>
      </c>
      <c r="C39" s="38">
        <v>4.2999999999999997E-2</v>
      </c>
      <c r="D39" s="38">
        <f>INDEX('PD Term Structure'!$E$17:$N$26,MATCH($I39,'PD Term Structure'!$D$17:$D$26,0),MATCH(D$1,'PD Term Structure'!$E$16:$N$16,0))</f>
        <v>5.2108354430379748E-2</v>
      </c>
      <c r="E39" s="38">
        <f>INDEX('PD Term Structure'!$E$17:$N$26,MATCH($I39,'PD Term Structure'!$D$17:$D$26,0),MATCH(E$1,'PD Term Structure'!$E$16:$N$16,0))</f>
        <v>6.3676339047537805E-2</v>
      </c>
      <c r="F39" s="39">
        <v>2639.4783199999997</v>
      </c>
      <c r="G39" s="82">
        <f t="shared" si="6"/>
        <v>0.41974816177099206</v>
      </c>
      <c r="H39" s="82">
        <f>(NORMSDIST(-LN(G39)+(VLOOKUP(B39,LGD_para,3,FALSE)^2/2))/VLOOKUP(B39,LGD_para,3,FALSE)-(VLOOKUP(B39,LGD_para,3,FALSE))-G39*(NORMSDIST(-LN(G39)+(VLOOKUP(B39,LGD_para,3,FALSE)^2/2))/VLOOKUP(B39,LGD_para,3,FALSE)))/LOGNORMDIST(1,LN(G39),(VLOOKUP(B39,LGD_para,3,FALSE)))*'LGD parameters'!$D$11</f>
        <v>0.33381167072117429</v>
      </c>
      <c r="I39" s="106">
        <f>VLOOKUP(C39,'PD Term Structure'!$C$5:$D$14,2,TRUE)</f>
        <v>4</v>
      </c>
      <c r="J39" s="43">
        <f>VLOOKUP(I39,'Master rating scale'!$G$5:$H$14,2,FALSE)</f>
        <v>4</v>
      </c>
      <c r="K39" s="62">
        <f t="shared" si="1"/>
        <v>1.1418742786678633E-3</v>
      </c>
      <c r="M39" s="110">
        <f>VLOOKUP(D39,'PD Term Structure'!$C$5:$D$14,2,TRUE)</f>
        <v>4</v>
      </c>
      <c r="N39" s="110">
        <f t="shared" si="2"/>
        <v>4</v>
      </c>
      <c r="O39" s="107">
        <f t="shared" si="3"/>
        <v>1.1418742786678633E-3</v>
      </c>
      <c r="Q39" s="110">
        <f>VLOOKUP(E39,'PD Term Structure'!$C$5:$D$14,2,TRUE)</f>
        <v>5</v>
      </c>
      <c r="R39" s="110">
        <f t="shared" si="4"/>
        <v>5</v>
      </c>
      <c r="S39" s="107">
        <f t="shared" si="5"/>
        <v>1.4273428483348291E-3</v>
      </c>
    </row>
    <row r="40" spans="1:19" ht="14">
      <c r="A40" s="36">
        <v>200399</v>
      </c>
      <c r="B40" s="81" t="s">
        <v>19</v>
      </c>
      <c r="C40" s="38">
        <v>4.2999999999999997E-2</v>
      </c>
      <c r="D40" s="38">
        <f>INDEX('PD Term Structure'!$E$17:$N$26,MATCH($I40,'PD Term Structure'!$D$17:$D$26,0),MATCH(D$1,'PD Term Structure'!$E$16:$N$16,0))</f>
        <v>5.2108354430379748E-2</v>
      </c>
      <c r="E40" s="38">
        <f>INDEX('PD Term Structure'!$E$17:$N$26,MATCH($I40,'PD Term Structure'!$D$17:$D$26,0),MATCH(E$1,'PD Term Structure'!$E$16:$N$16,0))</f>
        <v>6.3676339047537805E-2</v>
      </c>
      <c r="F40" s="39">
        <v>109551.6915</v>
      </c>
      <c r="G40" s="82">
        <f t="shared" si="6"/>
        <v>0.41974816177099206</v>
      </c>
      <c r="H40" s="82">
        <f>(NORMSDIST(-LN(G40)+(VLOOKUP(B40,LGD_para,3,FALSE)^2/2))/VLOOKUP(B40,LGD_para,3,FALSE)-(VLOOKUP(B40,LGD_para,3,FALSE))-G40*(NORMSDIST(-LN(G40)+(VLOOKUP(B40,LGD_para,3,FALSE)^2/2))/VLOOKUP(B40,LGD_para,3,FALSE)))/LOGNORMDIST(1,LN(G40),(VLOOKUP(B40,LGD_para,3,FALSE)))*'LGD parameters'!$D$11</f>
        <v>0.33381167072117429</v>
      </c>
      <c r="I40" s="106">
        <f>VLOOKUP(C40,'PD Term Structure'!$C$5:$D$14,2,TRUE)</f>
        <v>4</v>
      </c>
      <c r="J40" s="43">
        <f>VLOOKUP(I40,'Master rating scale'!$G$5:$H$14,2,FALSE)</f>
        <v>4</v>
      </c>
      <c r="K40" s="62">
        <f t="shared" si="1"/>
        <v>4.7393554158234881E-2</v>
      </c>
      <c r="M40" s="110">
        <f>VLOOKUP(D40,'PD Term Structure'!$C$5:$D$14,2,TRUE)</f>
        <v>4</v>
      </c>
      <c r="N40" s="110">
        <f t="shared" si="2"/>
        <v>4</v>
      </c>
      <c r="O40" s="107">
        <f t="shared" si="3"/>
        <v>4.7393554158234881E-2</v>
      </c>
      <c r="Q40" s="110">
        <f>VLOOKUP(E40,'PD Term Structure'!$C$5:$D$14,2,TRUE)</f>
        <v>5</v>
      </c>
      <c r="R40" s="110">
        <f t="shared" si="4"/>
        <v>5</v>
      </c>
      <c r="S40" s="107">
        <f t="shared" si="5"/>
        <v>5.92419426977936E-2</v>
      </c>
    </row>
    <row r="41" spans="1:19" ht="14">
      <c r="A41" s="36">
        <v>467139</v>
      </c>
      <c r="B41" s="81" t="s">
        <v>19</v>
      </c>
      <c r="C41" s="38">
        <v>4.2999999999999997E-2</v>
      </c>
      <c r="D41" s="38">
        <f>INDEX('PD Term Structure'!$E$17:$N$26,MATCH($I41,'PD Term Structure'!$D$17:$D$26,0),MATCH(D$1,'PD Term Structure'!$E$16:$N$16,0))</f>
        <v>5.2108354430379748E-2</v>
      </c>
      <c r="E41" s="38">
        <f>INDEX('PD Term Structure'!$E$17:$N$26,MATCH($I41,'PD Term Structure'!$D$17:$D$26,0),MATCH(E$1,'PD Term Structure'!$E$16:$N$16,0))</f>
        <v>6.3676339047537805E-2</v>
      </c>
      <c r="F41" s="39">
        <v>22500</v>
      </c>
      <c r="G41" s="82">
        <f t="shared" si="6"/>
        <v>0.41974816177099206</v>
      </c>
      <c r="H41" s="82">
        <f>(NORMSDIST(-LN(G41)+(VLOOKUP(B41,LGD_para,3,FALSE)^2/2))/VLOOKUP(B41,LGD_para,3,FALSE)-(VLOOKUP(B41,LGD_para,3,FALSE))-G41*(NORMSDIST(-LN(G41)+(VLOOKUP(B41,LGD_para,3,FALSE)^2/2))/VLOOKUP(B41,LGD_para,3,FALSE)))/LOGNORMDIST(1,LN(G41),(VLOOKUP(B41,LGD_para,3,FALSE)))*'LGD parameters'!$D$11</f>
        <v>0.33381167072117429</v>
      </c>
      <c r="I41" s="106">
        <f>VLOOKUP(C41,'PD Term Structure'!$C$5:$D$14,2,TRUE)</f>
        <v>4</v>
      </c>
      <c r="J41" s="43">
        <f>VLOOKUP(I41,'Master rating scale'!$G$5:$H$14,2,FALSE)</f>
        <v>4</v>
      </c>
      <c r="K41" s="62">
        <f t="shared" si="1"/>
        <v>9.7338065159887077E-3</v>
      </c>
      <c r="M41" s="110">
        <f>VLOOKUP(D41,'PD Term Structure'!$C$5:$D$14,2,TRUE)</f>
        <v>4</v>
      </c>
      <c r="N41" s="110">
        <f t="shared" si="2"/>
        <v>4</v>
      </c>
      <c r="O41" s="107">
        <f t="shared" si="3"/>
        <v>9.7338065159887077E-3</v>
      </c>
      <c r="Q41" s="110">
        <f>VLOOKUP(E41,'PD Term Structure'!$C$5:$D$14,2,TRUE)</f>
        <v>5</v>
      </c>
      <c r="R41" s="110">
        <f t="shared" si="4"/>
        <v>5</v>
      </c>
      <c r="S41" s="107">
        <f t="shared" si="5"/>
        <v>1.2167258144985885E-2</v>
      </c>
    </row>
    <row r="42" spans="1:19" ht="14">
      <c r="A42" s="36">
        <v>26607</v>
      </c>
      <c r="B42" s="81" t="s">
        <v>19</v>
      </c>
      <c r="C42" s="38">
        <v>4.2999999999999997E-2</v>
      </c>
      <c r="D42" s="38">
        <f>INDEX('PD Term Structure'!$E$17:$N$26,MATCH($I42,'PD Term Structure'!$D$17:$D$26,0),MATCH(D$1,'PD Term Structure'!$E$16:$N$16,0))</f>
        <v>5.2108354430379748E-2</v>
      </c>
      <c r="E42" s="38">
        <f>INDEX('PD Term Structure'!$E$17:$N$26,MATCH($I42,'PD Term Structure'!$D$17:$D$26,0),MATCH(E$1,'PD Term Structure'!$E$16:$N$16,0))</f>
        <v>6.3676339047537805E-2</v>
      </c>
      <c r="F42" s="39">
        <v>27892.097000000002</v>
      </c>
      <c r="G42" s="82">
        <f t="shared" si="6"/>
        <v>0.41974816177099206</v>
      </c>
      <c r="H42" s="82">
        <f>(NORMSDIST(-LN(G42)+(VLOOKUP(B42,LGD_para,3,FALSE)^2/2))/VLOOKUP(B42,LGD_para,3,FALSE)-(VLOOKUP(B42,LGD_para,3,FALSE))-G42*(NORMSDIST(-LN(G42)+(VLOOKUP(B42,LGD_para,3,FALSE)^2/2))/VLOOKUP(B42,LGD_para,3,FALSE)))/LOGNORMDIST(1,LN(G42),(VLOOKUP(B42,LGD_para,3,FALSE)))*'LGD parameters'!$D$11</f>
        <v>0.33381167072117429</v>
      </c>
      <c r="I42" s="106">
        <f>VLOOKUP(C42,'PD Term Structure'!$C$5:$D$14,2,TRUE)</f>
        <v>4</v>
      </c>
      <c r="J42" s="43">
        <f>VLOOKUP(I42,'Master rating scale'!$G$5:$H$14,2,FALSE)</f>
        <v>4</v>
      </c>
      <c r="K42" s="62">
        <f t="shared" si="1"/>
        <v>1.206650113436396E-2</v>
      </c>
      <c r="M42" s="110">
        <f>VLOOKUP(D42,'PD Term Structure'!$C$5:$D$14,2,TRUE)</f>
        <v>4</v>
      </c>
      <c r="N42" s="110">
        <f t="shared" si="2"/>
        <v>4</v>
      </c>
      <c r="O42" s="107">
        <f t="shared" si="3"/>
        <v>1.206650113436396E-2</v>
      </c>
      <c r="Q42" s="110">
        <f>VLOOKUP(E42,'PD Term Structure'!$C$5:$D$14,2,TRUE)</f>
        <v>5</v>
      </c>
      <c r="R42" s="110">
        <f t="shared" si="4"/>
        <v>5</v>
      </c>
      <c r="S42" s="107">
        <f t="shared" si="5"/>
        <v>1.5083126417954949E-2</v>
      </c>
    </row>
    <row r="43" spans="1:19" ht="14">
      <c r="A43" s="36">
        <v>143611</v>
      </c>
      <c r="B43" s="81" t="s">
        <v>19</v>
      </c>
      <c r="C43" s="38">
        <v>4.2999999999999997E-2</v>
      </c>
      <c r="D43" s="38">
        <f>INDEX('PD Term Structure'!$E$17:$N$26,MATCH($I43,'PD Term Structure'!$D$17:$D$26,0),MATCH(D$1,'PD Term Structure'!$E$16:$N$16,0))</f>
        <v>5.2108354430379748E-2</v>
      </c>
      <c r="E43" s="38">
        <f>INDEX('PD Term Structure'!$E$17:$N$26,MATCH($I43,'PD Term Structure'!$D$17:$D$26,0),MATCH(E$1,'PD Term Structure'!$E$16:$N$16,0))</f>
        <v>6.3676339047537805E-2</v>
      </c>
      <c r="F43" s="39">
        <v>30000</v>
      </c>
      <c r="G43" s="82">
        <f t="shared" si="6"/>
        <v>0.41974816177099206</v>
      </c>
      <c r="H43" s="82">
        <f>(NORMSDIST(-LN(G43)+(VLOOKUP(B43,LGD_para,3,FALSE)^2/2))/VLOOKUP(B43,LGD_para,3,FALSE)-(VLOOKUP(B43,LGD_para,3,FALSE))-G43*(NORMSDIST(-LN(G43)+(VLOOKUP(B43,LGD_para,3,FALSE)^2/2))/VLOOKUP(B43,LGD_para,3,FALSE)))/LOGNORMDIST(1,LN(G43),(VLOOKUP(B43,LGD_para,3,FALSE)))*'LGD parameters'!$D$11</f>
        <v>0.33381167072117429</v>
      </c>
      <c r="I43" s="106">
        <f>VLOOKUP(C43,'PD Term Structure'!$C$5:$D$14,2,TRUE)</f>
        <v>4</v>
      </c>
      <c r="J43" s="43">
        <f>VLOOKUP(I43,'Master rating scale'!$G$5:$H$14,2,FALSE)</f>
        <v>4</v>
      </c>
      <c r="K43" s="62">
        <f t="shared" si="1"/>
        <v>1.2978408687984944E-2</v>
      </c>
      <c r="M43" s="110">
        <f>VLOOKUP(D43,'PD Term Structure'!$C$5:$D$14,2,TRUE)</f>
        <v>4</v>
      </c>
      <c r="N43" s="110">
        <f t="shared" si="2"/>
        <v>4</v>
      </c>
      <c r="O43" s="107">
        <f t="shared" si="3"/>
        <v>1.2978408687984944E-2</v>
      </c>
      <c r="Q43" s="110">
        <f>VLOOKUP(E43,'PD Term Structure'!$C$5:$D$14,2,TRUE)</f>
        <v>5</v>
      </c>
      <c r="R43" s="110">
        <f t="shared" si="4"/>
        <v>5</v>
      </c>
      <c r="S43" s="107">
        <f t="shared" si="5"/>
        <v>1.622301085998118E-2</v>
      </c>
    </row>
    <row r="44" spans="1:19" ht="14">
      <c r="A44" s="36">
        <v>469516</v>
      </c>
      <c r="B44" s="81" t="s">
        <v>19</v>
      </c>
      <c r="C44" s="38">
        <v>4.2999999999999997E-2</v>
      </c>
      <c r="D44" s="38">
        <f>INDEX('PD Term Structure'!$E$17:$N$26,MATCH($I44,'PD Term Structure'!$D$17:$D$26,0),MATCH(D$1,'PD Term Structure'!$E$16:$N$16,0))</f>
        <v>5.2108354430379748E-2</v>
      </c>
      <c r="E44" s="38">
        <f>INDEX('PD Term Structure'!$E$17:$N$26,MATCH($I44,'PD Term Structure'!$D$17:$D$26,0),MATCH(E$1,'PD Term Structure'!$E$16:$N$16,0))</f>
        <v>6.3676339047537805E-2</v>
      </c>
      <c r="F44" s="39">
        <v>33000</v>
      </c>
      <c r="G44" s="82">
        <f t="shared" si="6"/>
        <v>0.41974816177099206</v>
      </c>
      <c r="H44" s="82">
        <f>(NORMSDIST(-LN(G44)+(VLOOKUP(B44,LGD_para,3,FALSE)^2/2))/VLOOKUP(B44,LGD_para,3,FALSE)-(VLOOKUP(B44,LGD_para,3,FALSE))-G44*(NORMSDIST(-LN(G44)+(VLOOKUP(B44,LGD_para,3,FALSE)^2/2))/VLOOKUP(B44,LGD_para,3,FALSE)))/LOGNORMDIST(1,LN(G44),(VLOOKUP(B44,LGD_para,3,FALSE)))*'LGD parameters'!$D$11</f>
        <v>0.33381167072117429</v>
      </c>
      <c r="I44" s="106">
        <f>VLOOKUP(C44,'PD Term Structure'!$C$5:$D$14,2,TRUE)</f>
        <v>4</v>
      </c>
      <c r="J44" s="43">
        <f>VLOOKUP(I44,'Master rating scale'!$G$5:$H$14,2,FALSE)</f>
        <v>4</v>
      </c>
      <c r="K44" s="62">
        <f t="shared" si="1"/>
        <v>1.4276249556783438E-2</v>
      </c>
      <c r="M44" s="110">
        <f>VLOOKUP(D44,'PD Term Structure'!$C$5:$D$14,2,TRUE)</f>
        <v>4</v>
      </c>
      <c r="N44" s="110">
        <f t="shared" si="2"/>
        <v>4</v>
      </c>
      <c r="O44" s="107">
        <f t="shared" si="3"/>
        <v>1.4276249556783438E-2</v>
      </c>
      <c r="Q44" s="110">
        <f>VLOOKUP(E44,'PD Term Structure'!$C$5:$D$14,2,TRUE)</f>
        <v>5</v>
      </c>
      <c r="R44" s="110">
        <f t="shared" si="4"/>
        <v>5</v>
      </c>
      <c r="S44" s="107">
        <f t="shared" si="5"/>
        <v>1.7845311945979297E-2</v>
      </c>
    </row>
    <row r="45" spans="1:19" ht="14">
      <c r="A45" s="36">
        <v>15294</v>
      </c>
      <c r="B45" s="81" t="s">
        <v>19</v>
      </c>
      <c r="C45" s="38">
        <v>4.2999999999999997E-2</v>
      </c>
      <c r="D45" s="38">
        <f>INDEX('PD Term Structure'!$E$17:$N$26,MATCH($I45,'PD Term Structure'!$D$17:$D$26,0),MATCH(D$1,'PD Term Structure'!$E$16:$N$16,0))</f>
        <v>5.2108354430379748E-2</v>
      </c>
      <c r="E45" s="38">
        <f>INDEX('PD Term Structure'!$E$17:$N$26,MATCH($I45,'PD Term Structure'!$D$17:$D$26,0),MATCH(E$1,'PD Term Structure'!$E$16:$N$16,0))</f>
        <v>6.3676339047537805E-2</v>
      </c>
      <c r="F45" s="39">
        <v>34647.5</v>
      </c>
      <c r="G45" s="82">
        <f t="shared" si="6"/>
        <v>0.41974816177099206</v>
      </c>
      <c r="H45" s="82">
        <f>(NORMSDIST(-LN(G45)+(VLOOKUP(B45,LGD_para,3,FALSE)^2/2))/VLOOKUP(B45,LGD_para,3,FALSE)-(VLOOKUP(B45,LGD_para,3,FALSE))-G45*(NORMSDIST(-LN(G45)+(VLOOKUP(B45,LGD_para,3,FALSE)^2/2))/VLOOKUP(B45,LGD_para,3,FALSE)))/LOGNORMDIST(1,LN(G45),(VLOOKUP(B45,LGD_para,3,FALSE)))*'LGD parameters'!$D$11</f>
        <v>0.33381167072117429</v>
      </c>
      <c r="I45" s="106">
        <f>VLOOKUP(C45,'PD Term Structure'!$C$5:$D$14,2,TRUE)</f>
        <v>4</v>
      </c>
      <c r="J45" s="43">
        <f>VLOOKUP(I45,'Master rating scale'!$G$5:$H$14,2,FALSE)</f>
        <v>4</v>
      </c>
      <c r="K45" s="62">
        <f t="shared" si="1"/>
        <v>1.4988980500565277E-2</v>
      </c>
      <c r="M45" s="110">
        <f>VLOOKUP(D45,'PD Term Structure'!$C$5:$D$14,2,TRUE)</f>
        <v>4</v>
      </c>
      <c r="N45" s="110">
        <f t="shared" si="2"/>
        <v>4</v>
      </c>
      <c r="O45" s="107">
        <f t="shared" si="3"/>
        <v>1.4988980500565277E-2</v>
      </c>
      <c r="Q45" s="110">
        <f>VLOOKUP(E45,'PD Term Structure'!$C$5:$D$14,2,TRUE)</f>
        <v>5</v>
      </c>
      <c r="R45" s="110">
        <f t="shared" si="4"/>
        <v>5</v>
      </c>
      <c r="S45" s="107">
        <f t="shared" si="5"/>
        <v>1.8736225625706596E-2</v>
      </c>
    </row>
    <row r="46" spans="1:19" ht="14">
      <c r="A46" s="36">
        <v>165710</v>
      </c>
      <c r="B46" s="81" t="s">
        <v>19</v>
      </c>
      <c r="C46" s="38">
        <v>4.2999999999999997E-2</v>
      </c>
      <c r="D46" s="38">
        <f>INDEX('PD Term Structure'!$E$17:$N$26,MATCH($I46,'PD Term Structure'!$D$17:$D$26,0),MATCH(D$1,'PD Term Structure'!$E$16:$N$16,0))</f>
        <v>5.2108354430379748E-2</v>
      </c>
      <c r="E46" s="38">
        <f>INDEX('PD Term Structure'!$E$17:$N$26,MATCH($I46,'PD Term Structure'!$D$17:$D$26,0),MATCH(E$1,'PD Term Structure'!$E$16:$N$16,0))</f>
        <v>6.3676339047537805E-2</v>
      </c>
      <c r="F46" s="39">
        <v>16674.501</v>
      </c>
      <c r="G46" s="82">
        <f t="shared" si="6"/>
        <v>0.41974816177099206</v>
      </c>
      <c r="H46" s="82">
        <f>(NORMSDIST(-LN(G46)+(VLOOKUP(B46,LGD_para,3,FALSE)^2/2))/VLOOKUP(B46,LGD_para,3,FALSE)-(VLOOKUP(B46,LGD_para,3,FALSE))-G46*(NORMSDIST(-LN(G46)+(VLOOKUP(B46,LGD_para,3,FALSE)^2/2))/VLOOKUP(B46,LGD_para,3,FALSE)))/LOGNORMDIST(1,LN(G46),(VLOOKUP(B46,LGD_para,3,FALSE)))*'LGD parameters'!$D$11</f>
        <v>0.33381167072117429</v>
      </c>
      <c r="I46" s="106">
        <f>VLOOKUP(C46,'PD Term Structure'!$C$5:$D$14,2,TRUE)</f>
        <v>4</v>
      </c>
      <c r="J46" s="43">
        <f>VLOOKUP(I46,'Master rating scale'!$G$5:$H$14,2,FALSE)</f>
        <v>4</v>
      </c>
      <c r="K46" s="62">
        <f t="shared" si="1"/>
        <v>7.2136162882071213E-3</v>
      </c>
      <c r="M46" s="110">
        <f>VLOOKUP(D46,'PD Term Structure'!$C$5:$D$14,2,TRUE)</f>
        <v>4</v>
      </c>
      <c r="N46" s="110">
        <f t="shared" si="2"/>
        <v>4</v>
      </c>
      <c r="O46" s="107">
        <f t="shared" si="3"/>
        <v>7.2136162882071213E-3</v>
      </c>
      <c r="Q46" s="110">
        <f>VLOOKUP(E46,'PD Term Structure'!$C$5:$D$14,2,TRUE)</f>
        <v>5</v>
      </c>
      <c r="R46" s="110">
        <f t="shared" si="4"/>
        <v>5</v>
      </c>
      <c r="S46" s="107">
        <f t="shared" si="5"/>
        <v>9.0170203602589014E-3</v>
      </c>
    </row>
    <row r="47" spans="1:19" ht="14">
      <c r="A47" s="36">
        <v>58043</v>
      </c>
      <c r="B47" s="81" t="s">
        <v>19</v>
      </c>
      <c r="C47" s="38">
        <v>4.2999999999999997E-2</v>
      </c>
      <c r="D47" s="38">
        <f>INDEX('PD Term Structure'!$E$17:$N$26,MATCH($I47,'PD Term Structure'!$D$17:$D$26,0),MATCH(D$1,'PD Term Structure'!$E$16:$N$16,0))</f>
        <v>5.2108354430379748E-2</v>
      </c>
      <c r="E47" s="38">
        <f>INDEX('PD Term Structure'!$E$17:$N$26,MATCH($I47,'PD Term Structure'!$D$17:$D$26,0),MATCH(E$1,'PD Term Structure'!$E$16:$N$16,0))</f>
        <v>6.3676339047537805E-2</v>
      </c>
      <c r="F47" s="39">
        <v>19687.5</v>
      </c>
      <c r="G47" s="82">
        <f>VLOOKUP(B47,'LGD parameters'!$C$7:$E$11,2,FALSE)</f>
        <v>0.41974816177099206</v>
      </c>
      <c r="H47" s="82">
        <f>(NORMSDIST(-LN(G47)+(VLOOKUP(B47,LGD_para,3,FALSE)^2/2))/VLOOKUP(B47,LGD_para,3,FALSE)-(VLOOKUP(B47,LGD_para,3,FALSE))-G47*(NORMSDIST(-LN(G47)+(VLOOKUP(B47,LGD_para,3,FALSE)^2/2))/VLOOKUP(B47,LGD_para,3,FALSE)))/LOGNORMDIST(1,LN(G47),(VLOOKUP(B47,LGD_para,3,FALSE)))*'LGD parameters'!$D$11</f>
        <v>0.33381167072117429</v>
      </c>
      <c r="I47" s="106">
        <f>VLOOKUP(C47,'PD Term Structure'!$C$5:$D$14,2,TRUE)</f>
        <v>4</v>
      </c>
      <c r="J47" s="43">
        <f>VLOOKUP(I47,'Master rating scale'!$G$5:$H$14,2,FALSE)</f>
        <v>4</v>
      </c>
      <c r="K47" s="62">
        <f t="shared" si="1"/>
        <v>8.5170807014901193E-3</v>
      </c>
      <c r="M47" s="110">
        <f>VLOOKUP(D47,'PD Term Structure'!$C$5:$D$14,2,TRUE)</f>
        <v>4</v>
      </c>
      <c r="N47" s="110">
        <f t="shared" si="2"/>
        <v>4</v>
      </c>
      <c r="O47" s="107">
        <f t="shared" si="3"/>
        <v>8.5170807014901193E-3</v>
      </c>
      <c r="Q47" s="110">
        <f>VLOOKUP(E47,'PD Term Structure'!$C$5:$D$14,2,TRUE)</f>
        <v>5</v>
      </c>
      <c r="R47" s="110">
        <f t="shared" si="4"/>
        <v>5</v>
      </c>
      <c r="S47" s="107">
        <f t="shared" si="5"/>
        <v>1.0646350876862649E-2</v>
      </c>
    </row>
    <row r="48" spans="1:19" ht="14">
      <c r="A48" s="36">
        <v>341493</v>
      </c>
      <c r="B48" s="81" t="s">
        <v>19</v>
      </c>
      <c r="C48" s="38">
        <v>4.2999999999999997E-2</v>
      </c>
      <c r="D48" s="38">
        <f>INDEX('PD Term Structure'!$E$17:$N$26,MATCH($I48,'PD Term Structure'!$D$17:$D$26,0),MATCH(D$1,'PD Term Structure'!$E$16:$N$16,0))</f>
        <v>5.2108354430379748E-2</v>
      </c>
      <c r="E48" s="38">
        <f>INDEX('PD Term Structure'!$E$17:$N$26,MATCH($I48,'PD Term Structure'!$D$17:$D$26,0),MATCH(E$1,'PD Term Structure'!$E$16:$N$16,0))</f>
        <v>6.3676339047537805E-2</v>
      </c>
      <c r="F48" s="39">
        <v>6024.7484720000002</v>
      </c>
      <c r="G48" s="82">
        <f t="shared" ref="G48:G63" si="7">VLOOKUP(B48,LGD_para,2,FALSE)</f>
        <v>0.41974816177099206</v>
      </c>
      <c r="H48" s="82">
        <f>(NORMSDIST(-LN(G48)+(VLOOKUP(B48,LGD_para,3,FALSE)^2/2))/VLOOKUP(B48,LGD_para,3,FALSE)-(VLOOKUP(B48,LGD_para,3,FALSE))-G48*(NORMSDIST(-LN(G48)+(VLOOKUP(B48,LGD_para,3,FALSE)^2/2))/VLOOKUP(B48,LGD_para,3,FALSE)))/LOGNORMDIST(1,LN(G48),(VLOOKUP(B48,LGD_para,3,FALSE)))*'LGD parameters'!$D$11</f>
        <v>0.33381167072117429</v>
      </c>
      <c r="I48" s="106">
        <f>VLOOKUP(C48,'PD Term Structure'!$C$5:$D$14,2,TRUE)</f>
        <v>4</v>
      </c>
      <c r="J48" s="43">
        <f>VLOOKUP(I48,'Master rating scale'!$G$5:$H$14,2,FALSE)</f>
        <v>4</v>
      </c>
      <c r="K48" s="62">
        <f t="shared" si="1"/>
        <v>2.6063882637309605E-3</v>
      </c>
      <c r="M48" s="110">
        <f>VLOOKUP(D48,'PD Term Structure'!$C$5:$D$14,2,TRUE)</f>
        <v>4</v>
      </c>
      <c r="N48" s="110">
        <f t="shared" si="2"/>
        <v>4</v>
      </c>
      <c r="O48" s="107">
        <f t="shared" si="3"/>
        <v>2.6063882637309605E-3</v>
      </c>
      <c r="Q48" s="110">
        <f>VLOOKUP(E48,'PD Term Structure'!$C$5:$D$14,2,TRUE)</f>
        <v>5</v>
      </c>
      <c r="R48" s="110">
        <f t="shared" si="4"/>
        <v>5</v>
      </c>
      <c r="S48" s="107">
        <f t="shared" si="5"/>
        <v>3.2579853296637006E-3</v>
      </c>
    </row>
    <row r="49" spans="1:19" ht="14">
      <c r="A49" s="36">
        <v>349080</v>
      </c>
      <c r="B49" s="81" t="s">
        <v>19</v>
      </c>
      <c r="C49" s="38">
        <v>4.2999999999999997E-2</v>
      </c>
      <c r="D49" s="38">
        <f>INDEX('PD Term Structure'!$E$17:$N$26,MATCH($I49,'PD Term Structure'!$D$17:$D$26,0),MATCH(D$1,'PD Term Structure'!$E$16:$N$16,0))</f>
        <v>5.2108354430379748E-2</v>
      </c>
      <c r="E49" s="38">
        <f>INDEX('PD Term Structure'!$E$17:$N$26,MATCH($I49,'PD Term Structure'!$D$17:$D$26,0),MATCH(E$1,'PD Term Structure'!$E$16:$N$16,0))</f>
        <v>6.3676339047537805E-2</v>
      </c>
      <c r="F49" s="39">
        <v>990.936914</v>
      </c>
      <c r="G49" s="82">
        <f t="shared" si="7"/>
        <v>0.41974816177099206</v>
      </c>
      <c r="H49" s="82">
        <f>(NORMSDIST(-LN(G49)+(VLOOKUP(B49,LGD_para,3,FALSE)^2/2))/VLOOKUP(B49,LGD_para,3,FALSE)-(VLOOKUP(B49,LGD_para,3,FALSE))-G49*(NORMSDIST(-LN(G49)+(VLOOKUP(B49,LGD_para,3,FALSE)^2/2))/VLOOKUP(B49,LGD_para,3,FALSE)))/LOGNORMDIST(1,LN(G49),(VLOOKUP(B49,LGD_para,3,FALSE)))*'LGD parameters'!$D$11</f>
        <v>0.33381167072117429</v>
      </c>
      <c r="I49" s="106">
        <f>VLOOKUP(C49,'PD Term Structure'!$C$5:$D$14,2,TRUE)</f>
        <v>4</v>
      </c>
      <c r="J49" s="43">
        <f>VLOOKUP(I49,'Master rating scale'!$G$5:$H$14,2,FALSE)</f>
        <v>4</v>
      </c>
      <c r="K49" s="62">
        <f t="shared" si="1"/>
        <v>4.2869280846341963E-4</v>
      </c>
      <c r="M49" s="110">
        <f>VLOOKUP(D49,'PD Term Structure'!$C$5:$D$14,2,TRUE)</f>
        <v>4</v>
      </c>
      <c r="N49" s="110">
        <f t="shared" si="2"/>
        <v>4</v>
      </c>
      <c r="O49" s="107">
        <f t="shared" si="3"/>
        <v>4.2869280846341963E-4</v>
      </c>
      <c r="Q49" s="110">
        <f>VLOOKUP(E49,'PD Term Structure'!$C$5:$D$14,2,TRUE)</f>
        <v>5</v>
      </c>
      <c r="R49" s="110">
        <f t="shared" si="4"/>
        <v>5</v>
      </c>
      <c r="S49" s="107">
        <f t="shared" si="5"/>
        <v>5.3586601057927451E-4</v>
      </c>
    </row>
    <row r="50" spans="1:19" ht="14">
      <c r="A50" s="36">
        <v>350188</v>
      </c>
      <c r="B50" s="81" t="s">
        <v>19</v>
      </c>
      <c r="C50" s="38">
        <v>4.2999999999999997E-2</v>
      </c>
      <c r="D50" s="38">
        <f>INDEX('PD Term Structure'!$E$17:$N$26,MATCH($I50,'PD Term Structure'!$D$17:$D$26,0),MATCH(D$1,'PD Term Structure'!$E$16:$N$16,0))</f>
        <v>5.2108354430379748E-2</v>
      </c>
      <c r="E50" s="38">
        <f>INDEX('PD Term Structure'!$E$17:$N$26,MATCH($I50,'PD Term Structure'!$D$17:$D$26,0),MATCH(E$1,'PD Term Structure'!$E$16:$N$16,0))</f>
        <v>6.3676339047537805E-2</v>
      </c>
      <c r="F50" s="39">
        <v>948.20355000000006</v>
      </c>
      <c r="G50" s="82">
        <f t="shared" si="7"/>
        <v>0.41974816177099206</v>
      </c>
      <c r="H50" s="82">
        <f>(NORMSDIST(-LN(G50)+(VLOOKUP(B50,LGD_para,3,FALSE)^2/2))/VLOOKUP(B50,LGD_para,3,FALSE)-(VLOOKUP(B50,LGD_para,3,FALSE))-G50*(NORMSDIST(-LN(G50)+(VLOOKUP(B50,LGD_para,3,FALSE)^2/2))/VLOOKUP(B50,LGD_para,3,FALSE)))/LOGNORMDIST(1,LN(G50),(VLOOKUP(B50,LGD_para,3,FALSE)))*'LGD parameters'!$D$11</f>
        <v>0.33381167072117429</v>
      </c>
      <c r="I50" s="106">
        <f>VLOOKUP(C50,'PD Term Structure'!$C$5:$D$14,2,TRUE)</f>
        <v>4</v>
      </c>
      <c r="J50" s="43">
        <f>VLOOKUP(I50,'Master rating scale'!$G$5:$H$14,2,FALSE)</f>
        <v>4</v>
      </c>
      <c r="K50" s="62">
        <f t="shared" si="1"/>
        <v>4.1020577304327221E-4</v>
      </c>
      <c r="M50" s="110">
        <f>VLOOKUP(D50,'PD Term Structure'!$C$5:$D$14,2,TRUE)</f>
        <v>4</v>
      </c>
      <c r="N50" s="110">
        <f t="shared" si="2"/>
        <v>4</v>
      </c>
      <c r="O50" s="107">
        <f t="shared" si="3"/>
        <v>4.1020577304327221E-4</v>
      </c>
      <c r="Q50" s="110">
        <f>VLOOKUP(E50,'PD Term Structure'!$C$5:$D$14,2,TRUE)</f>
        <v>5</v>
      </c>
      <c r="R50" s="110">
        <f t="shared" si="4"/>
        <v>5</v>
      </c>
      <c r="S50" s="107">
        <f t="shared" si="5"/>
        <v>5.1275721630409028E-4</v>
      </c>
    </row>
    <row r="51" spans="1:19" ht="14">
      <c r="A51" s="36">
        <v>362321</v>
      </c>
      <c r="B51" s="81" t="s">
        <v>19</v>
      </c>
      <c r="C51" s="38">
        <v>4.2999999999999997E-2</v>
      </c>
      <c r="D51" s="38">
        <f>INDEX('PD Term Structure'!$E$17:$N$26,MATCH($I51,'PD Term Structure'!$D$17:$D$26,0),MATCH(D$1,'PD Term Structure'!$E$16:$N$16,0))</f>
        <v>5.2108354430379748E-2</v>
      </c>
      <c r="E51" s="38">
        <f>INDEX('PD Term Structure'!$E$17:$N$26,MATCH($I51,'PD Term Structure'!$D$17:$D$26,0),MATCH(E$1,'PD Term Structure'!$E$16:$N$16,0))</f>
        <v>6.3676339047537805E-2</v>
      </c>
      <c r="F51" s="39">
        <v>983363.65229999996</v>
      </c>
      <c r="G51" s="82">
        <f t="shared" si="7"/>
        <v>0.41974816177099206</v>
      </c>
      <c r="H51" s="82">
        <f>(NORMSDIST(-LN(G51)+(VLOOKUP(B51,LGD_para,3,FALSE)^2/2))/VLOOKUP(B51,LGD_para,3,FALSE)-(VLOOKUP(B51,LGD_para,3,FALSE))-G51*(NORMSDIST(-LN(G51)+(VLOOKUP(B51,LGD_para,3,FALSE)^2/2))/VLOOKUP(B51,LGD_para,3,FALSE)))/LOGNORMDIST(1,LN(G51),(VLOOKUP(B51,LGD_para,3,FALSE)))*'LGD parameters'!$D$11</f>
        <v>0.33381167072117429</v>
      </c>
      <c r="I51" s="106">
        <f>VLOOKUP(C51,'PD Term Structure'!$C$5:$D$14,2,TRUE)</f>
        <v>4</v>
      </c>
      <c r="J51" s="43">
        <f>VLOOKUP(I51,'Master rating scale'!$G$5:$H$14,2,FALSE)</f>
        <v>4</v>
      </c>
      <c r="K51" s="62">
        <f t="shared" si="1"/>
        <v>0.42541651228196414</v>
      </c>
      <c r="M51" s="110">
        <f>VLOOKUP(D51,'PD Term Structure'!$C$5:$D$14,2,TRUE)</f>
        <v>4</v>
      </c>
      <c r="N51" s="110">
        <f t="shared" si="2"/>
        <v>4</v>
      </c>
      <c r="O51" s="107">
        <f t="shared" si="3"/>
        <v>0.42541651228196414</v>
      </c>
      <c r="Q51" s="110">
        <f>VLOOKUP(E51,'PD Term Structure'!$C$5:$D$14,2,TRUE)</f>
        <v>5</v>
      </c>
      <c r="R51" s="110">
        <f t="shared" si="4"/>
        <v>5</v>
      </c>
      <c r="S51" s="107">
        <f t="shared" si="5"/>
        <v>0.53177064035245514</v>
      </c>
    </row>
    <row r="52" spans="1:19" ht="14">
      <c r="A52" s="36">
        <v>341410</v>
      </c>
      <c r="B52" s="81" t="s">
        <v>19</v>
      </c>
      <c r="C52" s="38">
        <v>4.2999999999999997E-2</v>
      </c>
      <c r="D52" s="38">
        <f>INDEX('PD Term Structure'!$E$17:$N$26,MATCH($I52,'PD Term Structure'!$D$17:$D$26,0),MATCH(D$1,'PD Term Structure'!$E$16:$N$16,0))</f>
        <v>5.2108354430379748E-2</v>
      </c>
      <c r="E52" s="38">
        <f>INDEX('PD Term Structure'!$E$17:$N$26,MATCH($I52,'PD Term Structure'!$D$17:$D$26,0),MATCH(E$1,'PD Term Structure'!$E$16:$N$16,0))</f>
        <v>6.3676339047537805E-2</v>
      </c>
      <c r="F52" s="39">
        <v>38602.794820000003</v>
      </c>
      <c r="G52" s="82">
        <f t="shared" si="7"/>
        <v>0.41974816177099206</v>
      </c>
      <c r="H52" s="82">
        <f>(NORMSDIST(-LN(G52)+(VLOOKUP(B52,LGD_para,3,FALSE)^2/2))/VLOOKUP(B52,LGD_para,3,FALSE)-(VLOOKUP(B52,LGD_para,3,FALSE))-G52*(NORMSDIST(-LN(G52)+(VLOOKUP(B52,LGD_para,3,FALSE)^2/2))/VLOOKUP(B52,LGD_para,3,FALSE)))/LOGNORMDIST(1,LN(G52),(VLOOKUP(B52,LGD_para,3,FALSE)))*'LGD parameters'!$D$11</f>
        <v>0.33381167072117429</v>
      </c>
      <c r="I52" s="106">
        <f>VLOOKUP(C52,'PD Term Structure'!$C$5:$D$14,2,TRUE)</f>
        <v>4</v>
      </c>
      <c r="J52" s="43">
        <f>VLOOKUP(I52,'Master rating scale'!$G$5:$H$14,2,FALSE)</f>
        <v>4</v>
      </c>
      <c r="K52" s="62">
        <f t="shared" si="1"/>
        <v>1.670009492241294E-2</v>
      </c>
      <c r="M52" s="110">
        <f>VLOOKUP(D52,'PD Term Structure'!$C$5:$D$14,2,TRUE)</f>
        <v>4</v>
      </c>
      <c r="N52" s="110">
        <f t="shared" si="2"/>
        <v>4</v>
      </c>
      <c r="O52" s="107">
        <f t="shared" si="3"/>
        <v>1.670009492241294E-2</v>
      </c>
      <c r="Q52" s="110">
        <f>VLOOKUP(E52,'PD Term Structure'!$C$5:$D$14,2,TRUE)</f>
        <v>5</v>
      </c>
      <c r="R52" s="110">
        <f t="shared" si="4"/>
        <v>5</v>
      </c>
      <c r="S52" s="107">
        <f t="shared" si="5"/>
        <v>2.0875118653016174E-2</v>
      </c>
    </row>
    <row r="53" spans="1:19" ht="14">
      <c r="A53" s="36">
        <v>179103</v>
      </c>
      <c r="B53" s="81" t="s">
        <v>19</v>
      </c>
      <c r="C53" s="38">
        <v>4.2999999999999997E-2</v>
      </c>
      <c r="D53" s="38">
        <f>INDEX('PD Term Structure'!$E$17:$N$26,MATCH($I53,'PD Term Structure'!$D$17:$D$26,0),MATCH(D$1,'PD Term Structure'!$E$16:$N$16,0))</f>
        <v>5.2108354430379748E-2</v>
      </c>
      <c r="E53" s="38">
        <f>INDEX('PD Term Structure'!$E$17:$N$26,MATCH($I53,'PD Term Structure'!$D$17:$D$26,0),MATCH(E$1,'PD Term Structure'!$E$16:$N$16,0))</f>
        <v>6.3676339047537805E-2</v>
      </c>
      <c r="F53" s="39">
        <v>23982.675760000002</v>
      </c>
      <c r="G53" s="82">
        <f t="shared" si="7"/>
        <v>0.41974816177099206</v>
      </c>
      <c r="H53" s="82">
        <f>(NORMSDIST(-LN(G53)+(VLOOKUP(B53,LGD_para,3,FALSE)^2/2))/VLOOKUP(B53,LGD_para,3,FALSE)-(VLOOKUP(B53,LGD_para,3,FALSE))-G53*(NORMSDIST(-LN(G53)+(VLOOKUP(B53,LGD_para,3,FALSE)^2/2))/VLOOKUP(B53,LGD_para,3,FALSE)))/LOGNORMDIST(1,LN(G53),(VLOOKUP(B53,LGD_para,3,FALSE)))*'LGD parameters'!$D$11</f>
        <v>0.33381167072117429</v>
      </c>
      <c r="I53" s="106">
        <f>VLOOKUP(C53,'PD Term Structure'!$C$5:$D$14,2,TRUE)</f>
        <v>4</v>
      </c>
      <c r="J53" s="43">
        <f>VLOOKUP(I53,'Master rating scale'!$G$5:$H$14,2,FALSE)</f>
        <v>4</v>
      </c>
      <c r="K53" s="62">
        <f t="shared" si="1"/>
        <v>1.0375232248156998E-2</v>
      </c>
      <c r="M53" s="110">
        <f>VLOOKUP(D53,'PD Term Structure'!$C$5:$D$14,2,TRUE)</f>
        <v>4</v>
      </c>
      <c r="N53" s="110">
        <f t="shared" si="2"/>
        <v>4</v>
      </c>
      <c r="O53" s="107">
        <f t="shared" si="3"/>
        <v>1.0375232248156998E-2</v>
      </c>
      <c r="Q53" s="110">
        <f>VLOOKUP(E53,'PD Term Structure'!$C$5:$D$14,2,TRUE)</f>
        <v>5</v>
      </c>
      <c r="R53" s="110">
        <f t="shared" si="4"/>
        <v>5</v>
      </c>
      <c r="S53" s="107">
        <f t="shared" si="5"/>
        <v>1.2969040310196248E-2</v>
      </c>
    </row>
    <row r="54" spans="1:19" ht="14">
      <c r="A54" s="36">
        <v>478420</v>
      </c>
      <c r="B54" s="81" t="s">
        <v>19</v>
      </c>
      <c r="C54" s="38">
        <v>4.2999999999999997E-2</v>
      </c>
      <c r="D54" s="38">
        <f>INDEX('PD Term Structure'!$E$17:$N$26,MATCH($I54,'PD Term Structure'!$D$17:$D$26,0),MATCH(D$1,'PD Term Structure'!$E$16:$N$16,0))</f>
        <v>5.2108354430379748E-2</v>
      </c>
      <c r="E54" s="38">
        <f>INDEX('PD Term Structure'!$E$17:$N$26,MATCH($I54,'PD Term Structure'!$D$17:$D$26,0),MATCH(E$1,'PD Term Structure'!$E$16:$N$16,0))</f>
        <v>6.3676339047537805E-2</v>
      </c>
      <c r="F54" s="39">
        <v>7339.1058760000005</v>
      </c>
      <c r="G54" s="82">
        <f t="shared" si="7"/>
        <v>0.41974816177099206</v>
      </c>
      <c r="H54" s="82">
        <f>(NORMSDIST(-LN(G54)+(VLOOKUP(B54,LGD_para,3,FALSE)^2/2))/VLOOKUP(B54,LGD_para,3,FALSE)-(VLOOKUP(B54,LGD_para,3,FALSE))-G54*(NORMSDIST(-LN(G54)+(VLOOKUP(B54,LGD_para,3,FALSE)^2/2))/VLOOKUP(B54,LGD_para,3,FALSE)))/LOGNORMDIST(1,LN(G54),(VLOOKUP(B54,LGD_para,3,FALSE)))*'LGD parameters'!$D$11</f>
        <v>0.33381167072117429</v>
      </c>
      <c r="I54" s="106">
        <f>VLOOKUP(C54,'PD Term Structure'!$C$5:$D$14,2,TRUE)</f>
        <v>4</v>
      </c>
      <c r="J54" s="43">
        <f>VLOOKUP(I54,'Master rating scale'!$G$5:$H$14,2,FALSE)</f>
        <v>4</v>
      </c>
      <c r="K54" s="62">
        <f t="shared" si="1"/>
        <v>3.1749971821039918E-3</v>
      </c>
      <c r="M54" s="110">
        <f>VLOOKUP(D54,'PD Term Structure'!$C$5:$D$14,2,TRUE)</f>
        <v>4</v>
      </c>
      <c r="N54" s="110">
        <f t="shared" si="2"/>
        <v>4</v>
      </c>
      <c r="O54" s="107">
        <f t="shared" si="3"/>
        <v>3.1749971821039918E-3</v>
      </c>
      <c r="Q54" s="110">
        <f>VLOOKUP(E54,'PD Term Structure'!$C$5:$D$14,2,TRUE)</f>
        <v>5</v>
      </c>
      <c r="R54" s="110">
        <f t="shared" si="4"/>
        <v>5</v>
      </c>
      <c r="S54" s="107">
        <f t="shared" si="5"/>
        <v>3.9687464776299898E-3</v>
      </c>
    </row>
    <row r="55" spans="1:19" ht="14">
      <c r="A55" s="36">
        <v>238890</v>
      </c>
      <c r="B55" s="81" t="s">
        <v>19</v>
      </c>
      <c r="C55" s="38">
        <v>4.2999999999999997E-2</v>
      </c>
      <c r="D55" s="38">
        <f>INDEX('PD Term Structure'!$E$17:$N$26,MATCH($I55,'PD Term Structure'!$D$17:$D$26,0),MATCH(D$1,'PD Term Structure'!$E$16:$N$16,0))</f>
        <v>5.2108354430379748E-2</v>
      </c>
      <c r="E55" s="38">
        <f>INDEX('PD Term Structure'!$E$17:$N$26,MATCH($I55,'PD Term Structure'!$D$17:$D$26,0),MATCH(E$1,'PD Term Structure'!$E$16:$N$16,0))</f>
        <v>6.3676339047537805E-2</v>
      </c>
      <c r="F55" s="39">
        <v>912.20600000000002</v>
      </c>
      <c r="G55" s="82">
        <f t="shared" si="7"/>
        <v>0.41974816177099206</v>
      </c>
      <c r="H55" s="82">
        <f>(NORMSDIST(-LN(G55)+(VLOOKUP(B55,LGD_para,3,FALSE)^2/2))/VLOOKUP(B55,LGD_para,3,FALSE)-(VLOOKUP(B55,LGD_para,3,FALSE))-G55*(NORMSDIST(-LN(G55)+(VLOOKUP(B55,LGD_para,3,FALSE)^2/2))/VLOOKUP(B55,LGD_para,3,FALSE)))/LOGNORMDIST(1,LN(G55),(VLOOKUP(B55,LGD_para,3,FALSE)))*'LGD parameters'!$D$11</f>
        <v>0.33381167072117429</v>
      </c>
      <c r="I55" s="106">
        <f>VLOOKUP(C55,'PD Term Structure'!$C$5:$D$14,2,TRUE)</f>
        <v>4</v>
      </c>
      <c r="J55" s="43">
        <f>VLOOKUP(I55,'Master rating scale'!$G$5:$H$14,2,FALSE)</f>
        <v>4</v>
      </c>
      <c r="K55" s="62">
        <f t="shared" si="1"/>
        <v>3.9463274252106645E-4</v>
      </c>
      <c r="M55" s="110">
        <f>VLOOKUP(D55,'PD Term Structure'!$C$5:$D$14,2,TRUE)</f>
        <v>4</v>
      </c>
      <c r="N55" s="110">
        <f t="shared" si="2"/>
        <v>4</v>
      </c>
      <c r="O55" s="107">
        <f t="shared" si="3"/>
        <v>3.9463274252106645E-4</v>
      </c>
      <c r="Q55" s="110">
        <f>VLOOKUP(E55,'PD Term Structure'!$C$5:$D$14,2,TRUE)</f>
        <v>5</v>
      </c>
      <c r="R55" s="110">
        <f t="shared" si="4"/>
        <v>5</v>
      </c>
      <c r="S55" s="107">
        <f t="shared" si="5"/>
        <v>4.932909281513331E-4</v>
      </c>
    </row>
    <row r="56" spans="1:19" ht="14">
      <c r="A56" s="36">
        <v>428054</v>
      </c>
      <c r="B56" s="81" t="s">
        <v>19</v>
      </c>
      <c r="C56" s="38">
        <v>4.2999999999999997E-2</v>
      </c>
      <c r="D56" s="38">
        <f>INDEX('PD Term Structure'!$E$17:$N$26,MATCH($I56,'PD Term Structure'!$D$17:$D$26,0),MATCH(D$1,'PD Term Structure'!$E$16:$N$16,0))</f>
        <v>5.2108354430379748E-2</v>
      </c>
      <c r="E56" s="38">
        <f>INDEX('PD Term Structure'!$E$17:$N$26,MATCH($I56,'PD Term Structure'!$D$17:$D$26,0),MATCH(E$1,'PD Term Structure'!$E$16:$N$16,0))</f>
        <v>6.3676339047537805E-2</v>
      </c>
      <c r="F56" s="39">
        <v>22982.5</v>
      </c>
      <c r="G56" s="82">
        <f t="shared" si="7"/>
        <v>0.41974816177099206</v>
      </c>
      <c r="H56" s="82">
        <f>(NORMSDIST(-LN(G56)+(VLOOKUP(B56,LGD_para,3,FALSE)^2/2))/VLOOKUP(B56,LGD_para,3,FALSE)-(VLOOKUP(B56,LGD_para,3,FALSE))-G56*(NORMSDIST(-LN(G56)+(VLOOKUP(B56,LGD_para,3,FALSE)^2/2))/VLOOKUP(B56,LGD_para,3,FALSE)))/LOGNORMDIST(1,LN(G56),(VLOOKUP(B56,LGD_para,3,FALSE)))*'LGD parameters'!$D$11</f>
        <v>0.33381167072117429</v>
      </c>
      <c r="I56" s="106">
        <f>VLOOKUP(C56,'PD Term Structure'!$C$5:$D$14,2,TRUE)</f>
        <v>4</v>
      </c>
      <c r="J56" s="43">
        <f>VLOOKUP(I56,'Master rating scale'!$G$5:$H$14,2,FALSE)</f>
        <v>4</v>
      </c>
      <c r="K56" s="62">
        <f t="shared" si="1"/>
        <v>9.9425425890537992E-3</v>
      </c>
      <c r="M56" s="110">
        <f>VLOOKUP(D56,'PD Term Structure'!$C$5:$D$14,2,TRUE)</f>
        <v>4</v>
      </c>
      <c r="N56" s="110">
        <f t="shared" si="2"/>
        <v>4</v>
      </c>
      <c r="O56" s="107">
        <f t="shared" si="3"/>
        <v>9.9425425890537992E-3</v>
      </c>
      <c r="Q56" s="110">
        <f>VLOOKUP(E56,'PD Term Structure'!$C$5:$D$14,2,TRUE)</f>
        <v>5</v>
      </c>
      <c r="R56" s="110">
        <f t="shared" si="4"/>
        <v>5</v>
      </c>
      <c r="S56" s="107">
        <f t="shared" si="5"/>
        <v>1.2428178236317249E-2</v>
      </c>
    </row>
    <row r="57" spans="1:19" ht="14">
      <c r="A57" s="36">
        <v>202941</v>
      </c>
      <c r="B57" s="81" t="s">
        <v>19</v>
      </c>
      <c r="C57" s="38">
        <v>4.2999999999999997E-2</v>
      </c>
      <c r="D57" s="38">
        <f>INDEX('PD Term Structure'!$E$17:$N$26,MATCH($I57,'PD Term Structure'!$D$17:$D$26,0),MATCH(D$1,'PD Term Structure'!$E$16:$N$16,0))</f>
        <v>5.2108354430379748E-2</v>
      </c>
      <c r="E57" s="38">
        <f>INDEX('PD Term Structure'!$E$17:$N$26,MATCH($I57,'PD Term Structure'!$D$17:$D$26,0),MATCH(E$1,'PD Term Structure'!$E$16:$N$16,0))</f>
        <v>6.3676339047537805E-2</v>
      </c>
      <c r="F57" s="39">
        <v>23400</v>
      </c>
      <c r="G57" s="82">
        <f t="shared" si="7"/>
        <v>0.41974816177099206</v>
      </c>
      <c r="H57" s="82">
        <f>(NORMSDIST(-LN(G57)+(VLOOKUP(B57,LGD_para,3,FALSE)^2/2))/VLOOKUP(B57,LGD_para,3,FALSE)-(VLOOKUP(B57,LGD_para,3,FALSE))-G57*(NORMSDIST(-LN(G57)+(VLOOKUP(B57,LGD_para,3,FALSE)^2/2))/VLOOKUP(B57,LGD_para,3,FALSE)))/LOGNORMDIST(1,LN(G57),(VLOOKUP(B57,LGD_para,3,FALSE)))*'LGD parameters'!$D$11</f>
        <v>0.33381167072117429</v>
      </c>
      <c r="I57" s="106">
        <f>VLOOKUP(C57,'PD Term Structure'!$C$5:$D$14,2,TRUE)</f>
        <v>4</v>
      </c>
      <c r="J57" s="43">
        <f>VLOOKUP(I57,'Master rating scale'!$G$5:$H$14,2,FALSE)</f>
        <v>4</v>
      </c>
      <c r="K57" s="62">
        <f t="shared" si="1"/>
        <v>1.0123158776628257E-2</v>
      </c>
      <c r="M57" s="110">
        <f>VLOOKUP(D57,'PD Term Structure'!$C$5:$D$14,2,TRUE)</f>
        <v>4</v>
      </c>
      <c r="N57" s="110">
        <f t="shared" si="2"/>
        <v>4</v>
      </c>
      <c r="O57" s="107">
        <f t="shared" si="3"/>
        <v>1.0123158776628257E-2</v>
      </c>
      <c r="Q57" s="110">
        <f>VLOOKUP(E57,'PD Term Structure'!$C$5:$D$14,2,TRUE)</f>
        <v>5</v>
      </c>
      <c r="R57" s="110">
        <f t="shared" si="4"/>
        <v>5</v>
      </c>
      <c r="S57" s="107">
        <f t="shared" si="5"/>
        <v>1.265394847078532E-2</v>
      </c>
    </row>
    <row r="58" spans="1:19" ht="14">
      <c r="A58" s="36">
        <v>302090</v>
      </c>
      <c r="B58" s="81" t="s">
        <v>19</v>
      </c>
      <c r="C58" s="38">
        <v>4.2999999999999997E-2</v>
      </c>
      <c r="D58" s="38">
        <f>INDEX('PD Term Structure'!$E$17:$N$26,MATCH($I58,'PD Term Structure'!$D$17:$D$26,0),MATCH(D$1,'PD Term Structure'!$E$16:$N$16,0))</f>
        <v>5.2108354430379748E-2</v>
      </c>
      <c r="E58" s="38">
        <f>INDEX('PD Term Structure'!$E$17:$N$26,MATCH($I58,'PD Term Structure'!$D$17:$D$26,0),MATCH(E$1,'PD Term Structure'!$E$16:$N$16,0))</f>
        <v>6.3676339047537805E-2</v>
      </c>
      <c r="F58" s="39">
        <v>27610.5</v>
      </c>
      <c r="G58" s="82">
        <f t="shared" si="7"/>
        <v>0.41974816177099206</v>
      </c>
      <c r="H58" s="82">
        <f>(NORMSDIST(-LN(G58)+(VLOOKUP(B58,LGD_para,3,FALSE)^2/2))/VLOOKUP(B58,LGD_para,3,FALSE)-(VLOOKUP(B58,LGD_para,3,FALSE))-G58*(NORMSDIST(-LN(G58)+(VLOOKUP(B58,LGD_para,3,FALSE)^2/2))/VLOOKUP(B58,LGD_para,3,FALSE)))/LOGNORMDIST(1,LN(G58),(VLOOKUP(B58,LGD_para,3,FALSE)))*'LGD parameters'!$D$11</f>
        <v>0.33381167072117429</v>
      </c>
      <c r="I58" s="106">
        <f>VLOOKUP(C58,'PD Term Structure'!$C$5:$D$14,2,TRUE)</f>
        <v>4</v>
      </c>
      <c r="J58" s="43">
        <f>VLOOKUP(I58,'Master rating scale'!$G$5:$H$14,2,FALSE)</f>
        <v>4</v>
      </c>
      <c r="K58" s="62">
        <f t="shared" si="1"/>
        <v>1.1944678435986943E-2</v>
      </c>
      <c r="M58" s="110">
        <f>VLOOKUP(D58,'PD Term Structure'!$C$5:$D$14,2,TRUE)</f>
        <v>4</v>
      </c>
      <c r="N58" s="110">
        <f t="shared" si="2"/>
        <v>4</v>
      </c>
      <c r="O58" s="107">
        <f t="shared" si="3"/>
        <v>1.1944678435986943E-2</v>
      </c>
      <c r="Q58" s="110">
        <f>VLOOKUP(E58,'PD Term Structure'!$C$5:$D$14,2,TRUE)</f>
        <v>5</v>
      </c>
      <c r="R58" s="110">
        <f t="shared" si="4"/>
        <v>5</v>
      </c>
      <c r="S58" s="107">
        <f t="shared" si="5"/>
        <v>1.4930848044983678E-2</v>
      </c>
    </row>
    <row r="59" spans="1:19" ht="14">
      <c r="A59" s="36">
        <v>307326</v>
      </c>
      <c r="B59" s="81" t="s">
        <v>19</v>
      </c>
      <c r="C59" s="38">
        <v>4.2999999999999997E-2</v>
      </c>
      <c r="D59" s="38">
        <f>INDEX('PD Term Structure'!$E$17:$N$26,MATCH($I59,'PD Term Structure'!$D$17:$D$26,0),MATCH(D$1,'PD Term Structure'!$E$16:$N$16,0))</f>
        <v>5.2108354430379748E-2</v>
      </c>
      <c r="E59" s="38">
        <f>INDEX('PD Term Structure'!$E$17:$N$26,MATCH($I59,'PD Term Structure'!$D$17:$D$26,0),MATCH(E$1,'PD Term Structure'!$E$16:$N$16,0))</f>
        <v>6.3676339047537805E-2</v>
      </c>
      <c r="F59" s="39">
        <v>31000</v>
      </c>
      <c r="G59" s="82">
        <f t="shared" si="7"/>
        <v>0.41974816177099206</v>
      </c>
      <c r="H59" s="82">
        <f>(NORMSDIST(-LN(G59)+(VLOOKUP(B59,LGD_para,3,FALSE)^2/2))/VLOOKUP(B59,LGD_para,3,FALSE)-(VLOOKUP(B59,LGD_para,3,FALSE))-G59*(NORMSDIST(-LN(G59)+(VLOOKUP(B59,LGD_para,3,FALSE)^2/2))/VLOOKUP(B59,LGD_para,3,FALSE)))/LOGNORMDIST(1,LN(G59),(VLOOKUP(B59,LGD_para,3,FALSE)))*'LGD parameters'!$D$11</f>
        <v>0.33381167072117429</v>
      </c>
      <c r="I59" s="106">
        <f>VLOOKUP(C59,'PD Term Structure'!$C$5:$D$14,2,TRUE)</f>
        <v>4</v>
      </c>
      <c r="J59" s="43">
        <f>VLOOKUP(I59,'Master rating scale'!$G$5:$H$14,2,FALSE)</f>
        <v>4</v>
      </c>
      <c r="K59" s="62">
        <f t="shared" si="1"/>
        <v>1.3411022310917776E-2</v>
      </c>
      <c r="M59" s="110">
        <f>VLOOKUP(D59,'PD Term Structure'!$C$5:$D$14,2,TRUE)</f>
        <v>4</v>
      </c>
      <c r="N59" s="110">
        <f t="shared" si="2"/>
        <v>4</v>
      </c>
      <c r="O59" s="107">
        <f t="shared" si="3"/>
        <v>1.3411022310917776E-2</v>
      </c>
      <c r="Q59" s="110">
        <f>VLOOKUP(E59,'PD Term Structure'!$C$5:$D$14,2,TRUE)</f>
        <v>5</v>
      </c>
      <c r="R59" s="110">
        <f t="shared" si="4"/>
        <v>5</v>
      </c>
      <c r="S59" s="107">
        <f t="shared" si="5"/>
        <v>1.6763777888647219E-2</v>
      </c>
    </row>
    <row r="60" spans="1:19" ht="14">
      <c r="A60" s="36">
        <v>61252</v>
      </c>
      <c r="B60" s="81" t="s">
        <v>19</v>
      </c>
      <c r="C60" s="38">
        <v>4.2999999999999997E-2</v>
      </c>
      <c r="D60" s="38">
        <f>INDEX('PD Term Structure'!$E$17:$N$26,MATCH($I60,'PD Term Structure'!$D$17:$D$26,0),MATCH(D$1,'PD Term Structure'!$E$16:$N$16,0))</f>
        <v>5.2108354430379748E-2</v>
      </c>
      <c r="E60" s="38">
        <f>INDEX('PD Term Structure'!$E$17:$N$26,MATCH($I60,'PD Term Structure'!$D$17:$D$26,0),MATCH(E$1,'PD Term Structure'!$E$16:$N$16,0))</f>
        <v>6.3676339047537805E-2</v>
      </c>
      <c r="F60" s="39">
        <v>500</v>
      </c>
      <c r="G60" s="82">
        <f t="shared" si="7"/>
        <v>0.41974816177099206</v>
      </c>
      <c r="H60" s="82">
        <f>(NORMSDIST(-LN(G60)+(VLOOKUP(B60,LGD_para,3,FALSE)^2/2))/VLOOKUP(B60,LGD_para,3,FALSE)-(VLOOKUP(B60,LGD_para,3,FALSE))-G60*(NORMSDIST(-LN(G60)+(VLOOKUP(B60,LGD_para,3,FALSE)^2/2))/VLOOKUP(B60,LGD_para,3,FALSE)))/LOGNORMDIST(1,LN(G60),(VLOOKUP(B60,LGD_para,3,FALSE)))*'LGD parameters'!$D$11</f>
        <v>0.33381167072117429</v>
      </c>
      <c r="I60" s="106">
        <f>VLOOKUP(C60,'PD Term Structure'!$C$5:$D$14,2,TRUE)</f>
        <v>4</v>
      </c>
      <c r="J60" s="43">
        <f>VLOOKUP(I60,'Master rating scale'!$G$5:$H$14,2,FALSE)</f>
        <v>4</v>
      </c>
      <c r="K60" s="62">
        <f t="shared" si="1"/>
        <v>2.1630681146641572E-4</v>
      </c>
      <c r="M60" s="110">
        <f>VLOOKUP(D60,'PD Term Structure'!$C$5:$D$14,2,TRUE)</f>
        <v>4</v>
      </c>
      <c r="N60" s="110">
        <f t="shared" si="2"/>
        <v>4</v>
      </c>
      <c r="O60" s="107">
        <f t="shared" si="3"/>
        <v>2.1630681146641572E-4</v>
      </c>
      <c r="Q60" s="110">
        <f>VLOOKUP(E60,'PD Term Structure'!$C$5:$D$14,2,TRUE)</f>
        <v>5</v>
      </c>
      <c r="R60" s="110">
        <f t="shared" si="4"/>
        <v>5</v>
      </c>
      <c r="S60" s="107">
        <f t="shared" si="5"/>
        <v>2.7038351433301966E-4</v>
      </c>
    </row>
    <row r="61" spans="1:19" ht="14">
      <c r="A61" s="36">
        <v>8535</v>
      </c>
      <c r="B61" s="81" t="s">
        <v>19</v>
      </c>
      <c r="C61" s="38">
        <v>4.2999999999999997E-2</v>
      </c>
      <c r="D61" s="38">
        <f>INDEX('PD Term Structure'!$E$17:$N$26,MATCH($I61,'PD Term Structure'!$D$17:$D$26,0),MATCH(D$1,'PD Term Structure'!$E$16:$N$16,0))</f>
        <v>5.2108354430379748E-2</v>
      </c>
      <c r="E61" s="38">
        <f>INDEX('PD Term Structure'!$E$17:$N$26,MATCH($I61,'PD Term Structure'!$D$17:$D$26,0),MATCH(E$1,'PD Term Structure'!$E$16:$N$16,0))</f>
        <v>6.3676339047537805E-2</v>
      </c>
      <c r="F61" s="39">
        <v>106322.93109999999</v>
      </c>
      <c r="G61" s="82">
        <f t="shared" si="7"/>
        <v>0.41974816177099206</v>
      </c>
      <c r="H61" s="82">
        <f>(NORMSDIST(-LN(G61)+(VLOOKUP(B61,LGD_para,3,FALSE)^2/2))/VLOOKUP(B61,LGD_para,3,FALSE)-(VLOOKUP(B61,LGD_para,3,FALSE))-G61*(NORMSDIST(-LN(G61)+(VLOOKUP(B61,LGD_para,3,FALSE)^2/2))/VLOOKUP(B61,LGD_para,3,FALSE)))/LOGNORMDIST(1,LN(G61),(VLOOKUP(B61,LGD_para,3,FALSE)))*'LGD parameters'!$D$11</f>
        <v>0.33381167072117429</v>
      </c>
      <c r="I61" s="106">
        <f>VLOOKUP(C61,'PD Term Structure'!$C$5:$D$14,2,TRUE)</f>
        <v>4</v>
      </c>
      <c r="J61" s="43">
        <f>VLOOKUP(I61,'Master rating scale'!$G$5:$H$14,2,FALSE)</f>
        <v>4</v>
      </c>
      <c r="K61" s="62">
        <f t="shared" si="1"/>
        <v>4.5996748424008811E-2</v>
      </c>
      <c r="M61" s="110">
        <f>VLOOKUP(D61,'PD Term Structure'!$C$5:$D$14,2,TRUE)</f>
        <v>4</v>
      </c>
      <c r="N61" s="110">
        <f t="shared" si="2"/>
        <v>4</v>
      </c>
      <c r="O61" s="107">
        <f t="shared" si="3"/>
        <v>4.5996748424008811E-2</v>
      </c>
      <c r="Q61" s="110">
        <f>VLOOKUP(E61,'PD Term Structure'!$C$5:$D$14,2,TRUE)</f>
        <v>5</v>
      </c>
      <c r="R61" s="110">
        <f t="shared" si="4"/>
        <v>5</v>
      </c>
      <c r="S61" s="107">
        <f t="shared" si="5"/>
        <v>5.7495935530011012E-2</v>
      </c>
    </row>
    <row r="62" spans="1:19" ht="14">
      <c r="A62" s="36">
        <v>425210</v>
      </c>
      <c r="B62" s="81" t="s">
        <v>19</v>
      </c>
      <c r="C62" s="38">
        <v>4.2999999999999997E-2</v>
      </c>
      <c r="D62" s="38">
        <f>INDEX('PD Term Structure'!$E$17:$N$26,MATCH($I62,'PD Term Structure'!$D$17:$D$26,0),MATCH(D$1,'PD Term Structure'!$E$16:$N$16,0))</f>
        <v>5.2108354430379748E-2</v>
      </c>
      <c r="E62" s="38">
        <f>INDEX('PD Term Structure'!$E$17:$N$26,MATCH($I62,'PD Term Structure'!$D$17:$D$26,0),MATCH(E$1,'PD Term Structure'!$E$16:$N$16,0))</f>
        <v>6.3676339047537805E-2</v>
      </c>
      <c r="F62" s="39">
        <v>23750</v>
      </c>
      <c r="G62" s="82">
        <f t="shared" si="7"/>
        <v>0.41974816177099206</v>
      </c>
      <c r="H62" s="82">
        <f>(NORMSDIST(-LN(G62)+(VLOOKUP(B62,LGD_para,3,FALSE)^2/2))/VLOOKUP(B62,LGD_para,3,FALSE)-(VLOOKUP(B62,LGD_para,3,FALSE))-G62*(NORMSDIST(-LN(G62)+(VLOOKUP(B62,LGD_para,3,FALSE)^2/2))/VLOOKUP(B62,LGD_para,3,FALSE)))/LOGNORMDIST(1,LN(G62),(VLOOKUP(B62,LGD_para,3,FALSE)))*'LGD parameters'!$D$11</f>
        <v>0.33381167072117429</v>
      </c>
      <c r="I62" s="106">
        <f>VLOOKUP(C62,'PD Term Structure'!$C$5:$D$14,2,TRUE)</f>
        <v>4</v>
      </c>
      <c r="J62" s="43">
        <f>VLOOKUP(I62,'Master rating scale'!$G$5:$H$14,2,FALSE)</f>
        <v>4</v>
      </c>
      <c r="K62" s="62">
        <f t="shared" si="1"/>
        <v>1.0274573544654747E-2</v>
      </c>
      <c r="M62" s="110">
        <f>VLOOKUP(D62,'PD Term Structure'!$C$5:$D$14,2,TRUE)</f>
        <v>4</v>
      </c>
      <c r="N62" s="110">
        <f t="shared" si="2"/>
        <v>4</v>
      </c>
      <c r="O62" s="107">
        <f t="shared" si="3"/>
        <v>1.0274573544654747E-2</v>
      </c>
      <c r="Q62" s="110">
        <f>VLOOKUP(E62,'PD Term Structure'!$C$5:$D$14,2,TRUE)</f>
        <v>5</v>
      </c>
      <c r="R62" s="110">
        <f t="shared" si="4"/>
        <v>5</v>
      </c>
      <c r="S62" s="107">
        <f t="shared" si="5"/>
        <v>1.2843216930818434E-2</v>
      </c>
    </row>
    <row r="63" spans="1:19" ht="14">
      <c r="A63" s="36">
        <v>243623</v>
      </c>
      <c r="B63" s="81" t="s">
        <v>19</v>
      </c>
      <c r="C63" s="38">
        <v>4.2999999999999997E-2</v>
      </c>
      <c r="D63" s="38">
        <f>INDEX('PD Term Structure'!$E$17:$N$26,MATCH($I63,'PD Term Structure'!$D$17:$D$26,0),MATCH(D$1,'PD Term Structure'!$E$16:$N$16,0))</f>
        <v>5.2108354430379748E-2</v>
      </c>
      <c r="E63" s="38">
        <f>INDEX('PD Term Structure'!$E$17:$N$26,MATCH($I63,'PD Term Structure'!$D$17:$D$26,0),MATCH(E$1,'PD Term Structure'!$E$16:$N$16,0))</f>
        <v>6.3676339047537805E-2</v>
      </c>
      <c r="F63" s="39">
        <v>31430</v>
      </c>
      <c r="G63" s="82">
        <f t="shared" si="7"/>
        <v>0.41974816177099206</v>
      </c>
      <c r="H63" s="82">
        <f>(NORMSDIST(-LN(G63)+(VLOOKUP(B63,LGD_para,3,FALSE)^2/2))/VLOOKUP(B63,LGD_para,3,FALSE)-(VLOOKUP(B63,LGD_para,3,FALSE))-G63*(NORMSDIST(-LN(G63)+(VLOOKUP(B63,LGD_para,3,FALSE)^2/2))/VLOOKUP(B63,LGD_para,3,FALSE)))/LOGNORMDIST(1,LN(G63),(VLOOKUP(B63,LGD_para,3,FALSE)))*'LGD parameters'!$D$11</f>
        <v>0.33381167072117429</v>
      </c>
      <c r="I63" s="106">
        <f>VLOOKUP(C63,'PD Term Structure'!$C$5:$D$14,2,TRUE)</f>
        <v>4</v>
      </c>
      <c r="J63" s="43">
        <f>VLOOKUP(I63,'Master rating scale'!$G$5:$H$14,2,FALSE)</f>
        <v>4</v>
      </c>
      <c r="K63" s="62">
        <f t="shared" si="1"/>
        <v>1.3597046168778893E-2</v>
      </c>
      <c r="M63" s="110">
        <f>VLOOKUP(D63,'PD Term Structure'!$C$5:$D$14,2,TRUE)</f>
        <v>4</v>
      </c>
      <c r="N63" s="110">
        <f t="shared" si="2"/>
        <v>4</v>
      </c>
      <c r="O63" s="107">
        <f t="shared" si="3"/>
        <v>1.3597046168778893E-2</v>
      </c>
      <c r="Q63" s="110">
        <f>VLOOKUP(E63,'PD Term Structure'!$C$5:$D$14,2,TRUE)</f>
        <v>5</v>
      </c>
      <c r="R63" s="110">
        <f t="shared" si="4"/>
        <v>5</v>
      </c>
      <c r="S63" s="107">
        <f t="shared" si="5"/>
        <v>1.6996307710973615E-2</v>
      </c>
    </row>
    <row r="64" spans="1:19" ht="14">
      <c r="A64" s="36">
        <v>61252</v>
      </c>
      <c r="B64" s="81" t="s">
        <v>19</v>
      </c>
      <c r="C64" s="38">
        <v>4.2999999999999997E-2</v>
      </c>
      <c r="D64" s="38">
        <f>INDEX('PD Term Structure'!$E$17:$N$26,MATCH($I64,'PD Term Structure'!$D$17:$D$26,0),MATCH(D$1,'PD Term Structure'!$E$16:$N$16,0))</f>
        <v>5.2108354430379748E-2</v>
      </c>
      <c r="E64" s="38">
        <f>INDEX('PD Term Structure'!$E$17:$N$26,MATCH($I64,'PD Term Structure'!$D$17:$D$26,0),MATCH(E$1,'PD Term Structure'!$E$16:$N$16,0))</f>
        <v>6.3676339047537805E-2</v>
      </c>
      <c r="F64" s="39">
        <v>25000</v>
      </c>
      <c r="G64" s="82">
        <f>VLOOKUP(B64,'LGD parameters'!$C$7:$E$11,2,FALSE)</f>
        <v>0.41974816177099206</v>
      </c>
      <c r="H64" s="82">
        <f>(NORMSDIST(-LN(G64)+(VLOOKUP(B64,LGD_para,3,FALSE)^2/2))/VLOOKUP(B64,LGD_para,3,FALSE)-(VLOOKUP(B64,LGD_para,3,FALSE))-G64*(NORMSDIST(-LN(G64)+(VLOOKUP(B64,LGD_para,3,FALSE)^2/2))/VLOOKUP(B64,LGD_para,3,FALSE)))/LOGNORMDIST(1,LN(G64),(VLOOKUP(B64,LGD_para,3,FALSE)))*'LGD parameters'!$D$11</f>
        <v>0.33381167072117429</v>
      </c>
      <c r="I64" s="106">
        <f>VLOOKUP(C64,'PD Term Structure'!$C$5:$D$14,2,TRUE)</f>
        <v>4</v>
      </c>
      <c r="J64" s="43">
        <f>VLOOKUP(I64,'Master rating scale'!$G$5:$H$14,2,FALSE)</f>
        <v>4</v>
      </c>
      <c r="K64" s="62">
        <f t="shared" si="1"/>
        <v>1.0815340573320786E-2</v>
      </c>
      <c r="M64" s="110">
        <f>VLOOKUP(D64,'PD Term Structure'!$C$5:$D$14,2,TRUE)</f>
        <v>4</v>
      </c>
      <c r="N64" s="110">
        <f t="shared" si="2"/>
        <v>4</v>
      </c>
      <c r="O64" s="107">
        <f t="shared" si="3"/>
        <v>1.0815340573320786E-2</v>
      </c>
      <c r="Q64" s="110">
        <f>VLOOKUP(E64,'PD Term Structure'!$C$5:$D$14,2,TRUE)</f>
        <v>5</v>
      </c>
      <c r="R64" s="110">
        <f t="shared" si="4"/>
        <v>5</v>
      </c>
      <c r="S64" s="107">
        <f t="shared" si="5"/>
        <v>1.3519175716650983E-2</v>
      </c>
    </row>
    <row r="65" spans="1:20" ht="14">
      <c r="A65" s="36">
        <v>8535</v>
      </c>
      <c r="B65" s="81" t="s">
        <v>19</v>
      </c>
      <c r="C65" s="38">
        <v>4.2999999999999997E-2</v>
      </c>
      <c r="D65" s="38">
        <f>INDEX('PD Term Structure'!$E$17:$N$26,MATCH($I65,'PD Term Structure'!$D$17:$D$26,0),MATCH(D$1,'PD Term Structure'!$E$16:$N$16,0))</f>
        <v>5.2108354430379748E-2</v>
      </c>
      <c r="E65" s="38">
        <f>INDEX('PD Term Structure'!$E$17:$N$26,MATCH($I65,'PD Term Structure'!$D$17:$D$26,0),MATCH(E$1,'PD Term Structure'!$E$16:$N$16,0))</f>
        <v>6.3676339047537805E-2</v>
      </c>
      <c r="F65" s="39">
        <v>33100</v>
      </c>
      <c r="G65" s="82">
        <f>VLOOKUP(B65,'LGD parameters'!$C$7:$E$11,2,FALSE)</f>
        <v>0.41974816177099206</v>
      </c>
      <c r="H65" s="82">
        <f>(NORMSDIST(-LN(G65)+(VLOOKUP(B65,LGD_para,3,FALSE)^2/2))/VLOOKUP(B65,LGD_para,3,FALSE)-(VLOOKUP(B65,LGD_para,3,FALSE))-G65*(NORMSDIST(-LN(G65)+(VLOOKUP(B65,LGD_para,3,FALSE)^2/2))/VLOOKUP(B65,LGD_para,3,FALSE)))/LOGNORMDIST(1,LN(G65),(VLOOKUP(B65,LGD_para,3,FALSE)))*'LGD parameters'!$D$11</f>
        <v>0.33381167072117429</v>
      </c>
      <c r="I65" s="106">
        <f>VLOOKUP(C65,'PD Term Structure'!$C$5:$D$14,2,TRUE)</f>
        <v>4</v>
      </c>
      <c r="J65" s="43">
        <f>VLOOKUP(I65,'Master rating scale'!$G$5:$H$14,2,FALSE)</f>
        <v>4</v>
      </c>
      <c r="K65" s="62">
        <f t="shared" si="1"/>
        <v>1.4319510919076722E-2</v>
      </c>
      <c r="M65" s="110">
        <f>VLOOKUP(D65,'PD Term Structure'!$C$5:$D$14,2,TRUE)</f>
        <v>4</v>
      </c>
      <c r="N65" s="110">
        <f t="shared" si="2"/>
        <v>4</v>
      </c>
      <c r="O65" s="107">
        <f t="shared" si="3"/>
        <v>1.4319510919076722E-2</v>
      </c>
      <c r="Q65" s="110">
        <f>VLOOKUP(E65,'PD Term Structure'!$C$5:$D$14,2,TRUE)</f>
        <v>5</v>
      </c>
      <c r="R65" s="110">
        <f t="shared" si="4"/>
        <v>5</v>
      </c>
      <c r="S65" s="107">
        <f t="shared" si="5"/>
        <v>1.7899388648845903E-2</v>
      </c>
    </row>
    <row r="66" spans="1:20" ht="14">
      <c r="A66" s="36">
        <v>166585</v>
      </c>
      <c r="B66" s="81" t="s">
        <v>19</v>
      </c>
      <c r="C66" s="38">
        <v>4.2999999999999997E-2</v>
      </c>
      <c r="D66" s="38">
        <f>INDEX('PD Term Structure'!$E$17:$N$26,MATCH($I66,'PD Term Structure'!$D$17:$D$26,0),MATCH(D$1,'PD Term Structure'!$E$16:$N$16,0))</f>
        <v>5.2108354430379748E-2</v>
      </c>
      <c r="E66" s="38">
        <f>INDEX('PD Term Structure'!$E$17:$N$26,MATCH($I66,'PD Term Structure'!$D$17:$D$26,0),MATCH(E$1,'PD Term Structure'!$E$16:$N$16,0))</f>
        <v>6.3676339047537805E-2</v>
      </c>
      <c r="F66" s="39">
        <v>25500</v>
      </c>
      <c r="G66" s="82">
        <f>VLOOKUP(B66,'LGD parameters'!$C$7:$E$11,2,FALSE)</f>
        <v>0.41974816177099206</v>
      </c>
      <c r="H66" s="82">
        <f>(NORMSDIST(-LN(G66)+(VLOOKUP(B66,LGD_para,3,FALSE)^2/2))/VLOOKUP(B66,LGD_para,3,FALSE)-(VLOOKUP(B66,LGD_para,3,FALSE))-G66*(NORMSDIST(-LN(G66)+(VLOOKUP(B66,LGD_para,3,FALSE)^2/2))/VLOOKUP(B66,LGD_para,3,FALSE)))/LOGNORMDIST(1,LN(G66),(VLOOKUP(B66,LGD_para,3,FALSE)))*'LGD parameters'!$D$11</f>
        <v>0.33381167072117429</v>
      </c>
      <c r="I66" s="106">
        <f>VLOOKUP(C66,'PD Term Structure'!$C$5:$D$14,2,TRUE)</f>
        <v>4</v>
      </c>
      <c r="J66" s="43">
        <f>VLOOKUP(I66,'Master rating scale'!$G$5:$H$14,2,FALSE)</f>
        <v>4</v>
      </c>
      <c r="K66" s="62">
        <f t="shared" si="1"/>
        <v>1.1031647384787202E-2</v>
      </c>
      <c r="M66" s="110">
        <f>VLOOKUP(D66,'PD Term Structure'!$C$5:$D$14,2,TRUE)</f>
        <v>4</v>
      </c>
      <c r="N66" s="110">
        <f t="shared" si="2"/>
        <v>4</v>
      </c>
      <c r="O66" s="107">
        <f t="shared" si="3"/>
        <v>1.1031647384787202E-2</v>
      </c>
      <c r="Q66" s="110">
        <f>VLOOKUP(E66,'PD Term Structure'!$C$5:$D$14,2,TRUE)</f>
        <v>5</v>
      </c>
      <c r="R66" s="110">
        <f t="shared" si="4"/>
        <v>5</v>
      </c>
      <c r="S66" s="107">
        <f t="shared" si="5"/>
        <v>1.3789559230984003E-2</v>
      </c>
    </row>
    <row r="67" spans="1:20" ht="14">
      <c r="A67" s="36">
        <v>309383</v>
      </c>
      <c r="B67" s="81" t="s">
        <v>19</v>
      </c>
      <c r="C67" s="38">
        <v>4.2999999999999997E-2</v>
      </c>
      <c r="D67" s="38">
        <f>INDEX('PD Term Structure'!$E$17:$N$26,MATCH($I67,'PD Term Structure'!$D$17:$D$26,0),MATCH(D$1,'PD Term Structure'!$E$16:$N$16,0))</f>
        <v>5.2108354430379748E-2</v>
      </c>
      <c r="E67" s="38">
        <f>INDEX('PD Term Structure'!$E$17:$N$26,MATCH($I67,'PD Term Structure'!$D$17:$D$26,0),MATCH(E$1,'PD Term Structure'!$E$16:$N$16,0))</f>
        <v>6.3676339047537805E-2</v>
      </c>
      <c r="F67" s="39">
        <v>24552</v>
      </c>
      <c r="G67" s="82">
        <f>VLOOKUP(B67,'LGD parameters'!$C$7:$E$11,2,FALSE)</f>
        <v>0.41974816177099206</v>
      </c>
      <c r="H67" s="82">
        <f>(NORMSDIST(-LN(G67)+(VLOOKUP(B67,LGD_para,3,FALSE)^2/2))/VLOOKUP(B67,LGD_para,3,FALSE)-(VLOOKUP(B67,LGD_para,3,FALSE))-G67*(NORMSDIST(-LN(G67)+(VLOOKUP(B67,LGD_para,3,FALSE)^2/2))/VLOOKUP(B67,LGD_para,3,FALSE)))/LOGNORMDIST(1,LN(G67),(VLOOKUP(B67,LGD_para,3,FALSE)))*'LGD parameters'!$D$11</f>
        <v>0.33381167072117429</v>
      </c>
      <c r="I67" s="106">
        <f>VLOOKUP(C67,'PD Term Structure'!$C$5:$D$14,2,TRUE)</f>
        <v>4</v>
      </c>
      <c r="J67" s="43">
        <f>VLOOKUP(I67,'Master rating scale'!$G$5:$H$14,2,FALSE)</f>
        <v>4</v>
      </c>
      <c r="K67" s="62">
        <f t="shared" ref="K67:K130" si="8">F67/$F$231*J67</f>
        <v>1.0621529670246878E-2</v>
      </c>
      <c r="M67" s="110">
        <f>VLOOKUP(D67,'PD Term Structure'!$C$5:$D$14,2,TRUE)</f>
        <v>4</v>
      </c>
      <c r="N67" s="110">
        <f t="shared" si="2"/>
        <v>4</v>
      </c>
      <c r="O67" s="107">
        <f t="shared" si="3"/>
        <v>1.0621529670246878E-2</v>
      </c>
      <c r="Q67" s="110">
        <f>VLOOKUP(E67,'PD Term Structure'!$C$5:$D$14,2,TRUE)</f>
        <v>5</v>
      </c>
      <c r="R67" s="110">
        <f t="shared" si="4"/>
        <v>5</v>
      </c>
      <c r="S67" s="107">
        <f t="shared" si="5"/>
        <v>1.3276912087808597E-2</v>
      </c>
    </row>
    <row r="68" spans="1:20" ht="14">
      <c r="A68" s="36">
        <v>455458</v>
      </c>
      <c r="B68" s="81" t="s">
        <v>19</v>
      </c>
      <c r="C68" s="38">
        <v>4.2999999999999997E-2</v>
      </c>
      <c r="D68" s="38">
        <f>INDEX('PD Term Structure'!$E$17:$N$26,MATCH($I68,'PD Term Structure'!$D$17:$D$26,0),MATCH(D$1,'PD Term Structure'!$E$16:$N$16,0))</f>
        <v>5.2108354430379748E-2</v>
      </c>
      <c r="E68" s="38">
        <f>INDEX('PD Term Structure'!$E$17:$N$26,MATCH($I68,'PD Term Structure'!$D$17:$D$26,0),MATCH(E$1,'PD Term Structure'!$E$16:$N$16,0))</f>
        <v>6.3676339047537805E-2</v>
      </c>
      <c r="F68" s="39">
        <v>25000</v>
      </c>
      <c r="G68" s="82">
        <f>VLOOKUP(B68,'LGD parameters'!$C$7:$E$11,2,FALSE)</f>
        <v>0.41974816177099206</v>
      </c>
      <c r="H68" s="82">
        <f>(NORMSDIST(-LN(G68)+(VLOOKUP(B68,LGD_para,3,FALSE)^2/2))/VLOOKUP(B68,LGD_para,3,FALSE)-(VLOOKUP(B68,LGD_para,3,FALSE))-G68*(NORMSDIST(-LN(G68)+(VLOOKUP(B68,LGD_para,3,FALSE)^2/2))/VLOOKUP(B68,LGD_para,3,FALSE)))/LOGNORMDIST(1,LN(G68),(VLOOKUP(B68,LGD_para,3,FALSE)))*'LGD parameters'!$D$11</f>
        <v>0.33381167072117429</v>
      </c>
      <c r="I68" s="106">
        <f>VLOOKUP(C68,'PD Term Structure'!$C$5:$D$14,2,TRUE)</f>
        <v>4</v>
      </c>
      <c r="J68" s="43">
        <f>VLOOKUP(I68,'Master rating scale'!$G$5:$H$14,2,FALSE)</f>
        <v>4</v>
      </c>
      <c r="K68" s="62">
        <f t="shared" si="8"/>
        <v>1.0815340573320786E-2</v>
      </c>
      <c r="M68" s="110">
        <f>VLOOKUP(D68,'PD Term Structure'!$C$5:$D$14,2,TRUE)</f>
        <v>4</v>
      </c>
      <c r="N68" s="110">
        <f t="shared" ref="N68:N131" si="9">M68</f>
        <v>4</v>
      </c>
      <c r="O68" s="107">
        <f t="shared" ref="O68:O131" si="10">$F68/$F$231*N68</f>
        <v>1.0815340573320786E-2</v>
      </c>
      <c r="Q68" s="110">
        <f>VLOOKUP(E68,'PD Term Structure'!$C$5:$D$14,2,TRUE)</f>
        <v>5</v>
      </c>
      <c r="R68" s="110">
        <f t="shared" ref="R68:R131" si="11">Q68</f>
        <v>5</v>
      </c>
      <c r="S68" s="107">
        <f t="shared" ref="S68:S131" si="12">$F68/$F$231*R68</f>
        <v>1.3519175716650983E-2</v>
      </c>
    </row>
    <row r="69" spans="1:20" ht="14">
      <c r="A69" s="36">
        <v>301957</v>
      </c>
      <c r="B69" s="81" t="s">
        <v>19</v>
      </c>
      <c r="C69" s="38">
        <v>4.2999999999999997E-2</v>
      </c>
      <c r="D69" s="38">
        <f>INDEX('PD Term Structure'!$E$17:$N$26,MATCH($I69,'PD Term Structure'!$D$17:$D$26,0),MATCH(D$1,'PD Term Structure'!$E$16:$N$16,0))</f>
        <v>5.2108354430379748E-2</v>
      </c>
      <c r="E69" s="38">
        <f>INDEX('PD Term Structure'!$E$17:$N$26,MATCH($I69,'PD Term Structure'!$D$17:$D$26,0),MATCH(E$1,'PD Term Structure'!$E$16:$N$16,0))</f>
        <v>6.3676339047537805E-2</v>
      </c>
      <c r="F69" s="39">
        <v>22407</v>
      </c>
      <c r="G69" s="82">
        <f>VLOOKUP(B69,'LGD parameters'!$C$7:$E$11,2,FALSE)</f>
        <v>0.41974816177099206</v>
      </c>
      <c r="H69" s="82">
        <f>(NORMSDIST(-LN(G69)+(VLOOKUP(B69,LGD_para,3,FALSE)^2/2))/VLOOKUP(B69,LGD_para,3,FALSE)-(VLOOKUP(B69,LGD_para,3,FALSE))-G69*(NORMSDIST(-LN(G69)+(VLOOKUP(B69,LGD_para,3,FALSE)^2/2))/VLOOKUP(B69,LGD_para,3,FALSE)))/LOGNORMDIST(1,LN(G69),(VLOOKUP(B69,LGD_para,3,FALSE)))*'LGD parameters'!$D$11</f>
        <v>0.33381167072117429</v>
      </c>
      <c r="I69" s="106">
        <f>VLOOKUP(C69,'PD Term Structure'!$C$5:$D$14,2,TRUE)</f>
        <v>4</v>
      </c>
      <c r="J69" s="43">
        <f>VLOOKUP(I69,'Master rating scale'!$G$5:$H$14,2,FALSE)</f>
        <v>4</v>
      </c>
      <c r="K69" s="62">
        <f t="shared" si="8"/>
        <v>9.6935734490559543E-3</v>
      </c>
      <c r="M69" s="110">
        <f>VLOOKUP(D69,'PD Term Structure'!$C$5:$D$14,2,TRUE)</f>
        <v>4</v>
      </c>
      <c r="N69" s="110">
        <f t="shared" si="9"/>
        <v>4</v>
      </c>
      <c r="O69" s="107">
        <f t="shared" si="10"/>
        <v>9.6935734490559543E-3</v>
      </c>
      <c r="Q69" s="110">
        <f>VLOOKUP(E69,'PD Term Structure'!$C$5:$D$14,2,TRUE)</f>
        <v>5</v>
      </c>
      <c r="R69" s="110">
        <f t="shared" si="11"/>
        <v>5</v>
      </c>
      <c r="S69" s="107">
        <f t="shared" si="12"/>
        <v>1.2116966811319943E-2</v>
      </c>
    </row>
    <row r="70" spans="1:20" ht="14">
      <c r="A70" s="36">
        <v>302548</v>
      </c>
      <c r="B70" s="81" t="s">
        <v>19</v>
      </c>
      <c r="C70" s="38">
        <v>4.2999999999999997E-2</v>
      </c>
      <c r="D70" s="38">
        <f>INDEX('PD Term Structure'!$E$17:$N$26,MATCH($I70,'PD Term Structure'!$D$17:$D$26,0),MATCH(D$1,'PD Term Structure'!$E$16:$N$16,0))</f>
        <v>5.2108354430379748E-2</v>
      </c>
      <c r="E70" s="38">
        <f>INDEX('PD Term Structure'!$E$17:$N$26,MATCH($I70,'PD Term Structure'!$D$17:$D$26,0),MATCH(E$1,'PD Term Structure'!$E$16:$N$16,0))</f>
        <v>6.3676339047537805E-2</v>
      </c>
      <c r="F70" s="39">
        <v>9000</v>
      </c>
      <c r="G70" s="82">
        <f>VLOOKUP(B70,LGD_para,2,FALSE)</f>
        <v>0.41974816177099206</v>
      </c>
      <c r="H70" s="82">
        <f>(NORMSDIST(-LN(G70)+(VLOOKUP(B70,LGD_para,3,FALSE)^2/2))/VLOOKUP(B70,LGD_para,3,FALSE)-(VLOOKUP(B70,LGD_para,3,FALSE))-G70*(NORMSDIST(-LN(G70)+(VLOOKUP(B70,LGD_para,3,FALSE)^2/2))/VLOOKUP(B70,LGD_para,3,FALSE)))/LOGNORMDIST(1,LN(G70),(VLOOKUP(B70,LGD_para,3,FALSE)))*'LGD parameters'!$D$11</f>
        <v>0.33381167072117429</v>
      </c>
      <c r="I70" s="106">
        <f>VLOOKUP(C70,'PD Term Structure'!$C$5:$D$14,2,TRUE)</f>
        <v>4</v>
      </c>
      <c r="J70" s="43">
        <f>VLOOKUP(I70,'Master rating scale'!$G$5:$H$14,2,FALSE)</f>
        <v>4</v>
      </c>
      <c r="K70" s="62">
        <f t="shared" si="8"/>
        <v>3.8935226063954833E-3</v>
      </c>
      <c r="M70" s="110">
        <f>VLOOKUP(D70,'PD Term Structure'!$C$5:$D$14,2,TRUE)</f>
        <v>4</v>
      </c>
      <c r="N70" s="110">
        <f t="shared" si="9"/>
        <v>4</v>
      </c>
      <c r="O70" s="107">
        <f t="shared" si="10"/>
        <v>3.8935226063954833E-3</v>
      </c>
      <c r="Q70" s="110">
        <f>VLOOKUP(E70,'PD Term Structure'!$C$5:$D$14,2,TRUE)</f>
        <v>5</v>
      </c>
      <c r="R70" s="110">
        <f t="shared" si="11"/>
        <v>5</v>
      </c>
      <c r="S70" s="107">
        <f t="shared" si="12"/>
        <v>4.8669032579943539E-3</v>
      </c>
    </row>
    <row r="71" spans="1:20" ht="14">
      <c r="A71" s="36">
        <v>187862</v>
      </c>
      <c r="B71" s="81" t="s">
        <v>19</v>
      </c>
      <c r="C71" s="38">
        <v>4.2999999999999997E-2</v>
      </c>
      <c r="D71" s="38">
        <f>INDEX('PD Term Structure'!$E$17:$N$26,MATCH($I71,'PD Term Structure'!$D$17:$D$26,0),MATCH(D$1,'PD Term Structure'!$E$16:$N$16,0))</f>
        <v>5.2108354430379748E-2</v>
      </c>
      <c r="E71" s="38">
        <f>INDEX('PD Term Structure'!$E$17:$N$26,MATCH($I71,'PD Term Structure'!$D$17:$D$26,0),MATCH(E$1,'PD Term Structure'!$E$16:$N$16,0))</f>
        <v>6.3676339047537805E-2</v>
      </c>
      <c r="F71" s="39">
        <v>4612.3643600000005</v>
      </c>
      <c r="G71" s="82">
        <f>VLOOKUP(B71,LGD_para,2,FALSE)</f>
        <v>0.41974816177099206</v>
      </c>
      <c r="H71" s="82">
        <f>(NORMSDIST(-LN(G71)+(VLOOKUP(B71,LGD_para,3,FALSE)^2/2))/VLOOKUP(B71,LGD_para,3,FALSE)-(VLOOKUP(B71,LGD_para,3,FALSE))-G71*(NORMSDIST(-LN(G71)+(VLOOKUP(B71,LGD_para,3,FALSE)^2/2))/VLOOKUP(B71,LGD_para,3,FALSE)))/LOGNORMDIST(1,LN(G71),(VLOOKUP(B71,LGD_para,3,FALSE)))*'LGD parameters'!$D$11</f>
        <v>0.33381167072117429</v>
      </c>
      <c r="I71" s="106">
        <f>VLOOKUP(C71,'PD Term Structure'!$C$5:$D$14,2,TRUE)</f>
        <v>4</v>
      </c>
      <c r="J71" s="43">
        <f>VLOOKUP(I71,'Master rating scale'!$G$5:$H$14,2,FALSE)</f>
        <v>4</v>
      </c>
      <c r="K71" s="62">
        <f t="shared" si="8"/>
        <v>1.9953716560658706E-3</v>
      </c>
      <c r="M71" s="110">
        <f>VLOOKUP(D71,'PD Term Structure'!$C$5:$D$14,2,TRUE)</f>
        <v>4</v>
      </c>
      <c r="N71" s="110">
        <f t="shared" si="9"/>
        <v>4</v>
      </c>
      <c r="O71" s="107">
        <f t="shared" si="10"/>
        <v>1.9953716560658706E-3</v>
      </c>
      <c r="Q71" s="110">
        <f>VLOOKUP(E71,'PD Term Structure'!$C$5:$D$14,2,TRUE)</f>
        <v>5</v>
      </c>
      <c r="R71" s="110">
        <f t="shared" si="11"/>
        <v>5</v>
      </c>
      <c r="S71" s="107">
        <f t="shared" si="12"/>
        <v>2.4942145700823383E-3</v>
      </c>
    </row>
    <row r="72" spans="1:20" ht="14">
      <c r="A72" s="36">
        <v>284957</v>
      </c>
      <c r="B72" s="81" t="s">
        <v>19</v>
      </c>
      <c r="C72" s="38">
        <v>4.2999999999999997E-2</v>
      </c>
      <c r="D72" s="38">
        <f>INDEX('PD Term Structure'!$E$17:$N$26,MATCH($I72,'PD Term Structure'!$D$17:$D$26,0),MATCH(D$1,'PD Term Structure'!$E$16:$N$16,0))</f>
        <v>5.2108354430379748E-2</v>
      </c>
      <c r="E72" s="38">
        <f>INDEX('PD Term Structure'!$E$17:$N$26,MATCH($I72,'PD Term Structure'!$D$17:$D$26,0),MATCH(E$1,'PD Term Structure'!$E$16:$N$16,0))</f>
        <v>6.3676339047537805E-2</v>
      </c>
      <c r="F72" s="39">
        <v>22750</v>
      </c>
      <c r="G72" s="82">
        <f>VLOOKUP(B72,LGD_para,2,FALSE)</f>
        <v>0.41974816177099206</v>
      </c>
      <c r="H72" s="82">
        <f>(NORMSDIST(-LN(G72)+(VLOOKUP(B72,LGD_para,3,FALSE)^2/2))/VLOOKUP(B72,LGD_para,3,FALSE)-(VLOOKUP(B72,LGD_para,3,FALSE))-G72*(NORMSDIST(-LN(G72)+(VLOOKUP(B72,LGD_para,3,FALSE)^2/2))/VLOOKUP(B72,LGD_para,3,FALSE)))/LOGNORMDIST(1,LN(G72),(VLOOKUP(B72,LGD_para,3,FALSE)))*'LGD parameters'!$D$11</f>
        <v>0.33381167072117429</v>
      </c>
      <c r="I72" s="106">
        <f>VLOOKUP(C72,'PD Term Structure'!$C$5:$D$14,2,TRUE)</f>
        <v>4</v>
      </c>
      <c r="J72" s="43">
        <f>VLOOKUP(I72,'Master rating scale'!$G$5:$H$14,2,FALSE)</f>
        <v>4</v>
      </c>
      <c r="K72" s="62">
        <f t="shared" si="8"/>
        <v>9.8419599217219149E-3</v>
      </c>
      <c r="M72" s="110">
        <f>VLOOKUP(D72,'PD Term Structure'!$C$5:$D$14,2,TRUE)</f>
        <v>4</v>
      </c>
      <c r="N72" s="110">
        <f t="shared" si="9"/>
        <v>4</v>
      </c>
      <c r="O72" s="107">
        <f t="shared" si="10"/>
        <v>9.8419599217219149E-3</v>
      </c>
      <c r="Q72" s="110">
        <f>VLOOKUP(E72,'PD Term Structure'!$C$5:$D$14,2,TRUE)</f>
        <v>5</v>
      </c>
      <c r="R72" s="110">
        <f t="shared" si="11"/>
        <v>5</v>
      </c>
      <c r="S72" s="107">
        <f t="shared" si="12"/>
        <v>1.2302449902152394E-2</v>
      </c>
    </row>
    <row r="73" spans="1:20" ht="14">
      <c r="A73" s="36">
        <v>301288</v>
      </c>
      <c r="B73" s="81" t="s">
        <v>19</v>
      </c>
      <c r="C73" s="38">
        <v>4.2999999999999997E-2</v>
      </c>
      <c r="D73" s="38">
        <f>INDEX('PD Term Structure'!$E$17:$N$26,MATCH($I73,'PD Term Structure'!$D$17:$D$26,0),MATCH(D$1,'PD Term Structure'!$E$16:$N$16,0))</f>
        <v>5.2108354430379748E-2</v>
      </c>
      <c r="E73" s="38">
        <f>INDEX('PD Term Structure'!$E$17:$N$26,MATCH($I73,'PD Term Structure'!$D$17:$D$26,0),MATCH(E$1,'PD Term Structure'!$E$16:$N$16,0))</f>
        <v>6.3676339047537805E-2</v>
      </c>
      <c r="F73" s="39">
        <v>22925</v>
      </c>
      <c r="G73" s="82">
        <f>VLOOKUP(B73,LGD_para,2,FALSE)</f>
        <v>0.41974816177099206</v>
      </c>
      <c r="H73" s="82">
        <f>(NORMSDIST(-LN(G73)+(VLOOKUP(B73,LGD_para,3,FALSE)^2/2))/VLOOKUP(B73,LGD_para,3,FALSE)-(VLOOKUP(B73,LGD_para,3,FALSE))-G73*(NORMSDIST(-LN(G73)+(VLOOKUP(B73,LGD_para,3,FALSE)^2/2))/VLOOKUP(B73,LGD_para,3,FALSE)))/LOGNORMDIST(1,LN(G73),(VLOOKUP(B73,LGD_para,3,FALSE)))*'LGD parameters'!$D$11</f>
        <v>0.33381167072117429</v>
      </c>
      <c r="I73" s="106">
        <f>VLOOKUP(C73,'PD Term Structure'!$C$5:$D$14,2,TRUE)</f>
        <v>4</v>
      </c>
      <c r="J73" s="43">
        <f>VLOOKUP(I73,'Master rating scale'!$G$5:$H$14,2,FALSE)</f>
        <v>4</v>
      </c>
      <c r="K73" s="62">
        <f t="shared" si="8"/>
        <v>9.9176673057351609E-3</v>
      </c>
      <c r="M73" s="110">
        <f>VLOOKUP(D73,'PD Term Structure'!$C$5:$D$14,2,TRUE)</f>
        <v>4</v>
      </c>
      <c r="N73" s="110">
        <f t="shared" si="9"/>
        <v>4</v>
      </c>
      <c r="O73" s="107">
        <f t="shared" si="10"/>
        <v>9.9176673057351609E-3</v>
      </c>
      <c r="Q73" s="110">
        <f>VLOOKUP(E73,'PD Term Structure'!$C$5:$D$14,2,TRUE)</f>
        <v>5</v>
      </c>
      <c r="R73" s="110">
        <f t="shared" si="11"/>
        <v>5</v>
      </c>
      <c r="S73" s="107">
        <f t="shared" si="12"/>
        <v>1.2397084132168952E-2</v>
      </c>
    </row>
    <row r="74" spans="1:20" ht="14">
      <c r="A74" s="36">
        <v>231284</v>
      </c>
      <c r="B74" s="81" t="s">
        <v>19</v>
      </c>
      <c r="C74" s="38">
        <v>4.2999999999999997E-2</v>
      </c>
      <c r="D74" s="38">
        <f>INDEX('PD Term Structure'!$E$17:$N$26,MATCH($I74,'PD Term Structure'!$D$17:$D$26,0),MATCH(D$1,'PD Term Structure'!$E$16:$N$16,0))</f>
        <v>5.2108354430379748E-2</v>
      </c>
      <c r="E74" s="38">
        <f>INDEX('PD Term Structure'!$E$17:$N$26,MATCH($I74,'PD Term Structure'!$D$17:$D$26,0),MATCH(E$1,'PD Term Structure'!$E$16:$N$16,0))</f>
        <v>6.3676339047537805E-2</v>
      </c>
      <c r="F74" s="39">
        <v>25000</v>
      </c>
      <c r="G74" s="82">
        <f>VLOOKUP(B74,LGD_para,2,FALSE)</f>
        <v>0.41974816177099206</v>
      </c>
      <c r="H74" s="82">
        <f>(NORMSDIST(-LN(G74)+(VLOOKUP(B74,LGD_para,3,FALSE)^2/2))/VLOOKUP(B74,LGD_para,3,FALSE)-(VLOOKUP(B74,LGD_para,3,FALSE))-G74*(NORMSDIST(-LN(G74)+(VLOOKUP(B74,LGD_para,3,FALSE)^2/2))/VLOOKUP(B74,LGD_para,3,FALSE)))/LOGNORMDIST(1,LN(G74),(VLOOKUP(B74,LGD_para,3,FALSE)))*'LGD parameters'!$D$11</f>
        <v>0.33381167072117429</v>
      </c>
      <c r="I74" s="106">
        <f>VLOOKUP(C74,'PD Term Structure'!$C$5:$D$14,2,TRUE)</f>
        <v>4</v>
      </c>
      <c r="J74" s="43">
        <f>VLOOKUP(I74,'Master rating scale'!$G$5:$H$14,2,FALSE)</f>
        <v>4</v>
      </c>
      <c r="K74" s="62">
        <f t="shared" si="8"/>
        <v>1.0815340573320786E-2</v>
      </c>
      <c r="M74" s="110">
        <f>VLOOKUP(D74,'PD Term Structure'!$C$5:$D$14,2,TRUE)</f>
        <v>4</v>
      </c>
      <c r="N74" s="110">
        <f t="shared" si="9"/>
        <v>4</v>
      </c>
      <c r="O74" s="107">
        <f t="shared" si="10"/>
        <v>1.0815340573320786E-2</v>
      </c>
      <c r="Q74" s="110">
        <f>VLOOKUP(E74,'PD Term Structure'!$C$5:$D$14,2,TRUE)</f>
        <v>5</v>
      </c>
      <c r="R74" s="110">
        <f t="shared" si="11"/>
        <v>5</v>
      </c>
      <c r="S74" s="107">
        <f t="shared" si="12"/>
        <v>1.3519175716650983E-2</v>
      </c>
    </row>
    <row r="75" spans="1:20" ht="14">
      <c r="A75" s="36">
        <v>302531</v>
      </c>
      <c r="B75" s="81" t="s">
        <v>19</v>
      </c>
      <c r="C75" s="38">
        <v>4.2999999999999997E-2</v>
      </c>
      <c r="D75" s="38">
        <f>INDEX('PD Term Structure'!$E$17:$N$26,MATCH($I75,'PD Term Structure'!$D$17:$D$26,0),MATCH(D$1,'PD Term Structure'!$E$16:$N$16,0))</f>
        <v>5.2108354430379748E-2</v>
      </c>
      <c r="E75" s="38">
        <f>INDEX('PD Term Structure'!$E$17:$N$26,MATCH($I75,'PD Term Structure'!$D$17:$D$26,0),MATCH(E$1,'PD Term Structure'!$E$16:$N$16,0))</f>
        <v>6.3676339047537805E-2</v>
      </c>
      <c r="F75" s="39">
        <v>15995.11</v>
      </c>
      <c r="G75" s="82">
        <f>VLOOKUP(B75,'LGD parameters'!$C$7:$E$11,2,FALSE)</f>
        <v>0.41974816177099206</v>
      </c>
      <c r="H75" s="82">
        <f>(NORMSDIST(-LN(G75)+(VLOOKUP(B75,LGD_para,3,FALSE)^2/2))/VLOOKUP(B75,LGD_para,3,FALSE)-(VLOOKUP(B75,LGD_para,3,FALSE))-G75*(NORMSDIST(-LN(G75)+(VLOOKUP(B75,LGD_para,3,FALSE)^2/2))/VLOOKUP(B75,LGD_para,3,FALSE)))/LOGNORMDIST(1,LN(G75),(VLOOKUP(B75,LGD_para,3,FALSE)))*'LGD parameters'!$D$11</f>
        <v>0.33381167072117429</v>
      </c>
      <c r="I75" s="106">
        <f>VLOOKUP(C75,'PD Term Structure'!$C$5:$D$14,2,TRUE)</f>
        <v>4</v>
      </c>
      <c r="J75" s="43">
        <f>VLOOKUP(I75,'Master rating scale'!$G$5:$H$14,2,FALSE)</f>
        <v>4</v>
      </c>
      <c r="K75" s="62">
        <f t="shared" si="8"/>
        <v>6.919702486309162E-3</v>
      </c>
      <c r="M75" s="110">
        <f>VLOOKUP(D75,'PD Term Structure'!$C$5:$D$14,2,TRUE)</f>
        <v>4</v>
      </c>
      <c r="N75" s="110">
        <f t="shared" si="9"/>
        <v>4</v>
      </c>
      <c r="O75" s="107">
        <f t="shared" si="10"/>
        <v>6.919702486309162E-3</v>
      </c>
      <c r="Q75" s="110">
        <f>VLOOKUP(E75,'PD Term Structure'!$C$5:$D$14,2,TRUE)</f>
        <v>5</v>
      </c>
      <c r="R75" s="110">
        <f t="shared" si="11"/>
        <v>5</v>
      </c>
      <c r="S75" s="107">
        <f t="shared" si="12"/>
        <v>8.6496281078864527E-3</v>
      </c>
    </row>
    <row r="76" spans="1:20" ht="14">
      <c r="A76" s="36">
        <v>473899</v>
      </c>
      <c r="B76" s="81" t="s">
        <v>19</v>
      </c>
      <c r="C76" s="38">
        <v>4.2999999999999997E-2</v>
      </c>
      <c r="D76" s="38">
        <f>INDEX('PD Term Structure'!$E$17:$N$26,MATCH($I76,'PD Term Structure'!$D$17:$D$26,0),MATCH(D$1,'PD Term Structure'!$E$16:$N$16,0))</f>
        <v>5.2108354430379748E-2</v>
      </c>
      <c r="E76" s="38">
        <f>INDEX('PD Term Structure'!$E$17:$N$26,MATCH($I76,'PD Term Structure'!$D$17:$D$26,0),MATCH(E$1,'PD Term Structure'!$E$16:$N$16,0))</f>
        <v>6.3676339047537805E-2</v>
      </c>
      <c r="F76" s="39">
        <v>16550</v>
      </c>
      <c r="G76" s="82">
        <f>VLOOKUP(B76,'LGD parameters'!$C$7:$E$11,2,FALSE)</f>
        <v>0.41974816177099206</v>
      </c>
      <c r="H76" s="82">
        <f>(NORMSDIST(-LN(G76)+(VLOOKUP(B76,LGD_para,3,FALSE)^2/2))/VLOOKUP(B76,LGD_para,3,FALSE)-(VLOOKUP(B76,LGD_para,3,FALSE))-G76*(NORMSDIST(-LN(G76)+(VLOOKUP(B76,LGD_para,3,FALSE)^2/2))/VLOOKUP(B76,LGD_para,3,FALSE)))/LOGNORMDIST(1,LN(G76),(VLOOKUP(B76,LGD_para,3,FALSE)))*'LGD parameters'!$D$11</f>
        <v>0.33381167072117429</v>
      </c>
      <c r="I76" s="106">
        <f>VLOOKUP(C76,'PD Term Structure'!$C$5:$D$14,2,TRUE)</f>
        <v>4</v>
      </c>
      <c r="J76" s="43">
        <f>VLOOKUP(I76,'Master rating scale'!$G$5:$H$14,2,FALSE)</f>
        <v>4</v>
      </c>
      <c r="K76" s="62">
        <f t="shared" si="8"/>
        <v>7.1597554595383608E-3</v>
      </c>
      <c r="M76" s="110">
        <f>VLOOKUP(D76,'PD Term Structure'!$C$5:$D$14,2,TRUE)</f>
        <v>4</v>
      </c>
      <c r="N76" s="110">
        <f t="shared" si="9"/>
        <v>4</v>
      </c>
      <c r="O76" s="107">
        <f t="shared" si="10"/>
        <v>7.1597554595383608E-3</v>
      </c>
      <c r="Q76" s="110">
        <f>VLOOKUP(E76,'PD Term Structure'!$C$5:$D$14,2,TRUE)</f>
        <v>5</v>
      </c>
      <c r="R76" s="110">
        <f t="shared" si="11"/>
        <v>5</v>
      </c>
      <c r="S76" s="107">
        <f t="shared" si="12"/>
        <v>8.9496943244229514E-3</v>
      </c>
    </row>
    <row r="77" spans="1:20" ht="14">
      <c r="A77" s="36">
        <v>34312</v>
      </c>
      <c r="B77" s="81" t="s">
        <v>19</v>
      </c>
      <c r="C77" s="38">
        <v>4.2999999999999997E-2</v>
      </c>
      <c r="D77" s="38">
        <f>INDEX('PD Term Structure'!$E$17:$N$26,MATCH($I77,'PD Term Structure'!$D$17:$D$26,0),MATCH(D$1,'PD Term Structure'!$E$16:$N$16,0))</f>
        <v>5.2108354430379748E-2</v>
      </c>
      <c r="E77" s="38">
        <f>INDEX('PD Term Structure'!$E$17:$N$26,MATCH($I77,'PD Term Structure'!$D$17:$D$26,0),MATCH(E$1,'PD Term Structure'!$E$16:$N$16,0))</f>
        <v>6.3676339047537805E-2</v>
      </c>
      <c r="F77" s="39">
        <v>72699.116779999997</v>
      </c>
      <c r="G77" s="82">
        <f t="shared" ref="G77:G86" si="13">VLOOKUP(B77,LGD_para,2,FALSE)</f>
        <v>0.41974816177099206</v>
      </c>
      <c r="H77" s="82">
        <f>(NORMSDIST(-LN(G77)+(VLOOKUP(B77,LGD_para,3,FALSE)^2/2))/VLOOKUP(B77,LGD_para,3,FALSE)-(VLOOKUP(B77,LGD_para,3,FALSE))-G77*(NORMSDIST(-LN(G77)+(VLOOKUP(B77,LGD_para,3,FALSE)^2/2))/VLOOKUP(B77,LGD_para,3,FALSE)))/LOGNORMDIST(1,LN(G77),(VLOOKUP(B77,LGD_para,3,FALSE)))*'LGD parameters'!$D$11</f>
        <v>0.33381167072117429</v>
      </c>
      <c r="I77" s="106">
        <f>VLOOKUP(C77,'PD Term Structure'!$C$5:$D$14,2,TRUE)</f>
        <v>4</v>
      </c>
      <c r="J77" s="43">
        <f>VLOOKUP(I77,'Master rating scale'!$G$5:$H$14,2,FALSE)</f>
        <v>4</v>
      </c>
      <c r="K77" s="62">
        <f t="shared" si="8"/>
        <v>3.1450628294212801E-2</v>
      </c>
      <c r="L77" s="60"/>
      <c r="M77" s="110">
        <f>VLOOKUP(D77,'PD Term Structure'!$C$5:$D$14,2,TRUE)</f>
        <v>4</v>
      </c>
      <c r="N77" s="110">
        <f t="shared" si="9"/>
        <v>4</v>
      </c>
      <c r="O77" s="107">
        <f t="shared" si="10"/>
        <v>3.1450628294212801E-2</v>
      </c>
      <c r="P77" s="60"/>
      <c r="Q77" s="110">
        <f>VLOOKUP(E77,'PD Term Structure'!$C$5:$D$14,2,TRUE)</f>
        <v>5</v>
      </c>
      <c r="R77" s="110">
        <f t="shared" si="11"/>
        <v>5</v>
      </c>
      <c r="S77" s="107">
        <f t="shared" si="12"/>
        <v>3.9313285367766002E-2</v>
      </c>
      <c r="T77" s="60"/>
    </row>
    <row r="78" spans="1:20" ht="14">
      <c r="A78" s="36">
        <v>61832</v>
      </c>
      <c r="B78" s="81" t="s">
        <v>19</v>
      </c>
      <c r="C78" s="38">
        <v>4.2999999999999997E-2</v>
      </c>
      <c r="D78" s="38">
        <f>INDEX('PD Term Structure'!$E$17:$N$26,MATCH($I78,'PD Term Structure'!$D$17:$D$26,0),MATCH(D$1,'PD Term Structure'!$E$16:$N$16,0))</f>
        <v>5.2108354430379748E-2</v>
      </c>
      <c r="E78" s="38">
        <f>INDEX('PD Term Structure'!$E$17:$N$26,MATCH($I78,'PD Term Structure'!$D$17:$D$26,0),MATCH(E$1,'PD Term Structure'!$E$16:$N$16,0))</f>
        <v>6.3676339047537805E-2</v>
      </c>
      <c r="F78" s="39">
        <v>66881.139599999995</v>
      </c>
      <c r="G78" s="82">
        <f t="shared" si="13"/>
        <v>0.41974816177099206</v>
      </c>
      <c r="H78" s="82">
        <f>(NORMSDIST(-LN(G78)+(VLOOKUP(B78,LGD_para,3,FALSE)^2/2))/VLOOKUP(B78,LGD_para,3,FALSE)-(VLOOKUP(B78,LGD_para,3,FALSE))-G78*(NORMSDIST(-LN(G78)+(VLOOKUP(B78,LGD_para,3,FALSE)^2/2))/VLOOKUP(B78,LGD_para,3,FALSE)))/LOGNORMDIST(1,LN(G78),(VLOOKUP(B78,LGD_para,3,FALSE)))*'LGD parameters'!$D$11</f>
        <v>0.33381167072117429</v>
      </c>
      <c r="I78" s="106">
        <f>VLOOKUP(C78,'PD Term Structure'!$C$5:$D$14,2,TRUE)</f>
        <v>4</v>
      </c>
      <c r="J78" s="43">
        <f>VLOOKUP(I78,'Master rating scale'!$G$5:$H$14,2,FALSE)</f>
        <v>4</v>
      </c>
      <c r="K78" s="62">
        <f t="shared" si="8"/>
        <v>2.8933692108232462E-2</v>
      </c>
      <c r="M78" s="110">
        <f>VLOOKUP(D78,'PD Term Structure'!$C$5:$D$14,2,TRUE)</f>
        <v>4</v>
      </c>
      <c r="N78" s="110">
        <f t="shared" si="9"/>
        <v>4</v>
      </c>
      <c r="O78" s="107">
        <f t="shared" si="10"/>
        <v>2.8933692108232462E-2</v>
      </c>
      <c r="Q78" s="110">
        <f>VLOOKUP(E78,'PD Term Structure'!$C$5:$D$14,2,TRUE)</f>
        <v>5</v>
      </c>
      <c r="R78" s="110">
        <f t="shared" si="11"/>
        <v>5</v>
      </c>
      <c r="S78" s="107">
        <f t="shared" si="12"/>
        <v>3.6167115135290577E-2</v>
      </c>
    </row>
    <row r="79" spans="1:20" ht="14">
      <c r="A79" s="36">
        <v>65954</v>
      </c>
      <c r="B79" s="81" t="s">
        <v>19</v>
      </c>
      <c r="C79" s="38">
        <v>4.2999999999999997E-2</v>
      </c>
      <c r="D79" s="38">
        <f>INDEX('PD Term Structure'!$E$17:$N$26,MATCH($I79,'PD Term Structure'!$D$17:$D$26,0),MATCH(D$1,'PD Term Structure'!$E$16:$N$16,0))</f>
        <v>5.2108354430379748E-2</v>
      </c>
      <c r="E79" s="38">
        <f>INDEX('PD Term Structure'!$E$17:$N$26,MATCH($I79,'PD Term Structure'!$D$17:$D$26,0),MATCH(E$1,'PD Term Structure'!$E$16:$N$16,0))</f>
        <v>6.3676339047537805E-2</v>
      </c>
      <c r="F79" s="39">
        <v>49523.555260000001</v>
      </c>
      <c r="G79" s="82">
        <f t="shared" si="13"/>
        <v>0.41974816177099206</v>
      </c>
      <c r="H79" s="82">
        <f>(NORMSDIST(-LN(G79)+(VLOOKUP(B79,LGD_para,3,FALSE)^2/2))/VLOOKUP(B79,LGD_para,3,FALSE)-(VLOOKUP(B79,LGD_para,3,FALSE))-G79*(NORMSDIST(-LN(G79)+(VLOOKUP(B79,LGD_para,3,FALSE)^2/2))/VLOOKUP(B79,LGD_para,3,FALSE)))/LOGNORMDIST(1,LN(G79),(VLOOKUP(B79,LGD_para,3,FALSE)))*'LGD parameters'!$D$11</f>
        <v>0.33381167072117429</v>
      </c>
      <c r="I79" s="106">
        <f>VLOOKUP(C79,'PD Term Structure'!$C$5:$D$14,2,TRUE)</f>
        <v>4</v>
      </c>
      <c r="J79" s="43">
        <f>VLOOKUP(I79,'Master rating scale'!$G$5:$H$14,2,FALSE)</f>
        <v>4</v>
      </c>
      <c r="K79" s="62">
        <f t="shared" si="8"/>
        <v>2.1424564661542883E-2</v>
      </c>
      <c r="M79" s="110">
        <f>VLOOKUP(D79,'PD Term Structure'!$C$5:$D$14,2,TRUE)</f>
        <v>4</v>
      </c>
      <c r="N79" s="110">
        <f t="shared" si="9"/>
        <v>4</v>
      </c>
      <c r="O79" s="107">
        <f t="shared" si="10"/>
        <v>2.1424564661542883E-2</v>
      </c>
      <c r="Q79" s="110">
        <f>VLOOKUP(E79,'PD Term Structure'!$C$5:$D$14,2,TRUE)</f>
        <v>5</v>
      </c>
      <c r="R79" s="110">
        <f t="shared" si="11"/>
        <v>5</v>
      </c>
      <c r="S79" s="107">
        <f t="shared" si="12"/>
        <v>2.6780705826928604E-2</v>
      </c>
    </row>
    <row r="80" spans="1:20" ht="14">
      <c r="A80" s="36">
        <v>82761</v>
      </c>
      <c r="B80" s="81" t="s">
        <v>19</v>
      </c>
      <c r="C80" s="38">
        <v>4.2999999999999997E-2</v>
      </c>
      <c r="D80" s="38">
        <f>INDEX('PD Term Structure'!$E$17:$N$26,MATCH($I80,'PD Term Structure'!$D$17:$D$26,0),MATCH(D$1,'PD Term Structure'!$E$16:$N$16,0))</f>
        <v>5.2108354430379748E-2</v>
      </c>
      <c r="E80" s="38">
        <f>INDEX('PD Term Structure'!$E$17:$N$26,MATCH($I80,'PD Term Structure'!$D$17:$D$26,0),MATCH(E$1,'PD Term Structure'!$E$16:$N$16,0))</f>
        <v>6.3676339047537805E-2</v>
      </c>
      <c r="F80" s="39">
        <v>25513.32661</v>
      </c>
      <c r="G80" s="82">
        <f t="shared" si="13"/>
        <v>0.41974816177099206</v>
      </c>
      <c r="H80" s="82">
        <f>(NORMSDIST(-LN(G80)+(VLOOKUP(B80,LGD_para,3,FALSE)^2/2))/VLOOKUP(B80,LGD_para,3,FALSE)-(VLOOKUP(B80,LGD_para,3,FALSE))-G80*(NORMSDIST(-LN(G80)+(VLOOKUP(B80,LGD_para,3,FALSE)^2/2))/VLOOKUP(B80,LGD_para,3,FALSE)))/LOGNORMDIST(1,LN(G80),(VLOOKUP(B80,LGD_para,3,FALSE)))*'LGD parameters'!$D$11</f>
        <v>0.33381167072117429</v>
      </c>
      <c r="I80" s="106">
        <f>VLOOKUP(C80,'PD Term Structure'!$C$5:$D$14,2,TRUE)</f>
        <v>4</v>
      </c>
      <c r="J80" s="43">
        <f>VLOOKUP(I80,'Master rating scale'!$G$5:$H$14,2,FALSE)</f>
        <v>4</v>
      </c>
      <c r="K80" s="62">
        <f t="shared" si="8"/>
        <v>1.1037412657820714E-2</v>
      </c>
      <c r="M80" s="110">
        <f>VLOOKUP(D80,'PD Term Structure'!$C$5:$D$14,2,TRUE)</f>
        <v>4</v>
      </c>
      <c r="N80" s="110">
        <f t="shared" si="9"/>
        <v>4</v>
      </c>
      <c r="O80" s="107">
        <f t="shared" si="10"/>
        <v>1.1037412657820714E-2</v>
      </c>
      <c r="Q80" s="110">
        <f>VLOOKUP(E80,'PD Term Structure'!$C$5:$D$14,2,TRUE)</f>
        <v>5</v>
      </c>
      <c r="R80" s="110">
        <f t="shared" si="11"/>
        <v>5</v>
      </c>
      <c r="S80" s="107">
        <f t="shared" si="12"/>
        <v>1.3796765822275892E-2</v>
      </c>
    </row>
    <row r="81" spans="1:19" ht="14">
      <c r="A81" s="36">
        <v>95768</v>
      </c>
      <c r="B81" s="81" t="s">
        <v>19</v>
      </c>
      <c r="C81" s="38">
        <v>4.2999999999999997E-2</v>
      </c>
      <c r="D81" s="38">
        <f>INDEX('PD Term Structure'!$E$17:$N$26,MATCH($I81,'PD Term Structure'!$D$17:$D$26,0),MATCH(D$1,'PD Term Structure'!$E$16:$N$16,0))</f>
        <v>5.2108354430379748E-2</v>
      </c>
      <c r="E81" s="38">
        <f>INDEX('PD Term Structure'!$E$17:$N$26,MATCH($I81,'PD Term Structure'!$D$17:$D$26,0),MATCH(E$1,'PD Term Structure'!$E$16:$N$16,0))</f>
        <v>6.3676339047537805E-2</v>
      </c>
      <c r="F81" s="39">
        <v>24721.262589999998</v>
      </c>
      <c r="G81" s="82">
        <f t="shared" si="13"/>
        <v>0.41974816177099206</v>
      </c>
      <c r="H81" s="82">
        <f>(NORMSDIST(-LN(G81)+(VLOOKUP(B81,LGD_para,3,FALSE)^2/2))/VLOOKUP(B81,LGD_para,3,FALSE)-(VLOOKUP(B81,LGD_para,3,FALSE))-G81*(NORMSDIST(-LN(G81)+(VLOOKUP(B81,LGD_para,3,FALSE)^2/2))/VLOOKUP(B81,LGD_para,3,FALSE)))/LOGNORMDIST(1,LN(G81),(VLOOKUP(B81,LGD_para,3,FALSE)))*'LGD parameters'!$D$11</f>
        <v>0.33381167072117429</v>
      </c>
      <c r="I81" s="106">
        <f>VLOOKUP(C81,'PD Term Structure'!$C$5:$D$14,2,TRUE)</f>
        <v>4</v>
      </c>
      <c r="J81" s="43">
        <f>VLOOKUP(I81,'Master rating scale'!$G$5:$H$14,2,FALSE)</f>
        <v>4</v>
      </c>
      <c r="K81" s="62">
        <f t="shared" si="8"/>
        <v>1.0694754972533771E-2</v>
      </c>
      <c r="M81" s="110">
        <f>VLOOKUP(D81,'PD Term Structure'!$C$5:$D$14,2,TRUE)</f>
        <v>4</v>
      </c>
      <c r="N81" s="110">
        <f t="shared" si="9"/>
        <v>4</v>
      </c>
      <c r="O81" s="107">
        <f t="shared" si="10"/>
        <v>1.0694754972533771E-2</v>
      </c>
      <c r="Q81" s="110">
        <f>VLOOKUP(E81,'PD Term Structure'!$C$5:$D$14,2,TRUE)</f>
        <v>5</v>
      </c>
      <c r="R81" s="110">
        <f t="shared" si="11"/>
        <v>5</v>
      </c>
      <c r="S81" s="107">
        <f t="shared" si="12"/>
        <v>1.3368443715667214E-2</v>
      </c>
    </row>
    <row r="82" spans="1:19" ht="14">
      <c r="A82" s="36">
        <v>150137</v>
      </c>
      <c r="B82" s="81" t="s">
        <v>19</v>
      </c>
      <c r="C82" s="38">
        <v>4.2999999999999997E-2</v>
      </c>
      <c r="D82" s="38">
        <f>INDEX('PD Term Structure'!$E$17:$N$26,MATCH($I82,'PD Term Structure'!$D$17:$D$26,0),MATCH(D$1,'PD Term Structure'!$E$16:$N$16,0))</f>
        <v>5.2108354430379748E-2</v>
      </c>
      <c r="E82" s="38">
        <f>INDEX('PD Term Structure'!$E$17:$N$26,MATCH($I82,'PD Term Structure'!$D$17:$D$26,0),MATCH(E$1,'PD Term Structure'!$E$16:$N$16,0))</f>
        <v>6.3676339047537805E-2</v>
      </c>
      <c r="F82" s="39">
        <v>24436.83079</v>
      </c>
      <c r="G82" s="82">
        <f t="shared" si="13"/>
        <v>0.41974816177099206</v>
      </c>
      <c r="H82" s="82">
        <f>(NORMSDIST(-LN(G82)+(VLOOKUP(B82,LGD_para,3,FALSE)^2/2))/VLOOKUP(B82,LGD_para,3,FALSE)-(VLOOKUP(B82,LGD_para,3,FALSE))-G82*(NORMSDIST(-LN(G82)+(VLOOKUP(B82,LGD_para,3,FALSE)^2/2))/VLOOKUP(B82,LGD_para,3,FALSE)))/LOGNORMDIST(1,LN(G82),(VLOOKUP(B82,LGD_para,3,FALSE)))*'LGD parameters'!$D$11</f>
        <v>0.33381167072117429</v>
      </c>
      <c r="I82" s="106">
        <f>VLOOKUP(C82,'PD Term Structure'!$C$5:$D$14,2,TRUE)</f>
        <v>4</v>
      </c>
      <c r="J82" s="43">
        <f>VLOOKUP(I82,'Master rating scale'!$G$5:$H$14,2,FALSE)</f>
        <v>4</v>
      </c>
      <c r="K82" s="62">
        <f t="shared" si="8"/>
        <v>1.0571705901058466E-2</v>
      </c>
      <c r="M82" s="110">
        <f>VLOOKUP(D82,'PD Term Structure'!$C$5:$D$14,2,TRUE)</f>
        <v>4</v>
      </c>
      <c r="N82" s="110">
        <f t="shared" si="9"/>
        <v>4</v>
      </c>
      <c r="O82" s="107">
        <f t="shared" si="10"/>
        <v>1.0571705901058466E-2</v>
      </c>
      <c r="Q82" s="110">
        <f>VLOOKUP(E82,'PD Term Structure'!$C$5:$D$14,2,TRUE)</f>
        <v>5</v>
      </c>
      <c r="R82" s="110">
        <f t="shared" si="11"/>
        <v>5</v>
      </c>
      <c r="S82" s="107">
        <f t="shared" si="12"/>
        <v>1.3214632376323083E-2</v>
      </c>
    </row>
    <row r="83" spans="1:19" ht="14">
      <c r="A83" s="36">
        <v>172111</v>
      </c>
      <c r="B83" s="81" t="s">
        <v>19</v>
      </c>
      <c r="C83" s="38">
        <v>4.2999999999999997E-2</v>
      </c>
      <c r="D83" s="38">
        <f>INDEX('PD Term Structure'!$E$17:$N$26,MATCH($I83,'PD Term Structure'!$D$17:$D$26,0),MATCH(D$1,'PD Term Structure'!$E$16:$N$16,0))</f>
        <v>5.2108354430379748E-2</v>
      </c>
      <c r="E83" s="38">
        <f>INDEX('PD Term Structure'!$E$17:$N$26,MATCH($I83,'PD Term Structure'!$D$17:$D$26,0),MATCH(E$1,'PD Term Structure'!$E$16:$N$16,0))</f>
        <v>6.3676339047537805E-2</v>
      </c>
      <c r="F83" s="39">
        <v>23114.183590000001</v>
      </c>
      <c r="G83" s="82">
        <f t="shared" si="13"/>
        <v>0.41974816177099206</v>
      </c>
      <c r="H83" s="82">
        <f>(NORMSDIST(-LN(G83)+(VLOOKUP(B83,LGD_para,3,FALSE)^2/2))/VLOOKUP(B83,LGD_para,3,FALSE)-(VLOOKUP(B83,LGD_para,3,FALSE))-G83*(NORMSDIST(-LN(G83)+(VLOOKUP(B83,LGD_para,3,FALSE)^2/2))/VLOOKUP(B83,LGD_para,3,FALSE)))/LOGNORMDIST(1,LN(G83),(VLOOKUP(B83,LGD_para,3,FALSE)))*'LGD parameters'!$D$11</f>
        <v>0.33381167072117429</v>
      </c>
      <c r="I83" s="106">
        <f>VLOOKUP(C83,'PD Term Structure'!$C$5:$D$14,2,TRUE)</f>
        <v>4</v>
      </c>
      <c r="J83" s="43">
        <f>VLOOKUP(I83,'Master rating scale'!$G$5:$H$14,2,FALSE)</f>
        <v>4</v>
      </c>
      <c r="K83" s="62">
        <f t="shared" si="8"/>
        <v>9.9995107040045002E-3</v>
      </c>
      <c r="M83" s="110">
        <f>VLOOKUP(D83,'PD Term Structure'!$C$5:$D$14,2,TRUE)</f>
        <v>4</v>
      </c>
      <c r="N83" s="110">
        <f t="shared" si="9"/>
        <v>4</v>
      </c>
      <c r="O83" s="107">
        <f t="shared" si="10"/>
        <v>9.9995107040045002E-3</v>
      </c>
      <c r="Q83" s="110">
        <f>VLOOKUP(E83,'PD Term Structure'!$C$5:$D$14,2,TRUE)</f>
        <v>5</v>
      </c>
      <c r="R83" s="110">
        <f t="shared" si="11"/>
        <v>5</v>
      </c>
      <c r="S83" s="107">
        <f t="shared" si="12"/>
        <v>1.2499388380005624E-2</v>
      </c>
    </row>
    <row r="84" spans="1:19" ht="14">
      <c r="A84" s="36">
        <v>187077</v>
      </c>
      <c r="B84" s="81" t="s">
        <v>19</v>
      </c>
      <c r="C84" s="38">
        <v>4.2999999999999997E-2</v>
      </c>
      <c r="D84" s="38">
        <f>INDEX('PD Term Structure'!$E$17:$N$26,MATCH($I84,'PD Term Structure'!$D$17:$D$26,0),MATCH(D$1,'PD Term Structure'!$E$16:$N$16,0))</f>
        <v>5.2108354430379748E-2</v>
      </c>
      <c r="E84" s="38">
        <f>INDEX('PD Term Structure'!$E$17:$N$26,MATCH($I84,'PD Term Structure'!$D$17:$D$26,0),MATCH(E$1,'PD Term Structure'!$E$16:$N$16,0))</f>
        <v>6.3676339047537805E-2</v>
      </c>
      <c r="F84" s="39">
        <v>22189.442510000001</v>
      </c>
      <c r="G84" s="82">
        <f t="shared" si="13"/>
        <v>0.41974816177099206</v>
      </c>
      <c r="H84" s="82">
        <f>(NORMSDIST(-LN(G84)+(VLOOKUP(B84,LGD_para,3,FALSE)^2/2))/VLOOKUP(B84,LGD_para,3,FALSE)-(VLOOKUP(B84,LGD_para,3,FALSE))-G84*(NORMSDIST(-LN(G84)+(VLOOKUP(B84,LGD_para,3,FALSE)^2/2))/VLOOKUP(B84,LGD_para,3,FALSE)))/LOGNORMDIST(1,LN(G84),(VLOOKUP(B84,LGD_para,3,FALSE)))*'LGD parameters'!$D$11</f>
        <v>0.33381167072117429</v>
      </c>
      <c r="I84" s="106">
        <f>VLOOKUP(C84,'PD Term Structure'!$C$5:$D$14,2,TRUE)</f>
        <v>4</v>
      </c>
      <c r="J84" s="43">
        <f>VLOOKUP(I84,'Master rating scale'!$G$5:$H$14,2,FALSE)</f>
        <v>4</v>
      </c>
      <c r="K84" s="62">
        <f t="shared" si="8"/>
        <v>9.5994551151108824E-3</v>
      </c>
      <c r="M84" s="110">
        <f>VLOOKUP(D84,'PD Term Structure'!$C$5:$D$14,2,TRUE)</f>
        <v>4</v>
      </c>
      <c r="N84" s="110">
        <f t="shared" si="9"/>
        <v>4</v>
      </c>
      <c r="O84" s="107">
        <f t="shared" si="10"/>
        <v>9.5994551151108824E-3</v>
      </c>
      <c r="Q84" s="110">
        <f>VLOOKUP(E84,'PD Term Structure'!$C$5:$D$14,2,TRUE)</f>
        <v>5</v>
      </c>
      <c r="R84" s="110">
        <f t="shared" si="11"/>
        <v>5</v>
      </c>
      <c r="S84" s="107">
        <f t="shared" si="12"/>
        <v>1.1999318893888604E-2</v>
      </c>
    </row>
    <row r="85" spans="1:19" ht="14">
      <c r="A85" s="36">
        <v>190208</v>
      </c>
      <c r="B85" s="81" t="s">
        <v>19</v>
      </c>
      <c r="C85" s="38">
        <v>4.2999999999999997E-2</v>
      </c>
      <c r="D85" s="38">
        <f>INDEX('PD Term Structure'!$E$17:$N$26,MATCH($I85,'PD Term Structure'!$D$17:$D$26,0),MATCH(D$1,'PD Term Structure'!$E$16:$N$16,0))</f>
        <v>5.2108354430379748E-2</v>
      </c>
      <c r="E85" s="38">
        <f>INDEX('PD Term Structure'!$E$17:$N$26,MATCH($I85,'PD Term Structure'!$D$17:$D$26,0),MATCH(E$1,'PD Term Structure'!$E$16:$N$16,0))</f>
        <v>6.3676339047537805E-2</v>
      </c>
      <c r="F85" s="39">
        <v>20930.228729999999</v>
      </c>
      <c r="G85" s="82">
        <f t="shared" si="13"/>
        <v>0.41974816177099206</v>
      </c>
      <c r="H85" s="82">
        <f>(NORMSDIST(-LN(G85)+(VLOOKUP(B85,LGD_para,3,FALSE)^2/2))/VLOOKUP(B85,LGD_para,3,FALSE)-(VLOOKUP(B85,LGD_para,3,FALSE))-G85*(NORMSDIST(-LN(G85)+(VLOOKUP(B85,LGD_para,3,FALSE)^2/2))/VLOOKUP(B85,LGD_para,3,FALSE)))/LOGNORMDIST(1,LN(G85),(VLOOKUP(B85,LGD_para,3,FALSE)))*'LGD parameters'!$D$11</f>
        <v>0.33381167072117429</v>
      </c>
      <c r="I85" s="106">
        <f>VLOOKUP(C85,'PD Term Structure'!$C$5:$D$14,2,TRUE)</f>
        <v>4</v>
      </c>
      <c r="J85" s="43">
        <f>VLOOKUP(I85,'Master rating scale'!$G$5:$H$14,2,FALSE)</f>
        <v>4</v>
      </c>
      <c r="K85" s="62">
        <f t="shared" si="8"/>
        <v>9.0547020796981348E-3</v>
      </c>
      <c r="M85" s="110">
        <f>VLOOKUP(D85,'PD Term Structure'!$C$5:$D$14,2,TRUE)</f>
        <v>4</v>
      </c>
      <c r="N85" s="110">
        <f t="shared" si="9"/>
        <v>4</v>
      </c>
      <c r="O85" s="107">
        <f t="shared" si="10"/>
        <v>9.0547020796981348E-3</v>
      </c>
      <c r="Q85" s="110">
        <f>VLOOKUP(E85,'PD Term Structure'!$C$5:$D$14,2,TRUE)</f>
        <v>5</v>
      </c>
      <c r="R85" s="110">
        <f t="shared" si="11"/>
        <v>5</v>
      </c>
      <c r="S85" s="107">
        <f t="shared" si="12"/>
        <v>1.1318377599622668E-2</v>
      </c>
    </row>
    <row r="86" spans="1:19" ht="14">
      <c r="A86" s="36">
        <v>197726</v>
      </c>
      <c r="B86" s="81" t="s">
        <v>19</v>
      </c>
      <c r="C86" s="38">
        <v>4.2999999999999997E-2</v>
      </c>
      <c r="D86" s="38">
        <f>INDEX('PD Term Structure'!$E$17:$N$26,MATCH($I86,'PD Term Structure'!$D$17:$D$26,0),MATCH(D$1,'PD Term Structure'!$E$16:$N$16,0))</f>
        <v>5.2108354430379748E-2</v>
      </c>
      <c r="E86" s="38">
        <f>INDEX('PD Term Structure'!$E$17:$N$26,MATCH($I86,'PD Term Structure'!$D$17:$D$26,0),MATCH(E$1,'PD Term Structure'!$E$16:$N$16,0))</f>
        <v>6.3676339047537805E-2</v>
      </c>
      <c r="F86" s="39">
        <v>20828.492409999999</v>
      </c>
      <c r="G86" s="82">
        <f t="shared" si="13"/>
        <v>0.41974816177099206</v>
      </c>
      <c r="H86" s="82">
        <f>(NORMSDIST(-LN(G86)+(VLOOKUP(B86,LGD_para,3,FALSE)^2/2))/VLOOKUP(B86,LGD_para,3,FALSE)-(VLOOKUP(B86,LGD_para,3,FALSE))-G86*(NORMSDIST(-LN(G86)+(VLOOKUP(B86,LGD_para,3,FALSE)^2/2))/VLOOKUP(B86,LGD_para,3,FALSE)))/LOGNORMDIST(1,LN(G86),(VLOOKUP(B86,LGD_para,3,FALSE)))*'LGD parameters'!$D$11</f>
        <v>0.33381167072117429</v>
      </c>
      <c r="I86" s="106">
        <f>VLOOKUP(C86,'PD Term Structure'!$C$5:$D$14,2,TRUE)</f>
        <v>4</v>
      </c>
      <c r="J86" s="43">
        <f>VLOOKUP(I86,'Master rating scale'!$G$5:$H$14,2,FALSE)</f>
        <v>4</v>
      </c>
      <c r="K86" s="62">
        <f t="shared" si="8"/>
        <v>9.0106895617190815E-3</v>
      </c>
      <c r="M86" s="110">
        <f>VLOOKUP(D86,'PD Term Structure'!$C$5:$D$14,2,TRUE)</f>
        <v>4</v>
      </c>
      <c r="N86" s="110">
        <f t="shared" si="9"/>
        <v>4</v>
      </c>
      <c r="O86" s="107">
        <f t="shared" si="10"/>
        <v>9.0106895617190815E-3</v>
      </c>
      <c r="Q86" s="110">
        <f>VLOOKUP(E86,'PD Term Structure'!$C$5:$D$14,2,TRUE)</f>
        <v>5</v>
      </c>
      <c r="R86" s="110">
        <f t="shared" si="11"/>
        <v>5</v>
      </c>
      <c r="S86" s="107">
        <f t="shared" si="12"/>
        <v>1.1263361952148852E-2</v>
      </c>
    </row>
    <row r="87" spans="1:19" ht="14">
      <c r="A87" s="36">
        <v>34312</v>
      </c>
      <c r="B87" s="81" t="s">
        <v>19</v>
      </c>
      <c r="C87" s="38">
        <v>4.2999999999999997E-2</v>
      </c>
      <c r="D87" s="38">
        <f>INDEX('PD Term Structure'!$E$17:$N$26,MATCH($I87,'PD Term Structure'!$D$17:$D$26,0),MATCH(D$1,'PD Term Structure'!$E$16:$N$16,0))</f>
        <v>5.2108354430379748E-2</v>
      </c>
      <c r="E87" s="38">
        <f>INDEX('PD Term Structure'!$E$17:$N$26,MATCH($I87,'PD Term Structure'!$D$17:$D$26,0),MATCH(E$1,'PD Term Structure'!$E$16:$N$16,0))</f>
        <v>6.3676339047537805E-2</v>
      </c>
      <c r="F87" s="39">
        <v>10000</v>
      </c>
      <c r="G87" s="82">
        <f>VLOOKUP(B87,'LGD parameters'!$C$7:$E$11,2,FALSE)</f>
        <v>0.41974816177099206</v>
      </c>
      <c r="H87" s="82">
        <f>(NORMSDIST(-LN(G87)+(VLOOKUP(B87,LGD_para,3,FALSE)^2/2))/VLOOKUP(B87,LGD_para,3,FALSE)-(VLOOKUP(B87,LGD_para,3,FALSE))-G87*(NORMSDIST(-LN(G87)+(VLOOKUP(B87,LGD_para,3,FALSE)^2/2))/VLOOKUP(B87,LGD_para,3,FALSE)))/LOGNORMDIST(1,LN(G87),(VLOOKUP(B87,LGD_para,3,FALSE)))*'LGD parameters'!$D$11</f>
        <v>0.33381167072117429</v>
      </c>
      <c r="I87" s="106">
        <f>VLOOKUP(C87,'PD Term Structure'!$C$5:$D$14,2,TRUE)</f>
        <v>4</v>
      </c>
      <c r="J87" s="43">
        <f>VLOOKUP(I87,'Master rating scale'!$G$5:$H$14,2,FALSE)</f>
        <v>4</v>
      </c>
      <c r="K87" s="62">
        <f t="shared" si="8"/>
        <v>4.3261362293283145E-3</v>
      </c>
      <c r="M87" s="110">
        <f>VLOOKUP(D87,'PD Term Structure'!$C$5:$D$14,2,TRUE)</f>
        <v>4</v>
      </c>
      <c r="N87" s="110">
        <f t="shared" si="9"/>
        <v>4</v>
      </c>
      <c r="O87" s="107">
        <f t="shared" si="10"/>
        <v>4.3261362293283145E-3</v>
      </c>
      <c r="Q87" s="110">
        <f>VLOOKUP(E87,'PD Term Structure'!$C$5:$D$14,2,TRUE)</f>
        <v>5</v>
      </c>
      <c r="R87" s="110">
        <f t="shared" si="11"/>
        <v>5</v>
      </c>
      <c r="S87" s="107">
        <f t="shared" si="12"/>
        <v>5.4076702866603932E-3</v>
      </c>
    </row>
    <row r="88" spans="1:19" ht="14">
      <c r="A88" s="36">
        <v>61832</v>
      </c>
      <c r="B88" s="81" t="s">
        <v>19</v>
      </c>
      <c r="C88" s="38">
        <v>4.2999999999999997E-2</v>
      </c>
      <c r="D88" s="38">
        <f>INDEX('PD Term Structure'!$E$17:$N$26,MATCH($I88,'PD Term Structure'!$D$17:$D$26,0),MATCH(D$1,'PD Term Structure'!$E$16:$N$16,0))</f>
        <v>5.2108354430379748E-2</v>
      </c>
      <c r="E88" s="38">
        <f>INDEX('PD Term Structure'!$E$17:$N$26,MATCH($I88,'PD Term Structure'!$D$17:$D$26,0),MATCH(E$1,'PD Term Structure'!$E$16:$N$16,0))</f>
        <v>6.3676339047537805E-2</v>
      </c>
      <c r="F88" s="39">
        <v>10000</v>
      </c>
      <c r="G88" s="82">
        <f>VLOOKUP(B88,'LGD parameters'!$C$7:$E$11,2,FALSE)</f>
        <v>0.41974816177099206</v>
      </c>
      <c r="H88" s="82">
        <f>(NORMSDIST(-LN(G88)+(VLOOKUP(B88,LGD_para,3,FALSE)^2/2))/VLOOKUP(B88,LGD_para,3,FALSE)-(VLOOKUP(B88,LGD_para,3,FALSE))-G88*(NORMSDIST(-LN(G88)+(VLOOKUP(B88,LGD_para,3,FALSE)^2/2))/VLOOKUP(B88,LGD_para,3,FALSE)))/LOGNORMDIST(1,LN(G88),(VLOOKUP(B88,LGD_para,3,FALSE)))*'LGD parameters'!$D$11</f>
        <v>0.33381167072117429</v>
      </c>
      <c r="I88" s="106">
        <f>VLOOKUP(C88,'PD Term Structure'!$C$5:$D$14,2,TRUE)</f>
        <v>4</v>
      </c>
      <c r="J88" s="43">
        <f>VLOOKUP(I88,'Master rating scale'!$G$5:$H$14,2,FALSE)</f>
        <v>4</v>
      </c>
      <c r="K88" s="62">
        <f t="shared" si="8"/>
        <v>4.3261362293283145E-3</v>
      </c>
      <c r="M88" s="110">
        <f>VLOOKUP(D88,'PD Term Structure'!$C$5:$D$14,2,TRUE)</f>
        <v>4</v>
      </c>
      <c r="N88" s="110">
        <f t="shared" si="9"/>
        <v>4</v>
      </c>
      <c r="O88" s="107">
        <f t="shared" si="10"/>
        <v>4.3261362293283145E-3</v>
      </c>
      <c r="Q88" s="110">
        <f>VLOOKUP(E88,'PD Term Structure'!$C$5:$D$14,2,TRUE)</f>
        <v>5</v>
      </c>
      <c r="R88" s="110">
        <f t="shared" si="11"/>
        <v>5</v>
      </c>
      <c r="S88" s="107">
        <f t="shared" si="12"/>
        <v>5.4076702866603932E-3</v>
      </c>
    </row>
    <row r="89" spans="1:19" ht="14">
      <c r="A89" s="36">
        <v>65954</v>
      </c>
      <c r="B89" s="81" t="s">
        <v>19</v>
      </c>
      <c r="C89" s="38">
        <v>4.2999999999999997E-2</v>
      </c>
      <c r="D89" s="38">
        <f>INDEX('PD Term Structure'!$E$17:$N$26,MATCH($I89,'PD Term Structure'!$D$17:$D$26,0),MATCH(D$1,'PD Term Structure'!$E$16:$N$16,0))</f>
        <v>5.2108354430379748E-2</v>
      </c>
      <c r="E89" s="38">
        <f>INDEX('PD Term Structure'!$E$17:$N$26,MATCH($I89,'PD Term Structure'!$D$17:$D$26,0),MATCH(E$1,'PD Term Structure'!$E$16:$N$16,0))</f>
        <v>6.3676339047537805E-2</v>
      </c>
      <c r="F89" s="39">
        <v>10000</v>
      </c>
      <c r="G89" s="82">
        <f>VLOOKUP(B89,'LGD parameters'!$C$7:$E$11,2,FALSE)</f>
        <v>0.41974816177099206</v>
      </c>
      <c r="H89" s="82">
        <f>(NORMSDIST(-LN(G89)+(VLOOKUP(B89,LGD_para,3,FALSE)^2/2))/VLOOKUP(B89,LGD_para,3,FALSE)-(VLOOKUP(B89,LGD_para,3,FALSE))-G89*(NORMSDIST(-LN(G89)+(VLOOKUP(B89,LGD_para,3,FALSE)^2/2))/VLOOKUP(B89,LGD_para,3,FALSE)))/LOGNORMDIST(1,LN(G89),(VLOOKUP(B89,LGD_para,3,FALSE)))*'LGD parameters'!$D$11</f>
        <v>0.33381167072117429</v>
      </c>
      <c r="I89" s="106">
        <f>VLOOKUP(C89,'PD Term Structure'!$C$5:$D$14,2,TRUE)</f>
        <v>4</v>
      </c>
      <c r="J89" s="43">
        <f>VLOOKUP(I89,'Master rating scale'!$G$5:$H$14,2,FALSE)</f>
        <v>4</v>
      </c>
      <c r="K89" s="62">
        <f t="shared" si="8"/>
        <v>4.3261362293283145E-3</v>
      </c>
      <c r="M89" s="110">
        <f>VLOOKUP(D89,'PD Term Structure'!$C$5:$D$14,2,TRUE)</f>
        <v>4</v>
      </c>
      <c r="N89" s="110">
        <f t="shared" si="9"/>
        <v>4</v>
      </c>
      <c r="O89" s="107">
        <f t="shared" si="10"/>
        <v>4.3261362293283145E-3</v>
      </c>
      <c r="Q89" s="110">
        <f>VLOOKUP(E89,'PD Term Structure'!$C$5:$D$14,2,TRUE)</f>
        <v>5</v>
      </c>
      <c r="R89" s="110">
        <f t="shared" si="11"/>
        <v>5</v>
      </c>
      <c r="S89" s="107">
        <f t="shared" si="12"/>
        <v>5.4076702866603932E-3</v>
      </c>
    </row>
    <row r="90" spans="1:19" ht="14">
      <c r="A90" s="36">
        <v>82761</v>
      </c>
      <c r="B90" s="81" t="s">
        <v>19</v>
      </c>
      <c r="C90" s="38">
        <v>4.2999999999999997E-2</v>
      </c>
      <c r="D90" s="38">
        <f>INDEX('PD Term Structure'!$E$17:$N$26,MATCH($I90,'PD Term Structure'!$D$17:$D$26,0),MATCH(D$1,'PD Term Structure'!$E$16:$N$16,0))</f>
        <v>5.2108354430379748E-2</v>
      </c>
      <c r="E90" s="38">
        <f>INDEX('PD Term Structure'!$E$17:$N$26,MATCH($I90,'PD Term Structure'!$D$17:$D$26,0),MATCH(E$1,'PD Term Structure'!$E$16:$N$16,0))</f>
        <v>6.3676339047537805E-2</v>
      </c>
      <c r="F90" s="39">
        <v>10000</v>
      </c>
      <c r="G90" s="82">
        <f>VLOOKUP(B90,'LGD parameters'!$C$7:$E$11,2,FALSE)</f>
        <v>0.41974816177099206</v>
      </c>
      <c r="H90" s="82">
        <f>(NORMSDIST(-LN(G90)+(VLOOKUP(B90,LGD_para,3,FALSE)^2/2))/VLOOKUP(B90,LGD_para,3,FALSE)-(VLOOKUP(B90,LGD_para,3,FALSE))-G90*(NORMSDIST(-LN(G90)+(VLOOKUP(B90,LGD_para,3,FALSE)^2/2))/VLOOKUP(B90,LGD_para,3,FALSE)))/LOGNORMDIST(1,LN(G90),(VLOOKUP(B90,LGD_para,3,FALSE)))*'LGD parameters'!$D$11</f>
        <v>0.33381167072117429</v>
      </c>
      <c r="I90" s="106">
        <f>VLOOKUP(C90,'PD Term Structure'!$C$5:$D$14,2,TRUE)</f>
        <v>4</v>
      </c>
      <c r="J90" s="43">
        <f>VLOOKUP(I90,'Master rating scale'!$G$5:$H$14,2,FALSE)</f>
        <v>4</v>
      </c>
      <c r="K90" s="62">
        <f t="shared" si="8"/>
        <v>4.3261362293283145E-3</v>
      </c>
      <c r="M90" s="110">
        <f>VLOOKUP(D90,'PD Term Structure'!$C$5:$D$14,2,TRUE)</f>
        <v>4</v>
      </c>
      <c r="N90" s="110">
        <f t="shared" si="9"/>
        <v>4</v>
      </c>
      <c r="O90" s="107">
        <f t="shared" si="10"/>
        <v>4.3261362293283145E-3</v>
      </c>
      <c r="Q90" s="110">
        <f>VLOOKUP(E90,'PD Term Structure'!$C$5:$D$14,2,TRUE)</f>
        <v>5</v>
      </c>
      <c r="R90" s="110">
        <f t="shared" si="11"/>
        <v>5</v>
      </c>
      <c r="S90" s="107">
        <f t="shared" si="12"/>
        <v>5.4076702866603932E-3</v>
      </c>
    </row>
    <row r="91" spans="1:19" ht="14">
      <c r="A91" s="36">
        <v>95768</v>
      </c>
      <c r="B91" s="81" t="s">
        <v>19</v>
      </c>
      <c r="C91" s="38">
        <v>4.2999999999999997E-2</v>
      </c>
      <c r="D91" s="38">
        <f>INDEX('PD Term Structure'!$E$17:$N$26,MATCH($I91,'PD Term Structure'!$D$17:$D$26,0),MATCH(D$1,'PD Term Structure'!$E$16:$N$16,0))</f>
        <v>5.2108354430379748E-2</v>
      </c>
      <c r="E91" s="38">
        <f>INDEX('PD Term Structure'!$E$17:$N$26,MATCH($I91,'PD Term Structure'!$D$17:$D$26,0),MATCH(E$1,'PD Term Structure'!$E$16:$N$16,0))</f>
        <v>6.3676339047537805E-2</v>
      </c>
      <c r="F91" s="39">
        <v>10000</v>
      </c>
      <c r="G91" s="82">
        <f>VLOOKUP(B91,'LGD parameters'!$C$7:$E$11,2,FALSE)</f>
        <v>0.41974816177099206</v>
      </c>
      <c r="H91" s="82">
        <f>(NORMSDIST(-LN(G91)+(VLOOKUP(B91,LGD_para,3,FALSE)^2/2))/VLOOKUP(B91,LGD_para,3,FALSE)-(VLOOKUP(B91,LGD_para,3,FALSE))-G91*(NORMSDIST(-LN(G91)+(VLOOKUP(B91,LGD_para,3,FALSE)^2/2))/VLOOKUP(B91,LGD_para,3,FALSE)))/LOGNORMDIST(1,LN(G91),(VLOOKUP(B91,LGD_para,3,FALSE)))*'LGD parameters'!$D$11</f>
        <v>0.33381167072117429</v>
      </c>
      <c r="I91" s="106">
        <f>VLOOKUP(C91,'PD Term Structure'!$C$5:$D$14,2,TRUE)</f>
        <v>4</v>
      </c>
      <c r="J91" s="43">
        <f>VLOOKUP(I91,'Master rating scale'!$G$5:$H$14,2,FALSE)</f>
        <v>4</v>
      </c>
      <c r="K91" s="62">
        <f t="shared" si="8"/>
        <v>4.3261362293283145E-3</v>
      </c>
      <c r="M91" s="110">
        <f>VLOOKUP(D91,'PD Term Structure'!$C$5:$D$14,2,TRUE)</f>
        <v>4</v>
      </c>
      <c r="N91" s="110">
        <f t="shared" si="9"/>
        <v>4</v>
      </c>
      <c r="O91" s="107">
        <f t="shared" si="10"/>
        <v>4.3261362293283145E-3</v>
      </c>
      <c r="Q91" s="110">
        <f>VLOOKUP(E91,'PD Term Structure'!$C$5:$D$14,2,TRUE)</f>
        <v>5</v>
      </c>
      <c r="R91" s="110">
        <f t="shared" si="11"/>
        <v>5</v>
      </c>
      <c r="S91" s="107">
        <f t="shared" si="12"/>
        <v>5.4076702866603932E-3</v>
      </c>
    </row>
    <row r="92" spans="1:19" ht="14">
      <c r="A92" s="36">
        <v>150137</v>
      </c>
      <c r="B92" s="81" t="s">
        <v>19</v>
      </c>
      <c r="C92" s="38">
        <v>4.2999999999999997E-2</v>
      </c>
      <c r="D92" s="38">
        <f>INDEX('PD Term Structure'!$E$17:$N$26,MATCH($I92,'PD Term Structure'!$D$17:$D$26,0),MATCH(D$1,'PD Term Structure'!$E$16:$N$16,0))</f>
        <v>5.2108354430379748E-2</v>
      </c>
      <c r="E92" s="38">
        <f>INDEX('PD Term Structure'!$E$17:$N$26,MATCH($I92,'PD Term Structure'!$D$17:$D$26,0),MATCH(E$1,'PD Term Structure'!$E$16:$N$16,0))</f>
        <v>6.3676339047537805E-2</v>
      </c>
      <c r="F92" s="39">
        <v>10000</v>
      </c>
      <c r="G92" s="82">
        <f>VLOOKUP(B92,'LGD parameters'!$C$7:$E$11,2,FALSE)</f>
        <v>0.41974816177099206</v>
      </c>
      <c r="H92" s="82">
        <f>(NORMSDIST(-LN(G92)+(VLOOKUP(B92,LGD_para,3,FALSE)^2/2))/VLOOKUP(B92,LGD_para,3,FALSE)-(VLOOKUP(B92,LGD_para,3,FALSE))-G92*(NORMSDIST(-LN(G92)+(VLOOKUP(B92,LGD_para,3,FALSE)^2/2))/VLOOKUP(B92,LGD_para,3,FALSE)))/LOGNORMDIST(1,LN(G92),(VLOOKUP(B92,LGD_para,3,FALSE)))*'LGD parameters'!$D$11</f>
        <v>0.33381167072117429</v>
      </c>
      <c r="I92" s="106">
        <f>VLOOKUP(C92,'PD Term Structure'!$C$5:$D$14,2,TRUE)</f>
        <v>4</v>
      </c>
      <c r="J92" s="43">
        <f>VLOOKUP(I92,'Master rating scale'!$G$5:$H$14,2,FALSE)</f>
        <v>4</v>
      </c>
      <c r="K92" s="62">
        <f t="shared" si="8"/>
        <v>4.3261362293283145E-3</v>
      </c>
      <c r="M92" s="110">
        <f>VLOOKUP(D92,'PD Term Structure'!$C$5:$D$14,2,TRUE)</f>
        <v>4</v>
      </c>
      <c r="N92" s="110">
        <f t="shared" si="9"/>
        <v>4</v>
      </c>
      <c r="O92" s="107">
        <f t="shared" si="10"/>
        <v>4.3261362293283145E-3</v>
      </c>
      <c r="Q92" s="110">
        <f>VLOOKUP(E92,'PD Term Structure'!$C$5:$D$14,2,TRUE)</f>
        <v>5</v>
      </c>
      <c r="R92" s="110">
        <f t="shared" si="11"/>
        <v>5</v>
      </c>
      <c r="S92" s="107">
        <f t="shared" si="12"/>
        <v>5.4076702866603932E-3</v>
      </c>
    </row>
    <row r="93" spans="1:19" ht="14">
      <c r="A93" s="36">
        <v>172111</v>
      </c>
      <c r="B93" s="81" t="s">
        <v>19</v>
      </c>
      <c r="C93" s="38">
        <v>4.2999999999999997E-2</v>
      </c>
      <c r="D93" s="38">
        <f>INDEX('PD Term Structure'!$E$17:$N$26,MATCH($I93,'PD Term Structure'!$D$17:$D$26,0),MATCH(D$1,'PD Term Structure'!$E$16:$N$16,0))</f>
        <v>5.2108354430379748E-2</v>
      </c>
      <c r="E93" s="38">
        <f>INDEX('PD Term Structure'!$E$17:$N$26,MATCH($I93,'PD Term Structure'!$D$17:$D$26,0),MATCH(E$1,'PD Term Structure'!$E$16:$N$16,0))</f>
        <v>6.3676339047537805E-2</v>
      </c>
      <c r="F93" s="39">
        <v>10000</v>
      </c>
      <c r="G93" s="82">
        <f>VLOOKUP(B93,'LGD parameters'!$C$7:$E$11,2,FALSE)</f>
        <v>0.41974816177099206</v>
      </c>
      <c r="H93" s="82">
        <f>(NORMSDIST(-LN(G93)+(VLOOKUP(B93,LGD_para,3,FALSE)^2/2))/VLOOKUP(B93,LGD_para,3,FALSE)-(VLOOKUP(B93,LGD_para,3,FALSE))-G93*(NORMSDIST(-LN(G93)+(VLOOKUP(B93,LGD_para,3,FALSE)^2/2))/VLOOKUP(B93,LGD_para,3,FALSE)))/LOGNORMDIST(1,LN(G93),(VLOOKUP(B93,LGD_para,3,FALSE)))*'LGD parameters'!$D$11</f>
        <v>0.33381167072117429</v>
      </c>
      <c r="I93" s="106">
        <f>VLOOKUP(C93,'PD Term Structure'!$C$5:$D$14,2,TRUE)</f>
        <v>4</v>
      </c>
      <c r="J93" s="43">
        <f>VLOOKUP(I93,'Master rating scale'!$G$5:$H$14,2,FALSE)</f>
        <v>4</v>
      </c>
      <c r="K93" s="62">
        <f t="shared" si="8"/>
        <v>4.3261362293283145E-3</v>
      </c>
      <c r="M93" s="110">
        <f>VLOOKUP(D93,'PD Term Structure'!$C$5:$D$14,2,TRUE)</f>
        <v>4</v>
      </c>
      <c r="N93" s="110">
        <f t="shared" si="9"/>
        <v>4</v>
      </c>
      <c r="O93" s="107">
        <f t="shared" si="10"/>
        <v>4.3261362293283145E-3</v>
      </c>
      <c r="Q93" s="110">
        <f>VLOOKUP(E93,'PD Term Structure'!$C$5:$D$14,2,TRUE)</f>
        <v>5</v>
      </c>
      <c r="R93" s="110">
        <f t="shared" si="11"/>
        <v>5</v>
      </c>
      <c r="S93" s="107">
        <f t="shared" si="12"/>
        <v>5.4076702866603932E-3</v>
      </c>
    </row>
    <row r="94" spans="1:19" ht="14">
      <c r="A94" s="36">
        <v>187077</v>
      </c>
      <c r="B94" s="81" t="s">
        <v>19</v>
      </c>
      <c r="C94" s="38">
        <v>4.2999999999999997E-2</v>
      </c>
      <c r="D94" s="38">
        <f>INDEX('PD Term Structure'!$E$17:$N$26,MATCH($I94,'PD Term Structure'!$D$17:$D$26,0),MATCH(D$1,'PD Term Structure'!$E$16:$N$16,0))</f>
        <v>5.2108354430379748E-2</v>
      </c>
      <c r="E94" s="38">
        <f>INDEX('PD Term Structure'!$E$17:$N$26,MATCH($I94,'PD Term Structure'!$D$17:$D$26,0),MATCH(E$1,'PD Term Structure'!$E$16:$N$16,0))</f>
        <v>6.3676339047537805E-2</v>
      </c>
      <c r="F94" s="39">
        <v>10000</v>
      </c>
      <c r="G94" s="82">
        <f>VLOOKUP(B94,'LGD parameters'!$C$7:$E$11,2,FALSE)</f>
        <v>0.41974816177099206</v>
      </c>
      <c r="H94" s="82">
        <f>(NORMSDIST(-LN(G94)+(VLOOKUP(B94,LGD_para,3,FALSE)^2/2))/VLOOKUP(B94,LGD_para,3,FALSE)-(VLOOKUP(B94,LGD_para,3,FALSE))-G94*(NORMSDIST(-LN(G94)+(VLOOKUP(B94,LGD_para,3,FALSE)^2/2))/VLOOKUP(B94,LGD_para,3,FALSE)))/LOGNORMDIST(1,LN(G94),(VLOOKUP(B94,LGD_para,3,FALSE)))*'LGD parameters'!$D$11</f>
        <v>0.33381167072117429</v>
      </c>
      <c r="I94" s="106">
        <f>VLOOKUP(C94,'PD Term Structure'!$C$5:$D$14,2,TRUE)</f>
        <v>4</v>
      </c>
      <c r="J94" s="43">
        <f>VLOOKUP(I94,'Master rating scale'!$G$5:$H$14,2,FALSE)</f>
        <v>4</v>
      </c>
      <c r="K94" s="62">
        <f t="shared" si="8"/>
        <v>4.3261362293283145E-3</v>
      </c>
      <c r="M94" s="110">
        <f>VLOOKUP(D94,'PD Term Structure'!$C$5:$D$14,2,TRUE)</f>
        <v>4</v>
      </c>
      <c r="N94" s="110">
        <f t="shared" si="9"/>
        <v>4</v>
      </c>
      <c r="O94" s="107">
        <f t="shared" si="10"/>
        <v>4.3261362293283145E-3</v>
      </c>
      <c r="Q94" s="110">
        <f>VLOOKUP(E94,'PD Term Structure'!$C$5:$D$14,2,TRUE)</f>
        <v>5</v>
      </c>
      <c r="R94" s="110">
        <f t="shared" si="11"/>
        <v>5</v>
      </c>
      <c r="S94" s="107">
        <f t="shared" si="12"/>
        <v>5.4076702866603932E-3</v>
      </c>
    </row>
    <row r="95" spans="1:19" ht="14">
      <c r="A95" s="36">
        <v>190208</v>
      </c>
      <c r="B95" s="81" t="s">
        <v>19</v>
      </c>
      <c r="C95" s="38">
        <v>4.2999999999999997E-2</v>
      </c>
      <c r="D95" s="38">
        <f>INDEX('PD Term Structure'!$E$17:$N$26,MATCH($I95,'PD Term Structure'!$D$17:$D$26,0),MATCH(D$1,'PD Term Structure'!$E$16:$N$16,0))</f>
        <v>5.2108354430379748E-2</v>
      </c>
      <c r="E95" s="38">
        <f>INDEX('PD Term Structure'!$E$17:$N$26,MATCH($I95,'PD Term Structure'!$D$17:$D$26,0),MATCH(E$1,'PD Term Structure'!$E$16:$N$16,0))</f>
        <v>6.3676339047537805E-2</v>
      </c>
      <c r="F95" s="39">
        <v>10000</v>
      </c>
      <c r="G95" s="82">
        <f>VLOOKUP(B95,'LGD parameters'!$C$7:$E$11,2,FALSE)</f>
        <v>0.41974816177099206</v>
      </c>
      <c r="H95" s="82">
        <f>(NORMSDIST(-LN(G95)+(VLOOKUP(B95,LGD_para,3,FALSE)^2/2))/VLOOKUP(B95,LGD_para,3,FALSE)-(VLOOKUP(B95,LGD_para,3,FALSE))-G95*(NORMSDIST(-LN(G95)+(VLOOKUP(B95,LGD_para,3,FALSE)^2/2))/VLOOKUP(B95,LGD_para,3,FALSE)))/LOGNORMDIST(1,LN(G95),(VLOOKUP(B95,LGD_para,3,FALSE)))*'LGD parameters'!$D$11</f>
        <v>0.33381167072117429</v>
      </c>
      <c r="I95" s="106">
        <f>VLOOKUP(C95,'PD Term Structure'!$C$5:$D$14,2,TRUE)</f>
        <v>4</v>
      </c>
      <c r="J95" s="43">
        <f>VLOOKUP(I95,'Master rating scale'!$G$5:$H$14,2,FALSE)</f>
        <v>4</v>
      </c>
      <c r="K95" s="62">
        <f t="shared" si="8"/>
        <v>4.3261362293283145E-3</v>
      </c>
      <c r="M95" s="110">
        <f>VLOOKUP(D95,'PD Term Structure'!$C$5:$D$14,2,TRUE)</f>
        <v>4</v>
      </c>
      <c r="N95" s="110">
        <f t="shared" si="9"/>
        <v>4</v>
      </c>
      <c r="O95" s="107">
        <f t="shared" si="10"/>
        <v>4.3261362293283145E-3</v>
      </c>
      <c r="Q95" s="110">
        <f>VLOOKUP(E95,'PD Term Structure'!$C$5:$D$14,2,TRUE)</f>
        <v>5</v>
      </c>
      <c r="R95" s="110">
        <f t="shared" si="11"/>
        <v>5</v>
      </c>
      <c r="S95" s="107">
        <f t="shared" si="12"/>
        <v>5.4076702866603932E-3</v>
      </c>
    </row>
    <row r="96" spans="1:19" ht="14">
      <c r="A96" s="36">
        <v>197726</v>
      </c>
      <c r="B96" s="81" t="s">
        <v>19</v>
      </c>
      <c r="C96" s="38">
        <v>4.2999999999999997E-2</v>
      </c>
      <c r="D96" s="38">
        <f>INDEX('PD Term Structure'!$E$17:$N$26,MATCH($I96,'PD Term Structure'!$D$17:$D$26,0),MATCH(D$1,'PD Term Structure'!$E$16:$N$16,0))</f>
        <v>5.2108354430379748E-2</v>
      </c>
      <c r="E96" s="38">
        <f>INDEX('PD Term Structure'!$E$17:$N$26,MATCH($I96,'PD Term Structure'!$D$17:$D$26,0),MATCH(E$1,'PD Term Structure'!$E$16:$N$16,0))</f>
        <v>6.3676339047537805E-2</v>
      </c>
      <c r="F96" s="39">
        <v>10000</v>
      </c>
      <c r="G96" s="82">
        <f>VLOOKUP(B96,'LGD parameters'!$C$7:$E$11,2,FALSE)</f>
        <v>0.41974816177099206</v>
      </c>
      <c r="H96" s="82">
        <f>(NORMSDIST(-LN(G96)+(VLOOKUP(B96,LGD_para,3,FALSE)^2/2))/VLOOKUP(B96,LGD_para,3,FALSE)-(VLOOKUP(B96,LGD_para,3,FALSE))-G96*(NORMSDIST(-LN(G96)+(VLOOKUP(B96,LGD_para,3,FALSE)^2/2))/VLOOKUP(B96,LGD_para,3,FALSE)))/LOGNORMDIST(1,LN(G96),(VLOOKUP(B96,LGD_para,3,FALSE)))*'LGD parameters'!$D$11</f>
        <v>0.33381167072117429</v>
      </c>
      <c r="I96" s="106">
        <f>VLOOKUP(C96,'PD Term Structure'!$C$5:$D$14,2,TRUE)</f>
        <v>4</v>
      </c>
      <c r="J96" s="43">
        <f>VLOOKUP(I96,'Master rating scale'!$G$5:$H$14,2,FALSE)</f>
        <v>4</v>
      </c>
      <c r="K96" s="62">
        <f t="shared" si="8"/>
        <v>4.3261362293283145E-3</v>
      </c>
      <c r="M96" s="110">
        <f>VLOOKUP(D96,'PD Term Structure'!$C$5:$D$14,2,TRUE)</f>
        <v>4</v>
      </c>
      <c r="N96" s="110">
        <f t="shared" si="9"/>
        <v>4</v>
      </c>
      <c r="O96" s="107">
        <f t="shared" si="10"/>
        <v>4.3261362293283145E-3</v>
      </c>
      <c r="Q96" s="110">
        <f>VLOOKUP(E96,'PD Term Structure'!$C$5:$D$14,2,TRUE)</f>
        <v>5</v>
      </c>
      <c r="R96" s="110">
        <f t="shared" si="11"/>
        <v>5</v>
      </c>
      <c r="S96" s="107">
        <f t="shared" si="12"/>
        <v>5.4076702866603932E-3</v>
      </c>
    </row>
    <row r="97" spans="1:19" ht="14">
      <c r="A97" s="36">
        <v>199596</v>
      </c>
      <c r="B97" s="81" t="s">
        <v>19</v>
      </c>
      <c r="C97" s="38">
        <v>4.2999999999999997E-2</v>
      </c>
      <c r="D97" s="38">
        <f>INDEX('PD Term Structure'!$E$17:$N$26,MATCH($I97,'PD Term Structure'!$D$17:$D$26,0),MATCH(D$1,'PD Term Structure'!$E$16:$N$16,0))</f>
        <v>5.2108354430379748E-2</v>
      </c>
      <c r="E97" s="38">
        <f>INDEX('PD Term Structure'!$E$17:$N$26,MATCH($I97,'PD Term Structure'!$D$17:$D$26,0),MATCH(E$1,'PD Term Structure'!$E$16:$N$16,0))</f>
        <v>6.3676339047537805E-2</v>
      </c>
      <c r="F97" s="39">
        <v>10000</v>
      </c>
      <c r="G97" s="82">
        <f>VLOOKUP(B97,'LGD parameters'!$C$7:$E$11,2,FALSE)</f>
        <v>0.41974816177099206</v>
      </c>
      <c r="H97" s="82">
        <f>(NORMSDIST(-LN(G97)+(VLOOKUP(B97,LGD_para,3,FALSE)^2/2))/VLOOKUP(B97,LGD_para,3,FALSE)-(VLOOKUP(B97,LGD_para,3,FALSE))-G97*(NORMSDIST(-LN(G97)+(VLOOKUP(B97,LGD_para,3,FALSE)^2/2))/VLOOKUP(B97,LGD_para,3,FALSE)))/LOGNORMDIST(1,LN(G97),(VLOOKUP(B97,LGD_para,3,FALSE)))*'LGD parameters'!$D$11</f>
        <v>0.33381167072117429</v>
      </c>
      <c r="I97" s="106">
        <f>VLOOKUP(C97,'PD Term Structure'!$C$5:$D$14,2,TRUE)</f>
        <v>4</v>
      </c>
      <c r="J97" s="43">
        <f>VLOOKUP(I97,'Master rating scale'!$G$5:$H$14,2,FALSE)</f>
        <v>4</v>
      </c>
      <c r="K97" s="62">
        <f t="shared" si="8"/>
        <v>4.3261362293283145E-3</v>
      </c>
      <c r="M97" s="110">
        <f>VLOOKUP(D97,'PD Term Structure'!$C$5:$D$14,2,TRUE)</f>
        <v>4</v>
      </c>
      <c r="N97" s="110">
        <f t="shared" si="9"/>
        <v>4</v>
      </c>
      <c r="O97" s="107">
        <f t="shared" si="10"/>
        <v>4.3261362293283145E-3</v>
      </c>
      <c r="Q97" s="110">
        <f>VLOOKUP(E97,'PD Term Structure'!$C$5:$D$14,2,TRUE)</f>
        <v>5</v>
      </c>
      <c r="R97" s="110">
        <f t="shared" si="11"/>
        <v>5</v>
      </c>
      <c r="S97" s="107">
        <f t="shared" si="12"/>
        <v>5.4076702866603932E-3</v>
      </c>
    </row>
    <row r="98" spans="1:19" ht="14">
      <c r="A98" s="36">
        <v>199825</v>
      </c>
      <c r="B98" s="81" t="s">
        <v>19</v>
      </c>
      <c r="C98" s="38">
        <v>4.2999999999999997E-2</v>
      </c>
      <c r="D98" s="38">
        <f>INDEX('PD Term Structure'!$E$17:$N$26,MATCH($I98,'PD Term Structure'!$D$17:$D$26,0),MATCH(D$1,'PD Term Structure'!$E$16:$N$16,0))</f>
        <v>5.2108354430379748E-2</v>
      </c>
      <c r="E98" s="38">
        <f>INDEX('PD Term Structure'!$E$17:$N$26,MATCH($I98,'PD Term Structure'!$D$17:$D$26,0),MATCH(E$1,'PD Term Structure'!$E$16:$N$16,0))</f>
        <v>6.3676339047537805E-2</v>
      </c>
      <c r="F98" s="39">
        <v>10000</v>
      </c>
      <c r="G98" s="82">
        <f>VLOOKUP(B98,'LGD parameters'!$C$7:$E$11,2,FALSE)</f>
        <v>0.41974816177099206</v>
      </c>
      <c r="H98" s="82">
        <f>(NORMSDIST(-LN(G98)+(VLOOKUP(B98,LGD_para,3,FALSE)^2/2))/VLOOKUP(B98,LGD_para,3,FALSE)-(VLOOKUP(B98,LGD_para,3,FALSE))-G98*(NORMSDIST(-LN(G98)+(VLOOKUP(B98,LGD_para,3,FALSE)^2/2))/VLOOKUP(B98,LGD_para,3,FALSE)))/LOGNORMDIST(1,LN(G98),(VLOOKUP(B98,LGD_para,3,FALSE)))*'LGD parameters'!$D$11</f>
        <v>0.33381167072117429</v>
      </c>
      <c r="I98" s="106">
        <f>VLOOKUP(C98,'PD Term Structure'!$C$5:$D$14,2,TRUE)</f>
        <v>4</v>
      </c>
      <c r="J98" s="43">
        <f>VLOOKUP(I98,'Master rating scale'!$G$5:$H$14,2,FALSE)</f>
        <v>4</v>
      </c>
      <c r="K98" s="62">
        <f t="shared" si="8"/>
        <v>4.3261362293283145E-3</v>
      </c>
      <c r="M98" s="110">
        <f>VLOOKUP(D98,'PD Term Structure'!$C$5:$D$14,2,TRUE)</f>
        <v>4</v>
      </c>
      <c r="N98" s="110">
        <f t="shared" si="9"/>
        <v>4</v>
      </c>
      <c r="O98" s="107">
        <f t="shared" si="10"/>
        <v>4.3261362293283145E-3</v>
      </c>
      <c r="Q98" s="110">
        <f>VLOOKUP(E98,'PD Term Structure'!$C$5:$D$14,2,TRUE)</f>
        <v>5</v>
      </c>
      <c r="R98" s="110">
        <f t="shared" si="11"/>
        <v>5</v>
      </c>
      <c r="S98" s="107">
        <f t="shared" si="12"/>
        <v>5.4076702866603932E-3</v>
      </c>
    </row>
    <row r="99" spans="1:19" ht="14">
      <c r="A99" s="36">
        <v>201425</v>
      </c>
      <c r="B99" s="81" t="s">
        <v>19</v>
      </c>
      <c r="C99" s="38">
        <v>4.2999999999999997E-2</v>
      </c>
      <c r="D99" s="38">
        <f>INDEX('PD Term Structure'!$E$17:$N$26,MATCH($I99,'PD Term Structure'!$D$17:$D$26,0),MATCH(D$1,'PD Term Structure'!$E$16:$N$16,0))</f>
        <v>5.2108354430379748E-2</v>
      </c>
      <c r="E99" s="38">
        <f>INDEX('PD Term Structure'!$E$17:$N$26,MATCH($I99,'PD Term Structure'!$D$17:$D$26,0),MATCH(E$1,'PD Term Structure'!$E$16:$N$16,0))</f>
        <v>6.3676339047537805E-2</v>
      </c>
      <c r="F99" s="39">
        <v>10000</v>
      </c>
      <c r="G99" s="82">
        <f>VLOOKUP(B99,'LGD parameters'!$C$7:$E$11,2,FALSE)</f>
        <v>0.41974816177099206</v>
      </c>
      <c r="H99" s="82">
        <f>(NORMSDIST(-LN(G99)+(VLOOKUP(B99,LGD_para,3,FALSE)^2/2))/VLOOKUP(B99,LGD_para,3,FALSE)-(VLOOKUP(B99,LGD_para,3,FALSE))-G99*(NORMSDIST(-LN(G99)+(VLOOKUP(B99,LGD_para,3,FALSE)^2/2))/VLOOKUP(B99,LGD_para,3,FALSE)))/LOGNORMDIST(1,LN(G99),(VLOOKUP(B99,LGD_para,3,FALSE)))*'LGD parameters'!$D$11</f>
        <v>0.33381167072117429</v>
      </c>
      <c r="I99" s="106">
        <f>VLOOKUP(C99,'PD Term Structure'!$C$5:$D$14,2,TRUE)</f>
        <v>4</v>
      </c>
      <c r="J99" s="43">
        <f>VLOOKUP(I99,'Master rating scale'!$G$5:$H$14,2,FALSE)</f>
        <v>4</v>
      </c>
      <c r="K99" s="62">
        <f t="shared" si="8"/>
        <v>4.3261362293283145E-3</v>
      </c>
      <c r="M99" s="110">
        <f>VLOOKUP(D99,'PD Term Structure'!$C$5:$D$14,2,TRUE)</f>
        <v>4</v>
      </c>
      <c r="N99" s="110">
        <f t="shared" si="9"/>
        <v>4</v>
      </c>
      <c r="O99" s="107">
        <f t="shared" si="10"/>
        <v>4.3261362293283145E-3</v>
      </c>
      <c r="Q99" s="110">
        <f>VLOOKUP(E99,'PD Term Structure'!$C$5:$D$14,2,TRUE)</f>
        <v>5</v>
      </c>
      <c r="R99" s="110">
        <f t="shared" si="11"/>
        <v>5</v>
      </c>
      <c r="S99" s="107">
        <f t="shared" si="12"/>
        <v>5.4076702866603932E-3</v>
      </c>
    </row>
    <row r="100" spans="1:19" ht="14">
      <c r="A100" s="36">
        <v>228131</v>
      </c>
      <c r="B100" s="81" t="s">
        <v>19</v>
      </c>
      <c r="C100" s="38">
        <v>4.2999999999999997E-2</v>
      </c>
      <c r="D100" s="38">
        <f>INDEX('PD Term Structure'!$E$17:$N$26,MATCH($I100,'PD Term Structure'!$D$17:$D$26,0),MATCH(D$1,'PD Term Structure'!$E$16:$N$16,0))</f>
        <v>5.2108354430379748E-2</v>
      </c>
      <c r="E100" s="38">
        <f>INDEX('PD Term Structure'!$E$17:$N$26,MATCH($I100,'PD Term Structure'!$D$17:$D$26,0),MATCH(E$1,'PD Term Structure'!$E$16:$N$16,0))</f>
        <v>6.3676339047537805E-2</v>
      </c>
      <c r="F100" s="39">
        <v>10000</v>
      </c>
      <c r="G100" s="82">
        <f>VLOOKUP(B100,'LGD parameters'!$C$7:$E$11,2,FALSE)</f>
        <v>0.41974816177099206</v>
      </c>
      <c r="H100" s="82">
        <f>(NORMSDIST(-LN(G100)+(VLOOKUP(B100,LGD_para,3,FALSE)^2/2))/VLOOKUP(B100,LGD_para,3,FALSE)-(VLOOKUP(B100,LGD_para,3,FALSE))-G100*(NORMSDIST(-LN(G100)+(VLOOKUP(B100,LGD_para,3,FALSE)^2/2))/VLOOKUP(B100,LGD_para,3,FALSE)))/LOGNORMDIST(1,LN(G100),(VLOOKUP(B100,LGD_para,3,FALSE)))*'LGD parameters'!$D$11</f>
        <v>0.33381167072117429</v>
      </c>
      <c r="I100" s="106">
        <f>VLOOKUP(C100,'PD Term Structure'!$C$5:$D$14,2,TRUE)</f>
        <v>4</v>
      </c>
      <c r="J100" s="43">
        <f>VLOOKUP(I100,'Master rating scale'!$G$5:$H$14,2,FALSE)</f>
        <v>4</v>
      </c>
      <c r="K100" s="62">
        <f t="shared" si="8"/>
        <v>4.3261362293283145E-3</v>
      </c>
      <c r="M100" s="110">
        <f>VLOOKUP(D100,'PD Term Structure'!$C$5:$D$14,2,TRUE)</f>
        <v>4</v>
      </c>
      <c r="N100" s="110">
        <f t="shared" si="9"/>
        <v>4</v>
      </c>
      <c r="O100" s="107">
        <f t="shared" si="10"/>
        <v>4.3261362293283145E-3</v>
      </c>
      <c r="Q100" s="110">
        <f>VLOOKUP(E100,'PD Term Structure'!$C$5:$D$14,2,TRUE)</f>
        <v>5</v>
      </c>
      <c r="R100" s="110">
        <f t="shared" si="11"/>
        <v>5</v>
      </c>
      <c r="S100" s="107">
        <f t="shared" si="12"/>
        <v>5.4076702866603932E-3</v>
      </c>
    </row>
    <row r="101" spans="1:19" ht="14">
      <c r="A101" s="36">
        <v>296711</v>
      </c>
      <c r="B101" s="81" t="s">
        <v>19</v>
      </c>
      <c r="C101" s="38">
        <v>4.2999999999999997E-2</v>
      </c>
      <c r="D101" s="38">
        <f>INDEX('PD Term Structure'!$E$17:$N$26,MATCH($I101,'PD Term Structure'!$D$17:$D$26,0),MATCH(D$1,'PD Term Structure'!$E$16:$N$16,0))</f>
        <v>5.2108354430379748E-2</v>
      </c>
      <c r="E101" s="38">
        <f>INDEX('PD Term Structure'!$E$17:$N$26,MATCH($I101,'PD Term Structure'!$D$17:$D$26,0),MATCH(E$1,'PD Term Structure'!$E$16:$N$16,0))</f>
        <v>6.3676339047537805E-2</v>
      </c>
      <c r="F101" s="39">
        <v>10000</v>
      </c>
      <c r="G101" s="82">
        <f>VLOOKUP(B101,'LGD parameters'!$C$7:$E$11,2,FALSE)</f>
        <v>0.41974816177099206</v>
      </c>
      <c r="H101" s="82">
        <f>(NORMSDIST(-LN(G101)+(VLOOKUP(B101,LGD_para,3,FALSE)^2/2))/VLOOKUP(B101,LGD_para,3,FALSE)-(VLOOKUP(B101,LGD_para,3,FALSE))-G101*(NORMSDIST(-LN(G101)+(VLOOKUP(B101,LGD_para,3,FALSE)^2/2))/VLOOKUP(B101,LGD_para,3,FALSE)))/LOGNORMDIST(1,LN(G101),(VLOOKUP(B101,LGD_para,3,FALSE)))*'LGD parameters'!$D$11</f>
        <v>0.33381167072117429</v>
      </c>
      <c r="I101" s="106">
        <f>VLOOKUP(C101,'PD Term Structure'!$C$5:$D$14,2,TRUE)</f>
        <v>4</v>
      </c>
      <c r="J101" s="43">
        <f>VLOOKUP(I101,'Master rating scale'!$G$5:$H$14,2,FALSE)</f>
        <v>4</v>
      </c>
      <c r="K101" s="62">
        <f t="shared" si="8"/>
        <v>4.3261362293283145E-3</v>
      </c>
      <c r="M101" s="110">
        <f>VLOOKUP(D101,'PD Term Structure'!$C$5:$D$14,2,TRUE)</f>
        <v>4</v>
      </c>
      <c r="N101" s="110">
        <f t="shared" si="9"/>
        <v>4</v>
      </c>
      <c r="O101" s="107">
        <f t="shared" si="10"/>
        <v>4.3261362293283145E-3</v>
      </c>
      <c r="Q101" s="110">
        <f>VLOOKUP(E101,'PD Term Structure'!$C$5:$D$14,2,TRUE)</f>
        <v>5</v>
      </c>
      <c r="R101" s="110">
        <f t="shared" si="11"/>
        <v>5</v>
      </c>
      <c r="S101" s="107">
        <f t="shared" si="12"/>
        <v>5.4076702866603932E-3</v>
      </c>
    </row>
    <row r="102" spans="1:19" ht="14">
      <c r="A102" s="36">
        <v>302089</v>
      </c>
      <c r="B102" s="81" t="s">
        <v>19</v>
      </c>
      <c r="C102" s="38">
        <v>4.2999999999999997E-2</v>
      </c>
      <c r="D102" s="38">
        <f>INDEX('PD Term Structure'!$E$17:$N$26,MATCH($I102,'PD Term Structure'!$D$17:$D$26,0),MATCH(D$1,'PD Term Structure'!$E$16:$N$16,0))</f>
        <v>5.2108354430379748E-2</v>
      </c>
      <c r="E102" s="38">
        <f>INDEX('PD Term Structure'!$E$17:$N$26,MATCH($I102,'PD Term Structure'!$D$17:$D$26,0),MATCH(E$1,'PD Term Structure'!$E$16:$N$16,0))</f>
        <v>6.3676339047537805E-2</v>
      </c>
      <c r="F102" s="39">
        <v>10000</v>
      </c>
      <c r="G102" s="82">
        <f>VLOOKUP(B102,'LGD parameters'!$C$7:$E$11,2,FALSE)</f>
        <v>0.41974816177099206</v>
      </c>
      <c r="H102" s="82">
        <f>(NORMSDIST(-LN(G102)+(VLOOKUP(B102,LGD_para,3,FALSE)^2/2))/VLOOKUP(B102,LGD_para,3,FALSE)-(VLOOKUP(B102,LGD_para,3,FALSE))-G102*(NORMSDIST(-LN(G102)+(VLOOKUP(B102,LGD_para,3,FALSE)^2/2))/VLOOKUP(B102,LGD_para,3,FALSE)))/LOGNORMDIST(1,LN(G102),(VLOOKUP(B102,LGD_para,3,FALSE)))*'LGD parameters'!$D$11</f>
        <v>0.33381167072117429</v>
      </c>
      <c r="I102" s="106">
        <f>VLOOKUP(C102,'PD Term Structure'!$C$5:$D$14,2,TRUE)</f>
        <v>4</v>
      </c>
      <c r="J102" s="43">
        <f>VLOOKUP(I102,'Master rating scale'!$G$5:$H$14,2,FALSE)</f>
        <v>4</v>
      </c>
      <c r="K102" s="62">
        <f t="shared" si="8"/>
        <v>4.3261362293283145E-3</v>
      </c>
      <c r="M102" s="110">
        <f>VLOOKUP(D102,'PD Term Structure'!$C$5:$D$14,2,TRUE)</f>
        <v>4</v>
      </c>
      <c r="N102" s="110">
        <f t="shared" si="9"/>
        <v>4</v>
      </c>
      <c r="O102" s="107">
        <f t="shared" si="10"/>
        <v>4.3261362293283145E-3</v>
      </c>
      <c r="Q102" s="110">
        <f>VLOOKUP(E102,'PD Term Structure'!$C$5:$D$14,2,TRUE)</f>
        <v>5</v>
      </c>
      <c r="R102" s="110">
        <f t="shared" si="11"/>
        <v>5</v>
      </c>
      <c r="S102" s="107">
        <f t="shared" si="12"/>
        <v>5.4076702866603932E-3</v>
      </c>
    </row>
    <row r="103" spans="1:19" ht="14">
      <c r="A103" s="36">
        <v>302548</v>
      </c>
      <c r="B103" s="81" t="s">
        <v>19</v>
      </c>
      <c r="C103" s="38">
        <v>4.2999999999999997E-2</v>
      </c>
      <c r="D103" s="38">
        <f>INDEX('PD Term Structure'!$E$17:$N$26,MATCH($I103,'PD Term Structure'!$D$17:$D$26,0),MATCH(D$1,'PD Term Structure'!$E$16:$N$16,0))</f>
        <v>5.2108354430379748E-2</v>
      </c>
      <c r="E103" s="38">
        <f>INDEX('PD Term Structure'!$E$17:$N$26,MATCH($I103,'PD Term Structure'!$D$17:$D$26,0),MATCH(E$1,'PD Term Structure'!$E$16:$N$16,0))</f>
        <v>6.3676339047537805E-2</v>
      </c>
      <c r="F103" s="39">
        <v>10000</v>
      </c>
      <c r="G103" s="82">
        <f>VLOOKUP(B103,'LGD parameters'!$C$7:$E$11,2,FALSE)</f>
        <v>0.41974816177099206</v>
      </c>
      <c r="H103" s="82">
        <f>(NORMSDIST(-LN(G103)+(VLOOKUP(B103,LGD_para,3,FALSE)^2/2))/VLOOKUP(B103,LGD_para,3,FALSE)-(VLOOKUP(B103,LGD_para,3,FALSE))-G103*(NORMSDIST(-LN(G103)+(VLOOKUP(B103,LGD_para,3,FALSE)^2/2))/VLOOKUP(B103,LGD_para,3,FALSE)))/LOGNORMDIST(1,LN(G103),(VLOOKUP(B103,LGD_para,3,FALSE)))*'LGD parameters'!$D$11</f>
        <v>0.33381167072117429</v>
      </c>
      <c r="I103" s="106">
        <f>VLOOKUP(C103,'PD Term Structure'!$C$5:$D$14,2,TRUE)</f>
        <v>4</v>
      </c>
      <c r="J103" s="43">
        <f>VLOOKUP(I103,'Master rating scale'!$G$5:$H$14,2,FALSE)</f>
        <v>4</v>
      </c>
      <c r="K103" s="62">
        <f t="shared" si="8"/>
        <v>4.3261362293283145E-3</v>
      </c>
      <c r="M103" s="110">
        <f>VLOOKUP(D103,'PD Term Structure'!$C$5:$D$14,2,TRUE)</f>
        <v>4</v>
      </c>
      <c r="N103" s="110">
        <f t="shared" si="9"/>
        <v>4</v>
      </c>
      <c r="O103" s="107">
        <f t="shared" si="10"/>
        <v>4.3261362293283145E-3</v>
      </c>
      <c r="Q103" s="110">
        <f>VLOOKUP(E103,'PD Term Structure'!$C$5:$D$14,2,TRUE)</f>
        <v>5</v>
      </c>
      <c r="R103" s="110">
        <f t="shared" si="11"/>
        <v>5</v>
      </c>
      <c r="S103" s="107">
        <f t="shared" si="12"/>
        <v>5.4076702866603932E-3</v>
      </c>
    </row>
    <row r="104" spans="1:19" ht="14">
      <c r="A104" s="36">
        <v>327242</v>
      </c>
      <c r="B104" s="81" t="s">
        <v>19</v>
      </c>
      <c r="C104" s="38">
        <v>4.2999999999999997E-2</v>
      </c>
      <c r="D104" s="38">
        <f>INDEX('PD Term Structure'!$E$17:$N$26,MATCH($I104,'PD Term Structure'!$D$17:$D$26,0),MATCH(D$1,'PD Term Structure'!$E$16:$N$16,0))</f>
        <v>5.2108354430379748E-2</v>
      </c>
      <c r="E104" s="38">
        <f>INDEX('PD Term Structure'!$E$17:$N$26,MATCH($I104,'PD Term Structure'!$D$17:$D$26,0),MATCH(E$1,'PD Term Structure'!$E$16:$N$16,0))</f>
        <v>6.3676339047537805E-2</v>
      </c>
      <c r="F104" s="39">
        <v>10000</v>
      </c>
      <c r="G104" s="82">
        <f>VLOOKUP(B104,'LGD parameters'!$C$7:$E$11,2,FALSE)</f>
        <v>0.41974816177099206</v>
      </c>
      <c r="H104" s="82">
        <f>(NORMSDIST(-LN(G104)+(VLOOKUP(B104,LGD_para,3,FALSE)^2/2))/VLOOKUP(B104,LGD_para,3,FALSE)-(VLOOKUP(B104,LGD_para,3,FALSE))-G104*(NORMSDIST(-LN(G104)+(VLOOKUP(B104,LGD_para,3,FALSE)^2/2))/VLOOKUP(B104,LGD_para,3,FALSE)))/LOGNORMDIST(1,LN(G104),(VLOOKUP(B104,LGD_para,3,FALSE)))*'LGD parameters'!$D$11</f>
        <v>0.33381167072117429</v>
      </c>
      <c r="I104" s="106">
        <f>VLOOKUP(C104,'PD Term Structure'!$C$5:$D$14,2,TRUE)</f>
        <v>4</v>
      </c>
      <c r="J104" s="43">
        <f>VLOOKUP(I104,'Master rating scale'!$G$5:$H$14,2,FALSE)</f>
        <v>4</v>
      </c>
      <c r="K104" s="62">
        <f t="shared" si="8"/>
        <v>4.3261362293283145E-3</v>
      </c>
      <c r="M104" s="110">
        <f>VLOOKUP(D104,'PD Term Structure'!$C$5:$D$14,2,TRUE)</f>
        <v>4</v>
      </c>
      <c r="N104" s="110">
        <f t="shared" si="9"/>
        <v>4</v>
      </c>
      <c r="O104" s="107">
        <f t="shared" si="10"/>
        <v>4.3261362293283145E-3</v>
      </c>
      <c r="Q104" s="110">
        <f>VLOOKUP(E104,'PD Term Structure'!$C$5:$D$14,2,TRUE)</f>
        <v>5</v>
      </c>
      <c r="R104" s="110">
        <f t="shared" si="11"/>
        <v>5</v>
      </c>
      <c r="S104" s="107">
        <f t="shared" si="12"/>
        <v>5.4076702866603932E-3</v>
      </c>
    </row>
    <row r="105" spans="1:19" ht="14">
      <c r="A105" s="36">
        <v>330651</v>
      </c>
      <c r="B105" s="81" t="s">
        <v>19</v>
      </c>
      <c r="C105" s="38">
        <v>4.2999999999999997E-2</v>
      </c>
      <c r="D105" s="38">
        <f>INDEX('PD Term Structure'!$E$17:$N$26,MATCH($I105,'PD Term Structure'!$D$17:$D$26,0),MATCH(D$1,'PD Term Structure'!$E$16:$N$16,0))</f>
        <v>5.2108354430379748E-2</v>
      </c>
      <c r="E105" s="38">
        <f>INDEX('PD Term Structure'!$E$17:$N$26,MATCH($I105,'PD Term Structure'!$D$17:$D$26,0),MATCH(E$1,'PD Term Structure'!$E$16:$N$16,0))</f>
        <v>6.3676339047537805E-2</v>
      </c>
      <c r="F105" s="39">
        <v>10000</v>
      </c>
      <c r="G105" s="82">
        <f>VLOOKUP(B105,'LGD parameters'!$C$7:$E$11,2,FALSE)</f>
        <v>0.41974816177099206</v>
      </c>
      <c r="H105" s="82">
        <f>(NORMSDIST(-LN(G105)+(VLOOKUP(B105,LGD_para,3,FALSE)^2/2))/VLOOKUP(B105,LGD_para,3,FALSE)-(VLOOKUP(B105,LGD_para,3,FALSE))-G105*(NORMSDIST(-LN(G105)+(VLOOKUP(B105,LGD_para,3,FALSE)^2/2))/VLOOKUP(B105,LGD_para,3,FALSE)))/LOGNORMDIST(1,LN(G105),(VLOOKUP(B105,LGD_para,3,FALSE)))*'LGD parameters'!$D$11</f>
        <v>0.33381167072117429</v>
      </c>
      <c r="I105" s="106">
        <f>VLOOKUP(C105,'PD Term Structure'!$C$5:$D$14,2,TRUE)</f>
        <v>4</v>
      </c>
      <c r="J105" s="43">
        <f>VLOOKUP(I105,'Master rating scale'!$G$5:$H$14,2,FALSE)</f>
        <v>4</v>
      </c>
      <c r="K105" s="62">
        <f t="shared" si="8"/>
        <v>4.3261362293283145E-3</v>
      </c>
      <c r="M105" s="110">
        <f>VLOOKUP(D105,'PD Term Structure'!$C$5:$D$14,2,TRUE)</f>
        <v>4</v>
      </c>
      <c r="N105" s="110">
        <f t="shared" si="9"/>
        <v>4</v>
      </c>
      <c r="O105" s="107">
        <f t="shared" si="10"/>
        <v>4.3261362293283145E-3</v>
      </c>
      <c r="Q105" s="110">
        <f>VLOOKUP(E105,'PD Term Structure'!$C$5:$D$14,2,TRUE)</f>
        <v>5</v>
      </c>
      <c r="R105" s="110">
        <f t="shared" si="11"/>
        <v>5</v>
      </c>
      <c r="S105" s="107">
        <f t="shared" si="12"/>
        <v>5.4076702866603932E-3</v>
      </c>
    </row>
    <row r="106" spans="1:19" ht="14">
      <c r="A106" s="36">
        <v>339441</v>
      </c>
      <c r="B106" s="81" t="s">
        <v>19</v>
      </c>
      <c r="C106" s="38">
        <v>4.2999999999999997E-2</v>
      </c>
      <c r="D106" s="38">
        <f>INDEX('PD Term Structure'!$E$17:$N$26,MATCH($I106,'PD Term Structure'!$D$17:$D$26,0),MATCH(D$1,'PD Term Structure'!$E$16:$N$16,0))</f>
        <v>5.2108354430379748E-2</v>
      </c>
      <c r="E106" s="38">
        <f>INDEX('PD Term Structure'!$E$17:$N$26,MATCH($I106,'PD Term Structure'!$D$17:$D$26,0),MATCH(E$1,'PD Term Structure'!$E$16:$N$16,0))</f>
        <v>6.3676339047537805E-2</v>
      </c>
      <c r="F106" s="39">
        <v>10000</v>
      </c>
      <c r="G106" s="82">
        <f>VLOOKUP(B106,'LGD parameters'!$C$7:$E$11,2,FALSE)</f>
        <v>0.41974816177099206</v>
      </c>
      <c r="H106" s="82">
        <f>(NORMSDIST(-LN(G106)+(VLOOKUP(B106,LGD_para,3,FALSE)^2/2))/VLOOKUP(B106,LGD_para,3,FALSE)-(VLOOKUP(B106,LGD_para,3,FALSE))-G106*(NORMSDIST(-LN(G106)+(VLOOKUP(B106,LGD_para,3,FALSE)^2/2))/VLOOKUP(B106,LGD_para,3,FALSE)))/LOGNORMDIST(1,LN(G106),(VLOOKUP(B106,LGD_para,3,FALSE)))*'LGD parameters'!$D$11</f>
        <v>0.33381167072117429</v>
      </c>
      <c r="I106" s="106">
        <f>VLOOKUP(C106,'PD Term Structure'!$C$5:$D$14,2,TRUE)</f>
        <v>4</v>
      </c>
      <c r="J106" s="43">
        <f>VLOOKUP(I106,'Master rating scale'!$G$5:$H$14,2,FALSE)</f>
        <v>4</v>
      </c>
      <c r="K106" s="62">
        <f t="shared" si="8"/>
        <v>4.3261362293283145E-3</v>
      </c>
      <c r="M106" s="110">
        <f>VLOOKUP(D106,'PD Term Structure'!$C$5:$D$14,2,TRUE)</f>
        <v>4</v>
      </c>
      <c r="N106" s="110">
        <f t="shared" si="9"/>
        <v>4</v>
      </c>
      <c r="O106" s="107">
        <f t="shared" si="10"/>
        <v>4.3261362293283145E-3</v>
      </c>
      <c r="Q106" s="110">
        <f>VLOOKUP(E106,'PD Term Structure'!$C$5:$D$14,2,TRUE)</f>
        <v>5</v>
      </c>
      <c r="R106" s="110">
        <f t="shared" si="11"/>
        <v>5</v>
      </c>
      <c r="S106" s="107">
        <f t="shared" si="12"/>
        <v>5.4076702866603932E-3</v>
      </c>
    </row>
    <row r="107" spans="1:19" ht="14">
      <c r="A107" s="36">
        <v>349080</v>
      </c>
      <c r="B107" s="81" t="s">
        <v>19</v>
      </c>
      <c r="C107" s="38">
        <v>4.2999999999999997E-2</v>
      </c>
      <c r="D107" s="38">
        <f>INDEX('PD Term Structure'!$E$17:$N$26,MATCH($I107,'PD Term Structure'!$D$17:$D$26,0),MATCH(D$1,'PD Term Structure'!$E$16:$N$16,0))</f>
        <v>5.2108354430379748E-2</v>
      </c>
      <c r="E107" s="38">
        <f>INDEX('PD Term Structure'!$E$17:$N$26,MATCH($I107,'PD Term Structure'!$D$17:$D$26,0),MATCH(E$1,'PD Term Structure'!$E$16:$N$16,0))</f>
        <v>6.3676339047537805E-2</v>
      </c>
      <c r="F107" s="39">
        <v>10000</v>
      </c>
      <c r="G107" s="82">
        <f>VLOOKUP(B107,'LGD parameters'!$C$7:$E$11,2,FALSE)</f>
        <v>0.41974816177099206</v>
      </c>
      <c r="H107" s="82">
        <f>(NORMSDIST(-LN(G107)+(VLOOKUP(B107,LGD_para,3,FALSE)^2/2))/VLOOKUP(B107,LGD_para,3,FALSE)-(VLOOKUP(B107,LGD_para,3,FALSE))-G107*(NORMSDIST(-LN(G107)+(VLOOKUP(B107,LGD_para,3,FALSE)^2/2))/VLOOKUP(B107,LGD_para,3,FALSE)))/LOGNORMDIST(1,LN(G107),(VLOOKUP(B107,LGD_para,3,FALSE)))*'LGD parameters'!$D$11</f>
        <v>0.33381167072117429</v>
      </c>
      <c r="I107" s="106">
        <f>VLOOKUP(C107,'PD Term Structure'!$C$5:$D$14,2,TRUE)</f>
        <v>4</v>
      </c>
      <c r="J107" s="43">
        <f>VLOOKUP(I107,'Master rating scale'!$G$5:$H$14,2,FALSE)</f>
        <v>4</v>
      </c>
      <c r="K107" s="62">
        <f t="shared" si="8"/>
        <v>4.3261362293283145E-3</v>
      </c>
      <c r="M107" s="110">
        <f>VLOOKUP(D107,'PD Term Structure'!$C$5:$D$14,2,TRUE)</f>
        <v>4</v>
      </c>
      <c r="N107" s="110">
        <f t="shared" si="9"/>
        <v>4</v>
      </c>
      <c r="O107" s="107">
        <f t="shared" si="10"/>
        <v>4.3261362293283145E-3</v>
      </c>
      <c r="Q107" s="110">
        <f>VLOOKUP(E107,'PD Term Structure'!$C$5:$D$14,2,TRUE)</f>
        <v>5</v>
      </c>
      <c r="R107" s="110">
        <f t="shared" si="11"/>
        <v>5</v>
      </c>
      <c r="S107" s="107">
        <f t="shared" si="12"/>
        <v>5.4076702866603932E-3</v>
      </c>
    </row>
    <row r="108" spans="1:19" ht="14">
      <c r="A108" s="36">
        <v>350188</v>
      </c>
      <c r="B108" s="81" t="s">
        <v>19</v>
      </c>
      <c r="C108" s="38">
        <v>4.2999999999999997E-2</v>
      </c>
      <c r="D108" s="38">
        <f>INDEX('PD Term Structure'!$E$17:$N$26,MATCH($I108,'PD Term Structure'!$D$17:$D$26,0),MATCH(D$1,'PD Term Structure'!$E$16:$N$16,0))</f>
        <v>5.2108354430379748E-2</v>
      </c>
      <c r="E108" s="38">
        <f>INDEX('PD Term Structure'!$E$17:$N$26,MATCH($I108,'PD Term Structure'!$D$17:$D$26,0),MATCH(E$1,'PD Term Structure'!$E$16:$N$16,0))</f>
        <v>6.3676339047537805E-2</v>
      </c>
      <c r="F108" s="39">
        <v>10000</v>
      </c>
      <c r="G108" s="82">
        <f>VLOOKUP(B108,'LGD parameters'!$C$7:$E$11,2,FALSE)</f>
        <v>0.41974816177099206</v>
      </c>
      <c r="H108" s="82">
        <f>(NORMSDIST(-LN(G108)+(VLOOKUP(B108,LGD_para,3,FALSE)^2/2))/VLOOKUP(B108,LGD_para,3,FALSE)-(VLOOKUP(B108,LGD_para,3,FALSE))-G108*(NORMSDIST(-LN(G108)+(VLOOKUP(B108,LGD_para,3,FALSE)^2/2))/VLOOKUP(B108,LGD_para,3,FALSE)))/LOGNORMDIST(1,LN(G108),(VLOOKUP(B108,LGD_para,3,FALSE)))*'LGD parameters'!$D$11</f>
        <v>0.33381167072117429</v>
      </c>
      <c r="I108" s="106">
        <f>VLOOKUP(C108,'PD Term Structure'!$C$5:$D$14,2,TRUE)</f>
        <v>4</v>
      </c>
      <c r="J108" s="43">
        <f>VLOOKUP(I108,'Master rating scale'!$G$5:$H$14,2,FALSE)</f>
        <v>4</v>
      </c>
      <c r="K108" s="62">
        <f t="shared" si="8"/>
        <v>4.3261362293283145E-3</v>
      </c>
      <c r="M108" s="110">
        <f>VLOOKUP(D108,'PD Term Structure'!$C$5:$D$14,2,TRUE)</f>
        <v>4</v>
      </c>
      <c r="N108" s="110">
        <f t="shared" si="9"/>
        <v>4</v>
      </c>
      <c r="O108" s="107">
        <f t="shared" si="10"/>
        <v>4.3261362293283145E-3</v>
      </c>
      <c r="Q108" s="110">
        <f>VLOOKUP(E108,'PD Term Structure'!$C$5:$D$14,2,TRUE)</f>
        <v>5</v>
      </c>
      <c r="R108" s="110">
        <f t="shared" si="11"/>
        <v>5</v>
      </c>
      <c r="S108" s="107">
        <f t="shared" si="12"/>
        <v>5.4076702866603932E-3</v>
      </c>
    </row>
    <row r="109" spans="1:19" ht="14">
      <c r="A109" s="36">
        <v>350539</v>
      </c>
      <c r="B109" s="81" t="s">
        <v>19</v>
      </c>
      <c r="C109" s="38">
        <v>4.2999999999999997E-2</v>
      </c>
      <c r="D109" s="38">
        <f>INDEX('PD Term Structure'!$E$17:$N$26,MATCH($I109,'PD Term Structure'!$D$17:$D$26,0),MATCH(D$1,'PD Term Structure'!$E$16:$N$16,0))</f>
        <v>5.2108354430379748E-2</v>
      </c>
      <c r="E109" s="38">
        <f>INDEX('PD Term Structure'!$E$17:$N$26,MATCH($I109,'PD Term Structure'!$D$17:$D$26,0),MATCH(E$1,'PD Term Structure'!$E$16:$N$16,0))</f>
        <v>6.3676339047537805E-2</v>
      </c>
      <c r="F109" s="39">
        <v>10000</v>
      </c>
      <c r="G109" s="82">
        <f>VLOOKUP(B109,'LGD parameters'!$C$7:$E$11,2,FALSE)</f>
        <v>0.41974816177099206</v>
      </c>
      <c r="H109" s="82">
        <f>(NORMSDIST(-LN(G109)+(VLOOKUP(B109,LGD_para,3,FALSE)^2/2))/VLOOKUP(B109,LGD_para,3,FALSE)-(VLOOKUP(B109,LGD_para,3,FALSE))-G109*(NORMSDIST(-LN(G109)+(VLOOKUP(B109,LGD_para,3,FALSE)^2/2))/VLOOKUP(B109,LGD_para,3,FALSE)))/LOGNORMDIST(1,LN(G109),(VLOOKUP(B109,LGD_para,3,FALSE)))*'LGD parameters'!$D$11</f>
        <v>0.33381167072117429</v>
      </c>
      <c r="I109" s="106">
        <f>VLOOKUP(C109,'PD Term Structure'!$C$5:$D$14,2,TRUE)</f>
        <v>4</v>
      </c>
      <c r="J109" s="43">
        <f>VLOOKUP(I109,'Master rating scale'!$G$5:$H$14,2,FALSE)</f>
        <v>4</v>
      </c>
      <c r="K109" s="62">
        <f t="shared" si="8"/>
        <v>4.3261362293283145E-3</v>
      </c>
      <c r="M109" s="110">
        <f>VLOOKUP(D109,'PD Term Structure'!$C$5:$D$14,2,TRUE)</f>
        <v>4</v>
      </c>
      <c r="N109" s="110">
        <f t="shared" si="9"/>
        <v>4</v>
      </c>
      <c r="O109" s="107">
        <f t="shared" si="10"/>
        <v>4.3261362293283145E-3</v>
      </c>
      <c r="Q109" s="110">
        <f>VLOOKUP(E109,'PD Term Structure'!$C$5:$D$14,2,TRUE)</f>
        <v>5</v>
      </c>
      <c r="R109" s="110">
        <f t="shared" si="11"/>
        <v>5</v>
      </c>
      <c r="S109" s="107">
        <f t="shared" si="12"/>
        <v>5.4076702866603932E-3</v>
      </c>
    </row>
    <row r="110" spans="1:19" ht="14">
      <c r="A110" s="36">
        <v>362321</v>
      </c>
      <c r="B110" s="81" t="s">
        <v>19</v>
      </c>
      <c r="C110" s="38">
        <v>4.2999999999999997E-2</v>
      </c>
      <c r="D110" s="38">
        <f>INDEX('PD Term Structure'!$E$17:$N$26,MATCH($I110,'PD Term Structure'!$D$17:$D$26,0),MATCH(D$1,'PD Term Structure'!$E$16:$N$16,0))</f>
        <v>5.2108354430379748E-2</v>
      </c>
      <c r="E110" s="38">
        <f>INDEX('PD Term Structure'!$E$17:$N$26,MATCH($I110,'PD Term Structure'!$D$17:$D$26,0),MATCH(E$1,'PD Term Structure'!$E$16:$N$16,0))</f>
        <v>6.3676339047537805E-2</v>
      </c>
      <c r="F110" s="39">
        <v>10000</v>
      </c>
      <c r="G110" s="82">
        <f>VLOOKUP(B110,'LGD parameters'!$C$7:$E$11,2,FALSE)</f>
        <v>0.41974816177099206</v>
      </c>
      <c r="H110" s="82">
        <f>(NORMSDIST(-LN(G110)+(VLOOKUP(B110,LGD_para,3,FALSE)^2/2))/VLOOKUP(B110,LGD_para,3,FALSE)-(VLOOKUP(B110,LGD_para,3,FALSE))-G110*(NORMSDIST(-LN(G110)+(VLOOKUP(B110,LGD_para,3,FALSE)^2/2))/VLOOKUP(B110,LGD_para,3,FALSE)))/LOGNORMDIST(1,LN(G110),(VLOOKUP(B110,LGD_para,3,FALSE)))*'LGD parameters'!$D$11</f>
        <v>0.33381167072117429</v>
      </c>
      <c r="I110" s="106">
        <f>VLOOKUP(C110,'PD Term Structure'!$C$5:$D$14,2,TRUE)</f>
        <v>4</v>
      </c>
      <c r="J110" s="43">
        <f>VLOOKUP(I110,'Master rating scale'!$G$5:$H$14,2,FALSE)</f>
        <v>4</v>
      </c>
      <c r="K110" s="62">
        <f t="shared" si="8"/>
        <v>4.3261362293283145E-3</v>
      </c>
      <c r="M110" s="110">
        <f>VLOOKUP(D110,'PD Term Structure'!$C$5:$D$14,2,TRUE)</f>
        <v>4</v>
      </c>
      <c r="N110" s="110">
        <f t="shared" si="9"/>
        <v>4</v>
      </c>
      <c r="O110" s="107">
        <f t="shared" si="10"/>
        <v>4.3261362293283145E-3</v>
      </c>
      <c r="Q110" s="110">
        <f>VLOOKUP(E110,'PD Term Structure'!$C$5:$D$14,2,TRUE)</f>
        <v>5</v>
      </c>
      <c r="R110" s="110">
        <f t="shared" si="11"/>
        <v>5</v>
      </c>
      <c r="S110" s="107">
        <f t="shared" si="12"/>
        <v>5.4076702866603932E-3</v>
      </c>
    </row>
    <row r="111" spans="1:19" ht="14">
      <c r="A111" s="36">
        <v>370766</v>
      </c>
      <c r="B111" s="81" t="s">
        <v>19</v>
      </c>
      <c r="C111" s="38">
        <v>4.2999999999999997E-2</v>
      </c>
      <c r="D111" s="38">
        <f>INDEX('PD Term Structure'!$E$17:$N$26,MATCH($I111,'PD Term Structure'!$D$17:$D$26,0),MATCH(D$1,'PD Term Structure'!$E$16:$N$16,0))</f>
        <v>5.2108354430379748E-2</v>
      </c>
      <c r="E111" s="38">
        <f>INDEX('PD Term Structure'!$E$17:$N$26,MATCH($I111,'PD Term Structure'!$D$17:$D$26,0),MATCH(E$1,'PD Term Structure'!$E$16:$N$16,0))</f>
        <v>6.3676339047537805E-2</v>
      </c>
      <c r="F111" s="39">
        <v>10000</v>
      </c>
      <c r="G111" s="82">
        <f>VLOOKUP(B111,'LGD parameters'!$C$7:$E$11,2,FALSE)</f>
        <v>0.41974816177099206</v>
      </c>
      <c r="H111" s="82">
        <f>(NORMSDIST(-LN(G111)+(VLOOKUP(B111,LGD_para,3,FALSE)^2/2))/VLOOKUP(B111,LGD_para,3,FALSE)-(VLOOKUP(B111,LGD_para,3,FALSE))-G111*(NORMSDIST(-LN(G111)+(VLOOKUP(B111,LGD_para,3,FALSE)^2/2))/VLOOKUP(B111,LGD_para,3,FALSE)))/LOGNORMDIST(1,LN(G111),(VLOOKUP(B111,LGD_para,3,FALSE)))*'LGD parameters'!$D$11</f>
        <v>0.33381167072117429</v>
      </c>
      <c r="I111" s="106">
        <f>VLOOKUP(C111,'PD Term Structure'!$C$5:$D$14,2,TRUE)</f>
        <v>4</v>
      </c>
      <c r="J111" s="43">
        <f>VLOOKUP(I111,'Master rating scale'!$G$5:$H$14,2,FALSE)</f>
        <v>4</v>
      </c>
      <c r="K111" s="62">
        <f t="shared" si="8"/>
        <v>4.3261362293283145E-3</v>
      </c>
      <c r="M111" s="110">
        <f>VLOOKUP(D111,'PD Term Structure'!$C$5:$D$14,2,TRUE)</f>
        <v>4</v>
      </c>
      <c r="N111" s="110">
        <f t="shared" si="9"/>
        <v>4</v>
      </c>
      <c r="O111" s="107">
        <f t="shared" si="10"/>
        <v>4.3261362293283145E-3</v>
      </c>
      <c r="Q111" s="110">
        <f>VLOOKUP(E111,'PD Term Structure'!$C$5:$D$14,2,TRUE)</f>
        <v>5</v>
      </c>
      <c r="R111" s="110">
        <f t="shared" si="11"/>
        <v>5</v>
      </c>
      <c r="S111" s="107">
        <f t="shared" si="12"/>
        <v>5.4076702866603932E-3</v>
      </c>
    </row>
    <row r="112" spans="1:19" ht="14">
      <c r="A112" s="36">
        <v>371890</v>
      </c>
      <c r="B112" s="81" t="s">
        <v>19</v>
      </c>
      <c r="C112" s="38">
        <v>4.2999999999999997E-2</v>
      </c>
      <c r="D112" s="38">
        <f>INDEX('PD Term Structure'!$E$17:$N$26,MATCH($I112,'PD Term Structure'!$D$17:$D$26,0),MATCH(D$1,'PD Term Structure'!$E$16:$N$16,0))</f>
        <v>5.2108354430379748E-2</v>
      </c>
      <c r="E112" s="38">
        <f>INDEX('PD Term Structure'!$E$17:$N$26,MATCH($I112,'PD Term Structure'!$D$17:$D$26,0),MATCH(E$1,'PD Term Structure'!$E$16:$N$16,0))</f>
        <v>6.3676339047537805E-2</v>
      </c>
      <c r="F112" s="39">
        <v>10000</v>
      </c>
      <c r="G112" s="82">
        <f>VLOOKUP(B112,'LGD parameters'!$C$7:$E$11,2,FALSE)</f>
        <v>0.41974816177099206</v>
      </c>
      <c r="H112" s="82">
        <f>(NORMSDIST(-LN(G112)+(VLOOKUP(B112,LGD_para,3,FALSE)^2/2))/VLOOKUP(B112,LGD_para,3,FALSE)-(VLOOKUP(B112,LGD_para,3,FALSE))-G112*(NORMSDIST(-LN(G112)+(VLOOKUP(B112,LGD_para,3,FALSE)^2/2))/VLOOKUP(B112,LGD_para,3,FALSE)))/LOGNORMDIST(1,LN(G112),(VLOOKUP(B112,LGD_para,3,FALSE)))*'LGD parameters'!$D$11</f>
        <v>0.33381167072117429</v>
      </c>
      <c r="I112" s="106">
        <f>VLOOKUP(C112,'PD Term Structure'!$C$5:$D$14,2,TRUE)</f>
        <v>4</v>
      </c>
      <c r="J112" s="43">
        <f>VLOOKUP(I112,'Master rating scale'!$G$5:$H$14,2,FALSE)</f>
        <v>4</v>
      </c>
      <c r="K112" s="62">
        <f t="shared" si="8"/>
        <v>4.3261362293283145E-3</v>
      </c>
      <c r="M112" s="110">
        <f>VLOOKUP(D112,'PD Term Structure'!$C$5:$D$14,2,TRUE)</f>
        <v>4</v>
      </c>
      <c r="N112" s="110">
        <f t="shared" si="9"/>
        <v>4</v>
      </c>
      <c r="O112" s="107">
        <f t="shared" si="10"/>
        <v>4.3261362293283145E-3</v>
      </c>
      <c r="Q112" s="110">
        <f>VLOOKUP(E112,'PD Term Structure'!$C$5:$D$14,2,TRUE)</f>
        <v>5</v>
      </c>
      <c r="R112" s="110">
        <f t="shared" si="11"/>
        <v>5</v>
      </c>
      <c r="S112" s="107">
        <f t="shared" si="12"/>
        <v>5.4076702866603932E-3</v>
      </c>
    </row>
    <row r="113" spans="1:19" ht="14">
      <c r="A113" s="36">
        <v>379291</v>
      </c>
      <c r="B113" s="81" t="s">
        <v>19</v>
      </c>
      <c r="C113" s="38">
        <v>4.2999999999999997E-2</v>
      </c>
      <c r="D113" s="38">
        <f>INDEX('PD Term Structure'!$E$17:$N$26,MATCH($I113,'PD Term Structure'!$D$17:$D$26,0),MATCH(D$1,'PD Term Structure'!$E$16:$N$16,0))</f>
        <v>5.2108354430379748E-2</v>
      </c>
      <c r="E113" s="38">
        <f>INDEX('PD Term Structure'!$E$17:$N$26,MATCH($I113,'PD Term Structure'!$D$17:$D$26,0),MATCH(E$1,'PD Term Structure'!$E$16:$N$16,0))</f>
        <v>6.3676339047537805E-2</v>
      </c>
      <c r="F113" s="39">
        <v>10000</v>
      </c>
      <c r="G113" s="82">
        <f>VLOOKUP(B113,'LGD parameters'!$C$7:$E$11,2,FALSE)</f>
        <v>0.41974816177099206</v>
      </c>
      <c r="H113" s="82">
        <f>(NORMSDIST(-LN(G113)+(VLOOKUP(B113,LGD_para,3,FALSE)^2/2))/VLOOKUP(B113,LGD_para,3,FALSE)-(VLOOKUP(B113,LGD_para,3,FALSE))-G113*(NORMSDIST(-LN(G113)+(VLOOKUP(B113,LGD_para,3,FALSE)^2/2))/VLOOKUP(B113,LGD_para,3,FALSE)))/LOGNORMDIST(1,LN(G113),(VLOOKUP(B113,LGD_para,3,FALSE)))*'LGD parameters'!$D$11</f>
        <v>0.33381167072117429</v>
      </c>
      <c r="I113" s="106">
        <f>VLOOKUP(C113,'PD Term Structure'!$C$5:$D$14,2,TRUE)</f>
        <v>4</v>
      </c>
      <c r="J113" s="43">
        <f>VLOOKUP(I113,'Master rating scale'!$G$5:$H$14,2,FALSE)</f>
        <v>4</v>
      </c>
      <c r="K113" s="62">
        <f t="shared" si="8"/>
        <v>4.3261362293283145E-3</v>
      </c>
      <c r="M113" s="110">
        <f>VLOOKUP(D113,'PD Term Structure'!$C$5:$D$14,2,TRUE)</f>
        <v>4</v>
      </c>
      <c r="N113" s="110">
        <f t="shared" si="9"/>
        <v>4</v>
      </c>
      <c r="O113" s="107">
        <f t="shared" si="10"/>
        <v>4.3261362293283145E-3</v>
      </c>
      <c r="Q113" s="110">
        <f>VLOOKUP(E113,'PD Term Structure'!$C$5:$D$14,2,TRUE)</f>
        <v>5</v>
      </c>
      <c r="R113" s="110">
        <f t="shared" si="11"/>
        <v>5</v>
      </c>
      <c r="S113" s="107">
        <f t="shared" si="12"/>
        <v>5.4076702866603932E-3</v>
      </c>
    </row>
    <row r="114" spans="1:19" ht="14">
      <c r="A114" s="36">
        <v>423623</v>
      </c>
      <c r="B114" s="81" t="s">
        <v>19</v>
      </c>
      <c r="C114" s="38">
        <v>4.2999999999999997E-2</v>
      </c>
      <c r="D114" s="38">
        <f>INDEX('PD Term Structure'!$E$17:$N$26,MATCH($I114,'PD Term Structure'!$D$17:$D$26,0),MATCH(D$1,'PD Term Structure'!$E$16:$N$16,0))</f>
        <v>5.2108354430379748E-2</v>
      </c>
      <c r="E114" s="38">
        <f>INDEX('PD Term Structure'!$E$17:$N$26,MATCH($I114,'PD Term Structure'!$D$17:$D$26,0),MATCH(E$1,'PD Term Structure'!$E$16:$N$16,0))</f>
        <v>6.3676339047537805E-2</v>
      </c>
      <c r="F114" s="39">
        <v>10000</v>
      </c>
      <c r="G114" s="82">
        <f>VLOOKUP(B114,'LGD parameters'!$C$7:$E$11,2,FALSE)</f>
        <v>0.41974816177099206</v>
      </c>
      <c r="H114" s="82">
        <f>(NORMSDIST(-LN(G114)+(VLOOKUP(B114,LGD_para,3,FALSE)^2/2))/VLOOKUP(B114,LGD_para,3,FALSE)-(VLOOKUP(B114,LGD_para,3,FALSE))-G114*(NORMSDIST(-LN(G114)+(VLOOKUP(B114,LGD_para,3,FALSE)^2/2))/VLOOKUP(B114,LGD_para,3,FALSE)))/LOGNORMDIST(1,LN(G114),(VLOOKUP(B114,LGD_para,3,FALSE)))*'LGD parameters'!$D$11</f>
        <v>0.33381167072117429</v>
      </c>
      <c r="I114" s="106">
        <f>VLOOKUP(C114,'PD Term Structure'!$C$5:$D$14,2,TRUE)</f>
        <v>4</v>
      </c>
      <c r="J114" s="43">
        <f>VLOOKUP(I114,'Master rating scale'!$G$5:$H$14,2,FALSE)</f>
        <v>4</v>
      </c>
      <c r="K114" s="62">
        <f t="shared" si="8"/>
        <v>4.3261362293283145E-3</v>
      </c>
      <c r="M114" s="110">
        <f>VLOOKUP(D114,'PD Term Structure'!$C$5:$D$14,2,TRUE)</f>
        <v>4</v>
      </c>
      <c r="N114" s="110">
        <f t="shared" si="9"/>
        <v>4</v>
      </c>
      <c r="O114" s="107">
        <f t="shared" si="10"/>
        <v>4.3261362293283145E-3</v>
      </c>
      <c r="Q114" s="110">
        <f>VLOOKUP(E114,'PD Term Structure'!$C$5:$D$14,2,TRUE)</f>
        <v>5</v>
      </c>
      <c r="R114" s="110">
        <f t="shared" si="11"/>
        <v>5</v>
      </c>
      <c r="S114" s="107">
        <f t="shared" si="12"/>
        <v>5.4076702866603932E-3</v>
      </c>
    </row>
    <row r="115" spans="1:19" ht="14">
      <c r="A115" s="36">
        <v>63168</v>
      </c>
      <c r="B115" s="81" t="s">
        <v>19</v>
      </c>
      <c r="C115" s="38">
        <v>4.2999999999999997E-2</v>
      </c>
      <c r="D115" s="38">
        <f>INDEX('PD Term Structure'!$E$17:$N$26,MATCH($I115,'PD Term Structure'!$D$17:$D$26,0),MATCH(D$1,'PD Term Structure'!$E$16:$N$16,0))</f>
        <v>5.2108354430379748E-2</v>
      </c>
      <c r="E115" s="38">
        <f>INDEX('PD Term Structure'!$E$17:$N$26,MATCH($I115,'PD Term Structure'!$D$17:$D$26,0),MATCH(E$1,'PD Term Structure'!$E$16:$N$16,0))</f>
        <v>6.3676339047537805E-2</v>
      </c>
      <c r="F115" s="39">
        <v>10260</v>
      </c>
      <c r="G115" s="82">
        <f>VLOOKUP(B115,'LGD parameters'!$C$7:$E$11,2,FALSE)</f>
        <v>0.41974816177099206</v>
      </c>
      <c r="H115" s="82">
        <f>(NORMSDIST(-LN(G115)+(VLOOKUP(B115,LGD_para,3,FALSE)^2/2))/VLOOKUP(B115,LGD_para,3,FALSE)-(VLOOKUP(B115,LGD_para,3,FALSE))-G115*(NORMSDIST(-LN(G115)+(VLOOKUP(B115,LGD_para,3,FALSE)^2/2))/VLOOKUP(B115,LGD_para,3,FALSE)))/LOGNORMDIST(1,LN(G115),(VLOOKUP(B115,LGD_para,3,FALSE)))*'LGD parameters'!$D$11</f>
        <v>0.33381167072117429</v>
      </c>
      <c r="I115" s="106">
        <f>VLOOKUP(C115,'PD Term Structure'!$C$5:$D$14,2,TRUE)</f>
        <v>4</v>
      </c>
      <c r="J115" s="43">
        <f>VLOOKUP(I115,'Master rating scale'!$G$5:$H$14,2,FALSE)</f>
        <v>4</v>
      </c>
      <c r="K115" s="62">
        <f t="shared" si="8"/>
        <v>4.4386157712908506E-3</v>
      </c>
      <c r="M115" s="110">
        <f>VLOOKUP(D115,'PD Term Structure'!$C$5:$D$14,2,TRUE)</f>
        <v>4</v>
      </c>
      <c r="N115" s="110">
        <f t="shared" si="9"/>
        <v>4</v>
      </c>
      <c r="O115" s="107">
        <f t="shared" si="10"/>
        <v>4.4386157712908506E-3</v>
      </c>
      <c r="Q115" s="110">
        <f>VLOOKUP(E115,'PD Term Structure'!$C$5:$D$14,2,TRUE)</f>
        <v>5</v>
      </c>
      <c r="R115" s="110">
        <f t="shared" si="11"/>
        <v>5</v>
      </c>
      <c r="S115" s="107">
        <f t="shared" si="12"/>
        <v>5.5482697141135632E-3</v>
      </c>
    </row>
    <row r="116" spans="1:19" ht="14">
      <c r="A116" s="36">
        <v>79087</v>
      </c>
      <c r="B116" s="81" t="s">
        <v>19</v>
      </c>
      <c r="C116" s="38">
        <v>4.2999999999999997E-2</v>
      </c>
      <c r="D116" s="38">
        <f>INDEX('PD Term Structure'!$E$17:$N$26,MATCH($I116,'PD Term Structure'!$D$17:$D$26,0),MATCH(D$1,'PD Term Structure'!$E$16:$N$16,0))</f>
        <v>5.2108354430379748E-2</v>
      </c>
      <c r="E116" s="38">
        <f>INDEX('PD Term Structure'!$E$17:$N$26,MATCH($I116,'PD Term Structure'!$D$17:$D$26,0),MATCH(E$1,'PD Term Structure'!$E$16:$N$16,0))</f>
        <v>6.3676339047537805E-2</v>
      </c>
      <c r="F116" s="39">
        <v>11008.5</v>
      </c>
      <c r="G116" s="82">
        <f>VLOOKUP(B116,'LGD parameters'!$C$7:$E$11,2,FALSE)</f>
        <v>0.41974816177099206</v>
      </c>
      <c r="H116" s="82">
        <f>(NORMSDIST(-LN(G116)+(VLOOKUP(B116,LGD_para,3,FALSE)^2/2))/VLOOKUP(B116,LGD_para,3,FALSE)-(VLOOKUP(B116,LGD_para,3,FALSE))-G116*(NORMSDIST(-LN(G116)+(VLOOKUP(B116,LGD_para,3,FALSE)^2/2))/VLOOKUP(B116,LGD_para,3,FALSE)))/LOGNORMDIST(1,LN(G116),(VLOOKUP(B116,LGD_para,3,FALSE)))*'LGD parameters'!$D$11</f>
        <v>0.33381167072117429</v>
      </c>
      <c r="I116" s="106">
        <f>VLOOKUP(C116,'PD Term Structure'!$C$5:$D$14,2,TRUE)</f>
        <v>4</v>
      </c>
      <c r="J116" s="43">
        <f>VLOOKUP(I116,'Master rating scale'!$G$5:$H$14,2,FALSE)</f>
        <v>4</v>
      </c>
      <c r="K116" s="62">
        <f t="shared" si="8"/>
        <v>4.7624270680560752E-3</v>
      </c>
      <c r="M116" s="110">
        <f>VLOOKUP(D116,'PD Term Structure'!$C$5:$D$14,2,TRUE)</f>
        <v>4</v>
      </c>
      <c r="N116" s="110">
        <f t="shared" si="9"/>
        <v>4</v>
      </c>
      <c r="O116" s="107">
        <f t="shared" si="10"/>
        <v>4.7624270680560752E-3</v>
      </c>
      <c r="Q116" s="110">
        <f>VLOOKUP(E116,'PD Term Structure'!$C$5:$D$14,2,TRUE)</f>
        <v>5</v>
      </c>
      <c r="R116" s="110">
        <f t="shared" si="11"/>
        <v>5</v>
      </c>
      <c r="S116" s="107">
        <f t="shared" si="12"/>
        <v>5.9530338350700937E-3</v>
      </c>
    </row>
    <row r="117" spans="1:19" ht="14">
      <c r="A117" s="36">
        <v>115222</v>
      </c>
      <c r="B117" s="81" t="s">
        <v>19</v>
      </c>
      <c r="C117" s="38">
        <v>4.2999999999999997E-2</v>
      </c>
      <c r="D117" s="38">
        <f>INDEX('PD Term Structure'!$E$17:$N$26,MATCH($I117,'PD Term Structure'!$D$17:$D$26,0),MATCH(D$1,'PD Term Structure'!$E$16:$N$16,0))</f>
        <v>5.2108354430379748E-2</v>
      </c>
      <c r="E117" s="38">
        <f>INDEX('PD Term Structure'!$E$17:$N$26,MATCH($I117,'PD Term Structure'!$D$17:$D$26,0),MATCH(E$1,'PD Term Structure'!$E$16:$N$16,0))</f>
        <v>6.3676339047537805E-2</v>
      </c>
      <c r="F117" s="39">
        <v>11250</v>
      </c>
      <c r="G117" s="82">
        <f>VLOOKUP(B117,'LGD parameters'!$C$7:$E$11,2,FALSE)</f>
        <v>0.41974816177099206</v>
      </c>
      <c r="H117" s="82">
        <f>(NORMSDIST(-LN(G117)+(VLOOKUP(B117,LGD_para,3,FALSE)^2/2))/VLOOKUP(B117,LGD_para,3,FALSE)-(VLOOKUP(B117,LGD_para,3,FALSE))-G117*(NORMSDIST(-LN(G117)+(VLOOKUP(B117,LGD_para,3,FALSE)^2/2))/VLOOKUP(B117,LGD_para,3,FALSE)))/LOGNORMDIST(1,LN(G117),(VLOOKUP(B117,LGD_para,3,FALSE)))*'LGD parameters'!$D$11</f>
        <v>0.33381167072117429</v>
      </c>
      <c r="I117" s="106">
        <f>VLOOKUP(C117,'PD Term Structure'!$C$5:$D$14,2,TRUE)</f>
        <v>4</v>
      </c>
      <c r="J117" s="43">
        <f>VLOOKUP(I117,'Master rating scale'!$G$5:$H$14,2,FALSE)</f>
        <v>4</v>
      </c>
      <c r="K117" s="62">
        <f t="shared" si="8"/>
        <v>4.8669032579943539E-3</v>
      </c>
      <c r="M117" s="110">
        <f>VLOOKUP(D117,'PD Term Structure'!$C$5:$D$14,2,TRUE)</f>
        <v>4</v>
      </c>
      <c r="N117" s="110">
        <f t="shared" si="9"/>
        <v>4</v>
      </c>
      <c r="O117" s="107">
        <f t="shared" si="10"/>
        <v>4.8669032579943539E-3</v>
      </c>
      <c r="Q117" s="110">
        <f>VLOOKUP(E117,'PD Term Structure'!$C$5:$D$14,2,TRUE)</f>
        <v>5</v>
      </c>
      <c r="R117" s="110">
        <f t="shared" si="11"/>
        <v>5</v>
      </c>
      <c r="S117" s="107">
        <f t="shared" si="12"/>
        <v>6.0836290724929423E-3</v>
      </c>
    </row>
    <row r="118" spans="1:19" ht="14">
      <c r="A118" s="36">
        <v>245395</v>
      </c>
      <c r="B118" s="81" t="s">
        <v>19</v>
      </c>
      <c r="C118" s="38">
        <v>4.2999999999999997E-2</v>
      </c>
      <c r="D118" s="38">
        <f>INDEX('PD Term Structure'!$E$17:$N$26,MATCH($I118,'PD Term Structure'!$D$17:$D$26,0),MATCH(D$1,'PD Term Structure'!$E$16:$N$16,0))</f>
        <v>5.2108354430379748E-2</v>
      </c>
      <c r="E118" s="38">
        <f>INDEX('PD Term Structure'!$E$17:$N$26,MATCH($I118,'PD Term Structure'!$D$17:$D$26,0),MATCH(E$1,'PD Term Structure'!$E$16:$N$16,0))</f>
        <v>6.3676339047537805E-2</v>
      </c>
      <c r="F118" s="39">
        <v>11259.5</v>
      </c>
      <c r="G118" s="82">
        <f>VLOOKUP(B118,'LGD parameters'!$C$7:$E$11,2,FALSE)</f>
        <v>0.41974816177099206</v>
      </c>
      <c r="H118" s="82">
        <f>(NORMSDIST(-LN(G118)+(VLOOKUP(B118,LGD_para,3,FALSE)^2/2))/VLOOKUP(B118,LGD_para,3,FALSE)-(VLOOKUP(B118,LGD_para,3,FALSE))-G118*(NORMSDIST(-LN(G118)+(VLOOKUP(B118,LGD_para,3,FALSE)^2/2))/VLOOKUP(B118,LGD_para,3,FALSE)))/LOGNORMDIST(1,LN(G118),(VLOOKUP(B118,LGD_para,3,FALSE)))*'LGD parameters'!$D$11</f>
        <v>0.33381167072117429</v>
      </c>
      <c r="I118" s="106">
        <f>VLOOKUP(C118,'PD Term Structure'!$C$5:$D$14,2,TRUE)</f>
        <v>4</v>
      </c>
      <c r="J118" s="43">
        <f>VLOOKUP(I118,'Master rating scale'!$G$5:$H$14,2,FALSE)</f>
        <v>4</v>
      </c>
      <c r="K118" s="62">
        <f t="shared" si="8"/>
        <v>4.8710130874122159E-3</v>
      </c>
      <c r="M118" s="110">
        <f>VLOOKUP(D118,'PD Term Structure'!$C$5:$D$14,2,TRUE)</f>
        <v>4</v>
      </c>
      <c r="N118" s="110">
        <f t="shared" si="9"/>
        <v>4</v>
      </c>
      <c r="O118" s="107">
        <f t="shared" si="10"/>
        <v>4.8710130874122159E-3</v>
      </c>
      <c r="Q118" s="110">
        <f>VLOOKUP(E118,'PD Term Structure'!$C$5:$D$14,2,TRUE)</f>
        <v>5</v>
      </c>
      <c r="R118" s="110">
        <f t="shared" si="11"/>
        <v>5</v>
      </c>
      <c r="S118" s="107">
        <f t="shared" si="12"/>
        <v>6.0887663592652701E-3</v>
      </c>
    </row>
    <row r="119" spans="1:19" ht="14">
      <c r="A119" s="36">
        <v>91652</v>
      </c>
      <c r="B119" s="81" t="s">
        <v>19</v>
      </c>
      <c r="C119" s="38">
        <v>4.2999999999999997E-2</v>
      </c>
      <c r="D119" s="38">
        <f>INDEX('PD Term Structure'!$E$17:$N$26,MATCH($I119,'PD Term Structure'!$D$17:$D$26,0),MATCH(D$1,'PD Term Structure'!$E$16:$N$16,0))</f>
        <v>5.2108354430379748E-2</v>
      </c>
      <c r="E119" s="38">
        <f>INDEX('PD Term Structure'!$E$17:$N$26,MATCH($I119,'PD Term Structure'!$D$17:$D$26,0),MATCH(E$1,'PD Term Structure'!$E$16:$N$16,0))</f>
        <v>6.3676339047537805E-2</v>
      </c>
      <c r="F119" s="39">
        <v>12000</v>
      </c>
      <c r="G119" s="82">
        <f>VLOOKUP(B119,'LGD parameters'!$C$7:$E$11,2,FALSE)</f>
        <v>0.41974816177099206</v>
      </c>
      <c r="H119" s="82">
        <f>(NORMSDIST(-LN(G119)+(VLOOKUP(B119,LGD_para,3,FALSE)^2/2))/VLOOKUP(B119,LGD_para,3,FALSE)-(VLOOKUP(B119,LGD_para,3,FALSE))-G119*(NORMSDIST(-LN(G119)+(VLOOKUP(B119,LGD_para,3,FALSE)^2/2))/VLOOKUP(B119,LGD_para,3,FALSE)))/LOGNORMDIST(1,LN(G119),(VLOOKUP(B119,LGD_para,3,FALSE)))*'LGD parameters'!$D$11</f>
        <v>0.33381167072117429</v>
      </c>
      <c r="I119" s="106">
        <f>VLOOKUP(C119,'PD Term Structure'!$C$5:$D$14,2,TRUE)</f>
        <v>4</v>
      </c>
      <c r="J119" s="43">
        <f>VLOOKUP(I119,'Master rating scale'!$G$5:$H$14,2,FALSE)</f>
        <v>4</v>
      </c>
      <c r="K119" s="62">
        <f t="shared" si="8"/>
        <v>5.1913634751939771E-3</v>
      </c>
      <c r="M119" s="110">
        <f>VLOOKUP(D119,'PD Term Structure'!$C$5:$D$14,2,TRUE)</f>
        <v>4</v>
      </c>
      <c r="N119" s="110">
        <f t="shared" si="9"/>
        <v>4</v>
      </c>
      <c r="O119" s="107">
        <f t="shared" si="10"/>
        <v>5.1913634751939771E-3</v>
      </c>
      <c r="Q119" s="110">
        <f>VLOOKUP(E119,'PD Term Structure'!$C$5:$D$14,2,TRUE)</f>
        <v>5</v>
      </c>
      <c r="R119" s="110">
        <f t="shared" si="11"/>
        <v>5</v>
      </c>
      <c r="S119" s="107">
        <f t="shared" si="12"/>
        <v>6.4892043439924718E-3</v>
      </c>
    </row>
    <row r="120" spans="1:19" ht="14">
      <c r="A120" s="36">
        <v>341410</v>
      </c>
      <c r="B120" s="81" t="s">
        <v>19</v>
      </c>
      <c r="C120" s="38">
        <v>4.2999999999999997E-2</v>
      </c>
      <c r="D120" s="38">
        <f>INDEX('PD Term Structure'!$E$17:$N$26,MATCH($I120,'PD Term Structure'!$D$17:$D$26,0),MATCH(D$1,'PD Term Structure'!$E$16:$N$16,0))</f>
        <v>5.2108354430379748E-2</v>
      </c>
      <c r="E120" s="38">
        <f>INDEX('PD Term Structure'!$E$17:$N$26,MATCH($I120,'PD Term Structure'!$D$17:$D$26,0),MATCH(E$1,'PD Term Structure'!$E$16:$N$16,0))</f>
        <v>6.3676339047537805E-2</v>
      </c>
      <c r="F120" s="39">
        <v>12500</v>
      </c>
      <c r="G120" s="82">
        <f>VLOOKUP(B120,'LGD parameters'!$C$7:$E$11,2,FALSE)</f>
        <v>0.41974816177099206</v>
      </c>
      <c r="H120" s="82">
        <f>(NORMSDIST(-LN(G120)+(VLOOKUP(B120,LGD_para,3,FALSE)^2/2))/VLOOKUP(B120,LGD_para,3,FALSE)-(VLOOKUP(B120,LGD_para,3,FALSE))-G120*(NORMSDIST(-LN(G120)+(VLOOKUP(B120,LGD_para,3,FALSE)^2/2))/VLOOKUP(B120,LGD_para,3,FALSE)))/LOGNORMDIST(1,LN(G120),(VLOOKUP(B120,LGD_para,3,FALSE)))*'LGD parameters'!$D$11</f>
        <v>0.33381167072117429</v>
      </c>
      <c r="I120" s="106">
        <f>VLOOKUP(C120,'PD Term Structure'!$C$5:$D$14,2,TRUE)</f>
        <v>4</v>
      </c>
      <c r="J120" s="43">
        <f>VLOOKUP(I120,'Master rating scale'!$G$5:$H$14,2,FALSE)</f>
        <v>4</v>
      </c>
      <c r="K120" s="62">
        <f t="shared" si="8"/>
        <v>5.4076702866603932E-3</v>
      </c>
      <c r="M120" s="110">
        <f>VLOOKUP(D120,'PD Term Structure'!$C$5:$D$14,2,TRUE)</f>
        <v>4</v>
      </c>
      <c r="N120" s="110">
        <f t="shared" si="9"/>
        <v>4</v>
      </c>
      <c r="O120" s="107">
        <f t="shared" si="10"/>
        <v>5.4076702866603932E-3</v>
      </c>
      <c r="Q120" s="110">
        <f>VLOOKUP(E120,'PD Term Structure'!$C$5:$D$14,2,TRUE)</f>
        <v>5</v>
      </c>
      <c r="R120" s="110">
        <f t="shared" si="11"/>
        <v>5</v>
      </c>
      <c r="S120" s="107">
        <f t="shared" si="12"/>
        <v>6.7595878583254915E-3</v>
      </c>
    </row>
    <row r="121" spans="1:19" ht="14">
      <c r="A121" s="36">
        <v>179103</v>
      </c>
      <c r="B121" s="81" t="s">
        <v>19</v>
      </c>
      <c r="C121" s="38">
        <v>4.2999999999999997E-2</v>
      </c>
      <c r="D121" s="38">
        <f>INDEX('PD Term Structure'!$E$17:$N$26,MATCH($I121,'PD Term Structure'!$D$17:$D$26,0),MATCH(D$1,'PD Term Structure'!$E$16:$N$16,0))</f>
        <v>5.2108354430379748E-2</v>
      </c>
      <c r="E121" s="38">
        <f>INDEX('PD Term Structure'!$E$17:$N$26,MATCH($I121,'PD Term Structure'!$D$17:$D$26,0),MATCH(E$1,'PD Term Structure'!$E$16:$N$16,0))</f>
        <v>6.3676339047537805E-2</v>
      </c>
      <c r="F121" s="39">
        <v>13025</v>
      </c>
      <c r="G121" s="82">
        <f>VLOOKUP(B121,'LGD parameters'!$C$7:$E$11,2,FALSE)</f>
        <v>0.41974816177099206</v>
      </c>
      <c r="H121" s="82">
        <f>(NORMSDIST(-LN(G121)+(VLOOKUP(B121,LGD_para,3,FALSE)^2/2))/VLOOKUP(B121,LGD_para,3,FALSE)-(VLOOKUP(B121,LGD_para,3,FALSE))-G121*(NORMSDIST(-LN(G121)+(VLOOKUP(B121,LGD_para,3,FALSE)^2/2))/VLOOKUP(B121,LGD_para,3,FALSE)))/LOGNORMDIST(1,LN(G121),(VLOOKUP(B121,LGD_para,3,FALSE)))*'LGD parameters'!$D$11</f>
        <v>0.33381167072117429</v>
      </c>
      <c r="I121" s="106">
        <f>VLOOKUP(C121,'PD Term Structure'!$C$5:$D$14,2,TRUE)</f>
        <v>4</v>
      </c>
      <c r="J121" s="43">
        <f>VLOOKUP(I121,'Master rating scale'!$G$5:$H$14,2,FALSE)</f>
        <v>4</v>
      </c>
      <c r="K121" s="62">
        <f t="shared" si="8"/>
        <v>5.6347924387001296E-3</v>
      </c>
      <c r="M121" s="110">
        <f>VLOOKUP(D121,'PD Term Structure'!$C$5:$D$14,2,TRUE)</f>
        <v>4</v>
      </c>
      <c r="N121" s="110">
        <f t="shared" si="9"/>
        <v>4</v>
      </c>
      <c r="O121" s="107">
        <f t="shared" si="10"/>
        <v>5.6347924387001296E-3</v>
      </c>
      <c r="Q121" s="110">
        <f>VLOOKUP(E121,'PD Term Structure'!$C$5:$D$14,2,TRUE)</f>
        <v>5</v>
      </c>
      <c r="R121" s="110">
        <f t="shared" si="11"/>
        <v>5</v>
      </c>
      <c r="S121" s="107">
        <f t="shared" si="12"/>
        <v>7.0434905483751625E-3</v>
      </c>
    </row>
    <row r="122" spans="1:19" ht="14">
      <c r="A122" s="36">
        <v>167742</v>
      </c>
      <c r="B122" s="81" t="s">
        <v>19</v>
      </c>
      <c r="C122" s="38">
        <v>4.2999999999999997E-2</v>
      </c>
      <c r="D122" s="38">
        <f>INDEX('PD Term Structure'!$E$17:$N$26,MATCH($I122,'PD Term Structure'!$D$17:$D$26,0),MATCH(D$1,'PD Term Structure'!$E$16:$N$16,0))</f>
        <v>5.2108354430379748E-2</v>
      </c>
      <c r="E122" s="38">
        <f>INDEX('PD Term Structure'!$E$17:$N$26,MATCH($I122,'PD Term Structure'!$D$17:$D$26,0),MATCH(E$1,'PD Term Structure'!$E$16:$N$16,0))</f>
        <v>6.3676339047537805E-2</v>
      </c>
      <c r="F122" s="39">
        <v>13087.5</v>
      </c>
      <c r="G122" s="82">
        <f>VLOOKUP(B122,'LGD parameters'!$C$7:$E$11,2,FALSE)</f>
        <v>0.41974816177099206</v>
      </c>
      <c r="H122" s="82">
        <f>(NORMSDIST(-LN(G122)+(VLOOKUP(B122,LGD_para,3,FALSE)^2/2))/VLOOKUP(B122,LGD_para,3,FALSE)-(VLOOKUP(B122,LGD_para,3,FALSE))-G122*(NORMSDIST(-LN(G122)+(VLOOKUP(B122,LGD_para,3,FALSE)^2/2))/VLOOKUP(B122,LGD_para,3,FALSE)))/LOGNORMDIST(1,LN(G122),(VLOOKUP(B122,LGD_para,3,FALSE)))*'LGD parameters'!$D$11</f>
        <v>0.33381167072117429</v>
      </c>
      <c r="I122" s="106">
        <f>VLOOKUP(C122,'PD Term Structure'!$C$5:$D$14,2,TRUE)</f>
        <v>4</v>
      </c>
      <c r="J122" s="43">
        <f>VLOOKUP(I122,'Master rating scale'!$G$5:$H$14,2,FALSE)</f>
        <v>4</v>
      </c>
      <c r="K122" s="62">
        <f t="shared" si="8"/>
        <v>5.6618307901334314E-3</v>
      </c>
      <c r="M122" s="110">
        <f>VLOOKUP(D122,'PD Term Structure'!$C$5:$D$14,2,TRUE)</f>
        <v>4</v>
      </c>
      <c r="N122" s="110">
        <f t="shared" si="9"/>
        <v>4</v>
      </c>
      <c r="O122" s="107">
        <f t="shared" si="10"/>
        <v>5.6618307901334314E-3</v>
      </c>
      <c r="Q122" s="110">
        <f>VLOOKUP(E122,'PD Term Structure'!$C$5:$D$14,2,TRUE)</f>
        <v>5</v>
      </c>
      <c r="R122" s="110">
        <f t="shared" si="11"/>
        <v>5</v>
      </c>
      <c r="S122" s="107">
        <f t="shared" si="12"/>
        <v>7.0772884876667891E-3</v>
      </c>
    </row>
    <row r="123" spans="1:19" ht="14">
      <c r="A123" s="36">
        <v>1218</v>
      </c>
      <c r="B123" s="81" t="s">
        <v>19</v>
      </c>
      <c r="C123" s="38">
        <v>4.2999999999999997E-2</v>
      </c>
      <c r="D123" s="38">
        <f>INDEX('PD Term Structure'!$E$17:$N$26,MATCH($I123,'PD Term Structure'!$D$17:$D$26,0),MATCH(D$1,'PD Term Structure'!$E$16:$N$16,0))</f>
        <v>5.2108354430379748E-2</v>
      </c>
      <c r="E123" s="38">
        <f>INDEX('PD Term Structure'!$E$17:$N$26,MATCH($I123,'PD Term Structure'!$D$17:$D$26,0),MATCH(E$1,'PD Term Structure'!$E$16:$N$16,0))</f>
        <v>6.3676339047537805E-2</v>
      </c>
      <c r="F123" s="39">
        <v>14064.188</v>
      </c>
      <c r="G123" s="82">
        <f>VLOOKUP(B123,'LGD parameters'!$C$7:$E$11,2,FALSE)</f>
        <v>0.41974816177099206</v>
      </c>
      <c r="H123" s="82">
        <f>(NORMSDIST(-LN(G123)+(VLOOKUP(B123,LGD_para,3,FALSE)^2/2))/VLOOKUP(B123,LGD_para,3,FALSE)-(VLOOKUP(B123,LGD_para,3,FALSE))-G123*(NORMSDIST(-LN(G123)+(VLOOKUP(B123,LGD_para,3,FALSE)^2/2))/VLOOKUP(B123,LGD_para,3,FALSE)))/LOGNORMDIST(1,LN(G123),(VLOOKUP(B123,LGD_para,3,FALSE)))*'LGD parameters'!$D$11</f>
        <v>0.33381167072117429</v>
      </c>
      <c r="I123" s="106">
        <f>VLOOKUP(C123,'PD Term Structure'!$C$5:$D$14,2,TRUE)</f>
        <v>4</v>
      </c>
      <c r="J123" s="43">
        <f>VLOOKUP(I123,'Master rating scale'!$G$5:$H$14,2,FALSE)</f>
        <v>4</v>
      </c>
      <c r="K123" s="62">
        <f t="shared" si="8"/>
        <v>6.084359324288453E-3</v>
      </c>
      <c r="M123" s="110">
        <f>VLOOKUP(D123,'PD Term Structure'!$C$5:$D$14,2,TRUE)</f>
        <v>4</v>
      </c>
      <c r="N123" s="110">
        <f t="shared" si="9"/>
        <v>4</v>
      </c>
      <c r="O123" s="107">
        <f t="shared" si="10"/>
        <v>6.084359324288453E-3</v>
      </c>
      <c r="Q123" s="110">
        <f>VLOOKUP(E123,'PD Term Structure'!$C$5:$D$14,2,TRUE)</f>
        <v>5</v>
      </c>
      <c r="R123" s="110">
        <f t="shared" si="11"/>
        <v>5</v>
      </c>
      <c r="S123" s="107">
        <f t="shared" si="12"/>
        <v>7.6054491553605667E-3</v>
      </c>
    </row>
    <row r="124" spans="1:19" ht="14">
      <c r="A124" s="36">
        <v>336710</v>
      </c>
      <c r="B124" s="81" t="s">
        <v>19</v>
      </c>
      <c r="C124" s="38">
        <v>4.2999999999999997E-2</v>
      </c>
      <c r="D124" s="38">
        <f>INDEX('PD Term Structure'!$E$17:$N$26,MATCH($I124,'PD Term Structure'!$D$17:$D$26,0),MATCH(D$1,'PD Term Structure'!$E$16:$N$16,0))</f>
        <v>5.2108354430379748E-2</v>
      </c>
      <c r="E124" s="38">
        <f>INDEX('PD Term Structure'!$E$17:$N$26,MATCH($I124,'PD Term Structure'!$D$17:$D$26,0),MATCH(E$1,'PD Term Structure'!$E$16:$N$16,0))</f>
        <v>6.3676339047537805E-2</v>
      </c>
      <c r="F124" s="39">
        <v>14400</v>
      </c>
      <c r="G124" s="82">
        <f>VLOOKUP(B124,'LGD parameters'!$C$7:$E$11,2,FALSE)</f>
        <v>0.41974816177099206</v>
      </c>
      <c r="H124" s="82">
        <f>(NORMSDIST(-LN(G124)+(VLOOKUP(B124,LGD_para,3,FALSE)^2/2))/VLOOKUP(B124,LGD_para,3,FALSE)-(VLOOKUP(B124,LGD_para,3,FALSE))-G124*(NORMSDIST(-LN(G124)+(VLOOKUP(B124,LGD_para,3,FALSE)^2/2))/VLOOKUP(B124,LGD_para,3,FALSE)))/LOGNORMDIST(1,LN(G124),(VLOOKUP(B124,LGD_para,3,FALSE)))*'LGD parameters'!$D$11</f>
        <v>0.33381167072117429</v>
      </c>
      <c r="I124" s="106">
        <f>VLOOKUP(C124,'PD Term Structure'!$C$5:$D$14,2,TRUE)</f>
        <v>4</v>
      </c>
      <c r="J124" s="43">
        <f>VLOOKUP(I124,'Master rating scale'!$G$5:$H$14,2,FALSE)</f>
        <v>4</v>
      </c>
      <c r="K124" s="62">
        <f t="shared" si="8"/>
        <v>6.2296361702327734E-3</v>
      </c>
      <c r="M124" s="110">
        <f>VLOOKUP(D124,'PD Term Structure'!$C$5:$D$14,2,TRUE)</f>
        <v>4</v>
      </c>
      <c r="N124" s="110">
        <f t="shared" si="9"/>
        <v>4</v>
      </c>
      <c r="O124" s="107">
        <f t="shared" si="10"/>
        <v>6.2296361702327734E-3</v>
      </c>
      <c r="Q124" s="110">
        <f>VLOOKUP(E124,'PD Term Structure'!$C$5:$D$14,2,TRUE)</f>
        <v>5</v>
      </c>
      <c r="R124" s="110">
        <f t="shared" si="11"/>
        <v>5</v>
      </c>
      <c r="S124" s="107">
        <f t="shared" si="12"/>
        <v>7.7870452127909665E-3</v>
      </c>
    </row>
    <row r="125" spans="1:19" ht="14">
      <c r="A125" s="36">
        <v>34084</v>
      </c>
      <c r="B125" s="81" t="s">
        <v>19</v>
      </c>
      <c r="C125" s="38">
        <v>4.2999999999999997E-2</v>
      </c>
      <c r="D125" s="38">
        <f>INDEX('PD Term Structure'!$E$17:$N$26,MATCH($I125,'PD Term Structure'!$D$17:$D$26,0),MATCH(D$1,'PD Term Structure'!$E$16:$N$16,0))</f>
        <v>5.2108354430379748E-2</v>
      </c>
      <c r="E125" s="38">
        <f>INDEX('PD Term Structure'!$E$17:$N$26,MATCH($I125,'PD Term Structure'!$D$17:$D$26,0),MATCH(E$1,'PD Term Structure'!$E$16:$N$16,0))</f>
        <v>6.3676339047537805E-2</v>
      </c>
      <c r="F125" s="39">
        <v>15000</v>
      </c>
      <c r="G125" s="82">
        <f>VLOOKUP(B125,'LGD parameters'!$C$7:$E$11,2,FALSE)</f>
        <v>0.41974816177099206</v>
      </c>
      <c r="H125" s="82">
        <f>(NORMSDIST(-LN(G125)+(VLOOKUP(B125,LGD_para,3,FALSE)^2/2))/VLOOKUP(B125,LGD_para,3,FALSE)-(VLOOKUP(B125,LGD_para,3,FALSE))-G125*(NORMSDIST(-LN(G125)+(VLOOKUP(B125,LGD_para,3,FALSE)^2/2))/VLOOKUP(B125,LGD_para,3,FALSE)))/LOGNORMDIST(1,LN(G125),(VLOOKUP(B125,LGD_para,3,FALSE)))*'LGD parameters'!$D$11</f>
        <v>0.33381167072117429</v>
      </c>
      <c r="I125" s="106">
        <f>VLOOKUP(C125,'PD Term Structure'!$C$5:$D$14,2,TRUE)</f>
        <v>4</v>
      </c>
      <c r="J125" s="43">
        <f>VLOOKUP(I125,'Master rating scale'!$G$5:$H$14,2,FALSE)</f>
        <v>4</v>
      </c>
      <c r="K125" s="62">
        <f t="shared" si="8"/>
        <v>6.4892043439924718E-3</v>
      </c>
      <c r="M125" s="110">
        <f>VLOOKUP(D125,'PD Term Structure'!$C$5:$D$14,2,TRUE)</f>
        <v>4</v>
      </c>
      <c r="N125" s="110">
        <f t="shared" si="9"/>
        <v>4</v>
      </c>
      <c r="O125" s="107">
        <f t="shared" si="10"/>
        <v>6.4892043439924718E-3</v>
      </c>
      <c r="Q125" s="110">
        <f>VLOOKUP(E125,'PD Term Structure'!$C$5:$D$14,2,TRUE)</f>
        <v>5</v>
      </c>
      <c r="R125" s="110">
        <f t="shared" si="11"/>
        <v>5</v>
      </c>
      <c r="S125" s="107">
        <f t="shared" si="12"/>
        <v>8.1115054299905898E-3</v>
      </c>
    </row>
    <row r="126" spans="1:19" ht="14">
      <c r="A126" s="36">
        <v>231192</v>
      </c>
      <c r="B126" s="81" t="s">
        <v>19</v>
      </c>
      <c r="C126" s="38">
        <v>4.2999999999999997E-2</v>
      </c>
      <c r="D126" s="38">
        <f>INDEX('PD Term Structure'!$E$17:$N$26,MATCH($I126,'PD Term Structure'!$D$17:$D$26,0),MATCH(D$1,'PD Term Structure'!$E$16:$N$16,0))</f>
        <v>5.2108354430379748E-2</v>
      </c>
      <c r="E126" s="38">
        <f>INDEX('PD Term Structure'!$E$17:$N$26,MATCH($I126,'PD Term Structure'!$D$17:$D$26,0),MATCH(E$1,'PD Term Structure'!$E$16:$N$16,0))</f>
        <v>6.3676339047537805E-2</v>
      </c>
      <c r="F126" s="39">
        <v>15000</v>
      </c>
      <c r="G126" s="82">
        <f>VLOOKUP(B126,'LGD parameters'!$C$7:$E$11,2,FALSE)</f>
        <v>0.41974816177099206</v>
      </c>
      <c r="H126" s="82">
        <f>(NORMSDIST(-LN(G126)+(VLOOKUP(B126,LGD_para,3,FALSE)^2/2))/VLOOKUP(B126,LGD_para,3,FALSE)-(VLOOKUP(B126,LGD_para,3,FALSE))-G126*(NORMSDIST(-LN(G126)+(VLOOKUP(B126,LGD_para,3,FALSE)^2/2))/VLOOKUP(B126,LGD_para,3,FALSE)))/LOGNORMDIST(1,LN(G126),(VLOOKUP(B126,LGD_para,3,FALSE)))*'LGD parameters'!$D$11</f>
        <v>0.33381167072117429</v>
      </c>
      <c r="I126" s="106">
        <f>VLOOKUP(C126,'PD Term Structure'!$C$5:$D$14,2,TRUE)</f>
        <v>4</v>
      </c>
      <c r="J126" s="43">
        <f>VLOOKUP(I126,'Master rating scale'!$G$5:$H$14,2,FALSE)</f>
        <v>4</v>
      </c>
      <c r="K126" s="62">
        <f t="shared" si="8"/>
        <v>6.4892043439924718E-3</v>
      </c>
      <c r="M126" s="110">
        <f>VLOOKUP(D126,'PD Term Structure'!$C$5:$D$14,2,TRUE)</f>
        <v>4</v>
      </c>
      <c r="N126" s="110">
        <f t="shared" si="9"/>
        <v>4</v>
      </c>
      <c r="O126" s="107">
        <f t="shared" si="10"/>
        <v>6.4892043439924718E-3</v>
      </c>
      <c r="Q126" s="110">
        <f>VLOOKUP(E126,'PD Term Structure'!$C$5:$D$14,2,TRUE)</f>
        <v>5</v>
      </c>
      <c r="R126" s="110">
        <f t="shared" si="11"/>
        <v>5</v>
      </c>
      <c r="S126" s="107">
        <f t="shared" si="12"/>
        <v>8.1115054299905898E-3</v>
      </c>
    </row>
    <row r="127" spans="1:19" ht="14">
      <c r="A127" s="36">
        <v>465170</v>
      </c>
      <c r="B127" s="81" t="s">
        <v>19</v>
      </c>
      <c r="C127" s="38">
        <v>4.2999999999999997E-2</v>
      </c>
      <c r="D127" s="38">
        <f>INDEX('PD Term Structure'!$E$17:$N$26,MATCH($I127,'PD Term Structure'!$D$17:$D$26,0),MATCH(D$1,'PD Term Structure'!$E$16:$N$16,0))</f>
        <v>5.2108354430379748E-2</v>
      </c>
      <c r="E127" s="38">
        <f>INDEX('PD Term Structure'!$E$17:$N$26,MATCH($I127,'PD Term Structure'!$D$17:$D$26,0),MATCH(E$1,'PD Term Structure'!$E$16:$N$16,0))</f>
        <v>6.3676339047537805E-2</v>
      </c>
      <c r="F127" s="39">
        <v>15000</v>
      </c>
      <c r="G127" s="82">
        <f>VLOOKUP(B127,'LGD parameters'!$C$7:$E$11,2,FALSE)</f>
        <v>0.41974816177099206</v>
      </c>
      <c r="H127" s="82">
        <f>(NORMSDIST(-LN(G127)+(VLOOKUP(B127,LGD_para,3,FALSE)^2/2))/VLOOKUP(B127,LGD_para,3,FALSE)-(VLOOKUP(B127,LGD_para,3,FALSE))-G127*(NORMSDIST(-LN(G127)+(VLOOKUP(B127,LGD_para,3,FALSE)^2/2))/VLOOKUP(B127,LGD_para,3,FALSE)))/LOGNORMDIST(1,LN(G127),(VLOOKUP(B127,LGD_para,3,FALSE)))*'LGD parameters'!$D$11</f>
        <v>0.33381167072117429</v>
      </c>
      <c r="I127" s="106">
        <f>VLOOKUP(C127,'PD Term Structure'!$C$5:$D$14,2,TRUE)</f>
        <v>4</v>
      </c>
      <c r="J127" s="43">
        <f>VLOOKUP(I127,'Master rating scale'!$G$5:$H$14,2,FALSE)</f>
        <v>4</v>
      </c>
      <c r="K127" s="62">
        <f t="shared" si="8"/>
        <v>6.4892043439924718E-3</v>
      </c>
      <c r="M127" s="110">
        <f>VLOOKUP(D127,'PD Term Structure'!$C$5:$D$14,2,TRUE)</f>
        <v>4</v>
      </c>
      <c r="N127" s="110">
        <f t="shared" si="9"/>
        <v>4</v>
      </c>
      <c r="O127" s="107">
        <f t="shared" si="10"/>
        <v>6.4892043439924718E-3</v>
      </c>
      <c r="Q127" s="110">
        <f>VLOOKUP(E127,'PD Term Structure'!$C$5:$D$14,2,TRUE)</f>
        <v>5</v>
      </c>
      <c r="R127" s="110">
        <f t="shared" si="11"/>
        <v>5</v>
      </c>
      <c r="S127" s="107">
        <f t="shared" si="12"/>
        <v>8.1115054299905898E-3</v>
      </c>
    </row>
    <row r="128" spans="1:19" ht="14">
      <c r="A128" s="36">
        <v>341493</v>
      </c>
      <c r="B128" s="81" t="s">
        <v>19</v>
      </c>
      <c r="C128" s="38">
        <v>1.4105306E-2</v>
      </c>
      <c r="D128" s="38">
        <f>INDEX('PD Term Structure'!$E$17:$N$26,MATCH($I128,'PD Term Structure'!$D$17:$D$26,0),MATCH(D$1,'PD Term Structure'!$E$16:$N$16,0))</f>
        <v>2.8507278481012657E-2</v>
      </c>
      <c r="E128" s="38">
        <f>INDEX('PD Term Structure'!$E$17:$N$26,MATCH($I128,'PD Term Structure'!$D$17:$D$26,0),MATCH(E$1,'PD Term Structure'!$E$16:$N$16,0))</f>
        <v>4.7291677269631509E-2</v>
      </c>
      <c r="F128" s="39">
        <v>15327</v>
      </c>
      <c r="G128" s="82">
        <f>VLOOKUP(B128,'LGD parameters'!$C$7:$E$11,2,FALSE)</f>
        <v>0.41974816177099206</v>
      </c>
      <c r="H128" s="82">
        <f>(NORMSDIST(-LN(G128)+(VLOOKUP(B128,LGD_para,3,FALSE)^2/2))/VLOOKUP(B128,LGD_para,3,FALSE)-(VLOOKUP(B128,LGD_para,3,FALSE))-G128*(NORMSDIST(-LN(G128)+(VLOOKUP(B128,LGD_para,3,FALSE)^2/2))/VLOOKUP(B128,LGD_para,3,FALSE)))/LOGNORMDIST(1,LN(G128),(VLOOKUP(B128,LGD_para,3,FALSE)))*'LGD parameters'!$D$11</f>
        <v>0.33381167072117429</v>
      </c>
      <c r="I128" s="106">
        <f>VLOOKUP(C128,'PD Term Structure'!$C$5:$D$14,2,TRUE)</f>
        <v>3</v>
      </c>
      <c r="J128" s="43">
        <f>VLOOKUP(I128,'Master rating scale'!$G$5:$H$14,2,FALSE)</f>
        <v>3</v>
      </c>
      <c r="K128" s="62">
        <f t="shared" si="8"/>
        <v>4.9730017490186313E-3</v>
      </c>
      <c r="M128" s="110">
        <f>VLOOKUP(D128,'PD Term Structure'!$C$5:$D$14,2,TRUE)</f>
        <v>4</v>
      </c>
      <c r="N128" s="110">
        <f t="shared" si="9"/>
        <v>4</v>
      </c>
      <c r="O128" s="107">
        <f t="shared" si="10"/>
        <v>6.6306689986915081E-3</v>
      </c>
      <c r="Q128" s="110">
        <f>VLOOKUP(E128,'PD Term Structure'!$C$5:$D$14,2,TRUE)</f>
        <v>4</v>
      </c>
      <c r="R128" s="110">
        <f t="shared" si="11"/>
        <v>4</v>
      </c>
      <c r="S128" s="107">
        <f t="shared" si="12"/>
        <v>6.6306689986915081E-3</v>
      </c>
    </row>
    <row r="129" spans="1:19" ht="14">
      <c r="A129" s="36">
        <v>187848</v>
      </c>
      <c r="B129" s="81" t="s">
        <v>19</v>
      </c>
      <c r="C129" s="38">
        <v>1.4105306E-2</v>
      </c>
      <c r="D129" s="38">
        <f>INDEX('PD Term Structure'!$E$17:$N$26,MATCH($I129,'PD Term Structure'!$D$17:$D$26,0),MATCH(D$1,'PD Term Structure'!$E$16:$N$16,0))</f>
        <v>2.8507278481012657E-2</v>
      </c>
      <c r="E129" s="38">
        <f>INDEX('PD Term Structure'!$E$17:$N$26,MATCH($I129,'PD Term Structure'!$D$17:$D$26,0),MATCH(E$1,'PD Term Structure'!$E$16:$N$16,0))</f>
        <v>4.7291677269631509E-2</v>
      </c>
      <c r="F129" s="39">
        <v>15455</v>
      </c>
      <c r="G129" s="82">
        <f>VLOOKUP(B129,'LGD parameters'!$C$7:$E$11,2,FALSE)</f>
        <v>0.41974816177099206</v>
      </c>
      <c r="H129" s="82">
        <f>(NORMSDIST(-LN(G129)+(VLOOKUP(B129,LGD_para,3,FALSE)^2/2))/VLOOKUP(B129,LGD_para,3,FALSE)-(VLOOKUP(B129,LGD_para,3,FALSE))-G129*(NORMSDIST(-LN(G129)+(VLOOKUP(B129,LGD_para,3,FALSE)^2/2))/VLOOKUP(B129,LGD_para,3,FALSE)))/LOGNORMDIST(1,LN(G129),(VLOOKUP(B129,LGD_para,3,FALSE)))*'LGD parameters'!$D$11</f>
        <v>0.33381167072117429</v>
      </c>
      <c r="I129" s="106">
        <f>VLOOKUP(C129,'PD Term Structure'!$C$5:$D$14,2,TRUE)</f>
        <v>3</v>
      </c>
      <c r="J129" s="43">
        <f>VLOOKUP(I129,'Master rating scale'!$G$5:$H$14,2,FALSE)</f>
        <v>3</v>
      </c>
      <c r="K129" s="62">
        <f t="shared" si="8"/>
        <v>5.0145326568201819E-3</v>
      </c>
      <c r="M129" s="110">
        <f>VLOOKUP(D129,'PD Term Structure'!$C$5:$D$14,2,TRUE)</f>
        <v>4</v>
      </c>
      <c r="N129" s="110">
        <f t="shared" si="9"/>
        <v>4</v>
      </c>
      <c r="O129" s="107">
        <f t="shared" si="10"/>
        <v>6.6860435424269098E-3</v>
      </c>
      <c r="Q129" s="110">
        <f>VLOOKUP(E129,'PD Term Structure'!$C$5:$D$14,2,TRUE)</f>
        <v>4</v>
      </c>
      <c r="R129" s="110">
        <f t="shared" si="11"/>
        <v>4</v>
      </c>
      <c r="S129" s="107">
        <f t="shared" si="12"/>
        <v>6.6860435424269098E-3</v>
      </c>
    </row>
    <row r="130" spans="1:19" ht="14">
      <c r="A130" s="36">
        <v>187862</v>
      </c>
      <c r="B130" s="81" t="s">
        <v>19</v>
      </c>
      <c r="C130" s="38">
        <v>1.4105306E-2</v>
      </c>
      <c r="D130" s="38">
        <f>INDEX('PD Term Structure'!$E$17:$N$26,MATCH($I130,'PD Term Structure'!$D$17:$D$26,0),MATCH(D$1,'PD Term Structure'!$E$16:$N$16,0))</f>
        <v>2.8507278481012657E-2</v>
      </c>
      <c r="E130" s="38">
        <f>INDEX('PD Term Structure'!$E$17:$N$26,MATCH($I130,'PD Term Structure'!$D$17:$D$26,0),MATCH(E$1,'PD Term Structure'!$E$16:$N$16,0))</f>
        <v>4.7291677269631509E-2</v>
      </c>
      <c r="F130" s="39">
        <v>15594.5</v>
      </c>
      <c r="G130" s="82">
        <f>VLOOKUP(B130,'LGD parameters'!$C$7:$E$11,2,FALSE)</f>
        <v>0.41974816177099206</v>
      </c>
      <c r="H130" s="82">
        <f>(NORMSDIST(-LN(G130)+(VLOOKUP(B130,LGD_para,3,FALSE)^2/2))/VLOOKUP(B130,LGD_para,3,FALSE)-(VLOOKUP(B130,LGD_para,3,FALSE))-G130*(NORMSDIST(-LN(G130)+(VLOOKUP(B130,LGD_para,3,FALSE)^2/2))/VLOOKUP(B130,LGD_para,3,FALSE)))/LOGNORMDIST(1,LN(G130),(VLOOKUP(B130,LGD_para,3,FALSE)))*'LGD parameters'!$D$11</f>
        <v>0.33381167072117429</v>
      </c>
      <c r="I130" s="106">
        <f>VLOOKUP(C130,'PD Term Structure'!$C$5:$D$14,2,TRUE)</f>
        <v>3</v>
      </c>
      <c r="J130" s="43">
        <f>VLOOKUP(I130,'Master rating scale'!$G$5:$H$14,2,FALSE)</f>
        <v>3</v>
      </c>
      <c r="K130" s="62">
        <f t="shared" si="8"/>
        <v>5.0597948571195301E-3</v>
      </c>
      <c r="M130" s="110">
        <f>VLOOKUP(D130,'PD Term Structure'!$C$5:$D$14,2,TRUE)</f>
        <v>4</v>
      </c>
      <c r="N130" s="110">
        <f t="shared" si="9"/>
        <v>4</v>
      </c>
      <c r="O130" s="107">
        <f t="shared" si="10"/>
        <v>6.7463931428260399E-3</v>
      </c>
      <c r="Q130" s="110">
        <f>VLOOKUP(E130,'PD Term Structure'!$C$5:$D$14,2,TRUE)</f>
        <v>4</v>
      </c>
      <c r="R130" s="110">
        <f t="shared" si="11"/>
        <v>4</v>
      </c>
      <c r="S130" s="107">
        <f t="shared" si="12"/>
        <v>6.7463931428260399E-3</v>
      </c>
    </row>
    <row r="131" spans="1:19" ht="14">
      <c r="A131" s="36">
        <v>249253</v>
      </c>
      <c r="B131" s="81" t="s">
        <v>19</v>
      </c>
      <c r="C131" s="38">
        <v>1.4105306E-2</v>
      </c>
      <c r="D131" s="38">
        <f>INDEX('PD Term Structure'!$E$17:$N$26,MATCH($I131,'PD Term Structure'!$D$17:$D$26,0),MATCH(D$1,'PD Term Structure'!$E$16:$N$16,0))</f>
        <v>2.8507278481012657E-2</v>
      </c>
      <c r="E131" s="38">
        <f>INDEX('PD Term Structure'!$E$17:$N$26,MATCH($I131,'PD Term Structure'!$D$17:$D$26,0),MATCH(E$1,'PD Term Structure'!$E$16:$N$16,0))</f>
        <v>4.7291677269631509E-2</v>
      </c>
      <c r="F131" s="39">
        <v>16500</v>
      </c>
      <c r="G131" s="82">
        <f>VLOOKUP(B131,'LGD parameters'!$C$7:$E$11,2,FALSE)</f>
        <v>0.41974816177099206</v>
      </c>
      <c r="H131" s="82">
        <f>(NORMSDIST(-LN(G131)+(VLOOKUP(B131,LGD_para,3,FALSE)^2/2))/VLOOKUP(B131,LGD_para,3,FALSE)-(VLOOKUP(B131,LGD_para,3,FALSE))-G131*(NORMSDIST(-LN(G131)+(VLOOKUP(B131,LGD_para,3,FALSE)^2/2))/VLOOKUP(B131,LGD_para,3,FALSE)))/LOGNORMDIST(1,LN(G131),(VLOOKUP(B131,LGD_para,3,FALSE)))*'LGD parameters'!$D$11</f>
        <v>0.33381167072117429</v>
      </c>
      <c r="I131" s="106">
        <f>VLOOKUP(C131,'PD Term Structure'!$C$5:$D$14,2,TRUE)</f>
        <v>3</v>
      </c>
      <c r="J131" s="43">
        <f>VLOOKUP(I131,'Master rating scale'!$G$5:$H$14,2,FALSE)</f>
        <v>3</v>
      </c>
      <c r="K131" s="62">
        <f t="shared" ref="K131:K194" si="14">F131/$F$231*J131</f>
        <v>5.3535935837937896E-3</v>
      </c>
      <c r="M131" s="110">
        <f>VLOOKUP(D131,'PD Term Structure'!$C$5:$D$14,2,TRUE)</f>
        <v>4</v>
      </c>
      <c r="N131" s="110">
        <f t="shared" si="9"/>
        <v>4</v>
      </c>
      <c r="O131" s="107">
        <f t="shared" si="10"/>
        <v>7.1381247783917192E-3</v>
      </c>
      <c r="Q131" s="110">
        <f>VLOOKUP(E131,'PD Term Structure'!$C$5:$D$14,2,TRUE)</f>
        <v>4</v>
      </c>
      <c r="R131" s="110">
        <f t="shared" si="11"/>
        <v>4</v>
      </c>
      <c r="S131" s="107">
        <f t="shared" si="12"/>
        <v>7.1381247783917192E-3</v>
      </c>
    </row>
    <row r="132" spans="1:19" ht="14">
      <c r="A132" s="36">
        <v>32467</v>
      </c>
      <c r="B132" s="81" t="s">
        <v>19</v>
      </c>
      <c r="C132" s="38">
        <v>1.4105306E-2</v>
      </c>
      <c r="D132" s="38">
        <f>INDEX('PD Term Structure'!$E$17:$N$26,MATCH($I132,'PD Term Structure'!$D$17:$D$26,0),MATCH(D$1,'PD Term Structure'!$E$16:$N$16,0))</f>
        <v>2.8507278481012657E-2</v>
      </c>
      <c r="E132" s="38">
        <f>INDEX('PD Term Structure'!$E$17:$N$26,MATCH($I132,'PD Term Structure'!$D$17:$D$26,0),MATCH(E$1,'PD Term Structure'!$E$16:$N$16,0))</f>
        <v>4.7291677269631509E-2</v>
      </c>
      <c r="F132" s="39">
        <v>16875.5</v>
      </c>
      <c r="G132" s="82">
        <f>VLOOKUP(B132,'LGD parameters'!$C$7:$E$11,2,FALSE)</f>
        <v>0.41974816177099206</v>
      </c>
      <c r="H132" s="82">
        <f>(NORMSDIST(-LN(G132)+(VLOOKUP(B132,LGD_para,3,FALSE)^2/2))/VLOOKUP(B132,LGD_para,3,FALSE)-(VLOOKUP(B132,LGD_para,3,FALSE))-G132*(NORMSDIST(-LN(G132)+(VLOOKUP(B132,LGD_para,3,FALSE)^2/2))/VLOOKUP(B132,LGD_para,3,FALSE)))/LOGNORMDIST(1,LN(G132),(VLOOKUP(B132,LGD_para,3,FALSE)))*'LGD parameters'!$D$11</f>
        <v>0.33381167072117429</v>
      </c>
      <c r="I132" s="106">
        <f>VLOOKUP(C132,'PD Term Structure'!$C$5:$D$14,2,TRUE)</f>
        <v>3</v>
      </c>
      <c r="J132" s="43">
        <f>VLOOKUP(I132,'Master rating scale'!$G$5:$H$14,2,FALSE)</f>
        <v>3</v>
      </c>
      <c r="K132" s="62">
        <f t="shared" si="14"/>
        <v>5.4754283953522484E-3</v>
      </c>
      <c r="M132" s="110">
        <f>VLOOKUP(D132,'PD Term Structure'!$C$5:$D$14,2,TRUE)</f>
        <v>4</v>
      </c>
      <c r="N132" s="110">
        <f t="shared" ref="N132:N195" si="15">M132</f>
        <v>4</v>
      </c>
      <c r="O132" s="107">
        <f t="shared" ref="O132:O195" si="16">$F132/$F$231*N132</f>
        <v>7.3005711938029976E-3</v>
      </c>
      <c r="Q132" s="110">
        <f>VLOOKUP(E132,'PD Term Structure'!$C$5:$D$14,2,TRUE)</f>
        <v>4</v>
      </c>
      <c r="R132" s="110">
        <f t="shared" ref="R132:R195" si="17">Q132</f>
        <v>4</v>
      </c>
      <c r="S132" s="107">
        <f t="shared" ref="S132:S195" si="18">$F132/$F$231*R132</f>
        <v>7.3005711938029976E-3</v>
      </c>
    </row>
    <row r="133" spans="1:19" ht="14">
      <c r="A133" s="36">
        <v>373602</v>
      </c>
      <c r="B133" s="81" t="s">
        <v>19</v>
      </c>
      <c r="C133" s="38">
        <v>1.4105306E-2</v>
      </c>
      <c r="D133" s="38">
        <f>INDEX('PD Term Structure'!$E$17:$N$26,MATCH($I133,'PD Term Structure'!$D$17:$D$26,0),MATCH(D$1,'PD Term Structure'!$E$16:$N$16,0))</f>
        <v>2.8507278481012657E-2</v>
      </c>
      <c r="E133" s="38">
        <f>INDEX('PD Term Structure'!$E$17:$N$26,MATCH($I133,'PD Term Structure'!$D$17:$D$26,0),MATCH(E$1,'PD Term Structure'!$E$16:$N$16,0))</f>
        <v>4.7291677269631509E-2</v>
      </c>
      <c r="F133" s="39">
        <v>17000</v>
      </c>
      <c r="G133" s="82">
        <f>VLOOKUP(B133,'LGD parameters'!$C$7:$E$11,2,FALSE)</f>
        <v>0.41974816177099206</v>
      </c>
      <c r="H133" s="82">
        <f>(NORMSDIST(-LN(G133)+(VLOOKUP(B133,LGD_para,3,FALSE)^2/2))/VLOOKUP(B133,LGD_para,3,FALSE)-(VLOOKUP(B133,LGD_para,3,FALSE))-G133*(NORMSDIST(-LN(G133)+(VLOOKUP(B133,LGD_para,3,FALSE)^2/2))/VLOOKUP(B133,LGD_para,3,FALSE)))/LOGNORMDIST(1,LN(G133),(VLOOKUP(B133,LGD_para,3,FALSE)))*'LGD parameters'!$D$11</f>
        <v>0.33381167072117429</v>
      </c>
      <c r="I133" s="106">
        <f>VLOOKUP(C133,'PD Term Structure'!$C$5:$D$14,2,TRUE)</f>
        <v>3</v>
      </c>
      <c r="J133" s="43">
        <f>VLOOKUP(I133,'Master rating scale'!$G$5:$H$14,2,FALSE)</f>
        <v>3</v>
      </c>
      <c r="K133" s="62">
        <f t="shared" si="14"/>
        <v>5.5158236923936012E-3</v>
      </c>
      <c r="M133" s="110">
        <f>VLOOKUP(D133,'PD Term Structure'!$C$5:$D$14,2,TRUE)</f>
        <v>4</v>
      </c>
      <c r="N133" s="110">
        <f t="shared" si="15"/>
        <v>4</v>
      </c>
      <c r="O133" s="107">
        <f t="shared" si="16"/>
        <v>7.3544315898581352E-3</v>
      </c>
      <c r="Q133" s="110">
        <f>VLOOKUP(E133,'PD Term Structure'!$C$5:$D$14,2,TRUE)</f>
        <v>4</v>
      </c>
      <c r="R133" s="110">
        <f t="shared" si="17"/>
        <v>4</v>
      </c>
      <c r="S133" s="107">
        <f t="shared" si="18"/>
        <v>7.3544315898581352E-3</v>
      </c>
    </row>
    <row r="134" spans="1:19" ht="14">
      <c r="A134" s="36">
        <v>67438</v>
      </c>
      <c r="B134" s="81" t="s">
        <v>19</v>
      </c>
      <c r="C134" s="38">
        <v>1.4105306E-2</v>
      </c>
      <c r="D134" s="38">
        <f>INDEX('PD Term Structure'!$E$17:$N$26,MATCH($I134,'PD Term Structure'!$D$17:$D$26,0),MATCH(D$1,'PD Term Structure'!$E$16:$N$16,0))</f>
        <v>2.8507278481012657E-2</v>
      </c>
      <c r="E134" s="38">
        <f>INDEX('PD Term Structure'!$E$17:$N$26,MATCH($I134,'PD Term Structure'!$D$17:$D$26,0),MATCH(E$1,'PD Term Structure'!$E$16:$N$16,0))</f>
        <v>4.7291677269631509E-2</v>
      </c>
      <c r="F134" s="39">
        <v>17120.5</v>
      </c>
      <c r="G134" s="82">
        <f>VLOOKUP(B134,'LGD parameters'!$C$7:$E$11,2,FALSE)</f>
        <v>0.41974816177099206</v>
      </c>
      <c r="H134" s="82">
        <f>(NORMSDIST(-LN(G134)+(VLOOKUP(B134,LGD_para,3,FALSE)^2/2))/VLOOKUP(B134,LGD_para,3,FALSE)-(VLOOKUP(B134,LGD_para,3,FALSE))-G134*(NORMSDIST(-LN(G134)+(VLOOKUP(B134,LGD_para,3,FALSE)^2/2))/VLOOKUP(B134,LGD_para,3,FALSE)))/LOGNORMDIST(1,LN(G134),(VLOOKUP(B134,LGD_para,3,FALSE)))*'LGD parameters'!$D$11</f>
        <v>0.33381167072117429</v>
      </c>
      <c r="I134" s="106">
        <f>VLOOKUP(C134,'PD Term Structure'!$C$5:$D$14,2,TRUE)</f>
        <v>3</v>
      </c>
      <c r="J134" s="43">
        <f>VLOOKUP(I134,'Master rating scale'!$G$5:$H$14,2,FALSE)</f>
        <v>3</v>
      </c>
      <c r="K134" s="62">
        <f t="shared" si="14"/>
        <v>5.5549211485661559E-3</v>
      </c>
      <c r="M134" s="110">
        <f>VLOOKUP(D134,'PD Term Structure'!$C$5:$D$14,2,TRUE)</f>
        <v>4</v>
      </c>
      <c r="N134" s="110">
        <f t="shared" si="15"/>
        <v>4</v>
      </c>
      <c r="O134" s="107">
        <f t="shared" si="16"/>
        <v>7.4065615314215412E-3</v>
      </c>
      <c r="Q134" s="110">
        <f>VLOOKUP(E134,'PD Term Structure'!$C$5:$D$14,2,TRUE)</f>
        <v>4</v>
      </c>
      <c r="R134" s="110">
        <f t="shared" si="17"/>
        <v>4</v>
      </c>
      <c r="S134" s="107">
        <f t="shared" si="18"/>
        <v>7.4065615314215412E-3</v>
      </c>
    </row>
    <row r="135" spans="1:19" ht="14">
      <c r="A135" s="36">
        <v>142525</v>
      </c>
      <c r="B135" s="81" t="s">
        <v>19</v>
      </c>
      <c r="C135" s="38">
        <v>1.4105306E-2</v>
      </c>
      <c r="D135" s="38">
        <f>INDEX('PD Term Structure'!$E$17:$N$26,MATCH($I135,'PD Term Structure'!$D$17:$D$26,0),MATCH(D$1,'PD Term Structure'!$E$16:$N$16,0))</f>
        <v>2.8507278481012657E-2</v>
      </c>
      <c r="E135" s="38">
        <f>INDEX('PD Term Structure'!$E$17:$N$26,MATCH($I135,'PD Term Structure'!$D$17:$D$26,0),MATCH(E$1,'PD Term Structure'!$E$16:$N$16,0))</f>
        <v>4.7291677269631509E-2</v>
      </c>
      <c r="F135" s="39">
        <v>17280.5</v>
      </c>
      <c r="G135" s="82">
        <f>VLOOKUP(B135,'LGD parameters'!$C$7:$E$11,2,FALSE)</f>
        <v>0.41974816177099206</v>
      </c>
      <c r="H135" s="82">
        <f>(NORMSDIST(-LN(G135)+(VLOOKUP(B135,LGD_para,3,FALSE)^2/2))/VLOOKUP(B135,LGD_para,3,FALSE)-(VLOOKUP(B135,LGD_para,3,FALSE))-G135*(NORMSDIST(-LN(G135)+(VLOOKUP(B135,LGD_para,3,FALSE)^2/2))/VLOOKUP(B135,LGD_para,3,FALSE)))/LOGNORMDIST(1,LN(G135),(VLOOKUP(B135,LGD_para,3,FALSE)))*'LGD parameters'!$D$11</f>
        <v>0.33381167072117429</v>
      </c>
      <c r="I135" s="106">
        <f>VLOOKUP(C135,'PD Term Structure'!$C$5:$D$14,2,TRUE)</f>
        <v>3</v>
      </c>
      <c r="J135" s="43">
        <f>VLOOKUP(I135,'Master rating scale'!$G$5:$H$14,2,FALSE)</f>
        <v>3</v>
      </c>
      <c r="K135" s="62">
        <f t="shared" si="14"/>
        <v>5.6068347833180959E-3</v>
      </c>
      <c r="M135" s="110">
        <f>VLOOKUP(D135,'PD Term Structure'!$C$5:$D$14,2,TRUE)</f>
        <v>4</v>
      </c>
      <c r="N135" s="110">
        <f t="shared" si="15"/>
        <v>4</v>
      </c>
      <c r="O135" s="107">
        <f t="shared" si="16"/>
        <v>7.475779711090794E-3</v>
      </c>
      <c r="Q135" s="110">
        <f>VLOOKUP(E135,'PD Term Structure'!$C$5:$D$14,2,TRUE)</f>
        <v>4</v>
      </c>
      <c r="R135" s="110">
        <f t="shared" si="17"/>
        <v>4</v>
      </c>
      <c r="S135" s="107">
        <f t="shared" si="18"/>
        <v>7.475779711090794E-3</v>
      </c>
    </row>
    <row r="136" spans="1:19" ht="14">
      <c r="A136" s="36">
        <v>293064</v>
      </c>
      <c r="B136" s="81" t="s">
        <v>19</v>
      </c>
      <c r="C136" s="38">
        <v>1.4105306E-2</v>
      </c>
      <c r="D136" s="38">
        <f>INDEX('PD Term Structure'!$E$17:$N$26,MATCH($I136,'PD Term Structure'!$D$17:$D$26,0),MATCH(D$1,'PD Term Structure'!$E$16:$N$16,0))</f>
        <v>2.8507278481012657E-2</v>
      </c>
      <c r="E136" s="38">
        <f>INDEX('PD Term Structure'!$E$17:$N$26,MATCH($I136,'PD Term Structure'!$D$17:$D$26,0),MATCH(E$1,'PD Term Structure'!$E$16:$N$16,0))</f>
        <v>4.7291677269631509E-2</v>
      </c>
      <c r="F136" s="39">
        <v>17422.5</v>
      </c>
      <c r="G136" s="82">
        <f>VLOOKUP(B136,'LGD parameters'!$C$7:$E$11,2,FALSE)</f>
        <v>0.41974816177099206</v>
      </c>
      <c r="H136" s="82">
        <f>(NORMSDIST(-LN(G136)+(VLOOKUP(B136,LGD_para,3,FALSE)^2/2))/VLOOKUP(B136,LGD_para,3,FALSE)-(VLOOKUP(B136,LGD_para,3,FALSE))-G136*(NORMSDIST(-LN(G136)+(VLOOKUP(B136,LGD_para,3,FALSE)^2/2))/VLOOKUP(B136,LGD_para,3,FALSE)))/LOGNORMDIST(1,LN(G136),(VLOOKUP(B136,LGD_para,3,FALSE)))*'LGD parameters'!$D$11</f>
        <v>0.33381167072117429</v>
      </c>
      <c r="I136" s="106">
        <f>VLOOKUP(C136,'PD Term Structure'!$C$5:$D$14,2,TRUE)</f>
        <v>3</v>
      </c>
      <c r="J136" s="43">
        <f>VLOOKUP(I136,'Master rating scale'!$G$5:$H$14,2,FALSE)</f>
        <v>3</v>
      </c>
      <c r="K136" s="62">
        <f t="shared" si="14"/>
        <v>5.6529081341604422E-3</v>
      </c>
      <c r="M136" s="110">
        <f>VLOOKUP(D136,'PD Term Structure'!$C$5:$D$14,2,TRUE)</f>
        <v>4</v>
      </c>
      <c r="N136" s="110">
        <f t="shared" si="15"/>
        <v>4</v>
      </c>
      <c r="O136" s="107">
        <f t="shared" si="16"/>
        <v>7.5372108455472563E-3</v>
      </c>
      <c r="Q136" s="110">
        <f>VLOOKUP(E136,'PD Term Structure'!$C$5:$D$14,2,TRUE)</f>
        <v>4</v>
      </c>
      <c r="R136" s="110">
        <f t="shared" si="17"/>
        <v>4</v>
      </c>
      <c r="S136" s="107">
        <f t="shared" si="18"/>
        <v>7.5372108455472563E-3</v>
      </c>
    </row>
    <row r="137" spans="1:19" ht="14">
      <c r="A137" s="36">
        <v>425659</v>
      </c>
      <c r="B137" s="81" t="s">
        <v>19</v>
      </c>
      <c r="C137" s="38">
        <v>1.4105306E-2</v>
      </c>
      <c r="D137" s="38">
        <f>INDEX('PD Term Structure'!$E$17:$N$26,MATCH($I137,'PD Term Structure'!$D$17:$D$26,0),MATCH(D$1,'PD Term Structure'!$E$16:$N$16,0))</f>
        <v>2.8507278481012657E-2</v>
      </c>
      <c r="E137" s="38">
        <f>INDEX('PD Term Structure'!$E$17:$N$26,MATCH($I137,'PD Term Structure'!$D$17:$D$26,0),MATCH(E$1,'PD Term Structure'!$E$16:$N$16,0))</f>
        <v>4.7291677269631509E-2</v>
      </c>
      <c r="F137" s="39">
        <v>17500</v>
      </c>
      <c r="G137" s="82">
        <f>VLOOKUP(B137,'LGD parameters'!$C$7:$E$11,2,FALSE)</f>
        <v>0.41974816177099206</v>
      </c>
      <c r="H137" s="82">
        <f>(NORMSDIST(-LN(G137)+(VLOOKUP(B137,LGD_para,3,FALSE)^2/2))/VLOOKUP(B137,LGD_para,3,FALSE)-(VLOOKUP(B137,LGD_para,3,FALSE))-G137*(NORMSDIST(-LN(G137)+(VLOOKUP(B137,LGD_para,3,FALSE)^2/2))/VLOOKUP(B137,LGD_para,3,FALSE)))/LOGNORMDIST(1,LN(G137),(VLOOKUP(B137,LGD_para,3,FALSE)))*'LGD parameters'!$D$11</f>
        <v>0.33381167072117429</v>
      </c>
      <c r="I137" s="106">
        <f>VLOOKUP(C137,'PD Term Structure'!$C$5:$D$14,2,TRUE)</f>
        <v>3</v>
      </c>
      <c r="J137" s="43">
        <f>VLOOKUP(I137,'Master rating scale'!$G$5:$H$14,2,FALSE)</f>
        <v>3</v>
      </c>
      <c r="K137" s="62">
        <f t="shared" si="14"/>
        <v>5.6780538009934128E-3</v>
      </c>
      <c r="M137" s="110">
        <f>VLOOKUP(D137,'PD Term Structure'!$C$5:$D$14,2,TRUE)</f>
        <v>4</v>
      </c>
      <c r="N137" s="110">
        <f t="shared" si="15"/>
        <v>4</v>
      </c>
      <c r="O137" s="107">
        <f t="shared" si="16"/>
        <v>7.5707384013245504E-3</v>
      </c>
      <c r="Q137" s="110">
        <f>VLOOKUP(E137,'PD Term Structure'!$C$5:$D$14,2,TRUE)</f>
        <v>4</v>
      </c>
      <c r="R137" s="110">
        <f t="shared" si="17"/>
        <v>4</v>
      </c>
      <c r="S137" s="107">
        <f t="shared" si="18"/>
        <v>7.5707384013245504E-3</v>
      </c>
    </row>
    <row r="138" spans="1:19" ht="14">
      <c r="A138" s="36">
        <v>433654</v>
      </c>
      <c r="B138" s="81" t="s">
        <v>19</v>
      </c>
      <c r="C138" s="38">
        <v>1.4105306E-2</v>
      </c>
      <c r="D138" s="38">
        <f>INDEX('PD Term Structure'!$E$17:$N$26,MATCH($I138,'PD Term Structure'!$D$17:$D$26,0),MATCH(D$1,'PD Term Structure'!$E$16:$N$16,0))</f>
        <v>2.8507278481012657E-2</v>
      </c>
      <c r="E138" s="38">
        <f>INDEX('PD Term Structure'!$E$17:$N$26,MATCH($I138,'PD Term Structure'!$D$17:$D$26,0),MATCH(E$1,'PD Term Structure'!$E$16:$N$16,0))</f>
        <v>4.7291677269631509E-2</v>
      </c>
      <c r="F138" s="39">
        <v>17500</v>
      </c>
      <c r="G138" s="82">
        <f>VLOOKUP(B138,'LGD parameters'!$C$7:$E$11,2,FALSE)</f>
        <v>0.41974816177099206</v>
      </c>
      <c r="H138" s="82">
        <f>(NORMSDIST(-LN(G138)+(VLOOKUP(B138,LGD_para,3,FALSE)^2/2))/VLOOKUP(B138,LGD_para,3,FALSE)-(VLOOKUP(B138,LGD_para,3,FALSE))-G138*(NORMSDIST(-LN(G138)+(VLOOKUP(B138,LGD_para,3,FALSE)^2/2))/VLOOKUP(B138,LGD_para,3,FALSE)))/LOGNORMDIST(1,LN(G138),(VLOOKUP(B138,LGD_para,3,FALSE)))*'LGD parameters'!$D$11</f>
        <v>0.33381167072117429</v>
      </c>
      <c r="I138" s="106">
        <f>VLOOKUP(C138,'PD Term Structure'!$C$5:$D$14,2,TRUE)</f>
        <v>3</v>
      </c>
      <c r="J138" s="43">
        <f>VLOOKUP(I138,'Master rating scale'!$G$5:$H$14,2,FALSE)</f>
        <v>3</v>
      </c>
      <c r="K138" s="62">
        <f t="shared" si="14"/>
        <v>5.6780538009934128E-3</v>
      </c>
      <c r="M138" s="110">
        <f>VLOOKUP(D138,'PD Term Structure'!$C$5:$D$14,2,TRUE)</f>
        <v>4</v>
      </c>
      <c r="N138" s="110">
        <f t="shared" si="15"/>
        <v>4</v>
      </c>
      <c r="O138" s="107">
        <f t="shared" si="16"/>
        <v>7.5707384013245504E-3</v>
      </c>
      <c r="Q138" s="110">
        <f>VLOOKUP(E138,'PD Term Structure'!$C$5:$D$14,2,TRUE)</f>
        <v>4</v>
      </c>
      <c r="R138" s="110">
        <f t="shared" si="17"/>
        <v>4</v>
      </c>
      <c r="S138" s="107">
        <f t="shared" si="18"/>
        <v>7.5707384013245504E-3</v>
      </c>
    </row>
    <row r="139" spans="1:19" ht="14">
      <c r="A139" s="36">
        <v>478420</v>
      </c>
      <c r="B139" s="81" t="s">
        <v>19</v>
      </c>
      <c r="C139" s="38">
        <v>1.4105306E-2</v>
      </c>
      <c r="D139" s="38">
        <f>INDEX('PD Term Structure'!$E$17:$N$26,MATCH($I139,'PD Term Structure'!$D$17:$D$26,0),MATCH(D$1,'PD Term Structure'!$E$16:$N$16,0))</f>
        <v>2.8507278481012657E-2</v>
      </c>
      <c r="E139" s="38">
        <f>INDEX('PD Term Structure'!$E$17:$N$26,MATCH($I139,'PD Term Structure'!$D$17:$D$26,0),MATCH(E$1,'PD Term Structure'!$E$16:$N$16,0))</f>
        <v>4.7291677269631509E-2</v>
      </c>
      <c r="F139" s="39">
        <v>17500</v>
      </c>
      <c r="G139" s="82">
        <f>VLOOKUP(B139,'LGD parameters'!$C$7:$E$11,2,FALSE)</f>
        <v>0.41974816177099206</v>
      </c>
      <c r="H139" s="82">
        <f>(NORMSDIST(-LN(G139)+(VLOOKUP(B139,LGD_para,3,FALSE)^2/2))/VLOOKUP(B139,LGD_para,3,FALSE)-(VLOOKUP(B139,LGD_para,3,FALSE))-G139*(NORMSDIST(-LN(G139)+(VLOOKUP(B139,LGD_para,3,FALSE)^2/2))/VLOOKUP(B139,LGD_para,3,FALSE)))/LOGNORMDIST(1,LN(G139),(VLOOKUP(B139,LGD_para,3,FALSE)))*'LGD parameters'!$D$11</f>
        <v>0.33381167072117429</v>
      </c>
      <c r="I139" s="106">
        <f>VLOOKUP(C139,'PD Term Structure'!$C$5:$D$14,2,TRUE)</f>
        <v>3</v>
      </c>
      <c r="J139" s="43">
        <f>VLOOKUP(I139,'Master rating scale'!$G$5:$H$14,2,FALSE)</f>
        <v>3</v>
      </c>
      <c r="K139" s="62">
        <f t="shared" si="14"/>
        <v>5.6780538009934128E-3</v>
      </c>
      <c r="M139" s="110">
        <f>VLOOKUP(D139,'PD Term Structure'!$C$5:$D$14,2,TRUE)</f>
        <v>4</v>
      </c>
      <c r="N139" s="110">
        <f t="shared" si="15"/>
        <v>4</v>
      </c>
      <c r="O139" s="107">
        <f t="shared" si="16"/>
        <v>7.5707384013245504E-3</v>
      </c>
      <c r="Q139" s="110">
        <f>VLOOKUP(E139,'PD Term Structure'!$C$5:$D$14,2,TRUE)</f>
        <v>4</v>
      </c>
      <c r="R139" s="110">
        <f t="shared" si="17"/>
        <v>4</v>
      </c>
      <c r="S139" s="107">
        <f t="shared" si="18"/>
        <v>7.5707384013245504E-3</v>
      </c>
    </row>
    <row r="140" spans="1:19" ht="14">
      <c r="A140" s="36">
        <v>284692</v>
      </c>
      <c r="B140" s="81" t="s">
        <v>19</v>
      </c>
      <c r="C140" s="38">
        <v>1.4105306E-2</v>
      </c>
      <c r="D140" s="38">
        <f>INDEX('PD Term Structure'!$E$17:$N$26,MATCH($I140,'PD Term Structure'!$D$17:$D$26,0),MATCH(D$1,'PD Term Structure'!$E$16:$N$16,0))</f>
        <v>2.8507278481012657E-2</v>
      </c>
      <c r="E140" s="38">
        <f>INDEX('PD Term Structure'!$E$17:$N$26,MATCH($I140,'PD Term Structure'!$D$17:$D$26,0),MATCH(E$1,'PD Term Structure'!$E$16:$N$16,0))</f>
        <v>4.7291677269631509E-2</v>
      </c>
      <c r="F140" s="39">
        <v>17703.5</v>
      </c>
      <c r="G140" s="82">
        <f>VLOOKUP(B140,'LGD parameters'!$C$7:$E$11,2,FALSE)</f>
        <v>0.41974816177099206</v>
      </c>
      <c r="H140" s="82">
        <f>(NORMSDIST(-LN(G140)+(VLOOKUP(B140,LGD_para,3,FALSE)^2/2))/VLOOKUP(B140,LGD_para,3,FALSE)-(VLOOKUP(B140,LGD_para,3,FALSE))-G140*(NORMSDIST(-LN(G140)+(VLOOKUP(B140,LGD_para,3,FALSE)^2/2))/VLOOKUP(B140,LGD_para,3,FALSE)))/LOGNORMDIST(1,LN(G140),(VLOOKUP(B140,LGD_para,3,FALSE)))*'LGD parameters'!$D$11</f>
        <v>0.33381167072117429</v>
      </c>
      <c r="I140" s="106">
        <f>VLOOKUP(C140,'PD Term Structure'!$C$5:$D$14,2,TRUE)</f>
        <v>3</v>
      </c>
      <c r="J140" s="43">
        <f>VLOOKUP(I140,'Master rating scale'!$G$5:$H$14,2,FALSE)</f>
        <v>3</v>
      </c>
      <c r="K140" s="62">
        <f t="shared" si="14"/>
        <v>5.7440814551935363E-3</v>
      </c>
      <c r="M140" s="110">
        <f>VLOOKUP(D140,'PD Term Structure'!$C$5:$D$14,2,TRUE)</f>
        <v>4</v>
      </c>
      <c r="N140" s="110">
        <f t="shared" si="15"/>
        <v>4</v>
      </c>
      <c r="O140" s="107">
        <f t="shared" si="16"/>
        <v>7.6587752735913818E-3</v>
      </c>
      <c r="Q140" s="110">
        <f>VLOOKUP(E140,'PD Term Structure'!$C$5:$D$14,2,TRUE)</f>
        <v>4</v>
      </c>
      <c r="R140" s="110">
        <f t="shared" si="17"/>
        <v>4</v>
      </c>
      <c r="S140" s="107">
        <f t="shared" si="18"/>
        <v>7.6587752735913818E-3</v>
      </c>
    </row>
    <row r="141" spans="1:19" ht="14">
      <c r="A141" s="36">
        <v>252928</v>
      </c>
      <c r="B141" s="81" t="s">
        <v>19</v>
      </c>
      <c r="C141" s="38">
        <v>1.4105306E-2</v>
      </c>
      <c r="D141" s="38">
        <f>INDEX('PD Term Structure'!$E$17:$N$26,MATCH($I141,'PD Term Structure'!$D$17:$D$26,0),MATCH(D$1,'PD Term Structure'!$E$16:$N$16,0))</f>
        <v>2.8507278481012657E-2</v>
      </c>
      <c r="E141" s="38">
        <f>INDEX('PD Term Structure'!$E$17:$N$26,MATCH($I141,'PD Term Structure'!$D$17:$D$26,0),MATCH(E$1,'PD Term Structure'!$E$16:$N$16,0))</f>
        <v>4.7291677269631509E-2</v>
      </c>
      <c r="F141" s="39">
        <v>17895</v>
      </c>
      <c r="G141" s="82">
        <f>VLOOKUP(B141,'LGD parameters'!$C$7:$E$11,2,FALSE)</f>
        <v>0.41974816177099206</v>
      </c>
      <c r="H141" s="82">
        <f>(NORMSDIST(-LN(G141)+(VLOOKUP(B141,LGD_para,3,FALSE)^2/2))/VLOOKUP(B141,LGD_para,3,FALSE)-(VLOOKUP(B141,LGD_para,3,FALSE))-G141*(NORMSDIST(-LN(G141)+(VLOOKUP(B141,LGD_para,3,FALSE)^2/2))/VLOOKUP(B141,LGD_para,3,FALSE)))/LOGNORMDIST(1,LN(G141),(VLOOKUP(B141,LGD_para,3,FALSE)))*'LGD parameters'!$D$11</f>
        <v>0.33381167072117429</v>
      </c>
      <c r="I141" s="106">
        <f>VLOOKUP(C141,'PD Term Structure'!$C$5:$D$14,2,TRUE)</f>
        <v>3</v>
      </c>
      <c r="J141" s="43">
        <f>VLOOKUP(I141,'Master rating scale'!$G$5:$H$14,2,FALSE)</f>
        <v>3</v>
      </c>
      <c r="K141" s="62">
        <f t="shared" si="14"/>
        <v>5.8062155867872646E-3</v>
      </c>
      <c r="M141" s="110">
        <f>VLOOKUP(D141,'PD Term Structure'!$C$5:$D$14,2,TRUE)</f>
        <v>4</v>
      </c>
      <c r="N141" s="110">
        <f t="shared" si="15"/>
        <v>4</v>
      </c>
      <c r="O141" s="107">
        <f t="shared" si="16"/>
        <v>7.7416207823830189E-3</v>
      </c>
      <c r="Q141" s="110">
        <f>VLOOKUP(E141,'PD Term Structure'!$C$5:$D$14,2,TRUE)</f>
        <v>4</v>
      </c>
      <c r="R141" s="110">
        <f t="shared" si="17"/>
        <v>4</v>
      </c>
      <c r="S141" s="107">
        <f t="shared" si="18"/>
        <v>7.7416207823830189E-3</v>
      </c>
    </row>
    <row r="142" spans="1:19" ht="14">
      <c r="A142" s="36">
        <v>238890</v>
      </c>
      <c r="B142" s="81" t="s">
        <v>19</v>
      </c>
      <c r="C142" s="38">
        <v>1.4105306E-2</v>
      </c>
      <c r="D142" s="38">
        <f>INDEX('PD Term Structure'!$E$17:$N$26,MATCH($I142,'PD Term Structure'!$D$17:$D$26,0),MATCH(D$1,'PD Term Structure'!$E$16:$N$16,0))</f>
        <v>2.8507278481012657E-2</v>
      </c>
      <c r="E142" s="38">
        <f>INDEX('PD Term Structure'!$E$17:$N$26,MATCH($I142,'PD Term Structure'!$D$17:$D$26,0),MATCH(E$1,'PD Term Structure'!$E$16:$N$16,0))</f>
        <v>4.7291677269631509E-2</v>
      </c>
      <c r="F142" s="39">
        <v>18362.5</v>
      </c>
      <c r="G142" s="82">
        <f>VLOOKUP(B142,'LGD parameters'!$C$7:$E$11,2,FALSE)</f>
        <v>0.41974816177099206</v>
      </c>
      <c r="H142" s="82">
        <f>(NORMSDIST(-LN(G142)+(VLOOKUP(B142,LGD_para,3,FALSE)^2/2))/VLOOKUP(B142,LGD_para,3,FALSE)-(VLOOKUP(B142,LGD_para,3,FALSE))-G142*(NORMSDIST(-LN(G142)+(VLOOKUP(B142,LGD_para,3,FALSE)^2/2))/VLOOKUP(B142,LGD_para,3,FALSE)))/LOGNORMDIST(1,LN(G142),(VLOOKUP(B142,LGD_para,3,FALSE)))*'LGD parameters'!$D$11</f>
        <v>0.33381167072117429</v>
      </c>
      <c r="I142" s="106">
        <f>VLOOKUP(C142,'PD Term Structure'!$C$5:$D$14,2,TRUE)</f>
        <v>3</v>
      </c>
      <c r="J142" s="43">
        <f>VLOOKUP(I142,'Master rating scale'!$G$5:$H$14,2,FALSE)</f>
        <v>3</v>
      </c>
      <c r="K142" s="62">
        <f t="shared" si="14"/>
        <v>5.9579007383280883E-3</v>
      </c>
      <c r="M142" s="110">
        <f>VLOOKUP(D142,'PD Term Structure'!$C$5:$D$14,2,TRUE)</f>
        <v>4</v>
      </c>
      <c r="N142" s="110">
        <f t="shared" si="15"/>
        <v>4</v>
      </c>
      <c r="O142" s="107">
        <f t="shared" si="16"/>
        <v>7.9438676511041171E-3</v>
      </c>
      <c r="Q142" s="110">
        <f>VLOOKUP(E142,'PD Term Structure'!$C$5:$D$14,2,TRUE)</f>
        <v>4</v>
      </c>
      <c r="R142" s="110">
        <f t="shared" si="17"/>
        <v>4</v>
      </c>
      <c r="S142" s="107">
        <f t="shared" si="18"/>
        <v>7.9438676511041171E-3</v>
      </c>
    </row>
    <row r="143" spans="1:19" ht="14">
      <c r="A143" s="36">
        <v>60616</v>
      </c>
      <c r="B143" s="81" t="s">
        <v>19</v>
      </c>
      <c r="C143" s="38">
        <v>1.4105306E-2</v>
      </c>
      <c r="D143" s="38">
        <f>INDEX('PD Term Structure'!$E$17:$N$26,MATCH($I143,'PD Term Structure'!$D$17:$D$26,0),MATCH(D$1,'PD Term Structure'!$E$16:$N$16,0))</f>
        <v>2.8507278481012657E-2</v>
      </c>
      <c r="E143" s="38">
        <f>INDEX('PD Term Structure'!$E$17:$N$26,MATCH($I143,'PD Term Structure'!$D$17:$D$26,0),MATCH(E$1,'PD Term Structure'!$E$16:$N$16,0))</f>
        <v>4.7291677269631509E-2</v>
      </c>
      <c r="F143" s="39">
        <v>18975</v>
      </c>
      <c r="G143" s="82">
        <f>VLOOKUP(B143,'LGD parameters'!$C$7:$E$11,2,FALSE)</f>
        <v>0.41974816177099206</v>
      </c>
      <c r="H143" s="82">
        <f>(NORMSDIST(-LN(G143)+(VLOOKUP(B143,LGD_para,3,FALSE)^2/2))/VLOOKUP(B143,LGD_para,3,FALSE)-(VLOOKUP(B143,LGD_para,3,FALSE))-G143*(NORMSDIST(-LN(G143)+(VLOOKUP(B143,LGD_para,3,FALSE)^2/2))/VLOOKUP(B143,LGD_para,3,FALSE)))/LOGNORMDIST(1,LN(G143),(VLOOKUP(B143,LGD_para,3,FALSE)))*'LGD parameters'!$D$11</f>
        <v>0.33381167072117429</v>
      </c>
      <c r="I143" s="106">
        <f>VLOOKUP(C143,'PD Term Structure'!$C$5:$D$14,2,TRUE)</f>
        <v>3</v>
      </c>
      <c r="J143" s="43">
        <f>VLOOKUP(I143,'Master rating scale'!$G$5:$H$14,2,FALSE)</f>
        <v>3</v>
      </c>
      <c r="K143" s="62">
        <f t="shared" si="14"/>
        <v>6.1566326213628574E-3</v>
      </c>
      <c r="M143" s="110">
        <f>VLOOKUP(D143,'PD Term Structure'!$C$5:$D$14,2,TRUE)</f>
        <v>4</v>
      </c>
      <c r="N143" s="110">
        <f t="shared" si="15"/>
        <v>4</v>
      </c>
      <c r="O143" s="107">
        <f t="shared" si="16"/>
        <v>8.2088434951504766E-3</v>
      </c>
      <c r="Q143" s="110">
        <f>VLOOKUP(E143,'PD Term Structure'!$C$5:$D$14,2,TRUE)</f>
        <v>4</v>
      </c>
      <c r="R143" s="110">
        <f t="shared" si="17"/>
        <v>4</v>
      </c>
      <c r="S143" s="107">
        <f t="shared" si="18"/>
        <v>8.2088434951504766E-3</v>
      </c>
    </row>
    <row r="144" spans="1:19" ht="14">
      <c r="A144" s="36">
        <v>227030</v>
      </c>
      <c r="B144" s="81" t="s">
        <v>19</v>
      </c>
      <c r="C144" s="38">
        <v>1.4105306E-2</v>
      </c>
      <c r="D144" s="38">
        <f>INDEX('PD Term Structure'!$E$17:$N$26,MATCH($I144,'PD Term Structure'!$D$17:$D$26,0),MATCH(D$1,'PD Term Structure'!$E$16:$N$16,0))</f>
        <v>2.8507278481012657E-2</v>
      </c>
      <c r="E144" s="38">
        <f>INDEX('PD Term Structure'!$E$17:$N$26,MATCH($I144,'PD Term Structure'!$D$17:$D$26,0),MATCH(E$1,'PD Term Structure'!$E$16:$N$16,0))</f>
        <v>4.7291677269631509E-2</v>
      </c>
      <c r="F144" s="39">
        <v>19674.5</v>
      </c>
      <c r="G144" s="82">
        <f>VLOOKUP(B144,'LGD parameters'!$C$7:$E$11,2,FALSE)</f>
        <v>0.41974816177099206</v>
      </c>
      <c r="H144" s="82">
        <f>(NORMSDIST(-LN(G144)+(VLOOKUP(B144,LGD_para,3,FALSE)^2/2))/VLOOKUP(B144,LGD_para,3,FALSE)-(VLOOKUP(B144,LGD_para,3,FALSE))-G144*(NORMSDIST(-LN(G144)+(VLOOKUP(B144,LGD_para,3,FALSE)^2/2))/VLOOKUP(B144,LGD_para,3,FALSE)))/LOGNORMDIST(1,LN(G144),(VLOOKUP(B144,LGD_para,3,FALSE)))*'LGD parameters'!$D$11</f>
        <v>0.33381167072117429</v>
      </c>
      <c r="I144" s="106">
        <f>VLOOKUP(C144,'PD Term Structure'!$C$5:$D$14,2,TRUE)</f>
        <v>3</v>
      </c>
      <c r="J144" s="43">
        <f>VLOOKUP(I144,'Master rating scale'!$G$5:$H$14,2,FALSE)</f>
        <v>3</v>
      </c>
      <c r="K144" s="62">
        <f t="shared" si="14"/>
        <v>6.3835925432939953E-3</v>
      </c>
      <c r="M144" s="110">
        <f>VLOOKUP(D144,'PD Term Structure'!$C$5:$D$14,2,TRUE)</f>
        <v>4</v>
      </c>
      <c r="N144" s="110">
        <f t="shared" si="15"/>
        <v>4</v>
      </c>
      <c r="O144" s="107">
        <f t="shared" si="16"/>
        <v>8.5114567243919931E-3</v>
      </c>
      <c r="Q144" s="110">
        <f>VLOOKUP(E144,'PD Term Structure'!$C$5:$D$14,2,TRUE)</f>
        <v>4</v>
      </c>
      <c r="R144" s="110">
        <f t="shared" si="17"/>
        <v>4</v>
      </c>
      <c r="S144" s="107">
        <f t="shared" si="18"/>
        <v>8.5114567243919931E-3</v>
      </c>
    </row>
    <row r="145" spans="1:19" ht="14">
      <c r="A145" s="36">
        <v>148027</v>
      </c>
      <c r="B145" s="81" t="s">
        <v>19</v>
      </c>
      <c r="C145" s="38">
        <v>1.4105306E-2</v>
      </c>
      <c r="D145" s="38">
        <f>INDEX('PD Term Structure'!$E$17:$N$26,MATCH($I145,'PD Term Structure'!$D$17:$D$26,0),MATCH(D$1,'PD Term Structure'!$E$16:$N$16,0))</f>
        <v>2.8507278481012657E-2</v>
      </c>
      <c r="E145" s="38">
        <f>INDEX('PD Term Structure'!$E$17:$N$26,MATCH($I145,'PD Term Structure'!$D$17:$D$26,0),MATCH(E$1,'PD Term Structure'!$E$16:$N$16,0))</f>
        <v>4.7291677269631509E-2</v>
      </c>
      <c r="F145" s="39">
        <v>19919.5</v>
      </c>
      <c r="G145" s="82">
        <f>VLOOKUP(B145,'LGD parameters'!$C$7:$E$11,2,FALSE)</f>
        <v>0.41974816177099206</v>
      </c>
      <c r="H145" s="82">
        <f>(NORMSDIST(-LN(G145)+(VLOOKUP(B145,LGD_para,3,FALSE)^2/2))/VLOOKUP(B145,LGD_para,3,FALSE)-(VLOOKUP(B145,LGD_para,3,FALSE))-G145*(NORMSDIST(-LN(G145)+(VLOOKUP(B145,LGD_para,3,FALSE)^2/2))/VLOOKUP(B145,LGD_para,3,FALSE)))/LOGNORMDIST(1,LN(G145),(VLOOKUP(B145,LGD_para,3,FALSE)))*'LGD parameters'!$D$11</f>
        <v>0.33381167072117429</v>
      </c>
      <c r="I145" s="106">
        <f>VLOOKUP(C145,'PD Term Structure'!$C$5:$D$14,2,TRUE)</f>
        <v>3</v>
      </c>
      <c r="J145" s="43">
        <f>VLOOKUP(I145,'Master rating scale'!$G$5:$H$14,2,FALSE)</f>
        <v>3</v>
      </c>
      <c r="K145" s="62">
        <f t="shared" si="14"/>
        <v>6.4630852965079019E-3</v>
      </c>
      <c r="M145" s="110">
        <f>VLOOKUP(D145,'PD Term Structure'!$C$5:$D$14,2,TRUE)</f>
        <v>4</v>
      </c>
      <c r="N145" s="110">
        <f t="shared" si="15"/>
        <v>4</v>
      </c>
      <c r="O145" s="107">
        <f t="shared" si="16"/>
        <v>8.6174470620105359E-3</v>
      </c>
      <c r="Q145" s="110">
        <f>VLOOKUP(E145,'PD Term Structure'!$C$5:$D$14,2,TRUE)</f>
        <v>4</v>
      </c>
      <c r="R145" s="110">
        <f t="shared" si="17"/>
        <v>4</v>
      </c>
      <c r="S145" s="107">
        <f t="shared" si="18"/>
        <v>8.6174470620105359E-3</v>
      </c>
    </row>
    <row r="146" spans="1:19" ht="14">
      <c r="A146" s="36">
        <v>35835</v>
      </c>
      <c r="B146" s="81" t="s">
        <v>19</v>
      </c>
      <c r="C146" s="38">
        <v>1.4105306E-2</v>
      </c>
      <c r="D146" s="38">
        <f>INDEX('PD Term Structure'!$E$17:$N$26,MATCH($I146,'PD Term Structure'!$D$17:$D$26,0),MATCH(D$1,'PD Term Structure'!$E$16:$N$16,0))</f>
        <v>2.8507278481012657E-2</v>
      </c>
      <c r="E146" s="38">
        <f>INDEX('PD Term Structure'!$E$17:$N$26,MATCH($I146,'PD Term Structure'!$D$17:$D$26,0),MATCH(E$1,'PD Term Structure'!$E$16:$N$16,0))</f>
        <v>4.7291677269631509E-2</v>
      </c>
      <c r="F146" s="39">
        <v>20000</v>
      </c>
      <c r="G146" s="82">
        <f>VLOOKUP(B146,'LGD parameters'!$C$7:$E$11,2,FALSE)</f>
        <v>0.41974816177099206</v>
      </c>
      <c r="H146" s="82">
        <f>(NORMSDIST(-LN(G146)+(VLOOKUP(B146,LGD_para,3,FALSE)^2/2))/VLOOKUP(B146,LGD_para,3,FALSE)-(VLOOKUP(B146,LGD_para,3,FALSE))-G146*(NORMSDIST(-LN(G146)+(VLOOKUP(B146,LGD_para,3,FALSE)^2/2))/VLOOKUP(B146,LGD_para,3,FALSE)))/LOGNORMDIST(1,LN(G146),(VLOOKUP(B146,LGD_para,3,FALSE)))*'LGD parameters'!$D$11</f>
        <v>0.33381167072117429</v>
      </c>
      <c r="I146" s="106">
        <f>VLOOKUP(C146,'PD Term Structure'!$C$5:$D$14,2,TRUE)</f>
        <v>3</v>
      </c>
      <c r="J146" s="43">
        <f>VLOOKUP(I146,'Master rating scale'!$G$5:$H$14,2,FALSE)</f>
        <v>3</v>
      </c>
      <c r="K146" s="62">
        <f t="shared" si="14"/>
        <v>6.4892043439924718E-3</v>
      </c>
      <c r="M146" s="110">
        <f>VLOOKUP(D146,'PD Term Structure'!$C$5:$D$14,2,TRUE)</f>
        <v>4</v>
      </c>
      <c r="N146" s="110">
        <f t="shared" si="15"/>
        <v>4</v>
      </c>
      <c r="O146" s="107">
        <f t="shared" si="16"/>
        <v>8.6522724586566291E-3</v>
      </c>
      <c r="Q146" s="110">
        <f>VLOOKUP(E146,'PD Term Structure'!$C$5:$D$14,2,TRUE)</f>
        <v>4</v>
      </c>
      <c r="R146" s="110">
        <f t="shared" si="17"/>
        <v>4</v>
      </c>
      <c r="S146" s="107">
        <f t="shared" si="18"/>
        <v>8.6522724586566291E-3</v>
      </c>
    </row>
    <row r="147" spans="1:19" ht="14">
      <c r="A147" s="36">
        <v>179067</v>
      </c>
      <c r="B147" s="81" t="s">
        <v>19</v>
      </c>
      <c r="C147" s="38">
        <v>1.4105306E-2</v>
      </c>
      <c r="D147" s="38">
        <f>INDEX('PD Term Structure'!$E$17:$N$26,MATCH($I147,'PD Term Structure'!$D$17:$D$26,0),MATCH(D$1,'PD Term Structure'!$E$16:$N$16,0))</f>
        <v>2.8507278481012657E-2</v>
      </c>
      <c r="E147" s="38">
        <f>INDEX('PD Term Structure'!$E$17:$N$26,MATCH($I147,'PD Term Structure'!$D$17:$D$26,0),MATCH(E$1,'PD Term Structure'!$E$16:$N$16,0))</f>
        <v>4.7291677269631509E-2</v>
      </c>
      <c r="F147" s="39">
        <v>20000</v>
      </c>
      <c r="G147" s="82">
        <f>VLOOKUP(B147,'LGD parameters'!$C$7:$E$11,2,FALSE)</f>
        <v>0.41974816177099206</v>
      </c>
      <c r="H147" s="82">
        <f>(NORMSDIST(-LN(G147)+(VLOOKUP(B147,LGD_para,3,FALSE)^2/2))/VLOOKUP(B147,LGD_para,3,FALSE)-(VLOOKUP(B147,LGD_para,3,FALSE))-G147*(NORMSDIST(-LN(G147)+(VLOOKUP(B147,LGD_para,3,FALSE)^2/2))/VLOOKUP(B147,LGD_para,3,FALSE)))/LOGNORMDIST(1,LN(G147),(VLOOKUP(B147,LGD_para,3,FALSE)))*'LGD parameters'!$D$11</f>
        <v>0.33381167072117429</v>
      </c>
      <c r="I147" s="106">
        <f>VLOOKUP(C147,'PD Term Structure'!$C$5:$D$14,2,TRUE)</f>
        <v>3</v>
      </c>
      <c r="J147" s="43">
        <f>VLOOKUP(I147,'Master rating scale'!$G$5:$H$14,2,FALSE)</f>
        <v>3</v>
      </c>
      <c r="K147" s="62">
        <f t="shared" si="14"/>
        <v>6.4892043439924718E-3</v>
      </c>
      <c r="M147" s="110">
        <f>VLOOKUP(D147,'PD Term Structure'!$C$5:$D$14,2,TRUE)</f>
        <v>4</v>
      </c>
      <c r="N147" s="110">
        <f t="shared" si="15"/>
        <v>4</v>
      </c>
      <c r="O147" s="107">
        <f t="shared" si="16"/>
        <v>8.6522724586566291E-3</v>
      </c>
      <c r="Q147" s="110">
        <f>VLOOKUP(E147,'PD Term Structure'!$C$5:$D$14,2,TRUE)</f>
        <v>4</v>
      </c>
      <c r="R147" s="110">
        <f t="shared" si="17"/>
        <v>4</v>
      </c>
      <c r="S147" s="107">
        <f t="shared" si="18"/>
        <v>8.6522724586566291E-3</v>
      </c>
    </row>
    <row r="148" spans="1:19" ht="14">
      <c r="A148" s="36">
        <v>200399</v>
      </c>
      <c r="B148" s="81" t="s">
        <v>19</v>
      </c>
      <c r="C148" s="38">
        <v>1.4105306E-2</v>
      </c>
      <c r="D148" s="38">
        <f>INDEX('PD Term Structure'!$E$17:$N$26,MATCH($I148,'PD Term Structure'!$D$17:$D$26,0),MATCH(D$1,'PD Term Structure'!$E$16:$N$16,0))</f>
        <v>2.8507278481012657E-2</v>
      </c>
      <c r="E148" s="38">
        <f>INDEX('PD Term Structure'!$E$17:$N$26,MATCH($I148,'PD Term Structure'!$D$17:$D$26,0),MATCH(E$1,'PD Term Structure'!$E$16:$N$16,0))</f>
        <v>4.7291677269631509E-2</v>
      </c>
      <c r="F148" s="39">
        <v>20000</v>
      </c>
      <c r="G148" s="82">
        <f>VLOOKUP(B148,'LGD parameters'!$C$7:$E$11,2,FALSE)</f>
        <v>0.41974816177099206</v>
      </c>
      <c r="H148" s="82">
        <f>(NORMSDIST(-LN(G148)+(VLOOKUP(B148,LGD_para,3,FALSE)^2/2))/VLOOKUP(B148,LGD_para,3,FALSE)-(VLOOKUP(B148,LGD_para,3,FALSE))-G148*(NORMSDIST(-LN(G148)+(VLOOKUP(B148,LGD_para,3,FALSE)^2/2))/VLOOKUP(B148,LGD_para,3,FALSE)))/LOGNORMDIST(1,LN(G148),(VLOOKUP(B148,LGD_para,3,FALSE)))*'LGD parameters'!$D$11</f>
        <v>0.33381167072117429</v>
      </c>
      <c r="I148" s="106">
        <f>VLOOKUP(C148,'PD Term Structure'!$C$5:$D$14,2,TRUE)</f>
        <v>3</v>
      </c>
      <c r="J148" s="43">
        <f>VLOOKUP(I148,'Master rating scale'!$G$5:$H$14,2,FALSE)</f>
        <v>3</v>
      </c>
      <c r="K148" s="62">
        <f t="shared" si="14"/>
        <v>6.4892043439924718E-3</v>
      </c>
      <c r="M148" s="110">
        <f>VLOOKUP(D148,'PD Term Structure'!$C$5:$D$14,2,TRUE)</f>
        <v>4</v>
      </c>
      <c r="N148" s="110">
        <f t="shared" si="15"/>
        <v>4</v>
      </c>
      <c r="O148" s="107">
        <f t="shared" si="16"/>
        <v>8.6522724586566291E-3</v>
      </c>
      <c r="Q148" s="110">
        <f>VLOOKUP(E148,'PD Term Structure'!$C$5:$D$14,2,TRUE)</f>
        <v>4</v>
      </c>
      <c r="R148" s="110">
        <f t="shared" si="17"/>
        <v>4</v>
      </c>
      <c r="S148" s="107">
        <f t="shared" si="18"/>
        <v>8.6522724586566291E-3</v>
      </c>
    </row>
    <row r="149" spans="1:19" ht="14">
      <c r="A149" s="36">
        <v>263132</v>
      </c>
      <c r="B149" s="81" t="s">
        <v>19</v>
      </c>
      <c r="C149" s="38">
        <v>1.4105306E-2</v>
      </c>
      <c r="D149" s="38">
        <f>INDEX('PD Term Structure'!$E$17:$N$26,MATCH($I149,'PD Term Structure'!$D$17:$D$26,0),MATCH(D$1,'PD Term Structure'!$E$16:$N$16,0))</f>
        <v>2.8507278481012657E-2</v>
      </c>
      <c r="E149" s="38">
        <f>INDEX('PD Term Structure'!$E$17:$N$26,MATCH($I149,'PD Term Structure'!$D$17:$D$26,0),MATCH(E$1,'PD Term Structure'!$E$16:$N$16,0))</f>
        <v>4.7291677269631509E-2</v>
      </c>
      <c r="F149" s="39">
        <v>20000</v>
      </c>
      <c r="G149" s="82">
        <f>VLOOKUP(B149,'LGD parameters'!$C$7:$E$11,2,FALSE)</f>
        <v>0.41974816177099206</v>
      </c>
      <c r="H149" s="82">
        <f>(NORMSDIST(-LN(G149)+(VLOOKUP(B149,LGD_para,3,FALSE)^2/2))/VLOOKUP(B149,LGD_para,3,FALSE)-(VLOOKUP(B149,LGD_para,3,FALSE))-G149*(NORMSDIST(-LN(G149)+(VLOOKUP(B149,LGD_para,3,FALSE)^2/2))/VLOOKUP(B149,LGD_para,3,FALSE)))/LOGNORMDIST(1,LN(G149),(VLOOKUP(B149,LGD_para,3,FALSE)))*'LGD parameters'!$D$11</f>
        <v>0.33381167072117429</v>
      </c>
      <c r="I149" s="106">
        <f>VLOOKUP(C149,'PD Term Structure'!$C$5:$D$14,2,TRUE)</f>
        <v>3</v>
      </c>
      <c r="J149" s="43">
        <f>VLOOKUP(I149,'Master rating scale'!$G$5:$H$14,2,FALSE)</f>
        <v>3</v>
      </c>
      <c r="K149" s="62">
        <f t="shared" si="14"/>
        <v>6.4892043439924718E-3</v>
      </c>
      <c r="M149" s="110">
        <f>VLOOKUP(D149,'PD Term Structure'!$C$5:$D$14,2,TRUE)</f>
        <v>4</v>
      </c>
      <c r="N149" s="110">
        <f t="shared" si="15"/>
        <v>4</v>
      </c>
      <c r="O149" s="107">
        <f t="shared" si="16"/>
        <v>8.6522724586566291E-3</v>
      </c>
      <c r="Q149" s="110">
        <f>VLOOKUP(E149,'PD Term Structure'!$C$5:$D$14,2,TRUE)</f>
        <v>4</v>
      </c>
      <c r="R149" s="110">
        <f t="shared" si="17"/>
        <v>4</v>
      </c>
      <c r="S149" s="107">
        <f t="shared" si="18"/>
        <v>8.6522724586566291E-3</v>
      </c>
    </row>
    <row r="150" spans="1:19" ht="14">
      <c r="A150" s="36">
        <v>330743</v>
      </c>
      <c r="B150" s="81" t="s">
        <v>19</v>
      </c>
      <c r="C150" s="38">
        <v>1.4105306E-2</v>
      </c>
      <c r="D150" s="38">
        <f>INDEX('PD Term Structure'!$E$17:$N$26,MATCH($I150,'PD Term Structure'!$D$17:$D$26,0),MATCH(D$1,'PD Term Structure'!$E$16:$N$16,0))</f>
        <v>2.8507278481012657E-2</v>
      </c>
      <c r="E150" s="38">
        <f>INDEX('PD Term Structure'!$E$17:$N$26,MATCH($I150,'PD Term Structure'!$D$17:$D$26,0),MATCH(E$1,'PD Term Structure'!$E$16:$N$16,0))</f>
        <v>4.7291677269631509E-2</v>
      </c>
      <c r="F150" s="39">
        <v>20000</v>
      </c>
      <c r="G150" s="82">
        <f>VLOOKUP(B150,'LGD parameters'!$C$7:$E$11,2,FALSE)</f>
        <v>0.41974816177099206</v>
      </c>
      <c r="H150" s="82">
        <f>(NORMSDIST(-LN(G150)+(VLOOKUP(B150,LGD_para,3,FALSE)^2/2))/VLOOKUP(B150,LGD_para,3,FALSE)-(VLOOKUP(B150,LGD_para,3,FALSE))-G150*(NORMSDIST(-LN(G150)+(VLOOKUP(B150,LGD_para,3,FALSE)^2/2))/VLOOKUP(B150,LGD_para,3,FALSE)))/LOGNORMDIST(1,LN(G150),(VLOOKUP(B150,LGD_para,3,FALSE)))*'LGD parameters'!$D$11</f>
        <v>0.33381167072117429</v>
      </c>
      <c r="I150" s="106">
        <f>VLOOKUP(C150,'PD Term Structure'!$C$5:$D$14,2,TRUE)</f>
        <v>3</v>
      </c>
      <c r="J150" s="43">
        <f>VLOOKUP(I150,'Master rating scale'!$G$5:$H$14,2,FALSE)</f>
        <v>3</v>
      </c>
      <c r="K150" s="62">
        <f t="shared" si="14"/>
        <v>6.4892043439924718E-3</v>
      </c>
      <c r="M150" s="110">
        <f>VLOOKUP(D150,'PD Term Structure'!$C$5:$D$14,2,TRUE)</f>
        <v>4</v>
      </c>
      <c r="N150" s="110">
        <f t="shared" si="15"/>
        <v>4</v>
      </c>
      <c r="O150" s="107">
        <f t="shared" si="16"/>
        <v>8.6522724586566291E-3</v>
      </c>
      <c r="Q150" s="110">
        <f>VLOOKUP(E150,'PD Term Structure'!$C$5:$D$14,2,TRUE)</f>
        <v>4</v>
      </c>
      <c r="R150" s="110">
        <f t="shared" si="17"/>
        <v>4</v>
      </c>
      <c r="S150" s="107">
        <f t="shared" si="18"/>
        <v>8.6522724586566291E-3</v>
      </c>
    </row>
    <row r="151" spans="1:19" ht="14">
      <c r="A151" s="36">
        <v>452989</v>
      </c>
      <c r="B151" s="81" t="s">
        <v>19</v>
      </c>
      <c r="C151" s="38">
        <v>1.4105306E-2</v>
      </c>
      <c r="D151" s="38">
        <f>INDEX('PD Term Structure'!$E$17:$N$26,MATCH($I151,'PD Term Structure'!$D$17:$D$26,0),MATCH(D$1,'PD Term Structure'!$E$16:$N$16,0))</f>
        <v>2.8507278481012657E-2</v>
      </c>
      <c r="E151" s="38">
        <f>INDEX('PD Term Structure'!$E$17:$N$26,MATCH($I151,'PD Term Structure'!$D$17:$D$26,0),MATCH(E$1,'PD Term Structure'!$E$16:$N$16,0))</f>
        <v>4.7291677269631509E-2</v>
      </c>
      <c r="F151" s="39">
        <v>20000</v>
      </c>
      <c r="G151" s="82">
        <f>VLOOKUP(B151,'LGD parameters'!$C$7:$E$11,2,FALSE)</f>
        <v>0.41974816177099206</v>
      </c>
      <c r="H151" s="82">
        <f>(NORMSDIST(-LN(G151)+(VLOOKUP(B151,LGD_para,3,FALSE)^2/2))/VLOOKUP(B151,LGD_para,3,FALSE)-(VLOOKUP(B151,LGD_para,3,FALSE))-G151*(NORMSDIST(-LN(G151)+(VLOOKUP(B151,LGD_para,3,FALSE)^2/2))/VLOOKUP(B151,LGD_para,3,FALSE)))/LOGNORMDIST(1,LN(G151),(VLOOKUP(B151,LGD_para,3,FALSE)))*'LGD parameters'!$D$11</f>
        <v>0.33381167072117429</v>
      </c>
      <c r="I151" s="106">
        <f>VLOOKUP(C151,'PD Term Structure'!$C$5:$D$14,2,TRUE)</f>
        <v>3</v>
      </c>
      <c r="J151" s="43">
        <f>VLOOKUP(I151,'Master rating scale'!$G$5:$H$14,2,FALSE)</f>
        <v>3</v>
      </c>
      <c r="K151" s="62">
        <f t="shared" si="14"/>
        <v>6.4892043439924718E-3</v>
      </c>
      <c r="M151" s="110">
        <f>VLOOKUP(D151,'PD Term Structure'!$C$5:$D$14,2,TRUE)</f>
        <v>4</v>
      </c>
      <c r="N151" s="110">
        <f t="shared" si="15"/>
        <v>4</v>
      </c>
      <c r="O151" s="107">
        <f t="shared" si="16"/>
        <v>8.6522724586566291E-3</v>
      </c>
      <c r="Q151" s="110">
        <f>VLOOKUP(E151,'PD Term Structure'!$C$5:$D$14,2,TRUE)</f>
        <v>4</v>
      </c>
      <c r="R151" s="110">
        <f t="shared" si="17"/>
        <v>4</v>
      </c>
      <c r="S151" s="107">
        <f t="shared" si="18"/>
        <v>8.6522724586566291E-3</v>
      </c>
    </row>
    <row r="152" spans="1:19" ht="14">
      <c r="A152" s="36">
        <v>31982</v>
      </c>
      <c r="B152" s="81" t="s">
        <v>19</v>
      </c>
      <c r="C152" s="38">
        <v>1.4105306E-2</v>
      </c>
      <c r="D152" s="38">
        <f>INDEX('PD Term Structure'!$E$17:$N$26,MATCH($I152,'PD Term Structure'!$D$17:$D$26,0),MATCH(D$1,'PD Term Structure'!$E$16:$N$16,0))</f>
        <v>2.8507278481012657E-2</v>
      </c>
      <c r="E152" s="38">
        <f>INDEX('PD Term Structure'!$E$17:$N$26,MATCH($I152,'PD Term Structure'!$D$17:$D$26,0),MATCH(E$1,'PD Term Structure'!$E$16:$N$16,0))</f>
        <v>4.7291677269631509E-2</v>
      </c>
      <c r="F152" s="39">
        <v>20418</v>
      </c>
      <c r="G152" s="82">
        <f>VLOOKUP(B152,'LGD parameters'!$C$7:$E$11,2,FALSE)</f>
        <v>0.41974816177099206</v>
      </c>
      <c r="H152" s="82">
        <f>(NORMSDIST(-LN(G152)+(VLOOKUP(B152,LGD_para,3,FALSE)^2/2))/VLOOKUP(B152,LGD_para,3,FALSE)-(VLOOKUP(B152,LGD_para,3,FALSE))-G152*(NORMSDIST(-LN(G152)+(VLOOKUP(B152,LGD_para,3,FALSE)^2/2))/VLOOKUP(B152,LGD_para,3,FALSE)))/LOGNORMDIST(1,LN(G152),(VLOOKUP(B152,LGD_para,3,FALSE)))*'LGD parameters'!$D$11</f>
        <v>0.33381167072117429</v>
      </c>
      <c r="I152" s="106">
        <f>VLOOKUP(C152,'PD Term Structure'!$C$5:$D$14,2,TRUE)</f>
        <v>3</v>
      </c>
      <c r="J152" s="43">
        <f>VLOOKUP(I152,'Master rating scale'!$G$5:$H$14,2,FALSE)</f>
        <v>3</v>
      </c>
      <c r="K152" s="62">
        <f t="shared" si="14"/>
        <v>6.6248287147819144E-3</v>
      </c>
      <c r="M152" s="110">
        <f>VLOOKUP(D152,'PD Term Structure'!$C$5:$D$14,2,TRUE)</f>
        <v>4</v>
      </c>
      <c r="N152" s="110">
        <f t="shared" si="15"/>
        <v>4</v>
      </c>
      <c r="O152" s="107">
        <f t="shared" si="16"/>
        <v>8.8331049530425525E-3</v>
      </c>
      <c r="Q152" s="110">
        <f>VLOOKUP(E152,'PD Term Structure'!$C$5:$D$14,2,TRUE)</f>
        <v>4</v>
      </c>
      <c r="R152" s="110">
        <f t="shared" si="17"/>
        <v>4</v>
      </c>
      <c r="S152" s="107">
        <f t="shared" si="18"/>
        <v>8.8331049530425525E-3</v>
      </c>
    </row>
    <row r="153" spans="1:19" ht="14">
      <c r="A153" s="36">
        <v>382040</v>
      </c>
      <c r="B153" s="81" t="s">
        <v>19</v>
      </c>
      <c r="C153" s="38">
        <v>1.4105306E-2</v>
      </c>
      <c r="D153" s="38">
        <f>INDEX('PD Term Structure'!$E$17:$N$26,MATCH($I153,'PD Term Structure'!$D$17:$D$26,0),MATCH(D$1,'PD Term Structure'!$E$16:$N$16,0))</f>
        <v>2.8507278481012657E-2</v>
      </c>
      <c r="E153" s="38">
        <f>INDEX('PD Term Structure'!$E$17:$N$26,MATCH($I153,'PD Term Structure'!$D$17:$D$26,0),MATCH(E$1,'PD Term Structure'!$E$16:$N$16,0))</f>
        <v>4.7291677269631509E-2</v>
      </c>
      <c r="F153" s="39">
        <v>20750</v>
      </c>
      <c r="G153" s="82">
        <f>VLOOKUP(B153,'LGD parameters'!$C$7:$E$11,2,FALSE)</f>
        <v>0.41974816177099206</v>
      </c>
      <c r="H153" s="82">
        <f>(NORMSDIST(-LN(G153)+(VLOOKUP(B153,LGD_para,3,FALSE)^2/2))/VLOOKUP(B153,LGD_para,3,FALSE)-(VLOOKUP(B153,LGD_para,3,FALSE))-G153*(NORMSDIST(-LN(G153)+(VLOOKUP(B153,LGD_para,3,FALSE)^2/2))/VLOOKUP(B153,LGD_para,3,FALSE)))/LOGNORMDIST(1,LN(G153),(VLOOKUP(B153,LGD_para,3,FALSE)))*'LGD parameters'!$D$11</f>
        <v>0.33381167072117429</v>
      </c>
      <c r="I153" s="106">
        <f>VLOOKUP(C153,'PD Term Structure'!$C$5:$D$14,2,TRUE)</f>
        <v>3</v>
      </c>
      <c r="J153" s="43">
        <f>VLOOKUP(I153,'Master rating scale'!$G$5:$H$14,2,FALSE)</f>
        <v>3</v>
      </c>
      <c r="K153" s="62">
        <f t="shared" si="14"/>
        <v>6.7325495068921888E-3</v>
      </c>
      <c r="M153" s="110">
        <f>VLOOKUP(D153,'PD Term Structure'!$C$5:$D$14,2,TRUE)</f>
        <v>4</v>
      </c>
      <c r="N153" s="110">
        <f t="shared" si="15"/>
        <v>4</v>
      </c>
      <c r="O153" s="107">
        <f t="shared" si="16"/>
        <v>8.9767326758562523E-3</v>
      </c>
      <c r="Q153" s="110">
        <f>VLOOKUP(E153,'PD Term Structure'!$C$5:$D$14,2,TRUE)</f>
        <v>4</v>
      </c>
      <c r="R153" s="110">
        <f t="shared" si="17"/>
        <v>4</v>
      </c>
      <c r="S153" s="107">
        <f t="shared" si="18"/>
        <v>8.9767326758562523E-3</v>
      </c>
    </row>
    <row r="154" spans="1:19" ht="14">
      <c r="A154" s="36">
        <v>169333</v>
      </c>
      <c r="B154" s="81" t="s">
        <v>19</v>
      </c>
      <c r="C154" s="38">
        <v>1.4105306E-2</v>
      </c>
      <c r="D154" s="38">
        <f>INDEX('PD Term Structure'!$E$17:$N$26,MATCH($I154,'PD Term Structure'!$D$17:$D$26,0),MATCH(D$1,'PD Term Structure'!$E$16:$N$16,0))</f>
        <v>2.8507278481012657E-2</v>
      </c>
      <c r="E154" s="38">
        <f>INDEX('PD Term Structure'!$E$17:$N$26,MATCH($I154,'PD Term Structure'!$D$17:$D$26,0),MATCH(E$1,'PD Term Structure'!$E$16:$N$16,0))</f>
        <v>4.7291677269631509E-2</v>
      </c>
      <c r="F154" s="39">
        <v>21820</v>
      </c>
      <c r="G154" s="82">
        <f>VLOOKUP(B154,'LGD parameters'!$C$7:$E$11,2,FALSE)</f>
        <v>0.41974816177099206</v>
      </c>
      <c r="H154" s="82">
        <f>(NORMSDIST(-LN(G154)+(VLOOKUP(B154,LGD_para,3,FALSE)^2/2))/VLOOKUP(B154,LGD_para,3,FALSE)-(VLOOKUP(B154,LGD_para,3,FALSE))-G154*(NORMSDIST(-LN(G154)+(VLOOKUP(B154,LGD_para,3,FALSE)^2/2))/VLOOKUP(B154,LGD_para,3,FALSE)))/LOGNORMDIST(1,LN(G154),(VLOOKUP(B154,LGD_para,3,FALSE)))*'LGD parameters'!$D$11</f>
        <v>0.33381167072117429</v>
      </c>
      <c r="I154" s="106">
        <f>VLOOKUP(C154,'PD Term Structure'!$C$5:$D$14,2,TRUE)</f>
        <v>3</v>
      </c>
      <c r="J154" s="43">
        <f>VLOOKUP(I154,'Master rating scale'!$G$5:$H$14,2,FALSE)</f>
        <v>3</v>
      </c>
      <c r="K154" s="62">
        <f t="shared" si="14"/>
        <v>7.0797219392957876E-3</v>
      </c>
      <c r="M154" s="110">
        <f>VLOOKUP(D154,'PD Term Structure'!$C$5:$D$14,2,TRUE)</f>
        <v>4</v>
      </c>
      <c r="N154" s="110">
        <f t="shared" si="15"/>
        <v>4</v>
      </c>
      <c r="O154" s="107">
        <f t="shared" si="16"/>
        <v>9.4396292523943829E-3</v>
      </c>
      <c r="Q154" s="110">
        <f>VLOOKUP(E154,'PD Term Structure'!$C$5:$D$14,2,TRUE)</f>
        <v>4</v>
      </c>
      <c r="R154" s="110">
        <f t="shared" si="17"/>
        <v>4</v>
      </c>
      <c r="S154" s="107">
        <f t="shared" si="18"/>
        <v>9.4396292523943829E-3</v>
      </c>
    </row>
    <row r="155" spans="1:19" ht="14">
      <c r="A155" s="36">
        <v>182032</v>
      </c>
      <c r="B155" s="81" t="s">
        <v>19</v>
      </c>
      <c r="C155" s="38">
        <v>1.4105306E-2</v>
      </c>
      <c r="D155" s="38">
        <f>INDEX('PD Term Structure'!$E$17:$N$26,MATCH($I155,'PD Term Structure'!$D$17:$D$26,0),MATCH(D$1,'PD Term Structure'!$E$16:$N$16,0))</f>
        <v>2.8507278481012657E-2</v>
      </c>
      <c r="E155" s="38">
        <f>INDEX('PD Term Structure'!$E$17:$N$26,MATCH($I155,'PD Term Structure'!$D$17:$D$26,0),MATCH(E$1,'PD Term Structure'!$E$16:$N$16,0))</f>
        <v>4.7291677269631509E-2</v>
      </c>
      <c r="F155" s="39">
        <v>22500</v>
      </c>
      <c r="G155" s="82">
        <f>VLOOKUP(B155,'LGD parameters'!$C$7:$E$11,2,FALSE)</f>
        <v>0.41974816177099206</v>
      </c>
      <c r="H155" s="82">
        <f>(NORMSDIST(-LN(G155)+(VLOOKUP(B155,LGD_para,3,FALSE)^2/2))/VLOOKUP(B155,LGD_para,3,FALSE)-(VLOOKUP(B155,LGD_para,3,FALSE))-G155*(NORMSDIST(-LN(G155)+(VLOOKUP(B155,LGD_para,3,FALSE)^2/2))/VLOOKUP(B155,LGD_para,3,FALSE)))/LOGNORMDIST(1,LN(G155),(VLOOKUP(B155,LGD_para,3,FALSE)))*'LGD parameters'!$D$11</f>
        <v>0.33381167072117429</v>
      </c>
      <c r="I155" s="106">
        <f>VLOOKUP(C155,'PD Term Structure'!$C$5:$D$14,2,TRUE)</f>
        <v>3</v>
      </c>
      <c r="J155" s="43">
        <f>VLOOKUP(I155,'Master rating scale'!$G$5:$H$14,2,FALSE)</f>
        <v>3</v>
      </c>
      <c r="K155" s="62">
        <f t="shared" si="14"/>
        <v>7.3003548869915308E-3</v>
      </c>
      <c r="M155" s="110">
        <f>VLOOKUP(D155,'PD Term Structure'!$C$5:$D$14,2,TRUE)</f>
        <v>4</v>
      </c>
      <c r="N155" s="110">
        <f t="shared" si="15"/>
        <v>4</v>
      </c>
      <c r="O155" s="107">
        <f t="shared" si="16"/>
        <v>9.7338065159887077E-3</v>
      </c>
      <c r="Q155" s="110">
        <f>VLOOKUP(E155,'PD Term Structure'!$C$5:$D$14,2,TRUE)</f>
        <v>4</v>
      </c>
      <c r="R155" s="110">
        <f t="shared" si="17"/>
        <v>4</v>
      </c>
      <c r="S155" s="107">
        <f t="shared" si="18"/>
        <v>9.7338065159887077E-3</v>
      </c>
    </row>
    <row r="156" spans="1:19" ht="14">
      <c r="A156" s="36">
        <v>467139</v>
      </c>
      <c r="B156" s="81" t="s">
        <v>19</v>
      </c>
      <c r="C156" s="38">
        <v>1.4105306E-2</v>
      </c>
      <c r="D156" s="38">
        <f>INDEX('PD Term Structure'!$E$17:$N$26,MATCH($I156,'PD Term Structure'!$D$17:$D$26,0),MATCH(D$1,'PD Term Structure'!$E$16:$N$16,0))</f>
        <v>2.8507278481012657E-2</v>
      </c>
      <c r="E156" s="38">
        <f>INDEX('PD Term Structure'!$E$17:$N$26,MATCH($I156,'PD Term Structure'!$D$17:$D$26,0),MATCH(E$1,'PD Term Structure'!$E$16:$N$16,0))</f>
        <v>4.7291677269631509E-2</v>
      </c>
      <c r="F156" s="39">
        <v>22500</v>
      </c>
      <c r="G156" s="82">
        <f>VLOOKUP(B156,'LGD parameters'!$C$7:$E$11,2,FALSE)</f>
        <v>0.41974816177099206</v>
      </c>
      <c r="H156" s="82">
        <f>(NORMSDIST(-LN(G156)+(VLOOKUP(B156,LGD_para,3,FALSE)^2/2))/VLOOKUP(B156,LGD_para,3,FALSE)-(VLOOKUP(B156,LGD_para,3,FALSE))-G156*(NORMSDIST(-LN(G156)+(VLOOKUP(B156,LGD_para,3,FALSE)^2/2))/VLOOKUP(B156,LGD_para,3,FALSE)))/LOGNORMDIST(1,LN(G156),(VLOOKUP(B156,LGD_para,3,FALSE)))*'LGD parameters'!$D$11</f>
        <v>0.33381167072117429</v>
      </c>
      <c r="I156" s="106">
        <f>VLOOKUP(C156,'PD Term Structure'!$C$5:$D$14,2,TRUE)</f>
        <v>3</v>
      </c>
      <c r="J156" s="43">
        <f>VLOOKUP(I156,'Master rating scale'!$G$5:$H$14,2,FALSE)</f>
        <v>3</v>
      </c>
      <c r="K156" s="62">
        <f t="shared" si="14"/>
        <v>7.3003548869915308E-3</v>
      </c>
      <c r="M156" s="110">
        <f>VLOOKUP(D156,'PD Term Structure'!$C$5:$D$14,2,TRUE)</f>
        <v>4</v>
      </c>
      <c r="N156" s="110">
        <f t="shared" si="15"/>
        <v>4</v>
      </c>
      <c r="O156" s="107">
        <f t="shared" si="16"/>
        <v>9.7338065159887077E-3</v>
      </c>
      <c r="Q156" s="110">
        <f>VLOOKUP(E156,'PD Term Structure'!$C$5:$D$14,2,TRUE)</f>
        <v>4</v>
      </c>
      <c r="R156" s="110">
        <f t="shared" si="17"/>
        <v>4</v>
      </c>
      <c r="S156" s="107">
        <f t="shared" si="18"/>
        <v>9.7338065159887077E-3</v>
      </c>
    </row>
    <row r="157" spans="1:19" ht="14">
      <c r="A157" s="36">
        <v>284957</v>
      </c>
      <c r="B157" s="81" t="s">
        <v>19</v>
      </c>
      <c r="C157" s="38">
        <v>1.4105306E-2</v>
      </c>
      <c r="D157" s="38">
        <f>INDEX('PD Term Structure'!$E$17:$N$26,MATCH($I157,'PD Term Structure'!$D$17:$D$26,0),MATCH(D$1,'PD Term Structure'!$E$16:$N$16,0))</f>
        <v>2.8507278481012657E-2</v>
      </c>
      <c r="E157" s="38">
        <f>INDEX('PD Term Structure'!$E$17:$N$26,MATCH($I157,'PD Term Structure'!$D$17:$D$26,0),MATCH(E$1,'PD Term Structure'!$E$16:$N$16,0))</f>
        <v>4.7291677269631509E-2</v>
      </c>
      <c r="F157" s="39">
        <v>22750</v>
      </c>
      <c r="G157" s="82">
        <f>VLOOKUP(B157,'LGD parameters'!$C$7:$E$11,2,FALSE)</f>
        <v>0.41974816177099206</v>
      </c>
      <c r="H157" s="82">
        <f>(NORMSDIST(-LN(G157)+(VLOOKUP(B157,LGD_para,3,FALSE)^2/2))/VLOOKUP(B157,LGD_para,3,FALSE)-(VLOOKUP(B157,LGD_para,3,FALSE))-G157*(NORMSDIST(-LN(G157)+(VLOOKUP(B157,LGD_para,3,FALSE)^2/2))/VLOOKUP(B157,LGD_para,3,FALSE)))/LOGNORMDIST(1,LN(G157),(VLOOKUP(B157,LGD_para,3,FALSE)))*'LGD parameters'!$D$11</f>
        <v>0.33381167072117429</v>
      </c>
      <c r="I157" s="106">
        <f>VLOOKUP(C157,'PD Term Structure'!$C$5:$D$14,2,TRUE)</f>
        <v>3</v>
      </c>
      <c r="J157" s="43">
        <f>VLOOKUP(I157,'Master rating scale'!$G$5:$H$14,2,FALSE)</f>
        <v>3</v>
      </c>
      <c r="K157" s="62">
        <f t="shared" si="14"/>
        <v>7.3814699412914362E-3</v>
      </c>
      <c r="M157" s="110">
        <f>VLOOKUP(D157,'PD Term Structure'!$C$5:$D$14,2,TRUE)</f>
        <v>4</v>
      </c>
      <c r="N157" s="110">
        <f t="shared" si="15"/>
        <v>4</v>
      </c>
      <c r="O157" s="107">
        <f t="shared" si="16"/>
        <v>9.8419599217219149E-3</v>
      </c>
      <c r="Q157" s="110">
        <f>VLOOKUP(E157,'PD Term Structure'!$C$5:$D$14,2,TRUE)</f>
        <v>4</v>
      </c>
      <c r="R157" s="110">
        <f t="shared" si="17"/>
        <v>4</v>
      </c>
      <c r="S157" s="107">
        <f t="shared" si="18"/>
        <v>9.8419599217219149E-3</v>
      </c>
    </row>
    <row r="158" spans="1:19" ht="14">
      <c r="A158" s="36">
        <v>428054</v>
      </c>
      <c r="B158" s="81" t="s">
        <v>19</v>
      </c>
      <c r="C158" s="38">
        <v>1.4105306E-2</v>
      </c>
      <c r="D158" s="38">
        <f>INDEX('PD Term Structure'!$E$17:$N$26,MATCH($I158,'PD Term Structure'!$D$17:$D$26,0),MATCH(D$1,'PD Term Structure'!$E$16:$N$16,0))</f>
        <v>2.8507278481012657E-2</v>
      </c>
      <c r="E158" s="38">
        <f>INDEX('PD Term Structure'!$E$17:$N$26,MATCH($I158,'PD Term Structure'!$D$17:$D$26,0),MATCH(E$1,'PD Term Structure'!$E$16:$N$16,0))</f>
        <v>4.7291677269631509E-2</v>
      </c>
      <c r="F158" s="39">
        <v>22982.5</v>
      </c>
      <c r="G158" s="82">
        <f>VLOOKUP(B158,'LGD parameters'!$C$7:$E$11,2,FALSE)</f>
        <v>0.41974816177099206</v>
      </c>
      <c r="H158" s="82">
        <f>(NORMSDIST(-LN(G158)+(VLOOKUP(B158,LGD_para,3,FALSE)^2/2))/VLOOKUP(B158,LGD_para,3,FALSE)-(VLOOKUP(B158,LGD_para,3,FALSE))-G158*(NORMSDIST(-LN(G158)+(VLOOKUP(B158,LGD_para,3,FALSE)^2/2))/VLOOKUP(B158,LGD_para,3,FALSE)))/LOGNORMDIST(1,LN(G158),(VLOOKUP(B158,LGD_para,3,FALSE)))*'LGD parameters'!$D$11</f>
        <v>0.33381167072117429</v>
      </c>
      <c r="I158" s="106">
        <f>VLOOKUP(C158,'PD Term Structure'!$C$5:$D$14,2,TRUE)</f>
        <v>3</v>
      </c>
      <c r="J158" s="43">
        <f>VLOOKUP(I158,'Master rating scale'!$G$5:$H$14,2,FALSE)</f>
        <v>3</v>
      </c>
      <c r="K158" s="62">
        <f t="shared" si="14"/>
        <v>7.4569069417903498E-3</v>
      </c>
      <c r="M158" s="110">
        <f>VLOOKUP(D158,'PD Term Structure'!$C$5:$D$14,2,TRUE)</f>
        <v>4</v>
      </c>
      <c r="N158" s="110">
        <f t="shared" si="15"/>
        <v>4</v>
      </c>
      <c r="O158" s="107">
        <f t="shared" si="16"/>
        <v>9.9425425890537992E-3</v>
      </c>
      <c r="Q158" s="110">
        <f>VLOOKUP(E158,'PD Term Structure'!$C$5:$D$14,2,TRUE)</f>
        <v>4</v>
      </c>
      <c r="R158" s="110">
        <f t="shared" si="17"/>
        <v>4</v>
      </c>
      <c r="S158" s="107">
        <f t="shared" si="18"/>
        <v>9.9425425890537992E-3</v>
      </c>
    </row>
    <row r="159" spans="1:19" ht="14">
      <c r="A159" s="36">
        <v>202941</v>
      </c>
      <c r="B159" s="81" t="s">
        <v>19</v>
      </c>
      <c r="C159" s="38">
        <v>1.4105306E-2</v>
      </c>
      <c r="D159" s="38">
        <f>INDEX('PD Term Structure'!$E$17:$N$26,MATCH($I159,'PD Term Structure'!$D$17:$D$26,0),MATCH(D$1,'PD Term Structure'!$E$16:$N$16,0))</f>
        <v>2.8507278481012657E-2</v>
      </c>
      <c r="E159" s="38">
        <f>INDEX('PD Term Structure'!$E$17:$N$26,MATCH($I159,'PD Term Structure'!$D$17:$D$26,0),MATCH(E$1,'PD Term Structure'!$E$16:$N$16,0))</f>
        <v>4.7291677269631509E-2</v>
      </c>
      <c r="F159" s="39">
        <v>23400</v>
      </c>
      <c r="G159" s="82">
        <f>VLOOKUP(B159,'LGD parameters'!$C$7:$E$11,2,FALSE)</f>
        <v>0.41974816177099206</v>
      </c>
      <c r="H159" s="82">
        <f>(NORMSDIST(-LN(G159)+(VLOOKUP(B159,LGD_para,3,FALSE)^2/2))/VLOOKUP(B159,LGD_para,3,FALSE)-(VLOOKUP(B159,LGD_para,3,FALSE))-G159*(NORMSDIST(-LN(G159)+(VLOOKUP(B159,LGD_para,3,FALSE)^2/2))/VLOOKUP(B159,LGD_para,3,FALSE)))/LOGNORMDIST(1,LN(G159),(VLOOKUP(B159,LGD_para,3,FALSE)))*'LGD parameters'!$D$11</f>
        <v>0.33381167072117429</v>
      </c>
      <c r="I159" s="106">
        <f>VLOOKUP(C159,'PD Term Structure'!$C$5:$D$14,2,TRUE)</f>
        <v>3</v>
      </c>
      <c r="J159" s="43">
        <f>VLOOKUP(I159,'Master rating scale'!$G$5:$H$14,2,FALSE)</f>
        <v>3</v>
      </c>
      <c r="K159" s="62">
        <f t="shared" si="14"/>
        <v>7.5923690824711929E-3</v>
      </c>
      <c r="M159" s="110">
        <f>VLOOKUP(D159,'PD Term Structure'!$C$5:$D$14,2,TRUE)</f>
        <v>4</v>
      </c>
      <c r="N159" s="110">
        <f t="shared" si="15"/>
        <v>4</v>
      </c>
      <c r="O159" s="107">
        <f t="shared" si="16"/>
        <v>1.0123158776628257E-2</v>
      </c>
      <c r="Q159" s="110">
        <f>VLOOKUP(E159,'PD Term Structure'!$C$5:$D$14,2,TRUE)</f>
        <v>4</v>
      </c>
      <c r="R159" s="110">
        <f t="shared" si="17"/>
        <v>4</v>
      </c>
      <c r="S159" s="107">
        <f t="shared" si="18"/>
        <v>1.0123158776628257E-2</v>
      </c>
    </row>
    <row r="160" spans="1:19" ht="14">
      <c r="A160" s="36">
        <v>273672</v>
      </c>
      <c r="B160" s="81" t="s">
        <v>19</v>
      </c>
      <c r="C160" s="38">
        <v>1.4105306E-2</v>
      </c>
      <c r="D160" s="38">
        <f>INDEX('PD Term Structure'!$E$17:$N$26,MATCH($I160,'PD Term Structure'!$D$17:$D$26,0),MATCH(D$1,'PD Term Structure'!$E$16:$N$16,0))</f>
        <v>2.8507278481012657E-2</v>
      </c>
      <c r="E160" s="38">
        <f>INDEX('PD Term Structure'!$E$17:$N$26,MATCH($I160,'PD Term Structure'!$D$17:$D$26,0),MATCH(E$1,'PD Term Structure'!$E$16:$N$16,0))</f>
        <v>4.7291677269631509E-2</v>
      </c>
      <c r="F160" s="39">
        <v>23750</v>
      </c>
      <c r="G160" s="82">
        <f>VLOOKUP(B160,'LGD parameters'!$C$7:$E$11,2,FALSE)</f>
        <v>0.41974816177099206</v>
      </c>
      <c r="H160" s="82">
        <f>(NORMSDIST(-LN(G160)+(VLOOKUP(B160,LGD_para,3,FALSE)^2/2))/VLOOKUP(B160,LGD_para,3,FALSE)-(VLOOKUP(B160,LGD_para,3,FALSE))-G160*(NORMSDIST(-LN(G160)+(VLOOKUP(B160,LGD_para,3,FALSE)^2/2))/VLOOKUP(B160,LGD_para,3,FALSE)))/LOGNORMDIST(1,LN(G160),(VLOOKUP(B160,LGD_para,3,FALSE)))*'LGD parameters'!$D$11</f>
        <v>0.33381167072117429</v>
      </c>
      <c r="I160" s="106">
        <f>VLOOKUP(C160,'PD Term Structure'!$C$5:$D$14,2,TRUE)</f>
        <v>3</v>
      </c>
      <c r="J160" s="43">
        <f>VLOOKUP(I160,'Master rating scale'!$G$5:$H$14,2,FALSE)</f>
        <v>3</v>
      </c>
      <c r="K160" s="62">
        <f t="shared" si="14"/>
        <v>7.7059301584910603E-3</v>
      </c>
      <c r="M160" s="110">
        <f>VLOOKUP(D160,'PD Term Structure'!$C$5:$D$14,2,TRUE)</f>
        <v>4</v>
      </c>
      <c r="N160" s="110">
        <f t="shared" si="15"/>
        <v>4</v>
      </c>
      <c r="O160" s="107">
        <f t="shared" si="16"/>
        <v>1.0274573544654747E-2</v>
      </c>
      <c r="Q160" s="110">
        <f>VLOOKUP(E160,'PD Term Structure'!$C$5:$D$14,2,TRUE)</f>
        <v>4</v>
      </c>
      <c r="R160" s="110">
        <f t="shared" si="17"/>
        <v>4</v>
      </c>
      <c r="S160" s="107">
        <f t="shared" si="18"/>
        <v>1.0274573544654747E-2</v>
      </c>
    </row>
    <row r="161" spans="1:19" ht="14">
      <c r="A161" s="36">
        <v>425210</v>
      </c>
      <c r="B161" s="81" t="s">
        <v>19</v>
      </c>
      <c r="C161" s="38">
        <v>1.4105306E-2</v>
      </c>
      <c r="D161" s="38">
        <f>INDEX('PD Term Structure'!$E$17:$N$26,MATCH($I161,'PD Term Structure'!$D$17:$D$26,0),MATCH(D$1,'PD Term Structure'!$E$16:$N$16,0))</f>
        <v>2.8507278481012657E-2</v>
      </c>
      <c r="E161" s="38">
        <f>INDEX('PD Term Structure'!$E$17:$N$26,MATCH($I161,'PD Term Structure'!$D$17:$D$26,0),MATCH(E$1,'PD Term Structure'!$E$16:$N$16,0))</f>
        <v>4.7291677269631509E-2</v>
      </c>
      <c r="F161" s="39">
        <v>23750</v>
      </c>
      <c r="G161" s="82">
        <f>VLOOKUP(B161,'LGD parameters'!$C$7:$E$11,2,FALSE)</f>
        <v>0.41974816177099206</v>
      </c>
      <c r="H161" s="82">
        <f>(NORMSDIST(-LN(G161)+(VLOOKUP(B161,LGD_para,3,FALSE)^2/2))/VLOOKUP(B161,LGD_para,3,FALSE)-(VLOOKUP(B161,LGD_para,3,FALSE))-G161*(NORMSDIST(-LN(G161)+(VLOOKUP(B161,LGD_para,3,FALSE)^2/2))/VLOOKUP(B161,LGD_para,3,FALSE)))/LOGNORMDIST(1,LN(G161),(VLOOKUP(B161,LGD_para,3,FALSE)))*'LGD parameters'!$D$11</f>
        <v>0.33381167072117429</v>
      </c>
      <c r="I161" s="106">
        <f>VLOOKUP(C161,'PD Term Structure'!$C$5:$D$14,2,TRUE)</f>
        <v>3</v>
      </c>
      <c r="J161" s="43">
        <f>VLOOKUP(I161,'Master rating scale'!$G$5:$H$14,2,FALSE)</f>
        <v>3</v>
      </c>
      <c r="K161" s="62">
        <f t="shared" si="14"/>
        <v>7.7059301584910603E-3</v>
      </c>
      <c r="M161" s="110">
        <f>VLOOKUP(D161,'PD Term Structure'!$C$5:$D$14,2,TRUE)</f>
        <v>4</v>
      </c>
      <c r="N161" s="110">
        <f t="shared" si="15"/>
        <v>4</v>
      </c>
      <c r="O161" s="107">
        <f t="shared" si="16"/>
        <v>1.0274573544654747E-2</v>
      </c>
      <c r="Q161" s="110">
        <f>VLOOKUP(E161,'PD Term Structure'!$C$5:$D$14,2,TRUE)</f>
        <v>4</v>
      </c>
      <c r="R161" s="110">
        <f t="shared" si="17"/>
        <v>4</v>
      </c>
      <c r="S161" s="107">
        <f t="shared" si="18"/>
        <v>1.0274573544654747E-2</v>
      </c>
    </row>
    <row r="162" spans="1:19" ht="14">
      <c r="A162" s="36">
        <v>58366</v>
      </c>
      <c r="B162" s="81" t="s">
        <v>19</v>
      </c>
      <c r="C162" s="38">
        <v>1.4105306E-2</v>
      </c>
      <c r="D162" s="38">
        <f>INDEX('PD Term Structure'!$E$17:$N$26,MATCH($I162,'PD Term Structure'!$D$17:$D$26,0),MATCH(D$1,'PD Term Structure'!$E$16:$N$16,0))</f>
        <v>2.8507278481012657E-2</v>
      </c>
      <c r="E162" s="38">
        <f>INDEX('PD Term Structure'!$E$17:$N$26,MATCH($I162,'PD Term Structure'!$D$17:$D$26,0),MATCH(E$1,'PD Term Structure'!$E$16:$N$16,0))</f>
        <v>4.7291677269631509E-2</v>
      </c>
      <c r="F162" s="39">
        <v>24637.5</v>
      </c>
      <c r="G162" s="82">
        <f>VLOOKUP(B162,'LGD parameters'!$C$7:$E$11,2,FALSE)</f>
        <v>0.41974816177099206</v>
      </c>
      <c r="H162" s="82">
        <f>(NORMSDIST(-LN(G162)+(VLOOKUP(B162,LGD_para,3,FALSE)^2/2))/VLOOKUP(B162,LGD_para,3,FALSE)-(VLOOKUP(B162,LGD_para,3,FALSE))-G162*(NORMSDIST(-LN(G162)+(VLOOKUP(B162,LGD_para,3,FALSE)^2/2))/VLOOKUP(B162,LGD_para,3,FALSE)))/LOGNORMDIST(1,LN(G162),(VLOOKUP(B162,LGD_para,3,FALSE)))*'LGD parameters'!$D$11</f>
        <v>0.33381167072117429</v>
      </c>
      <c r="I162" s="106">
        <f>VLOOKUP(C162,'PD Term Structure'!$C$5:$D$14,2,TRUE)</f>
        <v>3</v>
      </c>
      <c r="J162" s="43">
        <f>VLOOKUP(I162,'Master rating scale'!$G$5:$H$14,2,FALSE)</f>
        <v>3</v>
      </c>
      <c r="K162" s="62">
        <f t="shared" si="14"/>
        <v>7.9938886012557268E-3</v>
      </c>
      <c r="M162" s="110">
        <f>VLOOKUP(D162,'PD Term Structure'!$C$5:$D$14,2,TRUE)</f>
        <v>4</v>
      </c>
      <c r="N162" s="110">
        <f t="shared" si="15"/>
        <v>4</v>
      </c>
      <c r="O162" s="107">
        <f t="shared" si="16"/>
        <v>1.0658518135007636E-2</v>
      </c>
      <c r="Q162" s="110">
        <f>VLOOKUP(E162,'PD Term Structure'!$C$5:$D$14,2,TRUE)</f>
        <v>4</v>
      </c>
      <c r="R162" s="110">
        <f t="shared" si="17"/>
        <v>4</v>
      </c>
      <c r="S162" s="107">
        <f t="shared" si="18"/>
        <v>1.0658518135007636E-2</v>
      </c>
    </row>
    <row r="163" spans="1:19" ht="14">
      <c r="A163" s="36">
        <v>243927</v>
      </c>
      <c r="B163" s="81" t="s">
        <v>19</v>
      </c>
      <c r="C163" s="38">
        <v>1.4105306E-2</v>
      </c>
      <c r="D163" s="38">
        <f>INDEX('PD Term Structure'!$E$17:$N$26,MATCH($I163,'PD Term Structure'!$D$17:$D$26,0),MATCH(D$1,'PD Term Structure'!$E$16:$N$16,0))</f>
        <v>2.8507278481012657E-2</v>
      </c>
      <c r="E163" s="38">
        <f>INDEX('PD Term Structure'!$E$17:$N$26,MATCH($I163,'PD Term Structure'!$D$17:$D$26,0),MATCH(E$1,'PD Term Structure'!$E$16:$N$16,0))</f>
        <v>4.7291677269631509E-2</v>
      </c>
      <c r="F163" s="39">
        <v>25000</v>
      </c>
      <c r="G163" s="82">
        <f>VLOOKUP(B163,'LGD parameters'!$C$7:$E$11,2,FALSE)</f>
        <v>0.41974816177099206</v>
      </c>
      <c r="H163" s="82">
        <f>(NORMSDIST(-LN(G163)+(VLOOKUP(B163,LGD_para,3,FALSE)^2/2))/VLOOKUP(B163,LGD_para,3,FALSE)-(VLOOKUP(B163,LGD_para,3,FALSE))-G163*(NORMSDIST(-LN(G163)+(VLOOKUP(B163,LGD_para,3,FALSE)^2/2))/VLOOKUP(B163,LGD_para,3,FALSE)))/LOGNORMDIST(1,LN(G163),(VLOOKUP(B163,LGD_para,3,FALSE)))*'LGD parameters'!$D$11</f>
        <v>0.33381167072117429</v>
      </c>
      <c r="I163" s="106">
        <f>VLOOKUP(C163,'PD Term Structure'!$C$5:$D$14,2,TRUE)</f>
        <v>3</v>
      </c>
      <c r="J163" s="43">
        <f>VLOOKUP(I163,'Master rating scale'!$G$5:$H$14,2,FALSE)</f>
        <v>3</v>
      </c>
      <c r="K163" s="62">
        <f t="shared" si="14"/>
        <v>8.1115054299905898E-3</v>
      </c>
      <c r="M163" s="110">
        <f>VLOOKUP(D163,'PD Term Structure'!$C$5:$D$14,2,TRUE)</f>
        <v>4</v>
      </c>
      <c r="N163" s="110">
        <f t="shared" si="15"/>
        <v>4</v>
      </c>
      <c r="O163" s="107">
        <f t="shared" si="16"/>
        <v>1.0815340573320786E-2</v>
      </c>
      <c r="Q163" s="110">
        <f>VLOOKUP(E163,'PD Term Structure'!$C$5:$D$14,2,TRUE)</f>
        <v>4</v>
      </c>
      <c r="R163" s="110">
        <f t="shared" si="17"/>
        <v>4</v>
      </c>
      <c r="S163" s="107">
        <f t="shared" si="18"/>
        <v>1.0815340573320786E-2</v>
      </c>
    </row>
    <row r="164" spans="1:19" ht="14">
      <c r="A164" s="36">
        <v>371015</v>
      </c>
      <c r="B164" s="81" t="s">
        <v>19</v>
      </c>
      <c r="C164" s="38">
        <v>1.4105306E-2</v>
      </c>
      <c r="D164" s="38">
        <f>INDEX('PD Term Structure'!$E$17:$N$26,MATCH($I164,'PD Term Structure'!$D$17:$D$26,0),MATCH(D$1,'PD Term Structure'!$E$16:$N$16,0))</f>
        <v>2.8507278481012657E-2</v>
      </c>
      <c r="E164" s="38">
        <f>INDEX('PD Term Structure'!$E$17:$N$26,MATCH($I164,'PD Term Structure'!$D$17:$D$26,0),MATCH(E$1,'PD Term Structure'!$E$16:$N$16,0))</f>
        <v>4.7291677269631509E-2</v>
      </c>
      <c r="F164" s="39">
        <v>25000</v>
      </c>
      <c r="G164" s="82">
        <f>VLOOKUP(B164,'LGD parameters'!$C$7:$E$11,2,FALSE)</f>
        <v>0.41974816177099206</v>
      </c>
      <c r="H164" s="82">
        <f>(NORMSDIST(-LN(G164)+(VLOOKUP(B164,LGD_para,3,FALSE)^2/2))/VLOOKUP(B164,LGD_para,3,FALSE)-(VLOOKUP(B164,LGD_para,3,FALSE))-G164*(NORMSDIST(-LN(G164)+(VLOOKUP(B164,LGD_para,3,FALSE)^2/2))/VLOOKUP(B164,LGD_para,3,FALSE)))/LOGNORMDIST(1,LN(G164),(VLOOKUP(B164,LGD_para,3,FALSE)))*'LGD parameters'!$D$11</f>
        <v>0.33381167072117429</v>
      </c>
      <c r="I164" s="106">
        <f>VLOOKUP(C164,'PD Term Structure'!$C$5:$D$14,2,TRUE)</f>
        <v>3</v>
      </c>
      <c r="J164" s="43">
        <f>VLOOKUP(I164,'Master rating scale'!$G$5:$H$14,2,FALSE)</f>
        <v>3</v>
      </c>
      <c r="K164" s="62">
        <f t="shared" si="14"/>
        <v>8.1115054299905898E-3</v>
      </c>
      <c r="M164" s="110">
        <f>VLOOKUP(D164,'PD Term Structure'!$C$5:$D$14,2,TRUE)</f>
        <v>4</v>
      </c>
      <c r="N164" s="110">
        <f t="shared" si="15"/>
        <v>4</v>
      </c>
      <c r="O164" s="107">
        <f t="shared" si="16"/>
        <v>1.0815340573320786E-2</v>
      </c>
      <c r="Q164" s="110">
        <f>VLOOKUP(E164,'PD Term Structure'!$C$5:$D$14,2,TRUE)</f>
        <v>4</v>
      </c>
      <c r="R164" s="110">
        <f t="shared" si="17"/>
        <v>4</v>
      </c>
      <c r="S164" s="107">
        <f t="shared" si="18"/>
        <v>1.0815340573320786E-2</v>
      </c>
    </row>
    <row r="165" spans="1:19" ht="14">
      <c r="A165" s="36">
        <v>380571</v>
      </c>
      <c r="B165" s="81" t="s">
        <v>19</v>
      </c>
      <c r="C165" s="38">
        <v>1.4105306E-2</v>
      </c>
      <c r="D165" s="38">
        <f>INDEX('PD Term Structure'!$E$17:$N$26,MATCH($I165,'PD Term Structure'!$D$17:$D$26,0),MATCH(D$1,'PD Term Structure'!$E$16:$N$16,0))</f>
        <v>2.8507278481012657E-2</v>
      </c>
      <c r="E165" s="38">
        <f>INDEX('PD Term Structure'!$E$17:$N$26,MATCH($I165,'PD Term Structure'!$D$17:$D$26,0),MATCH(E$1,'PD Term Structure'!$E$16:$N$16,0))</f>
        <v>4.7291677269631509E-2</v>
      </c>
      <c r="F165" s="39">
        <v>27500</v>
      </c>
      <c r="G165" s="82">
        <f>VLOOKUP(B165,'LGD parameters'!$C$7:$E$11,2,FALSE)</f>
        <v>0.41974816177099206</v>
      </c>
      <c r="H165" s="82">
        <f>(NORMSDIST(-LN(G165)+(VLOOKUP(B165,LGD_para,3,FALSE)^2/2))/VLOOKUP(B165,LGD_para,3,FALSE)-(VLOOKUP(B165,LGD_para,3,FALSE))-G165*(NORMSDIST(-LN(G165)+(VLOOKUP(B165,LGD_para,3,FALSE)^2/2))/VLOOKUP(B165,LGD_para,3,FALSE)))/LOGNORMDIST(1,LN(G165),(VLOOKUP(B165,LGD_para,3,FALSE)))*'LGD parameters'!$D$11</f>
        <v>0.33381167072117429</v>
      </c>
      <c r="I165" s="106">
        <f>VLOOKUP(C165,'PD Term Structure'!$C$5:$D$14,2,TRUE)</f>
        <v>3</v>
      </c>
      <c r="J165" s="43">
        <f>VLOOKUP(I165,'Master rating scale'!$G$5:$H$14,2,FALSE)</f>
        <v>3</v>
      </c>
      <c r="K165" s="62">
        <f t="shared" si="14"/>
        <v>8.9226559729896487E-3</v>
      </c>
      <c r="M165" s="110">
        <f>VLOOKUP(D165,'PD Term Structure'!$C$5:$D$14,2,TRUE)</f>
        <v>4</v>
      </c>
      <c r="N165" s="110">
        <f t="shared" si="15"/>
        <v>4</v>
      </c>
      <c r="O165" s="107">
        <f t="shared" si="16"/>
        <v>1.1896874630652865E-2</v>
      </c>
      <c r="Q165" s="110">
        <f>VLOOKUP(E165,'PD Term Structure'!$C$5:$D$14,2,TRUE)</f>
        <v>4</v>
      </c>
      <c r="R165" s="110">
        <f t="shared" si="17"/>
        <v>4</v>
      </c>
      <c r="S165" s="107">
        <f t="shared" si="18"/>
        <v>1.1896874630652865E-2</v>
      </c>
    </row>
    <row r="166" spans="1:19" ht="14">
      <c r="A166" s="36">
        <v>302090</v>
      </c>
      <c r="B166" s="81" t="s">
        <v>19</v>
      </c>
      <c r="C166" s="38">
        <v>1.4105306E-2</v>
      </c>
      <c r="D166" s="38">
        <f>INDEX('PD Term Structure'!$E$17:$N$26,MATCH($I166,'PD Term Structure'!$D$17:$D$26,0),MATCH(D$1,'PD Term Structure'!$E$16:$N$16,0))</f>
        <v>2.8507278481012657E-2</v>
      </c>
      <c r="E166" s="38">
        <f>INDEX('PD Term Structure'!$E$17:$N$26,MATCH($I166,'PD Term Structure'!$D$17:$D$26,0),MATCH(E$1,'PD Term Structure'!$E$16:$N$16,0))</f>
        <v>4.7291677269631509E-2</v>
      </c>
      <c r="F166" s="39">
        <v>27610.5</v>
      </c>
      <c r="G166" s="82">
        <f>VLOOKUP(B166,'LGD parameters'!$C$7:$E$11,2,FALSE)</f>
        <v>0.41974816177099206</v>
      </c>
      <c r="H166" s="82">
        <f>(NORMSDIST(-LN(G166)+(VLOOKUP(B166,LGD_para,3,FALSE)^2/2))/VLOOKUP(B166,LGD_para,3,FALSE)-(VLOOKUP(B166,LGD_para,3,FALSE))-G166*(NORMSDIST(-LN(G166)+(VLOOKUP(B166,LGD_para,3,FALSE)^2/2))/VLOOKUP(B166,LGD_para,3,FALSE)))/LOGNORMDIST(1,LN(G166),(VLOOKUP(B166,LGD_para,3,FALSE)))*'LGD parameters'!$D$11</f>
        <v>0.33381167072117429</v>
      </c>
      <c r="I166" s="106">
        <f>VLOOKUP(C166,'PD Term Structure'!$C$5:$D$14,2,TRUE)</f>
        <v>3</v>
      </c>
      <c r="J166" s="43">
        <f>VLOOKUP(I166,'Master rating scale'!$G$5:$H$14,2,FALSE)</f>
        <v>3</v>
      </c>
      <c r="K166" s="62">
        <f t="shared" si="14"/>
        <v>8.9585088269902077E-3</v>
      </c>
      <c r="M166" s="110">
        <f>VLOOKUP(D166,'PD Term Structure'!$C$5:$D$14,2,TRUE)</f>
        <v>4</v>
      </c>
      <c r="N166" s="110">
        <f t="shared" si="15"/>
        <v>4</v>
      </c>
      <c r="O166" s="107">
        <f t="shared" si="16"/>
        <v>1.1944678435986943E-2</v>
      </c>
      <c r="Q166" s="110">
        <f>VLOOKUP(E166,'PD Term Structure'!$C$5:$D$14,2,TRUE)</f>
        <v>4</v>
      </c>
      <c r="R166" s="110">
        <f t="shared" si="17"/>
        <v>4</v>
      </c>
      <c r="S166" s="107">
        <f t="shared" si="18"/>
        <v>1.1944678435986943E-2</v>
      </c>
    </row>
    <row r="167" spans="1:19" ht="14">
      <c r="A167" s="36">
        <v>26607</v>
      </c>
      <c r="B167" s="81" t="s">
        <v>19</v>
      </c>
      <c r="C167" s="38">
        <v>1.4105306E-2</v>
      </c>
      <c r="D167" s="38">
        <f>INDEX('PD Term Structure'!$E$17:$N$26,MATCH($I167,'PD Term Structure'!$D$17:$D$26,0),MATCH(D$1,'PD Term Structure'!$E$16:$N$16,0))</f>
        <v>2.8507278481012657E-2</v>
      </c>
      <c r="E167" s="38">
        <f>INDEX('PD Term Structure'!$E$17:$N$26,MATCH($I167,'PD Term Structure'!$D$17:$D$26,0),MATCH(E$1,'PD Term Structure'!$E$16:$N$16,0))</f>
        <v>4.7291677269631509E-2</v>
      </c>
      <c r="F167" s="39">
        <v>27892.097000000002</v>
      </c>
      <c r="G167" s="82">
        <f>VLOOKUP(B167,'LGD parameters'!$C$7:$E$11,2,FALSE)</f>
        <v>0.41974816177099206</v>
      </c>
      <c r="H167" s="82">
        <f>(NORMSDIST(-LN(G167)+(VLOOKUP(B167,LGD_para,3,FALSE)^2/2))/VLOOKUP(B167,LGD_para,3,FALSE)-(VLOOKUP(B167,LGD_para,3,FALSE))-G167*(NORMSDIST(-LN(G167)+(VLOOKUP(B167,LGD_para,3,FALSE)^2/2))/VLOOKUP(B167,LGD_para,3,FALSE)))/LOGNORMDIST(1,LN(G167),(VLOOKUP(B167,LGD_para,3,FALSE)))*'LGD parameters'!$D$11</f>
        <v>0.33381167072117429</v>
      </c>
      <c r="I167" s="106">
        <f>VLOOKUP(C167,'PD Term Structure'!$C$5:$D$14,2,TRUE)</f>
        <v>3</v>
      </c>
      <c r="J167" s="43">
        <f>VLOOKUP(I167,'Master rating scale'!$G$5:$H$14,2,FALSE)</f>
        <v>3</v>
      </c>
      <c r="K167" s="62">
        <f t="shared" si="14"/>
        <v>9.0498758507729701E-3</v>
      </c>
      <c r="M167" s="110">
        <f>VLOOKUP(D167,'PD Term Structure'!$C$5:$D$14,2,TRUE)</f>
        <v>4</v>
      </c>
      <c r="N167" s="110">
        <f t="shared" si="15"/>
        <v>4</v>
      </c>
      <c r="O167" s="107">
        <f t="shared" si="16"/>
        <v>1.206650113436396E-2</v>
      </c>
      <c r="Q167" s="110">
        <f>VLOOKUP(E167,'PD Term Structure'!$C$5:$D$14,2,TRUE)</f>
        <v>4</v>
      </c>
      <c r="R167" s="110">
        <f t="shared" si="17"/>
        <v>4</v>
      </c>
      <c r="S167" s="107">
        <f t="shared" si="18"/>
        <v>1.206650113436396E-2</v>
      </c>
    </row>
    <row r="168" spans="1:19" ht="14">
      <c r="A168" s="36">
        <v>70029</v>
      </c>
      <c r="B168" s="81" t="s">
        <v>19</v>
      </c>
      <c r="C168" s="38">
        <v>1.4105306E-2</v>
      </c>
      <c r="D168" s="38">
        <f>INDEX('PD Term Structure'!$E$17:$N$26,MATCH($I168,'PD Term Structure'!$D$17:$D$26,0),MATCH(D$1,'PD Term Structure'!$E$16:$N$16,0))</f>
        <v>2.8507278481012657E-2</v>
      </c>
      <c r="E168" s="38">
        <f>INDEX('PD Term Structure'!$E$17:$N$26,MATCH($I168,'PD Term Structure'!$D$17:$D$26,0),MATCH(E$1,'PD Term Structure'!$E$16:$N$16,0))</f>
        <v>4.7291677269631509E-2</v>
      </c>
      <c r="F168" s="39">
        <v>30000</v>
      </c>
      <c r="G168" s="82">
        <f>VLOOKUP(B168,'LGD parameters'!$C$7:$E$11,2,FALSE)</f>
        <v>0.41974816177099206</v>
      </c>
      <c r="H168" s="82">
        <f>(NORMSDIST(-LN(G168)+(VLOOKUP(B168,LGD_para,3,FALSE)^2/2))/VLOOKUP(B168,LGD_para,3,FALSE)-(VLOOKUP(B168,LGD_para,3,FALSE))-G168*(NORMSDIST(-LN(G168)+(VLOOKUP(B168,LGD_para,3,FALSE)^2/2))/VLOOKUP(B168,LGD_para,3,FALSE)))/LOGNORMDIST(1,LN(G168),(VLOOKUP(B168,LGD_para,3,FALSE)))*'LGD parameters'!$D$11</f>
        <v>0.33381167072117429</v>
      </c>
      <c r="I168" s="106">
        <f>VLOOKUP(C168,'PD Term Structure'!$C$5:$D$14,2,TRUE)</f>
        <v>3</v>
      </c>
      <c r="J168" s="43">
        <f>VLOOKUP(I168,'Master rating scale'!$G$5:$H$14,2,FALSE)</f>
        <v>3</v>
      </c>
      <c r="K168" s="62">
        <f t="shared" si="14"/>
        <v>9.7338065159887077E-3</v>
      </c>
      <c r="M168" s="110">
        <f>VLOOKUP(D168,'PD Term Structure'!$C$5:$D$14,2,TRUE)</f>
        <v>4</v>
      </c>
      <c r="N168" s="110">
        <f t="shared" si="15"/>
        <v>4</v>
      </c>
      <c r="O168" s="107">
        <f t="shared" si="16"/>
        <v>1.2978408687984944E-2</v>
      </c>
      <c r="Q168" s="110">
        <f>VLOOKUP(E168,'PD Term Structure'!$C$5:$D$14,2,TRUE)</f>
        <v>4</v>
      </c>
      <c r="R168" s="110">
        <f t="shared" si="17"/>
        <v>4</v>
      </c>
      <c r="S168" s="107">
        <f t="shared" si="18"/>
        <v>1.2978408687984944E-2</v>
      </c>
    </row>
    <row r="169" spans="1:19" ht="14">
      <c r="A169" s="36">
        <v>143611</v>
      </c>
      <c r="B169" s="81" t="s">
        <v>19</v>
      </c>
      <c r="C169" s="38">
        <v>1.4105306E-2</v>
      </c>
      <c r="D169" s="38">
        <f>INDEX('PD Term Structure'!$E$17:$N$26,MATCH($I169,'PD Term Structure'!$D$17:$D$26,0),MATCH(D$1,'PD Term Structure'!$E$16:$N$16,0))</f>
        <v>2.8507278481012657E-2</v>
      </c>
      <c r="E169" s="38">
        <f>INDEX('PD Term Structure'!$E$17:$N$26,MATCH($I169,'PD Term Structure'!$D$17:$D$26,0),MATCH(E$1,'PD Term Structure'!$E$16:$N$16,0))</f>
        <v>4.7291677269631509E-2</v>
      </c>
      <c r="F169" s="39">
        <v>30000</v>
      </c>
      <c r="G169" s="82">
        <f>VLOOKUP(B169,'LGD parameters'!$C$7:$E$11,2,FALSE)</f>
        <v>0.41974816177099206</v>
      </c>
      <c r="H169" s="82">
        <f>(NORMSDIST(-LN(G169)+(VLOOKUP(B169,LGD_para,3,FALSE)^2/2))/VLOOKUP(B169,LGD_para,3,FALSE)-(VLOOKUP(B169,LGD_para,3,FALSE))-G169*(NORMSDIST(-LN(G169)+(VLOOKUP(B169,LGD_para,3,FALSE)^2/2))/VLOOKUP(B169,LGD_para,3,FALSE)))/LOGNORMDIST(1,LN(G169),(VLOOKUP(B169,LGD_para,3,FALSE)))*'LGD parameters'!$D$11</f>
        <v>0.33381167072117429</v>
      </c>
      <c r="I169" s="106">
        <f>VLOOKUP(C169,'PD Term Structure'!$C$5:$D$14,2,TRUE)</f>
        <v>3</v>
      </c>
      <c r="J169" s="43">
        <f>VLOOKUP(I169,'Master rating scale'!$G$5:$H$14,2,FALSE)</f>
        <v>3</v>
      </c>
      <c r="K169" s="62">
        <f t="shared" si="14"/>
        <v>9.7338065159887077E-3</v>
      </c>
      <c r="M169" s="110">
        <f>VLOOKUP(D169,'PD Term Structure'!$C$5:$D$14,2,TRUE)</f>
        <v>4</v>
      </c>
      <c r="N169" s="110">
        <f t="shared" si="15"/>
        <v>4</v>
      </c>
      <c r="O169" s="107">
        <f t="shared" si="16"/>
        <v>1.2978408687984944E-2</v>
      </c>
      <c r="Q169" s="110">
        <f>VLOOKUP(E169,'PD Term Structure'!$C$5:$D$14,2,TRUE)</f>
        <v>4</v>
      </c>
      <c r="R169" s="110">
        <f t="shared" si="17"/>
        <v>4</v>
      </c>
      <c r="S169" s="107">
        <f t="shared" si="18"/>
        <v>1.2978408687984944E-2</v>
      </c>
    </row>
    <row r="170" spans="1:19" ht="14">
      <c r="A170" s="36">
        <v>206051</v>
      </c>
      <c r="B170" s="81" t="s">
        <v>19</v>
      </c>
      <c r="C170" s="38">
        <v>1.4105306E-2</v>
      </c>
      <c r="D170" s="38">
        <f>INDEX('PD Term Structure'!$E$17:$N$26,MATCH($I170,'PD Term Structure'!$D$17:$D$26,0),MATCH(D$1,'PD Term Structure'!$E$16:$N$16,0))</f>
        <v>2.8507278481012657E-2</v>
      </c>
      <c r="E170" s="38">
        <f>INDEX('PD Term Structure'!$E$17:$N$26,MATCH($I170,'PD Term Structure'!$D$17:$D$26,0),MATCH(E$1,'PD Term Structure'!$E$16:$N$16,0))</f>
        <v>4.7291677269631509E-2</v>
      </c>
      <c r="F170" s="39">
        <v>30000</v>
      </c>
      <c r="G170" s="82">
        <f>VLOOKUP(B170,'LGD parameters'!$C$7:$E$11,2,FALSE)</f>
        <v>0.41974816177099206</v>
      </c>
      <c r="H170" s="82">
        <f>(NORMSDIST(-LN(G170)+(VLOOKUP(B170,LGD_para,3,FALSE)^2/2))/VLOOKUP(B170,LGD_para,3,FALSE)-(VLOOKUP(B170,LGD_para,3,FALSE))-G170*(NORMSDIST(-LN(G170)+(VLOOKUP(B170,LGD_para,3,FALSE)^2/2))/VLOOKUP(B170,LGD_para,3,FALSE)))/LOGNORMDIST(1,LN(G170),(VLOOKUP(B170,LGD_para,3,FALSE)))*'LGD parameters'!$D$11</f>
        <v>0.33381167072117429</v>
      </c>
      <c r="I170" s="106">
        <f>VLOOKUP(C170,'PD Term Structure'!$C$5:$D$14,2,TRUE)</f>
        <v>3</v>
      </c>
      <c r="J170" s="43">
        <f>VLOOKUP(I170,'Master rating scale'!$G$5:$H$14,2,FALSE)</f>
        <v>3</v>
      </c>
      <c r="K170" s="62">
        <f t="shared" si="14"/>
        <v>9.7338065159887077E-3</v>
      </c>
      <c r="M170" s="110">
        <f>VLOOKUP(D170,'PD Term Structure'!$C$5:$D$14,2,TRUE)</f>
        <v>4</v>
      </c>
      <c r="N170" s="110">
        <f t="shared" si="15"/>
        <v>4</v>
      </c>
      <c r="O170" s="107">
        <f t="shared" si="16"/>
        <v>1.2978408687984944E-2</v>
      </c>
      <c r="Q170" s="110">
        <f>VLOOKUP(E170,'PD Term Structure'!$C$5:$D$14,2,TRUE)</f>
        <v>4</v>
      </c>
      <c r="R170" s="110">
        <f t="shared" si="17"/>
        <v>4</v>
      </c>
      <c r="S170" s="107">
        <f t="shared" si="18"/>
        <v>1.2978408687984944E-2</v>
      </c>
    </row>
    <row r="171" spans="1:19" ht="14">
      <c r="A171" s="36">
        <v>362213</v>
      </c>
      <c r="B171" s="81" t="s">
        <v>19</v>
      </c>
      <c r="C171" s="38">
        <v>1.4105306E-2</v>
      </c>
      <c r="D171" s="38">
        <f>INDEX('PD Term Structure'!$E$17:$N$26,MATCH($I171,'PD Term Structure'!$D$17:$D$26,0),MATCH(D$1,'PD Term Structure'!$E$16:$N$16,0))</f>
        <v>2.8507278481012657E-2</v>
      </c>
      <c r="E171" s="38">
        <f>INDEX('PD Term Structure'!$E$17:$N$26,MATCH($I171,'PD Term Structure'!$D$17:$D$26,0),MATCH(E$1,'PD Term Structure'!$E$16:$N$16,0))</f>
        <v>4.7291677269631509E-2</v>
      </c>
      <c r="F171" s="39">
        <v>30026</v>
      </c>
      <c r="G171" s="82">
        <f>VLOOKUP(B171,'LGD parameters'!$C$7:$E$11,2,FALSE)</f>
        <v>0.41974816177099206</v>
      </c>
      <c r="H171" s="82">
        <f>(NORMSDIST(-LN(G171)+(VLOOKUP(B171,LGD_para,3,FALSE)^2/2))/VLOOKUP(B171,LGD_para,3,FALSE)-(VLOOKUP(B171,LGD_para,3,FALSE))-G171*(NORMSDIST(-LN(G171)+(VLOOKUP(B171,LGD_para,3,FALSE)^2/2))/VLOOKUP(B171,LGD_para,3,FALSE)))/LOGNORMDIST(1,LN(G171),(VLOOKUP(B171,LGD_para,3,FALSE)))*'LGD parameters'!$D$11</f>
        <v>0.33381167072117429</v>
      </c>
      <c r="I171" s="106">
        <f>VLOOKUP(C171,'PD Term Structure'!$C$5:$D$14,2,TRUE)</f>
        <v>3</v>
      </c>
      <c r="J171" s="43">
        <f>VLOOKUP(I171,'Master rating scale'!$G$5:$H$14,2,FALSE)</f>
        <v>3</v>
      </c>
      <c r="K171" s="62">
        <f t="shared" si="14"/>
        <v>9.7422424816358977E-3</v>
      </c>
      <c r="M171" s="110">
        <f>VLOOKUP(D171,'PD Term Structure'!$C$5:$D$14,2,TRUE)</f>
        <v>4</v>
      </c>
      <c r="N171" s="110">
        <f t="shared" si="15"/>
        <v>4</v>
      </c>
      <c r="O171" s="107">
        <f t="shared" si="16"/>
        <v>1.2989656642181198E-2</v>
      </c>
      <c r="Q171" s="110">
        <f>VLOOKUP(E171,'PD Term Structure'!$C$5:$D$14,2,TRUE)</f>
        <v>4</v>
      </c>
      <c r="R171" s="110">
        <f t="shared" si="17"/>
        <v>4</v>
      </c>
      <c r="S171" s="107">
        <f t="shared" si="18"/>
        <v>1.2989656642181198E-2</v>
      </c>
    </row>
    <row r="172" spans="1:19" ht="14">
      <c r="A172" s="36">
        <v>176358</v>
      </c>
      <c r="B172" s="81" t="s">
        <v>19</v>
      </c>
      <c r="C172" s="38">
        <v>1.4105306E-2</v>
      </c>
      <c r="D172" s="38">
        <f>INDEX('PD Term Structure'!$E$17:$N$26,MATCH($I172,'PD Term Structure'!$D$17:$D$26,0),MATCH(D$1,'PD Term Structure'!$E$16:$N$16,0))</f>
        <v>2.8507278481012657E-2</v>
      </c>
      <c r="E172" s="38">
        <f>INDEX('PD Term Structure'!$E$17:$N$26,MATCH($I172,'PD Term Structure'!$D$17:$D$26,0),MATCH(E$1,'PD Term Structure'!$E$16:$N$16,0))</f>
        <v>4.7291677269631509E-2</v>
      </c>
      <c r="F172" s="39">
        <v>30761</v>
      </c>
      <c r="G172" s="82">
        <f>VLOOKUP(B172,'LGD parameters'!$C$7:$E$11,2,FALSE)</f>
        <v>0.41974816177099206</v>
      </c>
      <c r="H172" s="82">
        <f>(NORMSDIST(-LN(G172)+(VLOOKUP(B172,LGD_para,3,FALSE)^2/2))/VLOOKUP(B172,LGD_para,3,FALSE)-(VLOOKUP(B172,LGD_para,3,FALSE))-G172*(NORMSDIST(-LN(G172)+(VLOOKUP(B172,LGD_para,3,FALSE)^2/2))/VLOOKUP(B172,LGD_para,3,FALSE)))/LOGNORMDIST(1,LN(G172),(VLOOKUP(B172,LGD_para,3,FALSE)))*'LGD parameters'!$D$11</f>
        <v>0.33381167072117429</v>
      </c>
      <c r="I172" s="106">
        <f>VLOOKUP(C172,'PD Term Structure'!$C$5:$D$14,2,TRUE)</f>
        <v>3</v>
      </c>
      <c r="J172" s="43">
        <f>VLOOKUP(I172,'Master rating scale'!$G$5:$H$14,2,FALSE)</f>
        <v>3</v>
      </c>
      <c r="K172" s="62">
        <f t="shared" si="14"/>
        <v>9.9807207412776211E-3</v>
      </c>
      <c r="M172" s="110">
        <f>VLOOKUP(D172,'PD Term Structure'!$C$5:$D$14,2,TRUE)</f>
        <v>4</v>
      </c>
      <c r="N172" s="110">
        <f t="shared" si="15"/>
        <v>4</v>
      </c>
      <c r="O172" s="107">
        <f t="shared" si="16"/>
        <v>1.3307627655036829E-2</v>
      </c>
      <c r="Q172" s="110">
        <f>VLOOKUP(E172,'PD Term Structure'!$C$5:$D$14,2,TRUE)</f>
        <v>4</v>
      </c>
      <c r="R172" s="110">
        <f t="shared" si="17"/>
        <v>4</v>
      </c>
      <c r="S172" s="107">
        <f t="shared" si="18"/>
        <v>1.3307627655036829E-2</v>
      </c>
    </row>
    <row r="173" spans="1:19" ht="14">
      <c r="A173" s="36">
        <v>307326</v>
      </c>
      <c r="B173" s="81" t="s">
        <v>19</v>
      </c>
      <c r="C173" s="38">
        <v>1.4105306E-2</v>
      </c>
      <c r="D173" s="38">
        <f>INDEX('PD Term Structure'!$E$17:$N$26,MATCH($I173,'PD Term Structure'!$D$17:$D$26,0),MATCH(D$1,'PD Term Structure'!$E$16:$N$16,0))</f>
        <v>2.8507278481012657E-2</v>
      </c>
      <c r="E173" s="38">
        <f>INDEX('PD Term Structure'!$E$17:$N$26,MATCH($I173,'PD Term Structure'!$D$17:$D$26,0),MATCH(E$1,'PD Term Structure'!$E$16:$N$16,0))</f>
        <v>4.7291677269631509E-2</v>
      </c>
      <c r="F173" s="39">
        <v>31000</v>
      </c>
      <c r="G173" s="82">
        <f>VLOOKUP(B173,'LGD parameters'!$C$7:$E$11,2,FALSE)</f>
        <v>0.41974816177099206</v>
      </c>
      <c r="H173" s="82">
        <f>(NORMSDIST(-LN(G173)+(VLOOKUP(B173,LGD_para,3,FALSE)^2/2))/VLOOKUP(B173,LGD_para,3,FALSE)-(VLOOKUP(B173,LGD_para,3,FALSE))-G173*(NORMSDIST(-LN(G173)+(VLOOKUP(B173,LGD_para,3,FALSE)^2/2))/VLOOKUP(B173,LGD_para,3,FALSE)))/LOGNORMDIST(1,LN(G173),(VLOOKUP(B173,LGD_para,3,FALSE)))*'LGD parameters'!$D$11</f>
        <v>0.33381167072117429</v>
      </c>
      <c r="I173" s="106">
        <f>VLOOKUP(C173,'PD Term Structure'!$C$5:$D$14,2,TRUE)</f>
        <v>3</v>
      </c>
      <c r="J173" s="43">
        <f>VLOOKUP(I173,'Master rating scale'!$G$5:$H$14,2,FALSE)</f>
        <v>3</v>
      </c>
      <c r="K173" s="62">
        <f t="shared" si="14"/>
        <v>1.0058266733188333E-2</v>
      </c>
      <c r="M173" s="110">
        <f>VLOOKUP(D173,'PD Term Structure'!$C$5:$D$14,2,TRUE)</f>
        <v>4</v>
      </c>
      <c r="N173" s="110">
        <f t="shared" si="15"/>
        <v>4</v>
      </c>
      <c r="O173" s="107">
        <f t="shared" si="16"/>
        <v>1.3411022310917776E-2</v>
      </c>
      <c r="Q173" s="110">
        <f>VLOOKUP(E173,'PD Term Structure'!$C$5:$D$14,2,TRUE)</f>
        <v>4</v>
      </c>
      <c r="R173" s="110">
        <f t="shared" si="17"/>
        <v>4</v>
      </c>
      <c r="S173" s="107">
        <f t="shared" si="18"/>
        <v>1.3411022310917776E-2</v>
      </c>
    </row>
    <row r="174" spans="1:19" ht="14">
      <c r="A174" s="36">
        <v>243623</v>
      </c>
      <c r="B174" s="81" t="s">
        <v>19</v>
      </c>
      <c r="C174" s="38">
        <v>1.4105306E-2</v>
      </c>
      <c r="D174" s="38">
        <f>INDEX('PD Term Structure'!$E$17:$N$26,MATCH($I174,'PD Term Structure'!$D$17:$D$26,0),MATCH(D$1,'PD Term Structure'!$E$16:$N$16,0))</f>
        <v>2.8507278481012657E-2</v>
      </c>
      <c r="E174" s="38">
        <f>INDEX('PD Term Structure'!$E$17:$N$26,MATCH($I174,'PD Term Structure'!$D$17:$D$26,0),MATCH(E$1,'PD Term Structure'!$E$16:$N$16,0))</f>
        <v>4.7291677269631509E-2</v>
      </c>
      <c r="F174" s="39">
        <v>31430</v>
      </c>
      <c r="G174" s="82">
        <f>VLOOKUP(B174,'LGD parameters'!$C$7:$E$11,2,FALSE)</f>
        <v>0.41974816177099206</v>
      </c>
      <c r="H174" s="82">
        <f>(NORMSDIST(-LN(G174)+(VLOOKUP(B174,LGD_para,3,FALSE)^2/2))/VLOOKUP(B174,LGD_para,3,FALSE)-(VLOOKUP(B174,LGD_para,3,FALSE))-G174*(NORMSDIST(-LN(G174)+(VLOOKUP(B174,LGD_para,3,FALSE)^2/2))/VLOOKUP(B174,LGD_para,3,FALSE)))/LOGNORMDIST(1,LN(G174),(VLOOKUP(B174,LGD_para,3,FALSE)))*'LGD parameters'!$D$11</f>
        <v>0.33381167072117429</v>
      </c>
      <c r="I174" s="106">
        <f>VLOOKUP(C174,'PD Term Structure'!$C$5:$D$14,2,TRUE)</f>
        <v>3</v>
      </c>
      <c r="J174" s="43">
        <f>VLOOKUP(I174,'Master rating scale'!$G$5:$H$14,2,FALSE)</f>
        <v>3</v>
      </c>
      <c r="K174" s="62">
        <f t="shared" si="14"/>
        <v>1.019778462658417E-2</v>
      </c>
      <c r="M174" s="110">
        <f>VLOOKUP(D174,'PD Term Structure'!$C$5:$D$14,2,TRUE)</f>
        <v>4</v>
      </c>
      <c r="N174" s="110">
        <f t="shared" si="15"/>
        <v>4</v>
      </c>
      <c r="O174" s="107">
        <f t="shared" si="16"/>
        <v>1.3597046168778893E-2</v>
      </c>
      <c r="Q174" s="110">
        <f>VLOOKUP(E174,'PD Term Structure'!$C$5:$D$14,2,TRUE)</f>
        <v>4</v>
      </c>
      <c r="R174" s="110">
        <f t="shared" si="17"/>
        <v>4</v>
      </c>
      <c r="S174" s="107">
        <f t="shared" si="18"/>
        <v>1.3597046168778893E-2</v>
      </c>
    </row>
    <row r="175" spans="1:19" ht="14">
      <c r="A175" s="36">
        <v>114060</v>
      </c>
      <c r="B175" s="81" t="s">
        <v>19</v>
      </c>
      <c r="C175" s="38">
        <v>1.4105306E-2</v>
      </c>
      <c r="D175" s="38">
        <f>INDEX('PD Term Structure'!$E$17:$N$26,MATCH($I175,'PD Term Structure'!$D$17:$D$26,0),MATCH(D$1,'PD Term Structure'!$E$16:$N$16,0))</f>
        <v>2.8507278481012657E-2</v>
      </c>
      <c r="E175" s="38">
        <f>INDEX('PD Term Structure'!$E$17:$N$26,MATCH($I175,'PD Term Structure'!$D$17:$D$26,0),MATCH(E$1,'PD Term Structure'!$E$16:$N$16,0))</f>
        <v>4.7291677269631509E-2</v>
      </c>
      <c r="F175" s="39">
        <v>31500</v>
      </c>
      <c r="G175" s="82">
        <f>VLOOKUP(B175,'LGD parameters'!$C$7:$E$11,2,FALSE)</f>
        <v>0.41974816177099206</v>
      </c>
      <c r="H175" s="82">
        <f>(NORMSDIST(-LN(G175)+(VLOOKUP(B175,LGD_para,3,FALSE)^2/2))/VLOOKUP(B175,LGD_para,3,FALSE)-(VLOOKUP(B175,LGD_para,3,FALSE))-G175*(NORMSDIST(-LN(G175)+(VLOOKUP(B175,LGD_para,3,FALSE)^2/2))/VLOOKUP(B175,LGD_para,3,FALSE)))/LOGNORMDIST(1,LN(G175),(VLOOKUP(B175,LGD_para,3,FALSE)))*'LGD parameters'!$D$11</f>
        <v>0.33381167072117429</v>
      </c>
      <c r="I175" s="106">
        <f>VLOOKUP(C175,'PD Term Structure'!$C$5:$D$14,2,TRUE)</f>
        <v>3</v>
      </c>
      <c r="J175" s="43">
        <f>VLOOKUP(I175,'Master rating scale'!$G$5:$H$14,2,FALSE)</f>
        <v>3</v>
      </c>
      <c r="K175" s="62">
        <f t="shared" si="14"/>
        <v>1.0220496841788142E-2</v>
      </c>
      <c r="M175" s="110">
        <f>VLOOKUP(D175,'PD Term Structure'!$C$5:$D$14,2,TRUE)</f>
        <v>4</v>
      </c>
      <c r="N175" s="110">
        <f t="shared" si="15"/>
        <v>4</v>
      </c>
      <c r="O175" s="107">
        <f t="shared" si="16"/>
        <v>1.362732912238419E-2</v>
      </c>
      <c r="Q175" s="110">
        <f>VLOOKUP(E175,'PD Term Structure'!$C$5:$D$14,2,TRUE)</f>
        <v>4</v>
      </c>
      <c r="R175" s="110">
        <f t="shared" si="17"/>
        <v>4</v>
      </c>
      <c r="S175" s="107">
        <f t="shared" si="18"/>
        <v>1.362732912238419E-2</v>
      </c>
    </row>
    <row r="176" spans="1:19" ht="14">
      <c r="A176" s="36">
        <v>33682</v>
      </c>
      <c r="B176" s="81" t="s">
        <v>19</v>
      </c>
      <c r="C176" s="38">
        <v>1.4105306E-2</v>
      </c>
      <c r="D176" s="38">
        <f>INDEX('PD Term Structure'!$E$17:$N$26,MATCH($I176,'PD Term Structure'!$D$17:$D$26,0),MATCH(D$1,'PD Term Structure'!$E$16:$N$16,0))</f>
        <v>2.8507278481012657E-2</v>
      </c>
      <c r="E176" s="38">
        <f>INDEX('PD Term Structure'!$E$17:$N$26,MATCH($I176,'PD Term Structure'!$D$17:$D$26,0),MATCH(E$1,'PD Term Structure'!$E$16:$N$16,0))</f>
        <v>4.7291677269631509E-2</v>
      </c>
      <c r="F176" s="39">
        <v>32836.5</v>
      </c>
      <c r="G176" s="82">
        <f>VLOOKUP(B176,'LGD parameters'!$C$7:$E$11,2,FALSE)</f>
        <v>0.41974816177099206</v>
      </c>
      <c r="H176" s="82">
        <f>(NORMSDIST(-LN(G176)+(VLOOKUP(B176,LGD_para,3,FALSE)^2/2))/VLOOKUP(B176,LGD_para,3,FALSE)-(VLOOKUP(B176,LGD_para,3,FALSE))-G176*(NORMSDIST(-LN(G176)+(VLOOKUP(B176,LGD_para,3,FALSE)^2/2))/VLOOKUP(B176,LGD_para,3,FALSE)))/LOGNORMDIST(1,LN(G176),(VLOOKUP(B176,LGD_para,3,FALSE)))*'LGD parameters'!$D$11</f>
        <v>0.33381167072117429</v>
      </c>
      <c r="I176" s="106">
        <f>VLOOKUP(C176,'PD Term Structure'!$C$5:$D$14,2,TRUE)</f>
        <v>3</v>
      </c>
      <c r="J176" s="43">
        <f>VLOOKUP(I176,'Master rating scale'!$G$5:$H$14,2,FALSE)</f>
        <v>3</v>
      </c>
      <c r="K176" s="62">
        <f t="shared" si="14"/>
        <v>1.0654137922075441E-2</v>
      </c>
      <c r="M176" s="110">
        <f>VLOOKUP(D176,'PD Term Structure'!$C$5:$D$14,2,TRUE)</f>
        <v>4</v>
      </c>
      <c r="N176" s="110">
        <f t="shared" si="15"/>
        <v>4</v>
      </c>
      <c r="O176" s="107">
        <f t="shared" si="16"/>
        <v>1.4205517229433921E-2</v>
      </c>
      <c r="Q176" s="110">
        <f>VLOOKUP(E176,'PD Term Structure'!$C$5:$D$14,2,TRUE)</f>
        <v>4</v>
      </c>
      <c r="R176" s="110">
        <f t="shared" si="17"/>
        <v>4</v>
      </c>
      <c r="S176" s="107">
        <f t="shared" si="18"/>
        <v>1.4205517229433921E-2</v>
      </c>
    </row>
    <row r="177" spans="1:19" ht="14">
      <c r="A177" s="36">
        <v>469516</v>
      </c>
      <c r="B177" s="81" t="s">
        <v>19</v>
      </c>
      <c r="C177" s="38">
        <v>1.4105306E-2</v>
      </c>
      <c r="D177" s="38">
        <f>INDEX('PD Term Structure'!$E$17:$N$26,MATCH($I177,'PD Term Structure'!$D$17:$D$26,0),MATCH(D$1,'PD Term Structure'!$E$16:$N$16,0))</f>
        <v>2.8507278481012657E-2</v>
      </c>
      <c r="E177" s="38">
        <f>INDEX('PD Term Structure'!$E$17:$N$26,MATCH($I177,'PD Term Structure'!$D$17:$D$26,0),MATCH(E$1,'PD Term Structure'!$E$16:$N$16,0))</f>
        <v>4.7291677269631509E-2</v>
      </c>
      <c r="F177" s="39">
        <v>33000</v>
      </c>
      <c r="G177" s="82">
        <f>VLOOKUP(B177,'LGD parameters'!$C$7:$E$11,2,FALSE)</f>
        <v>0.41974816177099206</v>
      </c>
      <c r="H177" s="82">
        <f>(NORMSDIST(-LN(G177)+(VLOOKUP(B177,LGD_para,3,FALSE)^2/2))/VLOOKUP(B177,LGD_para,3,FALSE)-(VLOOKUP(B177,LGD_para,3,FALSE))-G177*(NORMSDIST(-LN(G177)+(VLOOKUP(B177,LGD_para,3,FALSE)^2/2))/VLOOKUP(B177,LGD_para,3,FALSE)))/LOGNORMDIST(1,LN(G177),(VLOOKUP(B177,LGD_para,3,FALSE)))*'LGD parameters'!$D$11</f>
        <v>0.33381167072117429</v>
      </c>
      <c r="I177" s="106">
        <f>VLOOKUP(C177,'PD Term Structure'!$C$5:$D$14,2,TRUE)</f>
        <v>3</v>
      </c>
      <c r="J177" s="43">
        <f>VLOOKUP(I177,'Master rating scale'!$G$5:$H$14,2,FALSE)</f>
        <v>3</v>
      </c>
      <c r="K177" s="62">
        <f t="shared" si="14"/>
        <v>1.0707187167587579E-2</v>
      </c>
      <c r="M177" s="110">
        <f>VLOOKUP(D177,'PD Term Structure'!$C$5:$D$14,2,TRUE)</f>
        <v>4</v>
      </c>
      <c r="N177" s="110">
        <f t="shared" si="15"/>
        <v>4</v>
      </c>
      <c r="O177" s="107">
        <f t="shared" si="16"/>
        <v>1.4276249556783438E-2</v>
      </c>
      <c r="Q177" s="110">
        <f>VLOOKUP(E177,'PD Term Structure'!$C$5:$D$14,2,TRUE)</f>
        <v>4</v>
      </c>
      <c r="R177" s="110">
        <f t="shared" si="17"/>
        <v>4</v>
      </c>
      <c r="S177" s="107">
        <f t="shared" si="18"/>
        <v>1.4276249556783438E-2</v>
      </c>
    </row>
    <row r="178" spans="1:19" ht="14">
      <c r="A178" s="36">
        <v>15294</v>
      </c>
      <c r="B178" s="81" t="s">
        <v>19</v>
      </c>
      <c r="C178" s="38">
        <v>1.4105306E-2</v>
      </c>
      <c r="D178" s="38">
        <f>INDEX('PD Term Structure'!$E$17:$N$26,MATCH($I178,'PD Term Structure'!$D$17:$D$26,0),MATCH(D$1,'PD Term Structure'!$E$16:$N$16,0))</f>
        <v>2.8507278481012657E-2</v>
      </c>
      <c r="E178" s="38">
        <f>INDEX('PD Term Structure'!$E$17:$N$26,MATCH($I178,'PD Term Structure'!$D$17:$D$26,0),MATCH(E$1,'PD Term Structure'!$E$16:$N$16,0))</f>
        <v>4.7291677269631509E-2</v>
      </c>
      <c r="F178" s="39">
        <v>34647.5</v>
      </c>
      <c r="G178" s="82">
        <f>VLOOKUP(B178,'LGD parameters'!$C$7:$E$11,2,FALSE)</f>
        <v>0.41974816177099206</v>
      </c>
      <c r="H178" s="82">
        <f>(NORMSDIST(-LN(G178)+(VLOOKUP(B178,LGD_para,3,FALSE)^2/2))/VLOOKUP(B178,LGD_para,3,FALSE)-(VLOOKUP(B178,LGD_para,3,FALSE))-G178*(NORMSDIST(-LN(G178)+(VLOOKUP(B178,LGD_para,3,FALSE)^2/2))/VLOOKUP(B178,LGD_para,3,FALSE)))/LOGNORMDIST(1,LN(G178),(VLOOKUP(B178,LGD_para,3,FALSE)))*'LGD parameters'!$D$11</f>
        <v>0.33381167072117429</v>
      </c>
      <c r="I178" s="106">
        <f>VLOOKUP(C178,'PD Term Structure'!$C$5:$D$14,2,TRUE)</f>
        <v>3</v>
      </c>
      <c r="J178" s="43">
        <f>VLOOKUP(I178,'Master rating scale'!$G$5:$H$14,2,FALSE)</f>
        <v>3</v>
      </c>
      <c r="K178" s="62">
        <f t="shared" si="14"/>
        <v>1.1241735375423959E-2</v>
      </c>
      <c r="M178" s="110">
        <f>VLOOKUP(D178,'PD Term Structure'!$C$5:$D$14,2,TRUE)</f>
        <v>4</v>
      </c>
      <c r="N178" s="110">
        <f t="shared" si="15"/>
        <v>4</v>
      </c>
      <c r="O178" s="107">
        <f t="shared" si="16"/>
        <v>1.4988980500565277E-2</v>
      </c>
      <c r="Q178" s="110">
        <f>VLOOKUP(E178,'PD Term Structure'!$C$5:$D$14,2,TRUE)</f>
        <v>4</v>
      </c>
      <c r="R178" s="110">
        <f t="shared" si="17"/>
        <v>4</v>
      </c>
      <c r="S178" s="107">
        <f t="shared" si="18"/>
        <v>1.4988980500565277E-2</v>
      </c>
    </row>
    <row r="179" spans="1:19" ht="14">
      <c r="A179" s="36">
        <v>370766</v>
      </c>
      <c r="B179" s="81" t="s">
        <v>19</v>
      </c>
      <c r="C179" s="38">
        <v>1.44E-2</v>
      </c>
      <c r="D179" s="38">
        <f>INDEX('PD Term Structure'!$E$17:$N$26,MATCH($I179,'PD Term Structure'!$D$17:$D$26,0),MATCH(D$1,'PD Term Structure'!$E$16:$N$16,0))</f>
        <v>2.8507278481012657E-2</v>
      </c>
      <c r="E179" s="38">
        <f>INDEX('PD Term Structure'!$E$17:$N$26,MATCH($I179,'PD Term Structure'!$D$17:$D$26,0),MATCH(E$1,'PD Term Structure'!$E$16:$N$16,0))</f>
        <v>4.7291677269631509E-2</v>
      </c>
      <c r="F179" s="39">
        <v>918533.21460000006</v>
      </c>
      <c r="G179" s="82">
        <f t="shared" ref="G179:G188" si="19">VLOOKUP(B179,LGD_para,2,FALSE)</f>
        <v>0.41974816177099206</v>
      </c>
      <c r="H179" s="82">
        <f>(NORMSDIST(-LN(G179)+(VLOOKUP(B179,LGD_para,3,FALSE)^2/2))/VLOOKUP(B179,LGD_para,3,FALSE)-(VLOOKUP(B179,LGD_para,3,FALSE))-G179*(NORMSDIST(-LN(G179)+(VLOOKUP(B179,LGD_para,3,FALSE)^2/2))/VLOOKUP(B179,LGD_para,3,FALSE)))/LOGNORMDIST(1,LN(G179),(VLOOKUP(B179,LGD_para,3,FALSE)))*'LGD parameters'!$D$11</f>
        <v>0.33381167072117429</v>
      </c>
      <c r="I179" s="106">
        <f>VLOOKUP(C179,'PD Term Structure'!$C$5:$D$14,2,TRUE)</f>
        <v>3</v>
      </c>
      <c r="J179" s="43">
        <f>VLOOKUP(I179,'Master rating scale'!$G$5:$H$14,2,FALSE)</f>
        <v>3</v>
      </c>
      <c r="K179" s="62">
        <f t="shared" si="14"/>
        <v>0.29802748631418446</v>
      </c>
      <c r="M179" s="110">
        <f>VLOOKUP(D179,'PD Term Structure'!$C$5:$D$14,2,TRUE)</f>
        <v>4</v>
      </c>
      <c r="N179" s="110">
        <f t="shared" si="15"/>
        <v>4</v>
      </c>
      <c r="O179" s="107">
        <f t="shared" si="16"/>
        <v>0.39736998175224597</v>
      </c>
      <c r="Q179" s="110">
        <f>VLOOKUP(E179,'PD Term Structure'!$C$5:$D$14,2,TRUE)</f>
        <v>4</v>
      </c>
      <c r="R179" s="110">
        <f t="shared" si="17"/>
        <v>4</v>
      </c>
      <c r="S179" s="107">
        <f t="shared" si="18"/>
        <v>0.39736998175224597</v>
      </c>
    </row>
    <row r="180" spans="1:19" ht="14">
      <c r="A180" s="36">
        <v>293064</v>
      </c>
      <c r="B180" s="81" t="s">
        <v>19</v>
      </c>
      <c r="C180" s="38">
        <v>1.44E-2</v>
      </c>
      <c r="D180" s="38">
        <f>INDEX('PD Term Structure'!$E$17:$N$26,MATCH($I180,'PD Term Structure'!$D$17:$D$26,0),MATCH(D$1,'PD Term Structure'!$E$16:$N$16,0))</f>
        <v>2.8507278481012657E-2</v>
      </c>
      <c r="E180" s="38">
        <f>INDEX('PD Term Structure'!$E$17:$N$26,MATCH($I180,'PD Term Structure'!$D$17:$D$26,0),MATCH(E$1,'PD Term Structure'!$E$16:$N$16,0))</f>
        <v>4.7291677269631509E-2</v>
      </c>
      <c r="F180" s="39">
        <v>127.70399999999999</v>
      </c>
      <c r="G180" s="82">
        <f t="shared" si="19"/>
        <v>0.41974816177099206</v>
      </c>
      <c r="H180" s="82">
        <f>(NORMSDIST(-LN(G180)+(VLOOKUP(B180,LGD_para,3,FALSE)^2/2))/VLOOKUP(B180,LGD_para,3,FALSE)-(VLOOKUP(B180,LGD_para,3,FALSE))-G180*(NORMSDIST(-LN(G180)+(VLOOKUP(B180,LGD_para,3,FALSE)^2/2))/VLOOKUP(B180,LGD_para,3,FALSE)))/LOGNORMDIST(1,LN(G180),(VLOOKUP(B180,LGD_para,3,FALSE)))*'LGD parameters'!$D$11</f>
        <v>0.33381167072117429</v>
      </c>
      <c r="I180" s="106">
        <f>VLOOKUP(C180,'PD Term Structure'!$C$5:$D$14,2,TRUE)</f>
        <v>3</v>
      </c>
      <c r="J180" s="43">
        <f>VLOOKUP(I180,'Master rating scale'!$G$5:$H$14,2,FALSE)</f>
        <v>3</v>
      </c>
      <c r="K180" s="62">
        <f t="shared" si="14"/>
        <v>4.1434867577260728E-5</v>
      </c>
      <c r="M180" s="110">
        <f>VLOOKUP(D180,'PD Term Structure'!$C$5:$D$14,2,TRUE)</f>
        <v>4</v>
      </c>
      <c r="N180" s="110">
        <f t="shared" si="15"/>
        <v>4</v>
      </c>
      <c r="O180" s="107">
        <f t="shared" si="16"/>
        <v>5.5246490103014304E-5</v>
      </c>
      <c r="Q180" s="110">
        <f>VLOOKUP(E180,'PD Term Structure'!$C$5:$D$14,2,TRUE)</f>
        <v>4</v>
      </c>
      <c r="R180" s="110">
        <f t="shared" si="17"/>
        <v>4</v>
      </c>
      <c r="S180" s="107">
        <f t="shared" si="18"/>
        <v>5.5246490103014304E-5</v>
      </c>
    </row>
    <row r="181" spans="1:19" ht="14">
      <c r="A181" s="36">
        <v>433654</v>
      </c>
      <c r="B181" s="81" t="s">
        <v>19</v>
      </c>
      <c r="C181" s="38">
        <v>1.44E-2</v>
      </c>
      <c r="D181" s="38">
        <f>INDEX('PD Term Structure'!$E$17:$N$26,MATCH($I181,'PD Term Structure'!$D$17:$D$26,0),MATCH(D$1,'PD Term Structure'!$E$16:$N$16,0))</f>
        <v>2.8507278481012657E-2</v>
      </c>
      <c r="E181" s="38">
        <f>INDEX('PD Term Structure'!$E$17:$N$26,MATCH($I181,'PD Term Structure'!$D$17:$D$26,0),MATCH(E$1,'PD Term Structure'!$E$16:$N$16,0))</f>
        <v>4.7291677269631509E-2</v>
      </c>
      <c r="F181" s="39">
        <v>7524.6529280000004</v>
      </c>
      <c r="G181" s="82">
        <f t="shared" si="19"/>
        <v>0.41974816177099206</v>
      </c>
      <c r="H181" s="82">
        <f>(NORMSDIST(-LN(G181)+(VLOOKUP(B181,LGD_para,3,FALSE)^2/2))/VLOOKUP(B181,LGD_para,3,FALSE)-(VLOOKUP(B181,LGD_para,3,FALSE))-G181*(NORMSDIST(-LN(G181)+(VLOOKUP(B181,LGD_para,3,FALSE)^2/2))/VLOOKUP(B181,LGD_para,3,FALSE)))/LOGNORMDIST(1,LN(G181),(VLOOKUP(B181,LGD_para,3,FALSE)))*'LGD parameters'!$D$11</f>
        <v>0.33381167072117429</v>
      </c>
      <c r="I181" s="106">
        <f>VLOOKUP(C181,'PD Term Structure'!$C$5:$D$14,2,TRUE)</f>
        <v>3</v>
      </c>
      <c r="J181" s="43">
        <f>VLOOKUP(I181,'Master rating scale'!$G$5:$H$14,2,FALSE)</f>
        <v>3</v>
      </c>
      <c r="K181" s="62">
        <f t="shared" si="14"/>
        <v>2.4414505233706636E-3</v>
      </c>
      <c r="M181" s="110">
        <f>VLOOKUP(D181,'PD Term Structure'!$C$5:$D$14,2,TRUE)</f>
        <v>4</v>
      </c>
      <c r="N181" s="110">
        <f t="shared" si="15"/>
        <v>4</v>
      </c>
      <c r="O181" s="107">
        <f t="shared" si="16"/>
        <v>3.2552673644942183E-3</v>
      </c>
      <c r="Q181" s="110">
        <f>VLOOKUP(E181,'PD Term Structure'!$C$5:$D$14,2,TRUE)</f>
        <v>4</v>
      </c>
      <c r="R181" s="110">
        <f t="shared" si="17"/>
        <v>4</v>
      </c>
      <c r="S181" s="107">
        <f t="shared" si="18"/>
        <v>3.2552673644942183E-3</v>
      </c>
    </row>
    <row r="182" spans="1:19" ht="14">
      <c r="A182" s="36">
        <v>284692</v>
      </c>
      <c r="B182" s="81" t="s">
        <v>19</v>
      </c>
      <c r="C182" s="38">
        <v>1.44E-2</v>
      </c>
      <c r="D182" s="38">
        <f>INDEX('PD Term Structure'!$E$17:$N$26,MATCH($I182,'PD Term Structure'!$D$17:$D$26,0),MATCH(D$1,'PD Term Structure'!$E$16:$N$16,0))</f>
        <v>2.8507278481012657E-2</v>
      </c>
      <c r="E182" s="38">
        <f>INDEX('PD Term Structure'!$E$17:$N$26,MATCH($I182,'PD Term Structure'!$D$17:$D$26,0),MATCH(E$1,'PD Term Structure'!$E$16:$N$16,0))</f>
        <v>4.7291677269631509E-2</v>
      </c>
      <c r="F182" s="39">
        <v>3677.232</v>
      </c>
      <c r="G182" s="82">
        <f t="shared" si="19"/>
        <v>0.41974816177099206</v>
      </c>
      <c r="H182" s="82">
        <f>(NORMSDIST(-LN(G182)+(VLOOKUP(B182,LGD_para,3,FALSE)^2/2))/VLOOKUP(B182,LGD_para,3,FALSE)-(VLOOKUP(B182,LGD_para,3,FALSE))-G182*(NORMSDIST(-LN(G182)+(VLOOKUP(B182,LGD_para,3,FALSE)^2/2))/VLOOKUP(B182,LGD_para,3,FALSE)))/LOGNORMDIST(1,LN(G182),(VLOOKUP(B182,LGD_para,3,FALSE)))*'LGD parameters'!$D$11</f>
        <v>0.33381167072117429</v>
      </c>
      <c r="I182" s="106">
        <f>VLOOKUP(C182,'PD Term Structure'!$C$5:$D$14,2,TRUE)</f>
        <v>3</v>
      </c>
      <c r="J182" s="43">
        <f>VLOOKUP(I182,'Master rating scale'!$G$5:$H$14,2,FALSE)</f>
        <v>3</v>
      </c>
      <c r="K182" s="62">
        <f t="shared" si="14"/>
        <v>1.1931154934134063E-3</v>
      </c>
      <c r="M182" s="110">
        <f>VLOOKUP(D182,'PD Term Structure'!$C$5:$D$14,2,TRUE)</f>
        <v>4</v>
      </c>
      <c r="N182" s="110">
        <f t="shared" si="15"/>
        <v>4</v>
      </c>
      <c r="O182" s="107">
        <f t="shared" si="16"/>
        <v>1.5908206578845417E-3</v>
      </c>
      <c r="Q182" s="110">
        <f>VLOOKUP(E182,'PD Term Structure'!$C$5:$D$14,2,TRUE)</f>
        <v>4</v>
      </c>
      <c r="R182" s="110">
        <f t="shared" si="17"/>
        <v>4</v>
      </c>
      <c r="S182" s="107">
        <f t="shared" si="18"/>
        <v>1.5908206578845417E-3</v>
      </c>
    </row>
    <row r="183" spans="1:19" ht="14">
      <c r="A183" s="36">
        <v>330743</v>
      </c>
      <c r="B183" s="81" t="s">
        <v>19</v>
      </c>
      <c r="C183" s="38">
        <v>1.44E-2</v>
      </c>
      <c r="D183" s="38">
        <f>INDEX('PD Term Structure'!$E$17:$N$26,MATCH($I183,'PD Term Structure'!$D$17:$D$26,0),MATCH(D$1,'PD Term Structure'!$E$16:$N$16,0))</f>
        <v>2.8507278481012657E-2</v>
      </c>
      <c r="E183" s="38">
        <f>INDEX('PD Term Structure'!$E$17:$N$26,MATCH($I183,'PD Term Structure'!$D$17:$D$26,0),MATCH(E$1,'PD Term Structure'!$E$16:$N$16,0))</f>
        <v>4.7291677269631509E-2</v>
      </c>
      <c r="F183" s="39">
        <v>90573.964459999988</v>
      </c>
      <c r="G183" s="82">
        <f t="shared" si="19"/>
        <v>0.41974816177099206</v>
      </c>
      <c r="H183" s="82">
        <f>(NORMSDIST(-LN(G183)+(VLOOKUP(B183,LGD_para,3,FALSE)^2/2))/VLOOKUP(B183,LGD_para,3,FALSE)-(VLOOKUP(B183,LGD_para,3,FALSE))-G183*(NORMSDIST(-LN(G183)+(VLOOKUP(B183,LGD_para,3,FALSE)^2/2))/VLOOKUP(B183,LGD_para,3,FALSE)))/LOGNORMDIST(1,LN(G183),(VLOOKUP(B183,LGD_para,3,FALSE)))*'LGD parameters'!$D$11</f>
        <v>0.33381167072117429</v>
      </c>
      <c r="I183" s="106">
        <f>VLOOKUP(C183,'PD Term Structure'!$C$5:$D$14,2,TRUE)</f>
        <v>3</v>
      </c>
      <c r="J183" s="43">
        <f>VLOOKUP(I183,'Master rating scale'!$G$5:$H$14,2,FALSE)</f>
        <v>3</v>
      </c>
      <c r="K183" s="62">
        <f t="shared" si="14"/>
        <v>2.9387648181322584E-2</v>
      </c>
      <c r="M183" s="110">
        <f>VLOOKUP(D183,'PD Term Structure'!$C$5:$D$14,2,TRUE)</f>
        <v>4</v>
      </c>
      <c r="N183" s="110">
        <f t="shared" si="15"/>
        <v>4</v>
      </c>
      <c r="O183" s="107">
        <f t="shared" si="16"/>
        <v>3.918353090843011E-2</v>
      </c>
      <c r="Q183" s="110">
        <f>VLOOKUP(E183,'PD Term Structure'!$C$5:$D$14,2,TRUE)</f>
        <v>4</v>
      </c>
      <c r="R183" s="110">
        <f t="shared" si="17"/>
        <v>4</v>
      </c>
      <c r="S183" s="107">
        <f t="shared" si="18"/>
        <v>3.918353090843011E-2</v>
      </c>
    </row>
    <row r="184" spans="1:19" ht="14">
      <c r="A184" s="36">
        <v>273672</v>
      </c>
      <c r="B184" s="81" t="s">
        <v>19</v>
      </c>
      <c r="C184" s="38">
        <v>1.44E-2</v>
      </c>
      <c r="D184" s="38">
        <f>INDEX('PD Term Structure'!$E$17:$N$26,MATCH($I184,'PD Term Structure'!$D$17:$D$26,0),MATCH(D$1,'PD Term Structure'!$E$16:$N$16,0))</f>
        <v>2.8507278481012657E-2</v>
      </c>
      <c r="E184" s="38">
        <f>INDEX('PD Term Structure'!$E$17:$N$26,MATCH($I184,'PD Term Structure'!$D$17:$D$26,0),MATCH(E$1,'PD Term Structure'!$E$16:$N$16,0))</f>
        <v>4.7291677269631509E-2</v>
      </c>
      <c r="F184" s="39">
        <v>23750</v>
      </c>
      <c r="G184" s="82">
        <f t="shared" si="19"/>
        <v>0.41974816177099206</v>
      </c>
      <c r="H184" s="82">
        <f>(NORMSDIST(-LN(G184)+(VLOOKUP(B184,LGD_para,3,FALSE)^2/2))/VLOOKUP(B184,LGD_para,3,FALSE)-(VLOOKUP(B184,LGD_para,3,FALSE))-G184*(NORMSDIST(-LN(G184)+(VLOOKUP(B184,LGD_para,3,FALSE)^2/2))/VLOOKUP(B184,LGD_para,3,FALSE)))/LOGNORMDIST(1,LN(G184),(VLOOKUP(B184,LGD_para,3,FALSE)))*'LGD parameters'!$D$11</f>
        <v>0.33381167072117429</v>
      </c>
      <c r="I184" s="106">
        <f>VLOOKUP(C184,'PD Term Structure'!$C$5:$D$14,2,TRUE)</f>
        <v>3</v>
      </c>
      <c r="J184" s="43">
        <f>VLOOKUP(I184,'Master rating scale'!$G$5:$H$14,2,FALSE)</f>
        <v>3</v>
      </c>
      <c r="K184" s="62">
        <f t="shared" si="14"/>
        <v>7.7059301584910603E-3</v>
      </c>
      <c r="M184" s="110">
        <f>VLOOKUP(D184,'PD Term Structure'!$C$5:$D$14,2,TRUE)</f>
        <v>4</v>
      </c>
      <c r="N184" s="110">
        <f t="shared" si="15"/>
        <v>4</v>
      </c>
      <c r="O184" s="107">
        <f t="shared" si="16"/>
        <v>1.0274573544654747E-2</v>
      </c>
      <c r="Q184" s="110">
        <f>VLOOKUP(E184,'PD Term Structure'!$C$5:$D$14,2,TRUE)</f>
        <v>4</v>
      </c>
      <c r="R184" s="110">
        <f t="shared" si="17"/>
        <v>4</v>
      </c>
      <c r="S184" s="107">
        <f t="shared" si="18"/>
        <v>1.0274573544654747E-2</v>
      </c>
    </row>
    <row r="185" spans="1:19" ht="14">
      <c r="A185" s="36">
        <v>70029</v>
      </c>
      <c r="B185" s="81" t="s">
        <v>19</v>
      </c>
      <c r="C185" s="38">
        <v>1.44E-2</v>
      </c>
      <c r="D185" s="38">
        <f>INDEX('PD Term Structure'!$E$17:$N$26,MATCH($I185,'PD Term Structure'!$D$17:$D$26,0),MATCH(D$1,'PD Term Structure'!$E$16:$N$16,0))</f>
        <v>2.8507278481012657E-2</v>
      </c>
      <c r="E185" s="38">
        <f>INDEX('PD Term Structure'!$E$17:$N$26,MATCH($I185,'PD Term Structure'!$D$17:$D$26,0),MATCH(E$1,'PD Term Structure'!$E$16:$N$16,0))</f>
        <v>4.7291677269631509E-2</v>
      </c>
      <c r="F185" s="39">
        <v>30000</v>
      </c>
      <c r="G185" s="82">
        <f t="shared" si="19"/>
        <v>0.41974816177099206</v>
      </c>
      <c r="H185" s="82">
        <f>(NORMSDIST(-LN(G185)+(VLOOKUP(B185,LGD_para,3,FALSE)^2/2))/VLOOKUP(B185,LGD_para,3,FALSE)-(VLOOKUP(B185,LGD_para,3,FALSE))-G185*(NORMSDIST(-LN(G185)+(VLOOKUP(B185,LGD_para,3,FALSE)^2/2))/VLOOKUP(B185,LGD_para,3,FALSE)))/LOGNORMDIST(1,LN(G185),(VLOOKUP(B185,LGD_para,3,FALSE)))*'LGD parameters'!$D$11</f>
        <v>0.33381167072117429</v>
      </c>
      <c r="I185" s="106">
        <f>VLOOKUP(C185,'PD Term Structure'!$C$5:$D$14,2,TRUE)</f>
        <v>3</v>
      </c>
      <c r="J185" s="43">
        <f>VLOOKUP(I185,'Master rating scale'!$G$5:$H$14,2,FALSE)</f>
        <v>3</v>
      </c>
      <c r="K185" s="62">
        <f t="shared" si="14"/>
        <v>9.7338065159887077E-3</v>
      </c>
      <c r="M185" s="110">
        <f>VLOOKUP(D185,'PD Term Structure'!$C$5:$D$14,2,TRUE)</f>
        <v>4</v>
      </c>
      <c r="N185" s="110">
        <f t="shared" si="15"/>
        <v>4</v>
      </c>
      <c r="O185" s="107">
        <f t="shared" si="16"/>
        <v>1.2978408687984944E-2</v>
      </c>
      <c r="Q185" s="110">
        <f>VLOOKUP(E185,'PD Term Structure'!$C$5:$D$14,2,TRUE)</f>
        <v>4</v>
      </c>
      <c r="R185" s="110">
        <f t="shared" si="17"/>
        <v>4</v>
      </c>
      <c r="S185" s="107">
        <f t="shared" si="18"/>
        <v>1.2978408687984944E-2</v>
      </c>
    </row>
    <row r="186" spans="1:19" ht="14">
      <c r="A186" s="36">
        <v>302531</v>
      </c>
      <c r="B186" s="81" t="s">
        <v>19</v>
      </c>
      <c r="C186" s="38">
        <v>1.44E-2</v>
      </c>
      <c r="D186" s="38">
        <f>INDEX('PD Term Structure'!$E$17:$N$26,MATCH($I186,'PD Term Structure'!$D$17:$D$26,0),MATCH(D$1,'PD Term Structure'!$E$16:$N$16,0))</f>
        <v>2.8507278481012657E-2</v>
      </c>
      <c r="E186" s="38">
        <f>INDEX('PD Term Structure'!$E$17:$N$26,MATCH($I186,'PD Term Structure'!$D$17:$D$26,0),MATCH(E$1,'PD Term Structure'!$E$16:$N$16,0))</f>
        <v>4.7291677269631509E-2</v>
      </c>
      <c r="F186" s="39">
        <v>15995.11</v>
      </c>
      <c r="G186" s="82">
        <f t="shared" si="19"/>
        <v>0.41974816177099206</v>
      </c>
      <c r="H186" s="82">
        <f>(NORMSDIST(-LN(G186)+(VLOOKUP(B186,LGD_para,3,FALSE)^2/2))/VLOOKUP(B186,LGD_para,3,FALSE)-(VLOOKUP(B186,LGD_para,3,FALSE))-G186*(NORMSDIST(-LN(G186)+(VLOOKUP(B186,LGD_para,3,FALSE)^2/2))/VLOOKUP(B186,LGD_para,3,FALSE)))/LOGNORMDIST(1,LN(G186),(VLOOKUP(B186,LGD_para,3,FALSE)))*'LGD parameters'!$D$11</f>
        <v>0.33381167072117429</v>
      </c>
      <c r="I186" s="106">
        <f>VLOOKUP(C186,'PD Term Structure'!$C$5:$D$14,2,TRUE)</f>
        <v>3</v>
      </c>
      <c r="J186" s="43">
        <f>VLOOKUP(I186,'Master rating scale'!$G$5:$H$14,2,FALSE)</f>
        <v>3</v>
      </c>
      <c r="K186" s="62">
        <f t="shared" si="14"/>
        <v>5.1897768647318713E-3</v>
      </c>
      <c r="M186" s="110">
        <f>VLOOKUP(D186,'PD Term Structure'!$C$5:$D$14,2,TRUE)</f>
        <v>4</v>
      </c>
      <c r="N186" s="110">
        <f t="shared" si="15"/>
        <v>4</v>
      </c>
      <c r="O186" s="107">
        <f t="shared" si="16"/>
        <v>6.919702486309162E-3</v>
      </c>
      <c r="Q186" s="110">
        <f>VLOOKUP(E186,'PD Term Structure'!$C$5:$D$14,2,TRUE)</f>
        <v>4</v>
      </c>
      <c r="R186" s="110">
        <f t="shared" si="17"/>
        <v>4</v>
      </c>
      <c r="S186" s="107">
        <f t="shared" si="18"/>
        <v>6.919702486309162E-3</v>
      </c>
    </row>
    <row r="187" spans="1:19" ht="14">
      <c r="A187" s="36">
        <v>301957</v>
      </c>
      <c r="B187" s="81" t="s">
        <v>19</v>
      </c>
      <c r="C187" s="38">
        <v>1.44E-2</v>
      </c>
      <c r="D187" s="38">
        <f>INDEX('PD Term Structure'!$E$17:$N$26,MATCH($I187,'PD Term Structure'!$D$17:$D$26,0),MATCH(D$1,'PD Term Structure'!$E$16:$N$16,0))</f>
        <v>2.8507278481012657E-2</v>
      </c>
      <c r="E187" s="38">
        <f>INDEX('PD Term Structure'!$E$17:$N$26,MATCH($I187,'PD Term Structure'!$D$17:$D$26,0),MATCH(E$1,'PD Term Structure'!$E$16:$N$16,0))</f>
        <v>4.7291677269631509E-2</v>
      </c>
      <c r="F187" s="39">
        <v>22407</v>
      </c>
      <c r="G187" s="82">
        <f t="shared" si="19"/>
        <v>0.41974816177099206</v>
      </c>
      <c r="H187" s="82">
        <f>(NORMSDIST(-LN(G187)+(VLOOKUP(B187,LGD_para,3,FALSE)^2/2))/VLOOKUP(B187,LGD_para,3,FALSE)-(VLOOKUP(B187,LGD_para,3,FALSE))-G187*(NORMSDIST(-LN(G187)+(VLOOKUP(B187,LGD_para,3,FALSE)^2/2))/VLOOKUP(B187,LGD_para,3,FALSE)))/LOGNORMDIST(1,LN(G187),(VLOOKUP(B187,LGD_para,3,FALSE)))*'LGD parameters'!$D$11</f>
        <v>0.33381167072117429</v>
      </c>
      <c r="I187" s="106">
        <f>VLOOKUP(C187,'PD Term Structure'!$C$5:$D$14,2,TRUE)</f>
        <v>3</v>
      </c>
      <c r="J187" s="43">
        <f>VLOOKUP(I187,'Master rating scale'!$G$5:$H$14,2,FALSE)</f>
        <v>3</v>
      </c>
      <c r="K187" s="62">
        <f t="shared" si="14"/>
        <v>7.2701800867919653E-3</v>
      </c>
      <c r="M187" s="110">
        <f>VLOOKUP(D187,'PD Term Structure'!$C$5:$D$14,2,TRUE)</f>
        <v>4</v>
      </c>
      <c r="N187" s="110">
        <f t="shared" si="15"/>
        <v>4</v>
      </c>
      <c r="O187" s="107">
        <f t="shared" si="16"/>
        <v>9.6935734490559543E-3</v>
      </c>
      <c r="Q187" s="110">
        <f>VLOOKUP(E187,'PD Term Structure'!$C$5:$D$14,2,TRUE)</f>
        <v>4</v>
      </c>
      <c r="R187" s="110">
        <f t="shared" si="17"/>
        <v>4</v>
      </c>
      <c r="S187" s="107">
        <f t="shared" si="18"/>
        <v>9.6935734490559543E-3</v>
      </c>
    </row>
    <row r="188" spans="1:19" ht="14">
      <c r="A188" s="36">
        <v>310608</v>
      </c>
      <c r="B188" s="81" t="s">
        <v>19</v>
      </c>
      <c r="C188" s="38">
        <v>1.5154779E-2</v>
      </c>
      <c r="D188" s="38">
        <f>INDEX('PD Term Structure'!$E$17:$N$26,MATCH($I188,'PD Term Structure'!$D$17:$D$26,0),MATCH(D$1,'PD Term Structure'!$E$16:$N$16,0))</f>
        <v>2.8507278481012657E-2</v>
      </c>
      <c r="E188" s="38">
        <f>INDEX('PD Term Structure'!$E$17:$N$26,MATCH($I188,'PD Term Structure'!$D$17:$D$26,0),MATCH(E$1,'PD Term Structure'!$E$16:$N$16,0))</f>
        <v>4.7291677269631509E-2</v>
      </c>
      <c r="F188" s="39">
        <v>287798.43830000004</v>
      </c>
      <c r="G188" s="82">
        <f t="shared" si="19"/>
        <v>0.41974816177099206</v>
      </c>
      <c r="H188" s="82">
        <f>(NORMSDIST(-LN(G188)+(VLOOKUP(B188,LGD_para,3,FALSE)^2/2))/VLOOKUP(B188,LGD_para,3,FALSE)-(VLOOKUP(B188,LGD_para,3,FALSE))-G188*(NORMSDIST(-LN(G188)+(VLOOKUP(B188,LGD_para,3,FALSE)^2/2))/VLOOKUP(B188,LGD_para,3,FALSE)))/LOGNORMDIST(1,LN(G188),(VLOOKUP(B188,LGD_para,3,FALSE)))*'LGD parameters'!$D$11</f>
        <v>0.33381167072117429</v>
      </c>
      <c r="I188" s="106">
        <f>VLOOKUP(C188,'PD Term Structure'!$C$5:$D$14,2,TRUE)</f>
        <v>3</v>
      </c>
      <c r="J188" s="43">
        <f>VLOOKUP(I188,'Master rating scale'!$G$5:$H$14,2,FALSE)</f>
        <v>3</v>
      </c>
      <c r="K188" s="62">
        <f t="shared" si="14"/>
        <v>9.3379143800530473E-2</v>
      </c>
      <c r="M188" s="110">
        <f>VLOOKUP(D188,'PD Term Structure'!$C$5:$D$14,2,TRUE)</f>
        <v>4</v>
      </c>
      <c r="N188" s="110">
        <f t="shared" si="15"/>
        <v>4</v>
      </c>
      <c r="O188" s="107">
        <f t="shared" si="16"/>
        <v>0.12450552506737397</v>
      </c>
      <c r="Q188" s="110">
        <f>VLOOKUP(E188,'PD Term Structure'!$C$5:$D$14,2,TRUE)</f>
        <v>4</v>
      </c>
      <c r="R188" s="110">
        <f t="shared" si="17"/>
        <v>4</v>
      </c>
      <c r="S188" s="107">
        <f t="shared" si="18"/>
        <v>0.12450552506737397</v>
      </c>
    </row>
    <row r="189" spans="1:19" ht="14">
      <c r="A189" s="36">
        <v>310608</v>
      </c>
      <c r="B189" s="81" t="s">
        <v>19</v>
      </c>
      <c r="C189" s="38">
        <v>1.5154779E-2</v>
      </c>
      <c r="D189" s="38">
        <f>INDEX('PD Term Structure'!$E$17:$N$26,MATCH($I189,'PD Term Structure'!$D$17:$D$26,0),MATCH(D$1,'PD Term Structure'!$E$16:$N$16,0))</f>
        <v>2.8507278481012657E-2</v>
      </c>
      <c r="E189" s="38">
        <f>INDEX('PD Term Structure'!$E$17:$N$26,MATCH($I189,'PD Term Structure'!$D$17:$D$26,0),MATCH(E$1,'PD Term Structure'!$E$16:$N$16,0))</f>
        <v>4.7291677269631509E-2</v>
      </c>
      <c r="F189" s="39">
        <v>15000</v>
      </c>
      <c r="G189" s="82">
        <f>VLOOKUP(B189,'LGD parameters'!$C$7:$E$11,2,FALSE)</f>
        <v>0.41974816177099206</v>
      </c>
      <c r="H189" s="82">
        <f>(NORMSDIST(-LN(G189)+(VLOOKUP(B189,LGD_para,3,FALSE)^2/2))/VLOOKUP(B189,LGD_para,3,FALSE)-(VLOOKUP(B189,LGD_para,3,FALSE))-G189*(NORMSDIST(-LN(G189)+(VLOOKUP(B189,LGD_para,3,FALSE)^2/2))/VLOOKUP(B189,LGD_para,3,FALSE)))/LOGNORMDIST(1,LN(G189),(VLOOKUP(B189,LGD_para,3,FALSE)))*'LGD parameters'!$D$11</f>
        <v>0.33381167072117429</v>
      </c>
      <c r="I189" s="106">
        <f>VLOOKUP(C189,'PD Term Structure'!$C$5:$D$14,2,TRUE)</f>
        <v>3</v>
      </c>
      <c r="J189" s="43">
        <f>VLOOKUP(I189,'Master rating scale'!$G$5:$H$14,2,FALSE)</f>
        <v>3</v>
      </c>
      <c r="K189" s="62">
        <f t="shared" si="14"/>
        <v>4.8669032579943539E-3</v>
      </c>
      <c r="M189" s="110">
        <f>VLOOKUP(D189,'PD Term Structure'!$C$5:$D$14,2,TRUE)</f>
        <v>4</v>
      </c>
      <c r="N189" s="110">
        <f t="shared" si="15"/>
        <v>4</v>
      </c>
      <c r="O189" s="107">
        <f t="shared" si="16"/>
        <v>6.4892043439924718E-3</v>
      </c>
      <c r="Q189" s="110">
        <f>VLOOKUP(E189,'PD Term Structure'!$C$5:$D$14,2,TRUE)</f>
        <v>4</v>
      </c>
      <c r="R189" s="110">
        <f t="shared" si="17"/>
        <v>4</v>
      </c>
      <c r="S189" s="107">
        <f t="shared" si="18"/>
        <v>6.4892043439924718E-3</v>
      </c>
    </row>
    <row r="190" spans="1:19" ht="14">
      <c r="A190" s="36">
        <v>352062</v>
      </c>
      <c r="B190" s="81" t="s">
        <v>19</v>
      </c>
      <c r="C190" s="38">
        <v>1.5711105999999999E-2</v>
      </c>
      <c r="D190" s="38">
        <f>INDEX('PD Term Structure'!$E$17:$N$26,MATCH($I190,'PD Term Structure'!$D$17:$D$26,0),MATCH(D$1,'PD Term Structure'!$E$16:$N$16,0))</f>
        <v>2.8507278481012657E-2</v>
      </c>
      <c r="E190" s="38">
        <f>INDEX('PD Term Structure'!$E$17:$N$26,MATCH($I190,'PD Term Structure'!$D$17:$D$26,0),MATCH(E$1,'PD Term Structure'!$E$16:$N$16,0))</f>
        <v>4.7291677269631509E-2</v>
      </c>
      <c r="F190" s="39">
        <v>12984.16</v>
      </c>
      <c r="G190" s="82">
        <f>VLOOKUP(B190,'LGD parameters'!$C$7:$E$11,2,FALSE)</f>
        <v>0.41974816177099206</v>
      </c>
      <c r="H190" s="82">
        <f>(NORMSDIST(-LN(G190)+(VLOOKUP(B190,LGD_para,3,FALSE)^2/2))/VLOOKUP(B190,LGD_para,3,FALSE)-(VLOOKUP(B190,LGD_para,3,FALSE))-G190*(NORMSDIST(-LN(G190)+(VLOOKUP(B190,LGD_para,3,FALSE)^2/2))/VLOOKUP(B190,LGD_para,3,FALSE)))/LOGNORMDIST(1,LN(G190),(VLOOKUP(B190,LGD_para,3,FALSE)))*'LGD parameters'!$D$11</f>
        <v>0.33381167072117429</v>
      </c>
      <c r="I190" s="106">
        <f>VLOOKUP(C190,'PD Term Structure'!$C$5:$D$14,2,TRUE)</f>
        <v>3</v>
      </c>
      <c r="J190" s="43">
        <f>VLOOKUP(I190,'Master rating scale'!$G$5:$H$14,2,FALSE)</f>
        <v>3</v>
      </c>
      <c r="K190" s="62">
        <f t="shared" si="14"/>
        <v>4.2128433737546652E-3</v>
      </c>
      <c r="M190" s="110">
        <f>VLOOKUP(D190,'PD Term Structure'!$C$5:$D$14,2,TRUE)</f>
        <v>4</v>
      </c>
      <c r="N190" s="110">
        <f t="shared" si="15"/>
        <v>4</v>
      </c>
      <c r="O190" s="107">
        <f t="shared" si="16"/>
        <v>5.617124498339553E-3</v>
      </c>
      <c r="Q190" s="110">
        <f>VLOOKUP(E190,'PD Term Structure'!$C$5:$D$14,2,TRUE)</f>
        <v>4</v>
      </c>
      <c r="R190" s="110">
        <f t="shared" si="17"/>
        <v>4</v>
      </c>
      <c r="S190" s="107">
        <f t="shared" si="18"/>
        <v>5.617124498339553E-3</v>
      </c>
    </row>
    <row r="191" spans="1:19" ht="14">
      <c r="A191" s="36">
        <v>296711</v>
      </c>
      <c r="B191" s="81" t="s">
        <v>19</v>
      </c>
      <c r="C191" s="38">
        <v>2.0440630000000001E-2</v>
      </c>
      <c r="D191" s="38">
        <f>INDEX('PD Term Structure'!$E$17:$N$26,MATCH($I191,'PD Term Structure'!$D$17:$D$26,0),MATCH(D$1,'PD Term Structure'!$E$16:$N$16,0))</f>
        <v>5.2108354430379748E-2</v>
      </c>
      <c r="E191" s="38">
        <f>INDEX('PD Term Structure'!$E$17:$N$26,MATCH($I191,'PD Term Structure'!$D$17:$D$26,0),MATCH(E$1,'PD Term Structure'!$E$16:$N$16,0))</f>
        <v>6.3676339047537805E-2</v>
      </c>
      <c r="F191" s="39">
        <v>10000</v>
      </c>
      <c r="G191" s="82">
        <f>VLOOKUP(B191,LGD_para,2,FALSE)</f>
        <v>0.41974816177099206</v>
      </c>
      <c r="H191" s="82">
        <f>(NORMSDIST(-LN(G191)+(VLOOKUP(B191,LGD_para,3,FALSE)^2/2))/VLOOKUP(B191,LGD_para,3,FALSE)-(VLOOKUP(B191,LGD_para,3,FALSE))-G191*(NORMSDIST(-LN(G191)+(VLOOKUP(B191,LGD_para,3,FALSE)^2/2))/VLOOKUP(B191,LGD_para,3,FALSE)))/LOGNORMDIST(1,LN(G191),(VLOOKUP(B191,LGD_para,3,FALSE)))*'LGD parameters'!$D$11</f>
        <v>0.33381167072117429</v>
      </c>
      <c r="I191" s="106">
        <f>VLOOKUP(C191,'PD Term Structure'!$C$5:$D$14,2,TRUE)</f>
        <v>4</v>
      </c>
      <c r="J191" s="43">
        <f>VLOOKUP(I191,'Master rating scale'!$G$5:$H$14,2,FALSE)</f>
        <v>4</v>
      </c>
      <c r="K191" s="62">
        <f t="shared" si="14"/>
        <v>4.3261362293283145E-3</v>
      </c>
      <c r="M191" s="110">
        <f>VLOOKUP(D191,'PD Term Structure'!$C$5:$D$14,2,TRUE)</f>
        <v>4</v>
      </c>
      <c r="N191" s="110">
        <f t="shared" si="15"/>
        <v>4</v>
      </c>
      <c r="O191" s="107">
        <f t="shared" si="16"/>
        <v>4.3261362293283145E-3</v>
      </c>
      <c r="Q191" s="110">
        <f>VLOOKUP(E191,'PD Term Structure'!$C$5:$D$14,2,TRUE)</f>
        <v>5</v>
      </c>
      <c r="R191" s="110">
        <f t="shared" si="17"/>
        <v>5</v>
      </c>
      <c r="S191" s="107">
        <f t="shared" si="18"/>
        <v>5.4076702866603932E-3</v>
      </c>
    </row>
    <row r="192" spans="1:19" ht="14">
      <c r="A192" s="36">
        <v>350539</v>
      </c>
      <c r="B192" s="81" t="s">
        <v>19</v>
      </c>
      <c r="C192" s="38">
        <v>2.0440630000000001E-2</v>
      </c>
      <c r="D192" s="38">
        <f>INDEX('PD Term Structure'!$E$17:$N$26,MATCH($I192,'PD Term Structure'!$D$17:$D$26,0),MATCH(D$1,'PD Term Structure'!$E$16:$N$16,0))</f>
        <v>5.2108354430379748E-2</v>
      </c>
      <c r="E192" s="38">
        <f>INDEX('PD Term Structure'!$E$17:$N$26,MATCH($I192,'PD Term Structure'!$D$17:$D$26,0),MATCH(E$1,'PD Term Structure'!$E$16:$N$16,0))</f>
        <v>6.3676339047537805E-2</v>
      </c>
      <c r="F192" s="39">
        <v>859.277736</v>
      </c>
      <c r="G192" s="82">
        <f>VLOOKUP(B192,LGD_para,2,FALSE)</f>
        <v>0.41974816177099206</v>
      </c>
      <c r="H192" s="82">
        <f>(NORMSDIST(-LN(G192)+(VLOOKUP(B192,LGD_para,3,FALSE)^2/2))/VLOOKUP(B192,LGD_para,3,FALSE)-(VLOOKUP(B192,LGD_para,3,FALSE))-G192*(NORMSDIST(-LN(G192)+(VLOOKUP(B192,LGD_para,3,FALSE)^2/2))/VLOOKUP(B192,LGD_para,3,FALSE)))/LOGNORMDIST(1,LN(G192),(VLOOKUP(B192,LGD_para,3,FALSE)))*'LGD parameters'!$D$11</f>
        <v>0.33381167072117429</v>
      </c>
      <c r="I192" s="106">
        <f>VLOOKUP(C192,'PD Term Structure'!$C$5:$D$14,2,TRUE)</f>
        <v>4</v>
      </c>
      <c r="J192" s="43">
        <f>VLOOKUP(I192,'Master rating scale'!$G$5:$H$14,2,FALSE)</f>
        <v>4</v>
      </c>
      <c r="K192" s="62">
        <f t="shared" si="14"/>
        <v>3.7173525447648111E-4</v>
      </c>
      <c r="M192" s="110">
        <f>VLOOKUP(D192,'PD Term Structure'!$C$5:$D$14,2,TRUE)</f>
        <v>4</v>
      </c>
      <c r="N192" s="110">
        <f t="shared" si="15"/>
        <v>4</v>
      </c>
      <c r="O192" s="107">
        <f t="shared" si="16"/>
        <v>3.7173525447648111E-4</v>
      </c>
      <c r="Q192" s="110">
        <f>VLOOKUP(E192,'PD Term Structure'!$C$5:$D$14,2,TRUE)</f>
        <v>5</v>
      </c>
      <c r="R192" s="110">
        <f t="shared" si="17"/>
        <v>5</v>
      </c>
      <c r="S192" s="107">
        <f t="shared" si="18"/>
        <v>4.6466906809560139E-4</v>
      </c>
    </row>
    <row r="193" spans="1:19" ht="14">
      <c r="A193" s="36">
        <v>8665</v>
      </c>
      <c r="B193" s="81" t="s">
        <v>19</v>
      </c>
      <c r="C193" s="38">
        <v>2.0440630000000001E-2</v>
      </c>
      <c r="D193" s="38">
        <f>INDEX('PD Term Structure'!$E$17:$N$26,MATCH($I193,'PD Term Structure'!$D$17:$D$26,0),MATCH(D$1,'PD Term Structure'!$E$16:$N$16,0))</f>
        <v>5.2108354430379748E-2</v>
      </c>
      <c r="E193" s="38">
        <f>INDEX('PD Term Structure'!$E$17:$N$26,MATCH($I193,'PD Term Structure'!$D$17:$D$26,0),MATCH(E$1,'PD Term Structure'!$E$16:$N$16,0))</f>
        <v>6.3676339047537805E-2</v>
      </c>
      <c r="F193" s="39">
        <v>11500</v>
      </c>
      <c r="G193" s="82">
        <f>VLOOKUP(B193,'LGD parameters'!$C$7:$E$11,2,FALSE)</f>
        <v>0.41974816177099206</v>
      </c>
      <c r="H193" s="82">
        <f>(NORMSDIST(-LN(G193)+(VLOOKUP(B193,LGD_para,3,FALSE)^2/2))/VLOOKUP(B193,LGD_para,3,FALSE)-(VLOOKUP(B193,LGD_para,3,FALSE))-G193*(NORMSDIST(-LN(G193)+(VLOOKUP(B193,LGD_para,3,FALSE)^2/2))/VLOOKUP(B193,LGD_para,3,FALSE)))/LOGNORMDIST(1,LN(G193),(VLOOKUP(B193,LGD_para,3,FALSE)))*'LGD parameters'!$D$11</f>
        <v>0.33381167072117429</v>
      </c>
      <c r="I193" s="106">
        <f>VLOOKUP(C193,'PD Term Structure'!$C$5:$D$14,2,TRUE)</f>
        <v>4</v>
      </c>
      <c r="J193" s="43">
        <f>VLOOKUP(I193,'Master rating scale'!$G$5:$H$14,2,FALSE)</f>
        <v>4</v>
      </c>
      <c r="K193" s="62">
        <f t="shared" si="14"/>
        <v>4.9750566637275619E-3</v>
      </c>
      <c r="M193" s="110">
        <f>VLOOKUP(D193,'PD Term Structure'!$C$5:$D$14,2,TRUE)</f>
        <v>4</v>
      </c>
      <c r="N193" s="110">
        <f t="shared" si="15"/>
        <v>4</v>
      </c>
      <c r="O193" s="107">
        <f t="shared" si="16"/>
        <v>4.9750566637275619E-3</v>
      </c>
      <c r="Q193" s="110">
        <f>VLOOKUP(E193,'PD Term Structure'!$C$5:$D$14,2,TRUE)</f>
        <v>5</v>
      </c>
      <c r="R193" s="110">
        <f t="shared" si="17"/>
        <v>5</v>
      </c>
      <c r="S193" s="107">
        <f t="shared" si="18"/>
        <v>6.2188208296594522E-3</v>
      </c>
    </row>
    <row r="194" spans="1:19" ht="14">
      <c r="A194" s="36">
        <v>200677</v>
      </c>
      <c r="B194" s="81" t="s">
        <v>19</v>
      </c>
      <c r="C194" s="38">
        <v>2.0440630000000001E-2</v>
      </c>
      <c r="D194" s="38">
        <f>INDEX('PD Term Structure'!$E$17:$N$26,MATCH($I194,'PD Term Structure'!$D$17:$D$26,0),MATCH(D$1,'PD Term Structure'!$E$16:$N$16,0))</f>
        <v>5.2108354430379748E-2</v>
      </c>
      <c r="E194" s="38">
        <f>INDEX('PD Term Structure'!$E$17:$N$26,MATCH($I194,'PD Term Structure'!$D$17:$D$26,0),MATCH(E$1,'PD Term Structure'!$E$16:$N$16,0))</f>
        <v>6.3676339047537805E-2</v>
      </c>
      <c r="F194" s="39">
        <v>25750</v>
      </c>
      <c r="G194" s="82">
        <f>VLOOKUP(B194,'LGD parameters'!$C$7:$E$11,2,FALSE)</f>
        <v>0.41974816177099206</v>
      </c>
      <c r="H194" s="82">
        <f>(NORMSDIST(-LN(G194)+(VLOOKUP(B194,LGD_para,3,FALSE)^2/2))/VLOOKUP(B194,LGD_para,3,FALSE)-(VLOOKUP(B194,LGD_para,3,FALSE))-G194*(NORMSDIST(-LN(G194)+(VLOOKUP(B194,LGD_para,3,FALSE)^2/2))/VLOOKUP(B194,LGD_para,3,FALSE)))/LOGNORMDIST(1,LN(G194),(VLOOKUP(B194,LGD_para,3,FALSE)))*'LGD parameters'!$D$11</f>
        <v>0.33381167072117429</v>
      </c>
      <c r="I194" s="106">
        <f>VLOOKUP(C194,'PD Term Structure'!$C$5:$D$14,2,TRUE)</f>
        <v>4</v>
      </c>
      <c r="J194" s="43">
        <f>VLOOKUP(I194,'Master rating scale'!$G$5:$H$14,2,FALSE)</f>
        <v>4</v>
      </c>
      <c r="K194" s="62">
        <f t="shared" si="14"/>
        <v>1.113980079052041E-2</v>
      </c>
      <c r="M194" s="110">
        <f>VLOOKUP(D194,'PD Term Structure'!$C$5:$D$14,2,TRUE)</f>
        <v>4</v>
      </c>
      <c r="N194" s="110">
        <f t="shared" si="15"/>
        <v>4</v>
      </c>
      <c r="O194" s="107">
        <f t="shared" si="16"/>
        <v>1.113980079052041E-2</v>
      </c>
      <c r="Q194" s="110">
        <f>VLOOKUP(E194,'PD Term Structure'!$C$5:$D$14,2,TRUE)</f>
        <v>5</v>
      </c>
      <c r="R194" s="110">
        <f t="shared" si="17"/>
        <v>5</v>
      </c>
      <c r="S194" s="107">
        <f t="shared" si="18"/>
        <v>1.3924750988150512E-2</v>
      </c>
    </row>
    <row r="195" spans="1:19" ht="14">
      <c r="A195" s="36">
        <v>199596</v>
      </c>
      <c r="B195" s="81" t="s">
        <v>19</v>
      </c>
      <c r="C195" s="38">
        <v>2.1299999999999999E-2</v>
      </c>
      <c r="D195" s="38">
        <f>INDEX('PD Term Structure'!$E$17:$N$26,MATCH($I195,'PD Term Structure'!$D$17:$D$26,0),MATCH(D$1,'PD Term Structure'!$E$16:$N$16,0))</f>
        <v>5.2108354430379748E-2</v>
      </c>
      <c r="E195" s="38">
        <f>INDEX('PD Term Structure'!$E$17:$N$26,MATCH($I195,'PD Term Structure'!$D$17:$D$26,0),MATCH(E$1,'PD Term Structure'!$E$16:$N$16,0))</f>
        <v>6.3676339047537805E-2</v>
      </c>
      <c r="F195" s="39">
        <v>12454.66649</v>
      </c>
      <c r="G195" s="82">
        <f t="shared" ref="G195:G204" si="20">VLOOKUP(B195,LGD_para,2,FALSE)</f>
        <v>0.41974816177099206</v>
      </c>
      <c r="H195" s="82">
        <f>(NORMSDIST(-LN(G195)+(VLOOKUP(B195,LGD_para,3,FALSE)^2/2))/VLOOKUP(B195,LGD_para,3,FALSE)-(VLOOKUP(B195,LGD_para,3,FALSE))-G195*(NORMSDIST(-LN(G195)+(VLOOKUP(B195,LGD_para,3,FALSE)^2/2))/VLOOKUP(B195,LGD_para,3,FALSE)))/LOGNORMDIST(1,LN(G195),(VLOOKUP(B195,LGD_para,3,FALSE)))*'LGD parameters'!$D$11</f>
        <v>0.33381167072117429</v>
      </c>
      <c r="I195" s="106">
        <f>VLOOKUP(C195,'PD Term Structure'!$C$5:$D$14,2,TRUE)</f>
        <v>4</v>
      </c>
      <c r="J195" s="43">
        <f>VLOOKUP(I195,'Master rating scale'!$G$5:$H$14,2,FALSE)</f>
        <v>4</v>
      </c>
      <c r="K195" s="62">
        <f t="shared" ref="K195:K230" si="21">F195/$F$231*J195</f>
        <v>5.3880583926590314E-3</v>
      </c>
      <c r="M195" s="110">
        <f>VLOOKUP(D195,'PD Term Structure'!$C$5:$D$14,2,TRUE)</f>
        <v>4</v>
      </c>
      <c r="N195" s="110">
        <f t="shared" si="15"/>
        <v>4</v>
      </c>
      <c r="O195" s="107">
        <f t="shared" si="16"/>
        <v>5.3880583926590314E-3</v>
      </c>
      <c r="Q195" s="110">
        <f>VLOOKUP(E195,'PD Term Structure'!$C$5:$D$14,2,TRUE)</f>
        <v>5</v>
      </c>
      <c r="R195" s="110">
        <f t="shared" si="17"/>
        <v>5</v>
      </c>
      <c r="S195" s="107">
        <f t="shared" si="18"/>
        <v>6.7350729908237893E-3</v>
      </c>
    </row>
    <row r="196" spans="1:19" ht="14">
      <c r="A196" s="36">
        <v>302089</v>
      </c>
      <c r="B196" s="81" t="s">
        <v>19</v>
      </c>
      <c r="C196" s="38">
        <v>2.1299999999999999E-2</v>
      </c>
      <c r="D196" s="38">
        <f>INDEX('PD Term Structure'!$E$17:$N$26,MATCH($I196,'PD Term Structure'!$D$17:$D$26,0),MATCH(D$1,'PD Term Structure'!$E$16:$N$16,0))</f>
        <v>5.2108354430379748E-2</v>
      </c>
      <c r="E196" s="38">
        <f>INDEX('PD Term Structure'!$E$17:$N$26,MATCH($I196,'PD Term Structure'!$D$17:$D$26,0),MATCH(E$1,'PD Term Structure'!$E$16:$N$16,0))</f>
        <v>6.3676339047537805E-2</v>
      </c>
      <c r="F196" s="39">
        <v>9899.1915260000005</v>
      </c>
      <c r="G196" s="82">
        <f t="shared" si="20"/>
        <v>0.41974816177099206</v>
      </c>
      <c r="H196" s="82">
        <f>(NORMSDIST(-LN(G196)+(VLOOKUP(B196,LGD_para,3,FALSE)^2/2))/VLOOKUP(B196,LGD_para,3,FALSE)-(VLOOKUP(B196,LGD_para,3,FALSE))-G196*(NORMSDIST(-LN(G196)+(VLOOKUP(B196,LGD_para,3,FALSE)^2/2))/VLOOKUP(B196,LGD_para,3,FALSE)))/LOGNORMDIST(1,LN(G196),(VLOOKUP(B196,LGD_para,3,FALSE)))*'LGD parameters'!$D$11</f>
        <v>0.33381167072117429</v>
      </c>
      <c r="I196" s="106">
        <f>VLOOKUP(C196,'PD Term Structure'!$C$5:$D$14,2,TRUE)</f>
        <v>4</v>
      </c>
      <c r="J196" s="43">
        <f>VLOOKUP(I196,'Master rating scale'!$G$5:$H$14,2,FALSE)</f>
        <v>4</v>
      </c>
      <c r="K196" s="62">
        <f t="shared" si="21"/>
        <v>4.2825251101688451E-3</v>
      </c>
      <c r="M196" s="110">
        <f>VLOOKUP(D196,'PD Term Structure'!$C$5:$D$14,2,TRUE)</f>
        <v>4</v>
      </c>
      <c r="N196" s="110">
        <f t="shared" ref="N196:N230" si="22">M196</f>
        <v>4</v>
      </c>
      <c r="O196" s="107">
        <f t="shared" ref="O196:O230" si="23">$F196/$F$231*N196</f>
        <v>4.2825251101688451E-3</v>
      </c>
      <c r="Q196" s="110">
        <f>VLOOKUP(E196,'PD Term Structure'!$C$5:$D$14,2,TRUE)</f>
        <v>5</v>
      </c>
      <c r="R196" s="110">
        <f t="shared" ref="R196:R230" si="24">Q196</f>
        <v>5</v>
      </c>
      <c r="S196" s="107">
        <f t="shared" ref="S196:S230" si="25">$F196/$F$231*R196</f>
        <v>5.3531563877110564E-3</v>
      </c>
    </row>
    <row r="197" spans="1:19" ht="14">
      <c r="A197" s="36">
        <v>35835</v>
      </c>
      <c r="B197" s="81" t="s">
        <v>19</v>
      </c>
      <c r="C197" s="38">
        <v>2.1299999999999999E-2</v>
      </c>
      <c r="D197" s="38">
        <f>INDEX('PD Term Structure'!$E$17:$N$26,MATCH($I197,'PD Term Structure'!$D$17:$D$26,0),MATCH(D$1,'PD Term Structure'!$E$16:$N$16,0))</f>
        <v>5.2108354430379748E-2</v>
      </c>
      <c r="E197" s="38">
        <f>INDEX('PD Term Structure'!$E$17:$N$26,MATCH($I197,'PD Term Structure'!$D$17:$D$26,0),MATCH(E$1,'PD Term Structure'!$E$16:$N$16,0))</f>
        <v>6.3676339047537805E-2</v>
      </c>
      <c r="F197" s="39">
        <v>306313.70769999997</v>
      </c>
      <c r="G197" s="82">
        <f t="shared" si="20"/>
        <v>0.41974816177099206</v>
      </c>
      <c r="H197" s="82">
        <f>(NORMSDIST(-LN(G197)+(VLOOKUP(B197,LGD_para,3,FALSE)^2/2))/VLOOKUP(B197,LGD_para,3,FALSE)-(VLOOKUP(B197,LGD_para,3,FALSE))-G197*(NORMSDIST(-LN(G197)+(VLOOKUP(B197,LGD_para,3,FALSE)^2/2))/VLOOKUP(B197,LGD_para,3,FALSE)))/LOGNORMDIST(1,LN(G197),(VLOOKUP(B197,LGD_para,3,FALSE)))*'LGD parameters'!$D$11</f>
        <v>0.33381167072117429</v>
      </c>
      <c r="I197" s="106">
        <f>VLOOKUP(C197,'PD Term Structure'!$C$5:$D$14,2,TRUE)</f>
        <v>4</v>
      </c>
      <c r="J197" s="43">
        <f>VLOOKUP(I197,'Master rating scale'!$G$5:$H$14,2,FALSE)</f>
        <v>4</v>
      </c>
      <c r="K197" s="62">
        <f t="shared" si="21"/>
        <v>0.13251548284208534</v>
      </c>
      <c r="M197" s="110">
        <f>VLOOKUP(D197,'PD Term Structure'!$C$5:$D$14,2,TRUE)</f>
        <v>4</v>
      </c>
      <c r="N197" s="110">
        <f t="shared" si="22"/>
        <v>4</v>
      </c>
      <c r="O197" s="107">
        <f t="shared" si="23"/>
        <v>0.13251548284208534</v>
      </c>
      <c r="Q197" s="110">
        <f>VLOOKUP(E197,'PD Term Structure'!$C$5:$D$14,2,TRUE)</f>
        <v>5</v>
      </c>
      <c r="R197" s="110">
        <f t="shared" si="24"/>
        <v>5</v>
      </c>
      <c r="S197" s="107">
        <f t="shared" si="25"/>
        <v>0.16564435355260668</v>
      </c>
    </row>
    <row r="198" spans="1:19" ht="14">
      <c r="A198" s="36">
        <v>179067</v>
      </c>
      <c r="B198" s="81" t="s">
        <v>19</v>
      </c>
      <c r="C198" s="38">
        <v>2.1299999999999999E-2</v>
      </c>
      <c r="D198" s="38">
        <f>INDEX('PD Term Structure'!$E$17:$N$26,MATCH($I198,'PD Term Structure'!$D$17:$D$26,0),MATCH(D$1,'PD Term Structure'!$E$16:$N$16,0))</f>
        <v>5.2108354430379748E-2</v>
      </c>
      <c r="E198" s="38">
        <f>INDEX('PD Term Structure'!$E$17:$N$26,MATCH($I198,'PD Term Structure'!$D$17:$D$26,0),MATCH(E$1,'PD Term Structure'!$E$16:$N$16,0))</f>
        <v>6.3676339047537805E-2</v>
      </c>
      <c r="F198" s="39">
        <v>126400.11320000001</v>
      </c>
      <c r="G198" s="82">
        <f t="shared" si="20"/>
        <v>0.41974816177099206</v>
      </c>
      <c r="H198" s="82">
        <f>(NORMSDIST(-LN(G198)+(VLOOKUP(B198,LGD_para,3,FALSE)^2/2))/VLOOKUP(B198,LGD_para,3,FALSE)-(VLOOKUP(B198,LGD_para,3,FALSE))-G198*(NORMSDIST(-LN(G198)+(VLOOKUP(B198,LGD_para,3,FALSE)^2/2))/VLOOKUP(B198,LGD_para,3,FALSE)))/LOGNORMDIST(1,LN(G198),(VLOOKUP(B198,LGD_para,3,FALSE)))*'LGD parameters'!$D$11</f>
        <v>0.33381167072117429</v>
      </c>
      <c r="I198" s="106">
        <f>VLOOKUP(C198,'PD Term Structure'!$C$5:$D$14,2,TRUE)</f>
        <v>4</v>
      </c>
      <c r="J198" s="43">
        <f>VLOOKUP(I198,'Master rating scale'!$G$5:$H$14,2,FALSE)</f>
        <v>4</v>
      </c>
      <c r="K198" s="62">
        <f t="shared" si="21"/>
        <v>5.4682410910572014E-2</v>
      </c>
      <c r="M198" s="110">
        <f>VLOOKUP(D198,'PD Term Structure'!$C$5:$D$14,2,TRUE)</f>
        <v>4</v>
      </c>
      <c r="N198" s="110">
        <f t="shared" si="22"/>
        <v>4</v>
      </c>
      <c r="O198" s="107">
        <f t="shared" si="23"/>
        <v>5.4682410910572014E-2</v>
      </c>
      <c r="Q198" s="110">
        <f>VLOOKUP(E198,'PD Term Structure'!$C$5:$D$14,2,TRUE)</f>
        <v>5</v>
      </c>
      <c r="R198" s="110">
        <f t="shared" si="24"/>
        <v>5</v>
      </c>
      <c r="S198" s="107">
        <f t="shared" si="25"/>
        <v>6.8353013638215013E-2</v>
      </c>
    </row>
    <row r="199" spans="1:19" ht="14">
      <c r="A199" s="36">
        <v>452989</v>
      </c>
      <c r="B199" s="81" t="s">
        <v>19</v>
      </c>
      <c r="C199" s="38">
        <v>2.1299999999999999E-2</v>
      </c>
      <c r="D199" s="38">
        <f>INDEX('PD Term Structure'!$E$17:$N$26,MATCH($I199,'PD Term Structure'!$D$17:$D$26,0),MATCH(D$1,'PD Term Structure'!$E$16:$N$16,0))</f>
        <v>5.2108354430379748E-2</v>
      </c>
      <c r="E199" s="38">
        <f>INDEX('PD Term Structure'!$E$17:$N$26,MATCH($I199,'PD Term Structure'!$D$17:$D$26,0),MATCH(E$1,'PD Term Structure'!$E$16:$N$16,0))</f>
        <v>6.3676339047537805E-2</v>
      </c>
      <c r="F199" s="39">
        <v>60959.028030000001</v>
      </c>
      <c r="G199" s="82">
        <f t="shared" si="20"/>
        <v>0.41974816177099206</v>
      </c>
      <c r="H199" s="82">
        <f>(NORMSDIST(-LN(G199)+(VLOOKUP(B199,LGD_para,3,FALSE)^2/2))/VLOOKUP(B199,LGD_para,3,FALSE)-(VLOOKUP(B199,LGD_para,3,FALSE))-G199*(NORMSDIST(-LN(G199)+(VLOOKUP(B199,LGD_para,3,FALSE)^2/2))/VLOOKUP(B199,LGD_para,3,FALSE)))/LOGNORMDIST(1,LN(G199),(VLOOKUP(B199,LGD_para,3,FALSE)))*'LGD parameters'!$D$11</f>
        <v>0.33381167072117429</v>
      </c>
      <c r="I199" s="106">
        <f>VLOOKUP(C199,'PD Term Structure'!$C$5:$D$14,2,TRUE)</f>
        <v>4</v>
      </c>
      <c r="J199" s="43">
        <f>VLOOKUP(I199,'Master rating scale'!$G$5:$H$14,2,FALSE)</f>
        <v>4</v>
      </c>
      <c r="K199" s="62">
        <f t="shared" si="21"/>
        <v>2.6371705966522323E-2</v>
      </c>
      <c r="M199" s="110">
        <f>VLOOKUP(D199,'PD Term Structure'!$C$5:$D$14,2,TRUE)</f>
        <v>4</v>
      </c>
      <c r="N199" s="110">
        <f t="shared" si="22"/>
        <v>4</v>
      </c>
      <c r="O199" s="107">
        <f t="shared" si="23"/>
        <v>2.6371705966522323E-2</v>
      </c>
      <c r="Q199" s="110">
        <f>VLOOKUP(E199,'PD Term Structure'!$C$5:$D$14,2,TRUE)</f>
        <v>5</v>
      </c>
      <c r="R199" s="110">
        <f t="shared" si="24"/>
        <v>5</v>
      </c>
      <c r="S199" s="107">
        <f t="shared" si="25"/>
        <v>3.2964632458152905E-2</v>
      </c>
    </row>
    <row r="200" spans="1:19" ht="14">
      <c r="A200" s="36">
        <v>414469</v>
      </c>
      <c r="B200" s="81" t="s">
        <v>19</v>
      </c>
      <c r="C200" s="38">
        <v>2.3599999999999999E-2</v>
      </c>
      <c r="D200" s="38">
        <f>INDEX('PD Term Structure'!$E$17:$N$26,MATCH($I200,'PD Term Structure'!$D$17:$D$26,0),MATCH(D$1,'PD Term Structure'!$E$16:$N$16,0))</f>
        <v>5.2108354430379748E-2</v>
      </c>
      <c r="E200" s="38">
        <f>INDEX('PD Term Structure'!$E$17:$N$26,MATCH($I200,'PD Term Structure'!$D$17:$D$26,0),MATCH(E$1,'PD Term Structure'!$E$16:$N$16,0))</f>
        <v>6.3676339047537805E-2</v>
      </c>
      <c r="F200" s="39">
        <v>450926.99069999997</v>
      </c>
      <c r="G200" s="82">
        <f t="shared" si="20"/>
        <v>0.41974816177099206</v>
      </c>
      <c r="H200" s="82">
        <f>(NORMSDIST(-LN(G200)+(VLOOKUP(B200,LGD_para,3,FALSE)^2/2))/VLOOKUP(B200,LGD_para,3,FALSE)-(VLOOKUP(B200,LGD_para,3,FALSE))-G200*(NORMSDIST(-LN(G200)+(VLOOKUP(B200,LGD_para,3,FALSE)^2/2))/VLOOKUP(B200,LGD_para,3,FALSE)))/LOGNORMDIST(1,LN(G200),(VLOOKUP(B200,LGD_para,3,FALSE)))*'LGD parameters'!$D$11</f>
        <v>0.33381167072117429</v>
      </c>
      <c r="I200" s="106">
        <f>VLOOKUP(C200,'PD Term Structure'!$C$5:$D$14,2,TRUE)</f>
        <v>4</v>
      </c>
      <c r="J200" s="43">
        <f>VLOOKUP(I200,'Master rating scale'!$G$5:$H$14,2,FALSE)</f>
        <v>4</v>
      </c>
      <c r="K200" s="62">
        <f t="shared" si="21"/>
        <v>0.19507715912492618</v>
      </c>
      <c r="M200" s="110">
        <f>VLOOKUP(D200,'PD Term Structure'!$C$5:$D$14,2,TRUE)</f>
        <v>4</v>
      </c>
      <c r="N200" s="110">
        <f t="shared" si="22"/>
        <v>4</v>
      </c>
      <c r="O200" s="107">
        <f t="shared" si="23"/>
        <v>0.19507715912492618</v>
      </c>
      <c r="Q200" s="110">
        <f>VLOOKUP(E200,'PD Term Structure'!$C$5:$D$14,2,TRUE)</f>
        <v>5</v>
      </c>
      <c r="R200" s="110">
        <f t="shared" si="24"/>
        <v>5</v>
      </c>
      <c r="S200" s="107">
        <f t="shared" si="25"/>
        <v>0.24384644890615773</v>
      </c>
    </row>
    <row r="201" spans="1:19" ht="14">
      <c r="A201" s="36">
        <v>206279</v>
      </c>
      <c r="B201" s="81" t="s">
        <v>19</v>
      </c>
      <c r="C201" s="38">
        <v>2.3599999999999999E-2</v>
      </c>
      <c r="D201" s="38">
        <f>INDEX('PD Term Structure'!$E$17:$N$26,MATCH($I201,'PD Term Structure'!$D$17:$D$26,0),MATCH(D$1,'PD Term Structure'!$E$16:$N$16,0))</f>
        <v>5.2108354430379748E-2</v>
      </c>
      <c r="E201" s="38">
        <f>INDEX('PD Term Structure'!$E$17:$N$26,MATCH($I201,'PD Term Structure'!$D$17:$D$26,0),MATCH(E$1,'PD Term Structure'!$E$16:$N$16,0))</f>
        <v>6.3676339047537805E-2</v>
      </c>
      <c r="F201" s="39">
        <v>245166.63830000002</v>
      </c>
      <c r="G201" s="82">
        <f t="shared" si="20"/>
        <v>0.41974816177099206</v>
      </c>
      <c r="H201" s="82">
        <f>(NORMSDIST(-LN(G201)+(VLOOKUP(B201,LGD_para,3,FALSE)^2/2))/VLOOKUP(B201,LGD_para,3,FALSE)-(VLOOKUP(B201,LGD_para,3,FALSE))-G201*(NORMSDIST(-LN(G201)+(VLOOKUP(B201,LGD_para,3,FALSE)^2/2))/VLOOKUP(B201,LGD_para,3,FALSE)))/LOGNORMDIST(1,LN(G201),(VLOOKUP(B201,LGD_para,3,FALSE)))*'LGD parameters'!$D$11</f>
        <v>0.33381167072117429</v>
      </c>
      <c r="I201" s="106">
        <f>VLOOKUP(C201,'PD Term Structure'!$C$5:$D$14,2,TRUE)</f>
        <v>4</v>
      </c>
      <c r="J201" s="43">
        <f>VLOOKUP(I201,'Master rating scale'!$G$5:$H$14,2,FALSE)</f>
        <v>4</v>
      </c>
      <c r="K201" s="62">
        <f t="shared" si="21"/>
        <v>0.10606242761722609</v>
      </c>
      <c r="M201" s="110">
        <f>VLOOKUP(D201,'PD Term Structure'!$C$5:$D$14,2,TRUE)</f>
        <v>4</v>
      </c>
      <c r="N201" s="110">
        <f t="shared" si="22"/>
        <v>4</v>
      </c>
      <c r="O201" s="107">
        <f t="shared" si="23"/>
        <v>0.10606242761722609</v>
      </c>
      <c r="Q201" s="110">
        <f>VLOOKUP(E201,'PD Term Structure'!$C$5:$D$14,2,TRUE)</f>
        <v>5</v>
      </c>
      <c r="R201" s="110">
        <f t="shared" si="24"/>
        <v>5</v>
      </c>
      <c r="S201" s="107">
        <f t="shared" si="25"/>
        <v>0.13257803452153261</v>
      </c>
    </row>
    <row r="202" spans="1:19" ht="14">
      <c r="A202" s="36">
        <v>263132</v>
      </c>
      <c r="B202" s="81" t="s">
        <v>19</v>
      </c>
      <c r="C202" s="38">
        <v>2.3599999999999999E-2</v>
      </c>
      <c r="D202" s="38">
        <f>INDEX('PD Term Structure'!$E$17:$N$26,MATCH($I202,'PD Term Structure'!$D$17:$D$26,0),MATCH(D$1,'PD Term Structure'!$E$16:$N$16,0))</f>
        <v>5.2108354430379748E-2</v>
      </c>
      <c r="E202" s="38">
        <f>INDEX('PD Term Structure'!$E$17:$N$26,MATCH($I202,'PD Term Structure'!$D$17:$D$26,0),MATCH(E$1,'PD Term Structure'!$E$16:$N$16,0))</f>
        <v>6.3676339047537805E-2</v>
      </c>
      <c r="F202" s="39">
        <v>93076.169980000006</v>
      </c>
      <c r="G202" s="82">
        <f t="shared" si="20"/>
        <v>0.41974816177099206</v>
      </c>
      <c r="H202" s="82">
        <f>(NORMSDIST(-LN(G202)+(VLOOKUP(B202,LGD_para,3,FALSE)^2/2))/VLOOKUP(B202,LGD_para,3,FALSE)-(VLOOKUP(B202,LGD_para,3,FALSE))-G202*(NORMSDIST(-LN(G202)+(VLOOKUP(B202,LGD_para,3,FALSE)^2/2))/VLOOKUP(B202,LGD_para,3,FALSE)))/LOGNORMDIST(1,LN(G202),(VLOOKUP(B202,LGD_para,3,FALSE)))*'LGD parameters'!$D$11</f>
        <v>0.33381167072117429</v>
      </c>
      <c r="I202" s="106">
        <f>VLOOKUP(C202,'PD Term Structure'!$C$5:$D$14,2,TRUE)</f>
        <v>4</v>
      </c>
      <c r="J202" s="43">
        <f>VLOOKUP(I202,'Master rating scale'!$G$5:$H$14,2,FALSE)</f>
        <v>4</v>
      </c>
      <c r="K202" s="62">
        <f t="shared" si="21"/>
        <v>4.0266019103759848E-2</v>
      </c>
      <c r="M202" s="110">
        <f>VLOOKUP(D202,'PD Term Structure'!$C$5:$D$14,2,TRUE)</f>
        <v>4</v>
      </c>
      <c r="N202" s="110">
        <f t="shared" si="22"/>
        <v>4</v>
      </c>
      <c r="O202" s="107">
        <f t="shared" si="23"/>
        <v>4.0266019103759848E-2</v>
      </c>
      <c r="Q202" s="110">
        <f>VLOOKUP(E202,'PD Term Structure'!$C$5:$D$14,2,TRUE)</f>
        <v>5</v>
      </c>
      <c r="R202" s="110">
        <f t="shared" si="24"/>
        <v>5</v>
      </c>
      <c r="S202" s="107">
        <f t="shared" si="25"/>
        <v>5.033252387969981E-2</v>
      </c>
    </row>
    <row r="203" spans="1:19" ht="14">
      <c r="A203" s="36">
        <v>169333</v>
      </c>
      <c r="B203" s="81" t="s">
        <v>19</v>
      </c>
      <c r="C203" s="38">
        <v>2.3599999999999999E-2</v>
      </c>
      <c r="D203" s="38">
        <f>INDEX('PD Term Structure'!$E$17:$N$26,MATCH($I203,'PD Term Structure'!$D$17:$D$26,0),MATCH(D$1,'PD Term Structure'!$E$16:$N$16,0))</f>
        <v>5.2108354430379748E-2</v>
      </c>
      <c r="E203" s="38">
        <f>INDEX('PD Term Structure'!$E$17:$N$26,MATCH($I203,'PD Term Structure'!$D$17:$D$26,0),MATCH(E$1,'PD Term Structure'!$E$16:$N$16,0))</f>
        <v>6.3676339047537805E-2</v>
      </c>
      <c r="F203" s="39">
        <v>23422.05413</v>
      </c>
      <c r="G203" s="82">
        <f t="shared" si="20"/>
        <v>0.41974816177099206</v>
      </c>
      <c r="H203" s="82">
        <f>(NORMSDIST(-LN(G203)+(VLOOKUP(B203,LGD_para,3,FALSE)^2/2))/VLOOKUP(B203,LGD_para,3,FALSE)-(VLOOKUP(B203,LGD_para,3,FALSE))-G203*(NORMSDIST(-LN(G203)+(VLOOKUP(B203,LGD_para,3,FALSE)^2/2))/VLOOKUP(B203,LGD_para,3,FALSE)))/LOGNORMDIST(1,LN(G203),(VLOOKUP(B203,LGD_para,3,FALSE)))*'LGD parameters'!$D$11</f>
        <v>0.33381167072117429</v>
      </c>
      <c r="I203" s="106">
        <f>VLOOKUP(C203,'PD Term Structure'!$C$5:$D$14,2,TRUE)</f>
        <v>4</v>
      </c>
      <c r="J203" s="43">
        <f>VLOOKUP(I203,'Master rating scale'!$G$5:$H$14,2,FALSE)</f>
        <v>4</v>
      </c>
      <c r="K203" s="62">
        <f t="shared" si="21"/>
        <v>1.0132699693708188E-2</v>
      </c>
      <c r="M203" s="110">
        <f>VLOOKUP(D203,'PD Term Structure'!$C$5:$D$14,2,TRUE)</f>
        <v>4</v>
      </c>
      <c r="N203" s="110">
        <f t="shared" si="22"/>
        <v>4</v>
      </c>
      <c r="O203" s="107">
        <f t="shared" si="23"/>
        <v>1.0132699693708188E-2</v>
      </c>
      <c r="Q203" s="110">
        <f>VLOOKUP(E203,'PD Term Structure'!$C$5:$D$14,2,TRUE)</f>
        <v>5</v>
      </c>
      <c r="R203" s="110">
        <f t="shared" si="24"/>
        <v>5</v>
      </c>
      <c r="S203" s="107">
        <f t="shared" si="25"/>
        <v>1.2665874617135236E-2</v>
      </c>
    </row>
    <row r="204" spans="1:19" ht="14">
      <c r="A204" s="36">
        <v>473899</v>
      </c>
      <c r="B204" s="81" t="s">
        <v>19</v>
      </c>
      <c r="C204" s="38">
        <v>2.3599999999999999E-2</v>
      </c>
      <c r="D204" s="38">
        <f>INDEX('PD Term Structure'!$E$17:$N$26,MATCH($I204,'PD Term Structure'!$D$17:$D$26,0),MATCH(D$1,'PD Term Structure'!$E$16:$N$16,0))</f>
        <v>5.2108354430379748E-2</v>
      </c>
      <c r="E204" s="38">
        <f>INDEX('PD Term Structure'!$E$17:$N$26,MATCH($I204,'PD Term Structure'!$D$17:$D$26,0),MATCH(E$1,'PD Term Structure'!$E$16:$N$16,0))</f>
        <v>6.3676339047537805E-2</v>
      </c>
      <c r="F204" s="39">
        <v>16550</v>
      </c>
      <c r="G204" s="82">
        <f t="shared" si="20"/>
        <v>0.41974816177099206</v>
      </c>
      <c r="H204" s="82">
        <f>(NORMSDIST(-LN(G204)+(VLOOKUP(B204,LGD_para,3,FALSE)^2/2))/VLOOKUP(B204,LGD_para,3,FALSE)-(VLOOKUP(B204,LGD_para,3,FALSE))-G204*(NORMSDIST(-LN(G204)+(VLOOKUP(B204,LGD_para,3,FALSE)^2/2))/VLOOKUP(B204,LGD_para,3,FALSE)))/LOGNORMDIST(1,LN(G204),(VLOOKUP(B204,LGD_para,3,FALSE)))*'LGD parameters'!$D$11</f>
        <v>0.33381167072117429</v>
      </c>
      <c r="I204" s="106">
        <f>VLOOKUP(C204,'PD Term Structure'!$C$5:$D$14,2,TRUE)</f>
        <v>4</v>
      </c>
      <c r="J204" s="43">
        <f>VLOOKUP(I204,'Master rating scale'!$G$5:$H$14,2,FALSE)</f>
        <v>4</v>
      </c>
      <c r="K204" s="62">
        <f t="shared" si="21"/>
        <v>7.1597554595383608E-3</v>
      </c>
      <c r="M204" s="110">
        <f>VLOOKUP(D204,'PD Term Structure'!$C$5:$D$14,2,TRUE)</f>
        <v>4</v>
      </c>
      <c r="N204" s="110">
        <f t="shared" si="22"/>
        <v>4</v>
      </c>
      <c r="O204" s="107">
        <f t="shared" si="23"/>
        <v>7.1597554595383608E-3</v>
      </c>
      <c r="Q204" s="110">
        <f>VLOOKUP(E204,'PD Term Structure'!$C$5:$D$14,2,TRUE)</f>
        <v>5</v>
      </c>
      <c r="R204" s="110">
        <f t="shared" si="24"/>
        <v>5</v>
      </c>
      <c r="S204" s="107">
        <f t="shared" si="25"/>
        <v>8.9496943244229514E-3</v>
      </c>
    </row>
    <row r="205" spans="1:19" ht="14">
      <c r="A205" s="36">
        <v>414469</v>
      </c>
      <c r="B205" s="81" t="s">
        <v>19</v>
      </c>
      <c r="C205" s="38">
        <v>2.3599999999999999E-2</v>
      </c>
      <c r="D205" s="38">
        <f>INDEX('PD Term Structure'!$E$17:$N$26,MATCH($I205,'PD Term Structure'!$D$17:$D$26,0),MATCH(D$1,'PD Term Structure'!$E$16:$N$16,0))</f>
        <v>5.2108354430379748E-2</v>
      </c>
      <c r="E205" s="38">
        <f>INDEX('PD Term Structure'!$E$17:$N$26,MATCH($I205,'PD Term Structure'!$D$17:$D$26,0),MATCH(E$1,'PD Term Structure'!$E$16:$N$16,0))</f>
        <v>6.3676339047537805E-2</v>
      </c>
      <c r="F205" s="39">
        <v>10000</v>
      </c>
      <c r="G205" s="82">
        <f>VLOOKUP(B205,'LGD parameters'!$C$7:$E$11,2,FALSE)</f>
        <v>0.41974816177099206</v>
      </c>
      <c r="H205" s="82">
        <f>(NORMSDIST(-LN(G205)+(VLOOKUP(B205,LGD_para,3,FALSE)^2/2))/VLOOKUP(B205,LGD_para,3,FALSE)-(VLOOKUP(B205,LGD_para,3,FALSE))-G205*(NORMSDIST(-LN(G205)+(VLOOKUP(B205,LGD_para,3,FALSE)^2/2))/VLOOKUP(B205,LGD_para,3,FALSE)))/LOGNORMDIST(1,LN(G205),(VLOOKUP(B205,LGD_para,3,FALSE)))*'LGD parameters'!$D$11</f>
        <v>0.33381167072117429</v>
      </c>
      <c r="I205" s="106">
        <f>VLOOKUP(C205,'PD Term Structure'!$C$5:$D$14,2,TRUE)</f>
        <v>4</v>
      </c>
      <c r="J205" s="43">
        <f>VLOOKUP(I205,'Master rating scale'!$G$5:$H$14,2,FALSE)</f>
        <v>4</v>
      </c>
      <c r="K205" s="62">
        <f t="shared" si="21"/>
        <v>4.3261362293283145E-3</v>
      </c>
      <c r="M205" s="110">
        <f>VLOOKUP(D205,'PD Term Structure'!$C$5:$D$14,2,TRUE)</f>
        <v>4</v>
      </c>
      <c r="N205" s="110">
        <f t="shared" si="22"/>
        <v>4</v>
      </c>
      <c r="O205" s="107">
        <f t="shared" si="23"/>
        <v>4.3261362293283145E-3</v>
      </c>
      <c r="Q205" s="110">
        <f>VLOOKUP(E205,'PD Term Structure'!$C$5:$D$14,2,TRUE)</f>
        <v>5</v>
      </c>
      <c r="R205" s="110">
        <f t="shared" si="24"/>
        <v>5</v>
      </c>
      <c r="S205" s="107">
        <f t="shared" si="25"/>
        <v>5.4076702866603932E-3</v>
      </c>
    </row>
    <row r="206" spans="1:19" ht="14">
      <c r="A206" s="36">
        <v>206279</v>
      </c>
      <c r="B206" s="81" t="s">
        <v>19</v>
      </c>
      <c r="C206" s="38">
        <v>2.3599999999999999E-2</v>
      </c>
      <c r="D206" s="38">
        <f>INDEX('PD Term Structure'!$E$17:$N$26,MATCH($I206,'PD Term Structure'!$D$17:$D$26,0),MATCH(D$1,'PD Term Structure'!$E$16:$N$16,0))</f>
        <v>5.2108354430379748E-2</v>
      </c>
      <c r="E206" s="38">
        <f>INDEX('PD Term Structure'!$E$17:$N$26,MATCH($I206,'PD Term Structure'!$D$17:$D$26,0),MATCH(E$1,'PD Term Structure'!$E$16:$N$16,0))</f>
        <v>6.3676339047537805E-2</v>
      </c>
      <c r="F206" s="39">
        <v>16825</v>
      </c>
      <c r="G206" s="82">
        <f>VLOOKUP(B206,'LGD parameters'!$C$7:$E$11,2,FALSE)</f>
        <v>0.41974816177099206</v>
      </c>
      <c r="H206" s="82">
        <f>(NORMSDIST(-LN(G206)+(VLOOKUP(B206,LGD_para,3,FALSE)^2/2))/VLOOKUP(B206,LGD_para,3,FALSE)-(VLOOKUP(B206,LGD_para,3,FALSE))-G206*(NORMSDIST(-LN(G206)+(VLOOKUP(B206,LGD_para,3,FALSE)^2/2))/VLOOKUP(B206,LGD_para,3,FALSE)))/LOGNORMDIST(1,LN(G206),(VLOOKUP(B206,LGD_para,3,FALSE)))*'LGD parameters'!$D$11</f>
        <v>0.33381167072117429</v>
      </c>
      <c r="I206" s="106">
        <f>VLOOKUP(C206,'PD Term Structure'!$C$5:$D$14,2,TRUE)</f>
        <v>4</v>
      </c>
      <c r="J206" s="43">
        <f>VLOOKUP(I206,'Master rating scale'!$G$5:$H$14,2,FALSE)</f>
        <v>4</v>
      </c>
      <c r="K206" s="62">
        <f t="shared" si="21"/>
        <v>7.2787242058448892E-3</v>
      </c>
      <c r="M206" s="110">
        <f>VLOOKUP(D206,'PD Term Structure'!$C$5:$D$14,2,TRUE)</f>
        <v>4</v>
      </c>
      <c r="N206" s="110">
        <f t="shared" si="22"/>
        <v>4</v>
      </c>
      <c r="O206" s="107">
        <f t="shared" si="23"/>
        <v>7.2787242058448892E-3</v>
      </c>
      <c r="Q206" s="110">
        <f>VLOOKUP(E206,'PD Term Structure'!$C$5:$D$14,2,TRUE)</f>
        <v>5</v>
      </c>
      <c r="R206" s="110">
        <f t="shared" si="24"/>
        <v>5</v>
      </c>
      <c r="S206" s="107">
        <f t="shared" si="25"/>
        <v>9.0984052573061108E-3</v>
      </c>
    </row>
    <row r="207" spans="1:19" ht="14">
      <c r="A207" s="36">
        <v>301288</v>
      </c>
      <c r="B207" s="81" t="s">
        <v>19</v>
      </c>
      <c r="C207" s="38">
        <v>2.3599999999999999E-2</v>
      </c>
      <c r="D207" s="38">
        <f>INDEX('PD Term Structure'!$E$17:$N$26,MATCH($I207,'PD Term Structure'!$D$17:$D$26,0),MATCH(D$1,'PD Term Structure'!$E$16:$N$16,0))</f>
        <v>5.2108354430379748E-2</v>
      </c>
      <c r="E207" s="38">
        <f>INDEX('PD Term Structure'!$E$17:$N$26,MATCH($I207,'PD Term Structure'!$D$17:$D$26,0),MATCH(E$1,'PD Term Structure'!$E$16:$N$16,0))</f>
        <v>6.3676339047537805E-2</v>
      </c>
      <c r="F207" s="39">
        <v>22925</v>
      </c>
      <c r="G207" s="82">
        <f>VLOOKUP(B207,'LGD parameters'!$C$7:$E$11,2,FALSE)</f>
        <v>0.41974816177099206</v>
      </c>
      <c r="H207" s="82">
        <f>(NORMSDIST(-LN(G207)+(VLOOKUP(B207,LGD_para,3,FALSE)^2/2))/VLOOKUP(B207,LGD_para,3,FALSE)-(VLOOKUP(B207,LGD_para,3,FALSE))-G207*(NORMSDIST(-LN(G207)+(VLOOKUP(B207,LGD_para,3,FALSE)^2/2))/VLOOKUP(B207,LGD_para,3,FALSE)))/LOGNORMDIST(1,LN(G207),(VLOOKUP(B207,LGD_para,3,FALSE)))*'LGD parameters'!$D$11</f>
        <v>0.33381167072117429</v>
      </c>
      <c r="I207" s="106">
        <f>VLOOKUP(C207,'PD Term Structure'!$C$5:$D$14,2,TRUE)</f>
        <v>4</v>
      </c>
      <c r="J207" s="43">
        <f>VLOOKUP(I207,'Master rating scale'!$G$5:$H$14,2,FALSE)</f>
        <v>4</v>
      </c>
      <c r="K207" s="62">
        <f t="shared" si="21"/>
        <v>9.9176673057351609E-3</v>
      </c>
      <c r="M207" s="110">
        <f>VLOOKUP(D207,'PD Term Structure'!$C$5:$D$14,2,TRUE)</f>
        <v>4</v>
      </c>
      <c r="N207" s="110">
        <f t="shared" si="22"/>
        <v>4</v>
      </c>
      <c r="O207" s="107">
        <f t="shared" si="23"/>
        <v>9.9176673057351609E-3</v>
      </c>
      <c r="Q207" s="110">
        <f>VLOOKUP(E207,'PD Term Structure'!$C$5:$D$14,2,TRUE)</f>
        <v>5</v>
      </c>
      <c r="R207" s="110">
        <f t="shared" si="24"/>
        <v>5</v>
      </c>
      <c r="S207" s="107">
        <f t="shared" si="25"/>
        <v>1.2397084132168952E-2</v>
      </c>
    </row>
    <row r="208" spans="1:19" ht="14">
      <c r="A208" s="36">
        <v>231284</v>
      </c>
      <c r="B208" s="81" t="s">
        <v>19</v>
      </c>
      <c r="C208" s="38">
        <v>2.3599999999999999E-2</v>
      </c>
      <c r="D208" s="38">
        <f>INDEX('PD Term Structure'!$E$17:$N$26,MATCH($I208,'PD Term Structure'!$D$17:$D$26,0),MATCH(D$1,'PD Term Structure'!$E$16:$N$16,0))</f>
        <v>5.2108354430379748E-2</v>
      </c>
      <c r="E208" s="38">
        <f>INDEX('PD Term Structure'!$E$17:$N$26,MATCH($I208,'PD Term Structure'!$D$17:$D$26,0),MATCH(E$1,'PD Term Structure'!$E$16:$N$16,0))</f>
        <v>6.3676339047537805E-2</v>
      </c>
      <c r="F208" s="39">
        <v>25000</v>
      </c>
      <c r="G208" s="82">
        <f>VLOOKUP(B208,'LGD parameters'!$C$7:$E$11,2,FALSE)</f>
        <v>0.41974816177099206</v>
      </c>
      <c r="H208" s="82">
        <f>(NORMSDIST(-LN(G208)+(VLOOKUP(B208,LGD_para,3,FALSE)^2/2))/VLOOKUP(B208,LGD_para,3,FALSE)-(VLOOKUP(B208,LGD_para,3,FALSE))-G208*(NORMSDIST(-LN(G208)+(VLOOKUP(B208,LGD_para,3,FALSE)^2/2))/VLOOKUP(B208,LGD_para,3,FALSE)))/LOGNORMDIST(1,LN(G208),(VLOOKUP(B208,LGD_para,3,FALSE)))*'LGD parameters'!$D$11</f>
        <v>0.33381167072117429</v>
      </c>
      <c r="I208" s="106">
        <f>VLOOKUP(C208,'PD Term Structure'!$C$5:$D$14,2,TRUE)</f>
        <v>4</v>
      </c>
      <c r="J208" s="43">
        <f>VLOOKUP(I208,'Master rating scale'!$G$5:$H$14,2,FALSE)</f>
        <v>4</v>
      </c>
      <c r="K208" s="62">
        <f t="shared" si="21"/>
        <v>1.0815340573320786E-2</v>
      </c>
      <c r="M208" s="110">
        <f>VLOOKUP(D208,'PD Term Structure'!$C$5:$D$14,2,TRUE)</f>
        <v>4</v>
      </c>
      <c r="N208" s="110">
        <f t="shared" si="22"/>
        <v>4</v>
      </c>
      <c r="O208" s="107">
        <f t="shared" si="23"/>
        <v>1.0815340573320786E-2</v>
      </c>
      <c r="Q208" s="110">
        <f>VLOOKUP(E208,'PD Term Structure'!$C$5:$D$14,2,TRUE)</f>
        <v>5</v>
      </c>
      <c r="R208" s="110">
        <f t="shared" si="24"/>
        <v>5</v>
      </c>
      <c r="S208" s="107">
        <f t="shared" si="25"/>
        <v>1.3519175716650983E-2</v>
      </c>
    </row>
    <row r="209" spans="1:19" ht="14">
      <c r="A209" s="36">
        <v>330832</v>
      </c>
      <c r="B209" s="81" t="s">
        <v>19</v>
      </c>
      <c r="C209" s="38">
        <v>2.4570778000000001E-2</v>
      </c>
      <c r="D209" s="38">
        <f>INDEX('PD Term Structure'!$E$17:$N$26,MATCH($I209,'PD Term Structure'!$D$17:$D$26,0),MATCH(D$1,'PD Term Structure'!$E$16:$N$16,0))</f>
        <v>5.2108354430379748E-2</v>
      </c>
      <c r="E209" s="38">
        <f>INDEX('PD Term Structure'!$E$17:$N$26,MATCH($I209,'PD Term Structure'!$D$17:$D$26,0),MATCH(E$1,'PD Term Structure'!$E$16:$N$16,0))</f>
        <v>6.3676339047537805E-2</v>
      </c>
      <c r="F209" s="39">
        <v>12244</v>
      </c>
      <c r="G209" s="82">
        <f>VLOOKUP(B209,'LGD parameters'!$C$7:$E$11,2,FALSE)</f>
        <v>0.41974816177099206</v>
      </c>
      <c r="H209" s="82">
        <f>(NORMSDIST(-LN(G209)+(VLOOKUP(B209,LGD_para,3,FALSE)^2/2))/VLOOKUP(B209,LGD_para,3,FALSE)-(VLOOKUP(B209,LGD_para,3,FALSE))-G209*(NORMSDIST(-LN(G209)+(VLOOKUP(B209,LGD_para,3,FALSE)^2/2))/VLOOKUP(B209,LGD_para,3,FALSE)))/LOGNORMDIST(1,LN(G209),(VLOOKUP(B209,LGD_para,3,FALSE)))*'LGD parameters'!$D$11</f>
        <v>0.33381167072117429</v>
      </c>
      <c r="I209" s="106">
        <f>VLOOKUP(C209,'PD Term Structure'!$C$5:$D$14,2,TRUE)</f>
        <v>4</v>
      </c>
      <c r="J209" s="43">
        <f>VLOOKUP(I209,'Master rating scale'!$G$5:$H$14,2,FALSE)</f>
        <v>4</v>
      </c>
      <c r="K209" s="62">
        <f t="shared" si="21"/>
        <v>5.296921199189588E-3</v>
      </c>
      <c r="M209" s="110">
        <f>VLOOKUP(D209,'PD Term Structure'!$C$5:$D$14,2,TRUE)</f>
        <v>4</v>
      </c>
      <c r="N209" s="110">
        <f t="shared" si="22"/>
        <v>4</v>
      </c>
      <c r="O209" s="107">
        <f t="shared" si="23"/>
        <v>5.296921199189588E-3</v>
      </c>
      <c r="Q209" s="110">
        <f>VLOOKUP(E209,'PD Term Structure'!$C$5:$D$14,2,TRUE)</f>
        <v>5</v>
      </c>
      <c r="R209" s="110">
        <f t="shared" si="24"/>
        <v>5</v>
      </c>
      <c r="S209" s="107">
        <f t="shared" si="25"/>
        <v>6.621151498986985E-3</v>
      </c>
    </row>
    <row r="210" spans="1:19" ht="14">
      <c r="A210" s="36">
        <v>165710</v>
      </c>
      <c r="B210" s="81" t="s">
        <v>19</v>
      </c>
      <c r="C210" s="38">
        <v>2.4570778000000001E-2</v>
      </c>
      <c r="D210" s="38">
        <f>INDEX('PD Term Structure'!$E$17:$N$26,MATCH($I210,'PD Term Structure'!$D$17:$D$26,0),MATCH(D$1,'PD Term Structure'!$E$16:$N$16,0))</f>
        <v>5.2108354430379748E-2</v>
      </c>
      <c r="E210" s="38">
        <f>INDEX('PD Term Structure'!$E$17:$N$26,MATCH($I210,'PD Term Structure'!$D$17:$D$26,0),MATCH(E$1,'PD Term Structure'!$E$16:$N$16,0))</f>
        <v>6.3676339047537805E-2</v>
      </c>
      <c r="F210" s="39">
        <v>16674.501</v>
      </c>
      <c r="G210" s="82">
        <f>VLOOKUP(B210,'LGD parameters'!$C$7:$E$11,2,FALSE)</f>
        <v>0.41974816177099206</v>
      </c>
      <c r="H210" s="82">
        <f>(NORMSDIST(-LN(G210)+(VLOOKUP(B210,LGD_para,3,FALSE)^2/2))/VLOOKUP(B210,LGD_para,3,FALSE)-(VLOOKUP(B210,LGD_para,3,FALSE))-G210*(NORMSDIST(-LN(G210)+(VLOOKUP(B210,LGD_para,3,FALSE)^2/2))/VLOOKUP(B210,LGD_para,3,FALSE)))/LOGNORMDIST(1,LN(G210),(VLOOKUP(B210,LGD_para,3,FALSE)))*'LGD parameters'!$D$11</f>
        <v>0.33381167072117429</v>
      </c>
      <c r="I210" s="106">
        <f>VLOOKUP(C210,'PD Term Structure'!$C$5:$D$14,2,TRUE)</f>
        <v>4</v>
      </c>
      <c r="J210" s="43">
        <f>VLOOKUP(I210,'Master rating scale'!$G$5:$H$14,2,FALSE)</f>
        <v>4</v>
      </c>
      <c r="K210" s="62">
        <f t="shared" si="21"/>
        <v>7.2136162882071213E-3</v>
      </c>
      <c r="M210" s="110">
        <f>VLOOKUP(D210,'PD Term Structure'!$C$5:$D$14,2,TRUE)</f>
        <v>4</v>
      </c>
      <c r="N210" s="110">
        <f t="shared" si="22"/>
        <v>4</v>
      </c>
      <c r="O210" s="107">
        <f t="shared" si="23"/>
        <v>7.2136162882071213E-3</v>
      </c>
      <c r="Q210" s="110">
        <f>VLOOKUP(E210,'PD Term Structure'!$C$5:$D$14,2,TRUE)</f>
        <v>5</v>
      </c>
      <c r="R210" s="110">
        <f t="shared" si="24"/>
        <v>5</v>
      </c>
      <c r="S210" s="107">
        <f t="shared" si="25"/>
        <v>9.0170203602589014E-3</v>
      </c>
    </row>
    <row r="211" spans="1:19" ht="14">
      <c r="A211" s="36">
        <v>167742</v>
      </c>
      <c r="B211" s="81" t="s">
        <v>19</v>
      </c>
      <c r="C211" s="38">
        <v>3.4200000000000001E-2</v>
      </c>
      <c r="D211" s="38">
        <f>INDEX('PD Term Structure'!$E$17:$N$26,MATCH($I211,'PD Term Structure'!$D$17:$D$26,0),MATCH(D$1,'PD Term Structure'!$E$16:$N$16,0))</f>
        <v>5.2108354430379748E-2</v>
      </c>
      <c r="E211" s="38">
        <f>INDEX('PD Term Structure'!$E$17:$N$26,MATCH($I211,'PD Term Structure'!$D$17:$D$26,0),MATCH(E$1,'PD Term Structure'!$E$16:$N$16,0))</f>
        <v>6.3676339047537805E-2</v>
      </c>
      <c r="F211" s="39">
        <v>16002.920099999999</v>
      </c>
      <c r="G211" s="82">
        <f t="shared" ref="G211:G222" si="26">VLOOKUP(B211,LGD_para,2,FALSE)</f>
        <v>0.41974816177099206</v>
      </c>
      <c r="H211" s="82">
        <f>(NORMSDIST(-LN(G211)+(VLOOKUP(B211,LGD_para,3,FALSE)^2/2))/VLOOKUP(B211,LGD_para,3,FALSE)-(VLOOKUP(B211,LGD_para,3,FALSE))-G211*(NORMSDIST(-LN(G211)+(VLOOKUP(B211,LGD_para,3,FALSE)^2/2))/VLOOKUP(B211,LGD_para,3,FALSE)))/LOGNORMDIST(1,LN(G211),(VLOOKUP(B211,LGD_para,3,FALSE)))*'LGD parameters'!$D$11</f>
        <v>0.33381167072117429</v>
      </c>
      <c r="I211" s="106">
        <f>VLOOKUP(C211,'PD Term Structure'!$C$5:$D$14,2,TRUE)</f>
        <v>4</v>
      </c>
      <c r="J211" s="43">
        <f>VLOOKUP(I211,'Master rating scale'!$G$5:$H$14,2,FALSE)</f>
        <v>4</v>
      </c>
      <c r="K211" s="62">
        <f t="shared" si="21"/>
        <v>6.9230812419656292E-3</v>
      </c>
      <c r="M211" s="110">
        <f>VLOOKUP(D211,'PD Term Structure'!$C$5:$D$14,2,TRUE)</f>
        <v>4</v>
      </c>
      <c r="N211" s="110">
        <f t="shared" si="22"/>
        <v>4</v>
      </c>
      <c r="O211" s="107">
        <f t="shared" si="23"/>
        <v>6.9230812419656292E-3</v>
      </c>
      <c r="Q211" s="110">
        <f>VLOOKUP(E211,'PD Term Structure'!$C$5:$D$14,2,TRUE)</f>
        <v>5</v>
      </c>
      <c r="R211" s="110">
        <f t="shared" si="24"/>
        <v>5</v>
      </c>
      <c r="S211" s="107">
        <f t="shared" si="25"/>
        <v>8.6538515524570356E-3</v>
      </c>
    </row>
    <row r="212" spans="1:19" ht="14">
      <c r="A212" s="36">
        <v>249253</v>
      </c>
      <c r="B212" s="81" t="s">
        <v>19</v>
      </c>
      <c r="C212" s="38">
        <v>3.4200000000000001E-2</v>
      </c>
      <c r="D212" s="38">
        <f>INDEX('PD Term Structure'!$E$17:$N$26,MATCH($I212,'PD Term Structure'!$D$17:$D$26,0),MATCH(D$1,'PD Term Structure'!$E$16:$N$16,0))</f>
        <v>5.2108354430379748E-2</v>
      </c>
      <c r="E212" s="38">
        <f>INDEX('PD Term Structure'!$E$17:$N$26,MATCH($I212,'PD Term Structure'!$D$17:$D$26,0),MATCH(E$1,'PD Term Structure'!$E$16:$N$16,0))</f>
        <v>6.3676339047537805E-2</v>
      </c>
      <c r="F212" s="39">
        <v>3411.3534199999999</v>
      </c>
      <c r="G212" s="82">
        <f t="shared" si="26"/>
        <v>0.41974816177099206</v>
      </c>
      <c r="H212" s="82">
        <f>(NORMSDIST(-LN(G212)+(VLOOKUP(B212,LGD_para,3,FALSE)^2/2))/VLOOKUP(B212,LGD_para,3,FALSE)-(VLOOKUP(B212,LGD_para,3,FALSE))-G212*(NORMSDIST(-LN(G212)+(VLOOKUP(B212,LGD_para,3,FALSE)^2/2))/VLOOKUP(B212,LGD_para,3,FALSE)))/LOGNORMDIST(1,LN(G212),(VLOOKUP(B212,LGD_para,3,FALSE)))*'LGD parameters'!$D$11</f>
        <v>0.33381167072117429</v>
      </c>
      <c r="I212" s="106">
        <f>VLOOKUP(C212,'PD Term Structure'!$C$5:$D$14,2,TRUE)</f>
        <v>4</v>
      </c>
      <c r="J212" s="43">
        <f>VLOOKUP(I212,'Master rating scale'!$G$5:$H$14,2,FALSE)</f>
        <v>4</v>
      </c>
      <c r="K212" s="62">
        <f t="shared" si="21"/>
        <v>1.4757979621305051E-3</v>
      </c>
      <c r="M212" s="110">
        <f>VLOOKUP(D212,'PD Term Structure'!$C$5:$D$14,2,TRUE)</f>
        <v>4</v>
      </c>
      <c r="N212" s="110">
        <f t="shared" si="22"/>
        <v>4</v>
      </c>
      <c r="O212" s="107">
        <f t="shared" si="23"/>
        <v>1.4757979621305051E-3</v>
      </c>
      <c r="Q212" s="110">
        <f>VLOOKUP(E212,'PD Term Structure'!$C$5:$D$14,2,TRUE)</f>
        <v>5</v>
      </c>
      <c r="R212" s="110">
        <f t="shared" si="24"/>
        <v>5</v>
      </c>
      <c r="S212" s="107">
        <f t="shared" si="25"/>
        <v>1.8447474526631313E-3</v>
      </c>
    </row>
    <row r="213" spans="1:19" ht="14">
      <c r="A213" s="36">
        <v>58366</v>
      </c>
      <c r="B213" s="81" t="s">
        <v>19</v>
      </c>
      <c r="C213" s="38">
        <v>3.4200000000000001E-2</v>
      </c>
      <c r="D213" s="38">
        <f>INDEX('PD Term Structure'!$E$17:$N$26,MATCH($I213,'PD Term Structure'!$D$17:$D$26,0),MATCH(D$1,'PD Term Structure'!$E$16:$N$16,0))</f>
        <v>5.2108354430379748E-2</v>
      </c>
      <c r="E213" s="38">
        <f>INDEX('PD Term Structure'!$E$17:$N$26,MATCH($I213,'PD Term Structure'!$D$17:$D$26,0),MATCH(E$1,'PD Term Structure'!$E$16:$N$16,0))</f>
        <v>6.3676339047537805E-2</v>
      </c>
      <c r="F213" s="39">
        <v>24637.5</v>
      </c>
      <c r="G213" s="82">
        <f t="shared" si="26"/>
        <v>0.41974816177099206</v>
      </c>
      <c r="H213" s="82">
        <f>(NORMSDIST(-LN(G213)+(VLOOKUP(B213,LGD_para,3,FALSE)^2/2))/VLOOKUP(B213,LGD_para,3,FALSE)-(VLOOKUP(B213,LGD_para,3,FALSE))-G213*(NORMSDIST(-LN(G213)+(VLOOKUP(B213,LGD_para,3,FALSE)^2/2))/VLOOKUP(B213,LGD_para,3,FALSE)))/LOGNORMDIST(1,LN(G213),(VLOOKUP(B213,LGD_para,3,FALSE)))*'LGD parameters'!$D$11</f>
        <v>0.33381167072117429</v>
      </c>
      <c r="I213" s="106">
        <f>VLOOKUP(C213,'PD Term Structure'!$C$5:$D$14,2,TRUE)</f>
        <v>4</v>
      </c>
      <c r="J213" s="43">
        <f>VLOOKUP(I213,'Master rating scale'!$G$5:$H$14,2,FALSE)</f>
        <v>4</v>
      </c>
      <c r="K213" s="62">
        <f t="shared" si="21"/>
        <v>1.0658518135007636E-2</v>
      </c>
      <c r="M213" s="110">
        <f>VLOOKUP(D213,'PD Term Structure'!$C$5:$D$14,2,TRUE)</f>
        <v>4</v>
      </c>
      <c r="N213" s="110">
        <f t="shared" si="22"/>
        <v>4</v>
      </c>
      <c r="O213" s="107">
        <f t="shared" si="23"/>
        <v>1.0658518135007636E-2</v>
      </c>
      <c r="Q213" s="110">
        <f>VLOOKUP(E213,'PD Term Structure'!$C$5:$D$14,2,TRUE)</f>
        <v>5</v>
      </c>
      <c r="R213" s="110">
        <f t="shared" si="24"/>
        <v>5</v>
      </c>
      <c r="S213" s="107">
        <f t="shared" si="25"/>
        <v>1.3323147668759545E-2</v>
      </c>
    </row>
    <row r="214" spans="1:19" ht="14">
      <c r="A214" s="36">
        <v>176358</v>
      </c>
      <c r="B214" s="81" t="s">
        <v>19</v>
      </c>
      <c r="C214" s="38">
        <v>3.4200000000000001E-2</v>
      </c>
      <c r="D214" s="38">
        <f>INDEX('PD Term Structure'!$E$17:$N$26,MATCH($I214,'PD Term Structure'!$D$17:$D$26,0),MATCH(D$1,'PD Term Structure'!$E$16:$N$16,0))</f>
        <v>5.2108354430379748E-2</v>
      </c>
      <c r="E214" s="38">
        <f>INDEX('PD Term Structure'!$E$17:$N$26,MATCH($I214,'PD Term Structure'!$D$17:$D$26,0),MATCH(E$1,'PD Term Structure'!$E$16:$N$16,0))</f>
        <v>6.3676339047537805E-2</v>
      </c>
      <c r="F214" s="39">
        <v>30761</v>
      </c>
      <c r="G214" s="82">
        <f t="shared" si="26"/>
        <v>0.41974816177099206</v>
      </c>
      <c r="H214" s="82">
        <f>(NORMSDIST(-LN(G214)+(VLOOKUP(B214,LGD_para,3,FALSE)^2/2))/VLOOKUP(B214,LGD_para,3,FALSE)-(VLOOKUP(B214,LGD_para,3,FALSE))-G214*(NORMSDIST(-LN(G214)+(VLOOKUP(B214,LGD_para,3,FALSE)^2/2))/VLOOKUP(B214,LGD_para,3,FALSE)))/LOGNORMDIST(1,LN(G214),(VLOOKUP(B214,LGD_para,3,FALSE)))*'LGD parameters'!$D$11</f>
        <v>0.33381167072117429</v>
      </c>
      <c r="I214" s="106">
        <f>VLOOKUP(C214,'PD Term Structure'!$C$5:$D$14,2,TRUE)</f>
        <v>4</v>
      </c>
      <c r="J214" s="43">
        <f>VLOOKUP(I214,'Master rating scale'!$G$5:$H$14,2,FALSE)</f>
        <v>4</v>
      </c>
      <c r="K214" s="62">
        <f t="shared" si="21"/>
        <v>1.3307627655036829E-2</v>
      </c>
      <c r="M214" s="110">
        <f>VLOOKUP(D214,'PD Term Structure'!$C$5:$D$14,2,TRUE)</f>
        <v>4</v>
      </c>
      <c r="N214" s="110">
        <f t="shared" si="22"/>
        <v>4</v>
      </c>
      <c r="O214" s="107">
        <f t="shared" si="23"/>
        <v>1.3307627655036829E-2</v>
      </c>
      <c r="Q214" s="110">
        <f>VLOOKUP(E214,'PD Term Structure'!$C$5:$D$14,2,TRUE)</f>
        <v>5</v>
      </c>
      <c r="R214" s="110">
        <f t="shared" si="24"/>
        <v>5</v>
      </c>
      <c r="S214" s="107">
        <f t="shared" si="25"/>
        <v>1.6634534568796037E-2</v>
      </c>
    </row>
    <row r="215" spans="1:19" ht="14">
      <c r="A215" s="36">
        <v>79087</v>
      </c>
      <c r="B215" s="81" t="s">
        <v>19</v>
      </c>
      <c r="C215" s="38">
        <v>1.0999999999999999E-2</v>
      </c>
      <c r="D215" s="38">
        <f>INDEX('PD Term Structure'!$E$17:$N$26,MATCH($I215,'PD Term Structure'!$D$17:$D$26,0),MATCH(D$1,'PD Term Structure'!$E$16:$N$16,0))</f>
        <v>2.8507278481012657E-2</v>
      </c>
      <c r="E215" s="38">
        <f>INDEX('PD Term Structure'!$E$17:$N$26,MATCH($I215,'PD Term Structure'!$D$17:$D$26,0),MATCH(E$1,'PD Term Structure'!$E$16:$N$16,0))</f>
        <v>4.7291677269631509E-2</v>
      </c>
      <c r="F215" s="39">
        <v>629279.76989999996</v>
      </c>
      <c r="G215" s="82">
        <f t="shared" si="26"/>
        <v>0.41974816177099206</v>
      </c>
      <c r="H215" s="82">
        <f>(NORMSDIST(-LN(G215)+(VLOOKUP(B215,LGD_para,3,FALSE)^2/2))/VLOOKUP(B215,LGD_para,3,FALSE)-(VLOOKUP(B215,LGD_para,3,FALSE))-G215*(NORMSDIST(-LN(G215)+(VLOOKUP(B215,LGD_para,3,FALSE)^2/2))/VLOOKUP(B215,LGD_para,3,FALSE)))/LOGNORMDIST(1,LN(G215),(VLOOKUP(B215,LGD_para,3,FALSE)))*'LGD parameters'!$D$11</f>
        <v>0.33381167072117429</v>
      </c>
      <c r="I215" s="106">
        <f>VLOOKUP(C215,'PD Term Structure'!$C$5:$D$14,2,TRUE)</f>
        <v>3</v>
      </c>
      <c r="J215" s="43">
        <f>VLOOKUP(I215,'Master rating scale'!$G$5:$H$14,2,FALSE)</f>
        <v>3</v>
      </c>
      <c r="K215" s="62">
        <f t="shared" si="21"/>
        <v>0.20417625082108315</v>
      </c>
      <c r="M215" s="110">
        <f>VLOOKUP(D215,'PD Term Structure'!$C$5:$D$14,2,TRUE)</f>
        <v>4</v>
      </c>
      <c r="N215" s="110">
        <f t="shared" si="22"/>
        <v>4</v>
      </c>
      <c r="O215" s="107">
        <f t="shared" si="23"/>
        <v>0.27223500109477755</v>
      </c>
      <c r="Q215" s="110">
        <f>VLOOKUP(E215,'PD Term Structure'!$C$5:$D$14,2,TRUE)</f>
        <v>4</v>
      </c>
      <c r="R215" s="110">
        <f t="shared" si="24"/>
        <v>4</v>
      </c>
      <c r="S215" s="107">
        <f t="shared" si="25"/>
        <v>0.27223500109477755</v>
      </c>
    </row>
    <row r="216" spans="1:19" ht="14">
      <c r="A216" s="36">
        <v>373602</v>
      </c>
      <c r="B216" s="81" t="s">
        <v>19</v>
      </c>
      <c r="C216" s="38">
        <v>1.2E-2</v>
      </c>
      <c r="D216" s="38">
        <f>INDEX('PD Term Structure'!$E$17:$N$26,MATCH($I216,'PD Term Structure'!$D$17:$D$26,0),MATCH(D$1,'PD Term Structure'!$E$16:$N$16,0))</f>
        <v>2.8507278481012657E-2</v>
      </c>
      <c r="E216" s="38">
        <f>INDEX('PD Term Structure'!$E$17:$N$26,MATCH($I216,'PD Term Structure'!$D$17:$D$26,0),MATCH(E$1,'PD Term Structure'!$E$16:$N$16,0))</f>
        <v>4.7291677269631509E-2</v>
      </c>
      <c r="F216" s="39">
        <v>1769.4821650000001</v>
      </c>
      <c r="G216" s="82">
        <f t="shared" si="26"/>
        <v>0.41974816177099206</v>
      </c>
      <c r="H216" s="82">
        <f>(NORMSDIST(-LN(G216)+(VLOOKUP(B216,LGD_para,3,FALSE)^2/2))/VLOOKUP(B216,LGD_para,3,FALSE)-(VLOOKUP(B216,LGD_para,3,FALSE))-G216*(NORMSDIST(-LN(G216)+(VLOOKUP(B216,LGD_para,3,FALSE)^2/2))/VLOOKUP(B216,LGD_para,3,FALSE)))/LOGNORMDIST(1,LN(G216),(VLOOKUP(B216,LGD_para,3,FALSE)))*'LGD parameters'!$D$11</f>
        <v>0.33381167072117429</v>
      </c>
      <c r="I216" s="106">
        <f>VLOOKUP(C216,'PD Term Structure'!$C$5:$D$14,2,TRUE)</f>
        <v>3</v>
      </c>
      <c r="J216" s="43">
        <f>VLOOKUP(I216,'Master rating scale'!$G$5:$H$14,2,FALSE)</f>
        <v>3</v>
      </c>
      <c r="K216" s="62">
        <f t="shared" si="21"/>
        <v>5.7412656758676025E-4</v>
      </c>
      <c r="M216" s="110">
        <f>VLOOKUP(D216,'PD Term Structure'!$C$5:$D$14,2,TRUE)</f>
        <v>4</v>
      </c>
      <c r="N216" s="110">
        <f t="shared" si="22"/>
        <v>4</v>
      </c>
      <c r="O216" s="107">
        <f t="shared" si="23"/>
        <v>7.6550209011568026E-4</v>
      </c>
      <c r="Q216" s="110">
        <f>VLOOKUP(E216,'PD Term Structure'!$C$5:$D$14,2,TRUE)</f>
        <v>4</v>
      </c>
      <c r="R216" s="110">
        <f t="shared" si="24"/>
        <v>4</v>
      </c>
      <c r="S216" s="107">
        <f t="shared" si="25"/>
        <v>7.6550209011568026E-4</v>
      </c>
    </row>
    <row r="217" spans="1:19" ht="14">
      <c r="A217" s="36">
        <v>60616</v>
      </c>
      <c r="B217" s="81" t="s">
        <v>19</v>
      </c>
      <c r="C217" s="38">
        <v>1.2999999999999999E-2</v>
      </c>
      <c r="D217" s="38">
        <f>INDEX('PD Term Structure'!$E$17:$N$26,MATCH($I217,'PD Term Structure'!$D$17:$D$26,0),MATCH(D$1,'PD Term Structure'!$E$16:$N$16,0))</f>
        <v>2.8507278481012657E-2</v>
      </c>
      <c r="E217" s="38">
        <f>INDEX('PD Term Structure'!$E$17:$N$26,MATCH($I217,'PD Term Structure'!$D$17:$D$26,0),MATCH(E$1,'PD Term Structure'!$E$16:$N$16,0))</f>
        <v>4.7291677269631509E-2</v>
      </c>
      <c r="F217" s="39">
        <v>384.98500000000001</v>
      </c>
      <c r="G217" s="82">
        <f t="shared" si="26"/>
        <v>0.41974816177099206</v>
      </c>
      <c r="H217" s="82">
        <f>(NORMSDIST(-LN(G217)+(VLOOKUP(B217,LGD_para,3,FALSE)^2/2))/VLOOKUP(B217,LGD_para,3,FALSE)-(VLOOKUP(B217,LGD_para,3,FALSE))-G217*(NORMSDIST(-LN(G217)+(VLOOKUP(B217,LGD_para,3,FALSE)^2/2))/VLOOKUP(B217,LGD_para,3,FALSE)))/LOGNORMDIST(1,LN(G217),(VLOOKUP(B217,LGD_para,3,FALSE)))*'LGD parameters'!$D$11</f>
        <v>0.33381167072117429</v>
      </c>
      <c r="I217" s="106">
        <f>VLOOKUP(C217,'PD Term Structure'!$C$5:$D$14,2,TRUE)</f>
        <v>3</v>
      </c>
      <c r="J217" s="43">
        <f>VLOOKUP(I217,'Master rating scale'!$G$5:$H$14,2,FALSE)</f>
        <v>3</v>
      </c>
      <c r="K217" s="62">
        <f t="shared" si="21"/>
        <v>1.2491231671859709E-4</v>
      </c>
      <c r="M217" s="110">
        <f>VLOOKUP(D217,'PD Term Structure'!$C$5:$D$14,2,TRUE)</f>
        <v>4</v>
      </c>
      <c r="N217" s="110">
        <f t="shared" si="22"/>
        <v>4</v>
      </c>
      <c r="O217" s="107">
        <f t="shared" si="23"/>
        <v>1.6654975562479613E-4</v>
      </c>
      <c r="Q217" s="110">
        <f>VLOOKUP(E217,'PD Term Structure'!$C$5:$D$14,2,TRUE)</f>
        <v>4</v>
      </c>
      <c r="R217" s="110">
        <f t="shared" si="24"/>
        <v>4</v>
      </c>
      <c r="S217" s="107">
        <f t="shared" si="25"/>
        <v>1.6654975562479613E-4</v>
      </c>
    </row>
    <row r="218" spans="1:19" ht="14">
      <c r="A218" s="36">
        <v>371015</v>
      </c>
      <c r="B218" s="81" t="s">
        <v>19</v>
      </c>
      <c r="C218" s="38">
        <v>1.2E-2</v>
      </c>
      <c r="D218" s="38">
        <f>INDEX('PD Term Structure'!$E$17:$N$26,MATCH($I218,'PD Term Structure'!$D$17:$D$26,0),MATCH(D$1,'PD Term Structure'!$E$16:$N$16,0))</f>
        <v>2.8507278481012657E-2</v>
      </c>
      <c r="E218" s="38">
        <f>INDEX('PD Term Structure'!$E$17:$N$26,MATCH($I218,'PD Term Structure'!$D$17:$D$26,0),MATCH(E$1,'PD Term Structure'!$E$16:$N$16,0))</f>
        <v>4.7291677269631509E-2</v>
      </c>
      <c r="F218" s="39">
        <v>25000</v>
      </c>
      <c r="G218" s="82">
        <f t="shared" si="26"/>
        <v>0.41974816177099206</v>
      </c>
      <c r="H218" s="82">
        <f>(NORMSDIST(-LN(G218)+(VLOOKUP(B218,LGD_para,3,FALSE)^2/2))/VLOOKUP(B218,LGD_para,3,FALSE)-(VLOOKUP(B218,LGD_para,3,FALSE))-G218*(NORMSDIST(-LN(G218)+(VLOOKUP(B218,LGD_para,3,FALSE)^2/2))/VLOOKUP(B218,LGD_para,3,FALSE)))/LOGNORMDIST(1,LN(G218),(VLOOKUP(B218,LGD_para,3,FALSE)))*'LGD parameters'!$D$11</f>
        <v>0.33381167072117429</v>
      </c>
      <c r="I218" s="106">
        <f>VLOOKUP(C218,'PD Term Structure'!$C$5:$D$14,2,TRUE)</f>
        <v>3</v>
      </c>
      <c r="J218" s="43">
        <f>VLOOKUP(I218,'Master rating scale'!$G$5:$H$14,2,FALSE)</f>
        <v>3</v>
      </c>
      <c r="K218" s="62">
        <f t="shared" si="21"/>
        <v>8.1115054299905898E-3</v>
      </c>
      <c r="M218" s="110">
        <f>VLOOKUP(D218,'PD Term Structure'!$C$5:$D$14,2,TRUE)</f>
        <v>4</v>
      </c>
      <c r="N218" s="110">
        <f t="shared" si="22"/>
        <v>4</v>
      </c>
      <c r="O218" s="107">
        <f t="shared" si="23"/>
        <v>1.0815340573320786E-2</v>
      </c>
      <c r="Q218" s="110">
        <f>VLOOKUP(E218,'PD Term Structure'!$C$5:$D$14,2,TRUE)</f>
        <v>4</v>
      </c>
      <c r="R218" s="110">
        <f t="shared" si="24"/>
        <v>4</v>
      </c>
      <c r="S218" s="107">
        <f t="shared" si="25"/>
        <v>1.0815340573320786E-2</v>
      </c>
    </row>
    <row r="219" spans="1:19" ht="14">
      <c r="A219" s="36">
        <v>380571</v>
      </c>
      <c r="B219" s="81" t="s">
        <v>19</v>
      </c>
      <c r="C219" s="38">
        <v>1.2999999999999999E-2</v>
      </c>
      <c r="D219" s="38">
        <f>INDEX('PD Term Structure'!$E$17:$N$26,MATCH($I219,'PD Term Structure'!$D$17:$D$26,0),MATCH(D$1,'PD Term Structure'!$E$16:$N$16,0))</f>
        <v>2.8507278481012657E-2</v>
      </c>
      <c r="E219" s="38">
        <f>INDEX('PD Term Structure'!$E$17:$N$26,MATCH($I219,'PD Term Structure'!$D$17:$D$26,0),MATCH(E$1,'PD Term Structure'!$E$16:$N$16,0))</f>
        <v>4.7291677269631509E-2</v>
      </c>
      <c r="F219" s="39">
        <v>27500</v>
      </c>
      <c r="G219" s="82">
        <f t="shared" si="26"/>
        <v>0.41974816177099206</v>
      </c>
      <c r="H219" s="82">
        <f>(NORMSDIST(-LN(G219)+(VLOOKUP(B219,LGD_para,3,FALSE)^2/2))/VLOOKUP(B219,LGD_para,3,FALSE)-(VLOOKUP(B219,LGD_para,3,FALSE))-G219*(NORMSDIST(-LN(G219)+(VLOOKUP(B219,LGD_para,3,FALSE)^2/2))/VLOOKUP(B219,LGD_para,3,FALSE)))/LOGNORMDIST(1,LN(G219),(VLOOKUP(B219,LGD_para,3,FALSE)))*'LGD parameters'!$D$11</f>
        <v>0.33381167072117429</v>
      </c>
      <c r="I219" s="106">
        <f>VLOOKUP(C219,'PD Term Structure'!$C$5:$D$14,2,TRUE)</f>
        <v>3</v>
      </c>
      <c r="J219" s="43">
        <f>VLOOKUP(I219,'Master rating scale'!$G$5:$H$14,2,FALSE)</f>
        <v>3</v>
      </c>
      <c r="K219" s="62">
        <f t="shared" si="21"/>
        <v>8.9226559729896487E-3</v>
      </c>
      <c r="M219" s="110">
        <f>VLOOKUP(D219,'PD Term Structure'!$C$5:$D$14,2,TRUE)</f>
        <v>4</v>
      </c>
      <c r="N219" s="110">
        <f t="shared" si="22"/>
        <v>4</v>
      </c>
      <c r="O219" s="107">
        <f t="shared" si="23"/>
        <v>1.1896874630652865E-2</v>
      </c>
      <c r="Q219" s="110">
        <f>VLOOKUP(E219,'PD Term Structure'!$C$5:$D$14,2,TRUE)</f>
        <v>4</v>
      </c>
      <c r="R219" s="110">
        <f t="shared" si="24"/>
        <v>4</v>
      </c>
      <c r="S219" s="107">
        <f t="shared" si="25"/>
        <v>1.1896874630652865E-2</v>
      </c>
    </row>
    <row r="220" spans="1:19" ht="14">
      <c r="A220" s="36">
        <v>33682</v>
      </c>
      <c r="B220" s="81" t="s">
        <v>19</v>
      </c>
      <c r="C220" s="38">
        <v>1.2999999999999999E-2</v>
      </c>
      <c r="D220" s="38">
        <f>INDEX('PD Term Structure'!$E$17:$N$26,MATCH($I220,'PD Term Structure'!$D$17:$D$26,0),MATCH(D$1,'PD Term Structure'!$E$16:$N$16,0))</f>
        <v>2.8507278481012657E-2</v>
      </c>
      <c r="E220" s="38">
        <f>INDEX('PD Term Structure'!$E$17:$N$26,MATCH($I220,'PD Term Structure'!$D$17:$D$26,0),MATCH(E$1,'PD Term Structure'!$E$16:$N$16,0))</f>
        <v>4.7291677269631509E-2</v>
      </c>
      <c r="F220" s="39">
        <v>32836.5</v>
      </c>
      <c r="G220" s="82">
        <f t="shared" si="26"/>
        <v>0.41974816177099206</v>
      </c>
      <c r="H220" s="82">
        <f>(NORMSDIST(-LN(G220)+(VLOOKUP(B220,LGD_para,3,FALSE)^2/2))/VLOOKUP(B220,LGD_para,3,FALSE)-(VLOOKUP(B220,LGD_para,3,FALSE))-G220*(NORMSDIST(-LN(G220)+(VLOOKUP(B220,LGD_para,3,FALSE)^2/2))/VLOOKUP(B220,LGD_para,3,FALSE)))/LOGNORMDIST(1,LN(G220),(VLOOKUP(B220,LGD_para,3,FALSE)))*'LGD parameters'!$D$11</f>
        <v>0.33381167072117429</v>
      </c>
      <c r="I220" s="106">
        <f>VLOOKUP(C220,'PD Term Structure'!$C$5:$D$14,2,TRUE)</f>
        <v>3</v>
      </c>
      <c r="J220" s="43">
        <f>VLOOKUP(I220,'Master rating scale'!$G$5:$H$14,2,FALSE)</f>
        <v>3</v>
      </c>
      <c r="K220" s="62">
        <f t="shared" si="21"/>
        <v>1.0654137922075441E-2</v>
      </c>
      <c r="M220" s="110">
        <f>VLOOKUP(D220,'PD Term Structure'!$C$5:$D$14,2,TRUE)</f>
        <v>4</v>
      </c>
      <c r="N220" s="110">
        <f t="shared" si="22"/>
        <v>4</v>
      </c>
      <c r="O220" s="107">
        <f t="shared" si="23"/>
        <v>1.4205517229433921E-2</v>
      </c>
      <c r="Q220" s="110">
        <f>VLOOKUP(E220,'PD Term Structure'!$C$5:$D$14,2,TRUE)</f>
        <v>4</v>
      </c>
      <c r="R220" s="110">
        <f t="shared" si="24"/>
        <v>4</v>
      </c>
      <c r="S220" s="107">
        <f t="shared" si="25"/>
        <v>1.4205517229433921E-2</v>
      </c>
    </row>
    <row r="221" spans="1:19" ht="14">
      <c r="A221" s="36">
        <v>8665</v>
      </c>
      <c r="B221" s="81" t="s">
        <v>19</v>
      </c>
      <c r="C221" s="38">
        <v>0.02</v>
      </c>
      <c r="D221" s="38">
        <f>INDEX('PD Term Structure'!$E$17:$N$26,MATCH($I221,'PD Term Structure'!$D$17:$D$26,0),MATCH(D$1,'PD Term Structure'!$E$16:$N$16,0))</f>
        <v>5.2108354430379748E-2</v>
      </c>
      <c r="E221" s="38">
        <f>INDEX('PD Term Structure'!$E$17:$N$26,MATCH($I221,'PD Term Structure'!$D$17:$D$26,0),MATCH(E$1,'PD Term Structure'!$E$16:$N$16,0))</f>
        <v>6.3676339047537805E-2</v>
      </c>
      <c r="F221" s="39">
        <v>11500</v>
      </c>
      <c r="G221" s="82">
        <f t="shared" si="26"/>
        <v>0.41974816177099206</v>
      </c>
      <c r="H221" s="82">
        <f>(NORMSDIST(-LN(G221)+(VLOOKUP(B221,LGD_para,3,FALSE)^2/2))/VLOOKUP(B221,LGD_para,3,FALSE)-(VLOOKUP(B221,LGD_para,3,FALSE))-G221*(NORMSDIST(-LN(G221)+(VLOOKUP(B221,LGD_para,3,FALSE)^2/2))/VLOOKUP(B221,LGD_para,3,FALSE)))/LOGNORMDIST(1,LN(G221),(VLOOKUP(B221,LGD_para,3,FALSE)))*'LGD parameters'!$D$11</f>
        <v>0.33381167072117429</v>
      </c>
      <c r="I221" s="106">
        <f>VLOOKUP(C221,'PD Term Structure'!$C$5:$D$14,2,TRUE)</f>
        <v>4</v>
      </c>
      <c r="J221" s="43">
        <f>VLOOKUP(I221,'Master rating scale'!$G$5:$H$14,2,FALSE)</f>
        <v>4</v>
      </c>
      <c r="K221" s="62">
        <f t="shared" si="21"/>
        <v>4.9750566637275619E-3</v>
      </c>
      <c r="M221" s="110">
        <f>VLOOKUP(D221,'PD Term Structure'!$C$5:$D$14,2,TRUE)</f>
        <v>4</v>
      </c>
      <c r="N221" s="110">
        <f t="shared" si="22"/>
        <v>4</v>
      </c>
      <c r="O221" s="107">
        <f t="shared" si="23"/>
        <v>4.9750566637275619E-3</v>
      </c>
      <c r="Q221" s="110">
        <f>VLOOKUP(E221,'PD Term Structure'!$C$5:$D$14,2,TRUE)</f>
        <v>5</v>
      </c>
      <c r="R221" s="110">
        <f t="shared" si="24"/>
        <v>5</v>
      </c>
      <c r="S221" s="107">
        <f t="shared" si="25"/>
        <v>6.2188208296594522E-3</v>
      </c>
    </row>
    <row r="222" spans="1:19" ht="14">
      <c r="A222" s="36">
        <v>330832</v>
      </c>
      <c r="B222" s="81" t="s">
        <v>19</v>
      </c>
      <c r="C222" s="38">
        <v>1.0999999999999999E-2</v>
      </c>
      <c r="D222" s="38">
        <f>INDEX('PD Term Structure'!$E$17:$N$26,MATCH($I222,'PD Term Structure'!$D$17:$D$26,0),MATCH(D$1,'PD Term Structure'!$E$16:$N$16,0))</f>
        <v>2.8507278481012657E-2</v>
      </c>
      <c r="E222" s="38">
        <f>INDEX('PD Term Structure'!$E$17:$N$26,MATCH($I222,'PD Term Structure'!$D$17:$D$26,0),MATCH(E$1,'PD Term Structure'!$E$16:$N$16,0))</f>
        <v>4.7291677269631509E-2</v>
      </c>
      <c r="F222" s="39">
        <v>12244</v>
      </c>
      <c r="G222" s="82">
        <f t="shared" si="26"/>
        <v>0.41974816177099206</v>
      </c>
      <c r="H222" s="82">
        <f>(NORMSDIST(-LN(G222)+(VLOOKUP(B222,LGD_para,3,FALSE)^2/2))/VLOOKUP(B222,LGD_para,3,FALSE)-(VLOOKUP(B222,LGD_para,3,FALSE))-G222*(NORMSDIST(-LN(G222)+(VLOOKUP(B222,LGD_para,3,FALSE)^2/2))/VLOOKUP(B222,LGD_para,3,FALSE)))/LOGNORMDIST(1,LN(G222),(VLOOKUP(B222,LGD_para,3,FALSE)))*'LGD parameters'!$D$11</f>
        <v>0.33381167072117429</v>
      </c>
      <c r="I222" s="106">
        <f>VLOOKUP(C222,'PD Term Structure'!$C$5:$D$14,2,TRUE)</f>
        <v>3</v>
      </c>
      <c r="J222" s="43">
        <f>VLOOKUP(I222,'Master rating scale'!$G$5:$H$14,2,FALSE)</f>
        <v>3</v>
      </c>
      <c r="K222" s="62">
        <f t="shared" si="21"/>
        <v>3.972690899392191E-3</v>
      </c>
      <c r="M222" s="110">
        <f>VLOOKUP(D222,'PD Term Structure'!$C$5:$D$14,2,TRUE)</f>
        <v>4</v>
      </c>
      <c r="N222" s="110">
        <f t="shared" si="22"/>
        <v>4</v>
      </c>
      <c r="O222" s="107">
        <f t="shared" si="23"/>
        <v>5.296921199189588E-3</v>
      </c>
      <c r="Q222" s="110">
        <f>VLOOKUP(E222,'PD Term Structure'!$C$5:$D$14,2,TRUE)</f>
        <v>4</v>
      </c>
      <c r="R222" s="110">
        <f t="shared" si="24"/>
        <v>4</v>
      </c>
      <c r="S222" s="107">
        <f t="shared" si="25"/>
        <v>5.296921199189588E-3</v>
      </c>
    </row>
    <row r="223" spans="1:19" ht="14">
      <c r="A223" s="36">
        <v>371529</v>
      </c>
      <c r="B223" s="81" t="s">
        <v>19</v>
      </c>
      <c r="C223" s="38">
        <v>8.0000000000000004E-4</v>
      </c>
      <c r="D223" s="38">
        <f>INDEX('PD Term Structure'!$E$17:$N$26,MATCH($I223,'PD Term Structure'!$D$17:$D$26,0),MATCH(D$1,'PD Term Structure'!$E$16:$N$16,0))</f>
        <v>2.4624108527131781E-2</v>
      </c>
      <c r="E223" s="38">
        <f>INDEX('PD Term Structure'!$E$17:$N$26,MATCH($I223,'PD Term Structure'!$D$17:$D$26,0),MATCH(E$1,'PD Term Structure'!$E$16:$N$16,0))</f>
        <v>4.0379208287343982E-2</v>
      </c>
      <c r="F223" s="39">
        <v>28180</v>
      </c>
      <c r="G223" s="82">
        <f>VLOOKUP(B223,'LGD parameters'!$C$7:$E$11,2,FALSE)</f>
        <v>0.41974816177099206</v>
      </c>
      <c r="H223" s="82">
        <f>(NORMSDIST(-LN(G223)+(VLOOKUP(B223,LGD_para,3,FALSE)^2/2))/VLOOKUP(B223,LGD_para,3,FALSE)-(VLOOKUP(B223,LGD_para,3,FALSE))-G223*(NORMSDIST(-LN(G223)+(VLOOKUP(B223,LGD_para,3,FALSE)^2/2))/VLOOKUP(B223,LGD_para,3,FALSE)))/LOGNORMDIST(1,LN(G223),(VLOOKUP(B223,LGD_para,3,FALSE)))*'LGD parameters'!$D$11</f>
        <v>0.33381167072117429</v>
      </c>
      <c r="I223" s="106">
        <f>VLOOKUP(C223,'PD Term Structure'!$C$5:$D$14,2,TRUE)</f>
        <v>2</v>
      </c>
      <c r="J223" s="43">
        <f>VLOOKUP(I223,'Master rating scale'!$G$5:$H$14,2,FALSE)</f>
        <v>2</v>
      </c>
      <c r="K223" s="62">
        <f t="shared" si="21"/>
        <v>6.0955259471235949E-3</v>
      </c>
      <c r="M223" s="110">
        <f>VLOOKUP(D223,'PD Term Structure'!$C$5:$D$14,2,TRUE)</f>
        <v>4</v>
      </c>
      <c r="N223" s="110">
        <f t="shared" si="22"/>
        <v>4</v>
      </c>
      <c r="O223" s="107">
        <f t="shared" si="23"/>
        <v>1.219105189424719E-2</v>
      </c>
      <c r="Q223" s="110">
        <f>VLOOKUP(E223,'PD Term Structure'!$C$5:$D$14,2,TRUE)</f>
        <v>4</v>
      </c>
      <c r="R223" s="110">
        <f t="shared" si="24"/>
        <v>4</v>
      </c>
      <c r="S223" s="107">
        <f t="shared" si="25"/>
        <v>1.219105189424719E-2</v>
      </c>
    </row>
    <row r="224" spans="1:19" ht="14">
      <c r="A224" s="36">
        <v>91652</v>
      </c>
      <c r="B224" s="81" t="s">
        <v>19</v>
      </c>
      <c r="C224" s="38">
        <v>8.0000000000000004E-4</v>
      </c>
      <c r="D224" s="38">
        <f>INDEX('PD Term Structure'!$E$17:$N$26,MATCH($I224,'PD Term Structure'!$D$17:$D$26,0),MATCH(D$1,'PD Term Structure'!$E$16:$N$16,0))</f>
        <v>2.4624108527131781E-2</v>
      </c>
      <c r="E224" s="38">
        <f>INDEX('PD Term Structure'!$E$17:$N$26,MATCH($I224,'PD Term Structure'!$D$17:$D$26,0),MATCH(E$1,'PD Term Structure'!$E$16:$N$16,0))</f>
        <v>4.0379208287343982E-2</v>
      </c>
      <c r="F224" s="39">
        <v>49851.7405</v>
      </c>
      <c r="G224" s="82">
        <f t="shared" ref="G224:G230" si="27">VLOOKUP(B224,LGD_para,2,FALSE)</f>
        <v>0.41974816177099206</v>
      </c>
      <c r="H224" s="82">
        <f>(NORMSDIST(-LN(G224)+(VLOOKUP(B224,LGD_para,3,FALSE)^2/2))/VLOOKUP(B224,LGD_para,3,FALSE)-(VLOOKUP(B224,LGD_para,3,FALSE))-G224*(NORMSDIST(-LN(G224)+(VLOOKUP(B224,LGD_para,3,FALSE)^2/2))/VLOOKUP(B224,LGD_para,3,FALSE)))/LOGNORMDIST(1,LN(G224),(VLOOKUP(B224,LGD_para,3,FALSE)))*'LGD parameters'!$D$11</f>
        <v>0.33381167072117429</v>
      </c>
      <c r="I224" s="106">
        <f>VLOOKUP(C224,'PD Term Structure'!$C$5:$D$14,2,TRUE)</f>
        <v>2</v>
      </c>
      <c r="J224" s="43">
        <f>VLOOKUP(I224,'Master rating scale'!$G$5:$H$14,2,FALSE)</f>
        <v>2</v>
      </c>
      <c r="K224" s="62">
        <f t="shared" si="21"/>
        <v>1.0783271033606181E-2</v>
      </c>
      <c r="M224" s="110">
        <f>VLOOKUP(D224,'PD Term Structure'!$C$5:$D$14,2,TRUE)</f>
        <v>4</v>
      </c>
      <c r="N224" s="110">
        <f t="shared" si="22"/>
        <v>4</v>
      </c>
      <c r="O224" s="107">
        <f t="shared" si="23"/>
        <v>2.1566542067212362E-2</v>
      </c>
      <c r="Q224" s="110">
        <f>VLOOKUP(E224,'PD Term Structure'!$C$5:$D$14,2,TRUE)</f>
        <v>4</v>
      </c>
      <c r="R224" s="110">
        <f t="shared" si="24"/>
        <v>4</v>
      </c>
      <c r="S224" s="107">
        <f t="shared" si="25"/>
        <v>2.1566542067212362E-2</v>
      </c>
    </row>
    <row r="225" spans="1:19" ht="14">
      <c r="A225" s="36">
        <v>34084</v>
      </c>
      <c r="B225" s="81" t="s">
        <v>19</v>
      </c>
      <c r="C225" s="38">
        <v>4.0000000000000002E-4</v>
      </c>
      <c r="D225" s="38">
        <f>INDEX('PD Term Structure'!$E$17:$N$26,MATCH($I225,'PD Term Structure'!$D$17:$D$26,0),MATCH(D$1,'PD Term Structure'!$E$16:$N$16,0))</f>
        <v>2.5345454545454547E-3</v>
      </c>
      <c r="E225" s="38">
        <f>INDEX('PD Term Structure'!$E$17:$N$26,MATCH($I225,'PD Term Structure'!$D$17:$D$26,0),MATCH(E$1,'PD Term Structure'!$E$16:$N$16,0))</f>
        <v>1.8222033815285081E-2</v>
      </c>
      <c r="F225" s="39">
        <v>9666.5218699999987</v>
      </c>
      <c r="G225" s="82">
        <f t="shared" si="27"/>
        <v>0.41974816177099206</v>
      </c>
      <c r="H225" s="82">
        <f>(NORMSDIST(-LN(G225)+(VLOOKUP(B225,LGD_para,3,FALSE)^2/2))/VLOOKUP(B225,LGD_para,3,FALSE)-(VLOOKUP(B225,LGD_para,3,FALSE))-G225*(NORMSDIST(-LN(G225)+(VLOOKUP(B225,LGD_para,3,FALSE)^2/2))/VLOOKUP(B225,LGD_para,3,FALSE)))/LOGNORMDIST(1,LN(G225),(VLOOKUP(B225,LGD_para,3,FALSE)))*'LGD parameters'!$D$11</f>
        <v>0.33381167072117429</v>
      </c>
      <c r="I225" s="106">
        <f>VLOOKUP(C225,'PD Term Structure'!$C$5:$D$14,2,TRUE)</f>
        <v>1</v>
      </c>
      <c r="J225" s="43">
        <f>VLOOKUP(I225,'Master rating scale'!$G$5:$H$14,2,FALSE)</f>
        <v>1</v>
      </c>
      <c r="K225" s="62">
        <f t="shared" si="21"/>
        <v>1.0454672618350372E-3</v>
      </c>
      <c r="M225" s="110">
        <f>VLOOKUP(D225,'PD Term Structure'!$C$5:$D$14,2,TRUE)</f>
        <v>2</v>
      </c>
      <c r="N225" s="110">
        <f t="shared" si="22"/>
        <v>2</v>
      </c>
      <c r="O225" s="107">
        <f t="shared" si="23"/>
        <v>2.0909345236700743E-3</v>
      </c>
      <c r="Q225" s="110">
        <f>VLOOKUP(E225,'PD Term Structure'!$C$5:$D$14,2,TRUE)</f>
        <v>4</v>
      </c>
      <c r="R225" s="110">
        <f t="shared" si="24"/>
        <v>4</v>
      </c>
      <c r="S225" s="107">
        <f t="shared" si="25"/>
        <v>4.1818690473401487E-3</v>
      </c>
    </row>
    <row r="226" spans="1:19" ht="14">
      <c r="A226" s="36">
        <v>142525</v>
      </c>
      <c r="B226" s="81" t="s">
        <v>19</v>
      </c>
      <c r="C226" s="38">
        <v>4.0000000000000002E-4</v>
      </c>
      <c r="D226" s="38">
        <f>INDEX('PD Term Structure'!$E$17:$N$26,MATCH($I226,'PD Term Structure'!$D$17:$D$26,0),MATCH(D$1,'PD Term Structure'!$E$16:$N$16,0))</f>
        <v>2.5345454545454547E-3</v>
      </c>
      <c r="E226" s="38">
        <f>INDEX('PD Term Structure'!$E$17:$N$26,MATCH($I226,'PD Term Structure'!$D$17:$D$26,0),MATCH(E$1,'PD Term Structure'!$E$16:$N$16,0))</f>
        <v>1.8222033815285081E-2</v>
      </c>
      <c r="F226" s="39">
        <v>500.53333000000003</v>
      </c>
      <c r="G226" s="82">
        <f t="shared" si="27"/>
        <v>0.41974816177099206</v>
      </c>
      <c r="H226" s="82">
        <f>(NORMSDIST(-LN(G226)+(VLOOKUP(B226,LGD_para,3,FALSE)^2/2))/VLOOKUP(B226,LGD_para,3,FALSE)-(VLOOKUP(B226,LGD_para,3,FALSE))-G226*(NORMSDIST(-LN(G226)+(VLOOKUP(B226,LGD_para,3,FALSE)^2/2))/VLOOKUP(B226,LGD_para,3,FALSE)))/LOGNORMDIST(1,LN(G226),(VLOOKUP(B226,LGD_para,3,FALSE)))*'LGD parameters'!$D$11</f>
        <v>0.33381167072117429</v>
      </c>
      <c r="I226" s="106">
        <f>VLOOKUP(C226,'PD Term Structure'!$C$5:$D$14,2,TRUE)</f>
        <v>1</v>
      </c>
      <c r="J226" s="43">
        <f>VLOOKUP(I226,'Master rating scale'!$G$5:$H$14,2,FALSE)</f>
        <v>1</v>
      </c>
      <c r="K226" s="62">
        <f t="shared" si="21"/>
        <v>5.4134384322483628E-5</v>
      </c>
      <c r="M226" s="110">
        <f>VLOOKUP(D226,'PD Term Structure'!$C$5:$D$14,2,TRUE)</f>
        <v>2</v>
      </c>
      <c r="N226" s="110">
        <f t="shared" si="22"/>
        <v>2</v>
      </c>
      <c r="O226" s="107">
        <f t="shared" si="23"/>
        <v>1.0826876864496726E-4</v>
      </c>
      <c r="Q226" s="110">
        <f>VLOOKUP(E226,'PD Term Structure'!$C$5:$D$14,2,TRUE)</f>
        <v>4</v>
      </c>
      <c r="R226" s="110">
        <f t="shared" si="24"/>
        <v>4</v>
      </c>
      <c r="S226" s="107">
        <f t="shared" si="25"/>
        <v>2.1653753728993451E-4</v>
      </c>
    </row>
    <row r="227" spans="1:19" ht="14">
      <c r="A227" s="36">
        <v>227030</v>
      </c>
      <c r="B227" s="81" t="s">
        <v>19</v>
      </c>
      <c r="C227" s="38">
        <v>2.9999999999999997E-4</v>
      </c>
      <c r="D227" s="38">
        <f>INDEX('PD Term Structure'!$E$17:$N$26,MATCH($I227,'PD Term Structure'!$D$17:$D$26,0),MATCH(D$1,'PD Term Structure'!$E$16:$N$16,0))</f>
        <v>2.5345454545454547E-3</v>
      </c>
      <c r="E227" s="38">
        <f>INDEX('PD Term Structure'!$E$17:$N$26,MATCH($I227,'PD Term Structure'!$D$17:$D$26,0),MATCH(E$1,'PD Term Structure'!$E$16:$N$16,0))</f>
        <v>1.8222033815285081E-2</v>
      </c>
      <c r="F227" s="39">
        <v>8.5</v>
      </c>
      <c r="G227" s="82">
        <f t="shared" si="27"/>
        <v>0.41974816177099206</v>
      </c>
      <c r="H227" s="82">
        <f>(NORMSDIST(-LN(G227)+(VLOOKUP(B227,LGD_para,3,FALSE)^2/2))/VLOOKUP(B227,LGD_para,3,FALSE)-(VLOOKUP(B227,LGD_para,3,FALSE))-G227*(NORMSDIST(-LN(G227)+(VLOOKUP(B227,LGD_para,3,FALSE)^2/2))/VLOOKUP(B227,LGD_para,3,FALSE)))/LOGNORMDIST(1,LN(G227),(VLOOKUP(B227,LGD_para,3,FALSE)))*'LGD parameters'!$D$11</f>
        <v>0.33381167072117429</v>
      </c>
      <c r="I227" s="106">
        <f>VLOOKUP(C227,'PD Term Structure'!$C$5:$D$14,2,TRUE)</f>
        <v>1</v>
      </c>
      <c r="J227" s="43">
        <f>VLOOKUP(I227,'Master rating scale'!$G$5:$H$14,2,FALSE)</f>
        <v>1</v>
      </c>
      <c r="K227" s="62">
        <f t="shared" si="21"/>
        <v>9.1930394873226682E-7</v>
      </c>
      <c r="M227" s="110">
        <f>VLOOKUP(D227,'PD Term Structure'!$C$5:$D$14,2,TRUE)</f>
        <v>2</v>
      </c>
      <c r="N227" s="110">
        <f t="shared" si="22"/>
        <v>2</v>
      </c>
      <c r="O227" s="107">
        <f t="shared" si="23"/>
        <v>1.8386078974645336E-6</v>
      </c>
      <c r="Q227" s="110">
        <f>VLOOKUP(E227,'PD Term Structure'!$C$5:$D$14,2,TRUE)</f>
        <v>4</v>
      </c>
      <c r="R227" s="110">
        <f t="shared" si="24"/>
        <v>4</v>
      </c>
      <c r="S227" s="107">
        <f t="shared" si="25"/>
        <v>3.6772157949290673E-6</v>
      </c>
    </row>
    <row r="228" spans="1:19" ht="14">
      <c r="A228" s="36">
        <v>243927</v>
      </c>
      <c r="B228" s="81" t="s">
        <v>19</v>
      </c>
      <c r="C228" s="38">
        <v>3.0000000000000001E-3</v>
      </c>
      <c r="D228" s="38">
        <f>INDEX('PD Term Structure'!$E$17:$N$26,MATCH($I228,'PD Term Structure'!$D$17:$D$26,0),MATCH(D$1,'PD Term Structure'!$E$16:$N$16,0))</f>
        <v>2.4624108527131781E-2</v>
      </c>
      <c r="E228" s="38">
        <f>INDEX('PD Term Structure'!$E$17:$N$26,MATCH($I228,'PD Term Structure'!$D$17:$D$26,0),MATCH(E$1,'PD Term Structure'!$E$16:$N$16,0))</f>
        <v>4.0379208287343982E-2</v>
      </c>
      <c r="F228" s="39">
        <v>25000</v>
      </c>
      <c r="G228" s="82">
        <f t="shared" si="27"/>
        <v>0.41974816177099206</v>
      </c>
      <c r="H228" s="82">
        <f>(NORMSDIST(-LN(G228)+(VLOOKUP(B228,LGD_para,3,FALSE)^2/2))/VLOOKUP(B228,LGD_para,3,FALSE)-(VLOOKUP(B228,LGD_para,3,FALSE))-G228*(NORMSDIST(-LN(G228)+(VLOOKUP(B228,LGD_para,3,FALSE)^2/2))/VLOOKUP(B228,LGD_para,3,FALSE)))/LOGNORMDIST(1,LN(G228),(VLOOKUP(B228,LGD_para,3,FALSE)))*'LGD parameters'!$D$11</f>
        <v>0.33381167072117429</v>
      </c>
      <c r="I228" s="106">
        <f>VLOOKUP(C228,'PD Term Structure'!$C$5:$D$14,2,TRUE)</f>
        <v>2</v>
      </c>
      <c r="J228" s="43">
        <f>VLOOKUP(I228,'Master rating scale'!$G$5:$H$14,2,FALSE)</f>
        <v>2</v>
      </c>
      <c r="K228" s="62">
        <f t="shared" si="21"/>
        <v>5.4076702866603932E-3</v>
      </c>
      <c r="M228" s="110">
        <f>VLOOKUP(D228,'PD Term Structure'!$C$5:$D$14,2,TRUE)</f>
        <v>4</v>
      </c>
      <c r="N228" s="110">
        <f t="shared" si="22"/>
        <v>4</v>
      </c>
      <c r="O228" s="107">
        <f t="shared" si="23"/>
        <v>1.0815340573320786E-2</v>
      </c>
      <c r="Q228" s="110">
        <f>VLOOKUP(E228,'PD Term Structure'!$C$5:$D$14,2,TRUE)</f>
        <v>4</v>
      </c>
      <c r="R228" s="110">
        <f t="shared" si="24"/>
        <v>4</v>
      </c>
      <c r="S228" s="107">
        <f t="shared" si="25"/>
        <v>1.0815340573320786E-2</v>
      </c>
    </row>
    <row r="229" spans="1:19" ht="14">
      <c r="A229" s="36">
        <v>371529</v>
      </c>
      <c r="B229" s="81" t="s">
        <v>19</v>
      </c>
      <c r="C229" s="38">
        <v>2E-3</v>
      </c>
      <c r="D229" s="38">
        <f>INDEX('PD Term Structure'!$E$17:$N$26,MATCH($I229,'PD Term Structure'!$D$17:$D$26,0),MATCH(D$1,'PD Term Structure'!$E$16:$N$16,0))</f>
        <v>2.4624108527131781E-2</v>
      </c>
      <c r="E229" s="38">
        <f>INDEX('PD Term Structure'!$E$17:$N$26,MATCH($I229,'PD Term Structure'!$D$17:$D$26,0),MATCH(E$1,'PD Term Structure'!$E$16:$N$16,0))</f>
        <v>4.0379208287343982E-2</v>
      </c>
      <c r="F229" s="39">
        <v>28180</v>
      </c>
      <c r="G229" s="82">
        <f t="shared" si="27"/>
        <v>0.41974816177099206</v>
      </c>
      <c r="H229" s="82">
        <f>(NORMSDIST(-LN(G229)+(VLOOKUP(B229,LGD_para,3,FALSE)^2/2))/VLOOKUP(B229,LGD_para,3,FALSE)-(VLOOKUP(B229,LGD_para,3,FALSE))-G229*(NORMSDIST(-LN(G229)+(VLOOKUP(B229,LGD_para,3,FALSE)^2/2))/VLOOKUP(B229,LGD_para,3,FALSE)))/LOGNORMDIST(1,LN(G229),(VLOOKUP(B229,LGD_para,3,FALSE)))*'LGD parameters'!$D$11</f>
        <v>0.33381167072117429</v>
      </c>
      <c r="I229" s="106">
        <f>VLOOKUP(C229,'PD Term Structure'!$C$5:$D$14,2,TRUE)</f>
        <v>2</v>
      </c>
      <c r="J229" s="43">
        <f>VLOOKUP(I229,'Master rating scale'!$G$5:$H$14,2,FALSE)</f>
        <v>2</v>
      </c>
      <c r="K229" s="62">
        <f t="shared" si="21"/>
        <v>6.0955259471235949E-3</v>
      </c>
      <c r="M229" s="110">
        <f>VLOOKUP(D229,'PD Term Structure'!$C$5:$D$14,2,TRUE)</f>
        <v>4</v>
      </c>
      <c r="N229" s="110">
        <f t="shared" si="22"/>
        <v>4</v>
      </c>
      <c r="O229" s="107">
        <f t="shared" si="23"/>
        <v>1.219105189424719E-2</v>
      </c>
      <c r="Q229" s="110">
        <f>VLOOKUP(E229,'PD Term Structure'!$C$5:$D$14,2,TRUE)</f>
        <v>4</v>
      </c>
      <c r="R229" s="110">
        <f t="shared" si="24"/>
        <v>4</v>
      </c>
      <c r="S229" s="107">
        <f t="shared" si="25"/>
        <v>1.219105189424719E-2</v>
      </c>
    </row>
    <row r="230" spans="1:19" ht="14">
      <c r="A230" s="36">
        <v>382040</v>
      </c>
      <c r="B230" s="81" t="s">
        <v>19</v>
      </c>
      <c r="C230" s="38">
        <v>2E-3</v>
      </c>
      <c r="D230" s="38">
        <f>INDEX('PD Term Structure'!$E$17:$N$26,MATCH($I230,'PD Term Structure'!$D$17:$D$26,0),MATCH(D$1,'PD Term Structure'!$E$16:$N$16,0))</f>
        <v>2.4624108527131781E-2</v>
      </c>
      <c r="E230" s="38">
        <f>INDEX('PD Term Structure'!$E$17:$N$26,MATCH($I230,'PD Term Structure'!$D$17:$D$26,0),MATCH(E$1,'PD Term Structure'!$E$16:$N$16,0))</f>
        <v>4.0379208287343982E-2</v>
      </c>
      <c r="F230" s="39">
        <v>25698.20822</v>
      </c>
      <c r="G230" s="82">
        <f t="shared" si="27"/>
        <v>0.41974816177099206</v>
      </c>
      <c r="H230" s="82">
        <f>(NORMSDIST(-LN(G230)+(VLOOKUP(B230,LGD_para,3,FALSE)^2/2))/VLOOKUP(B230,LGD_para,3,FALSE)-(VLOOKUP(B230,LGD_para,3,FALSE))-G230*(NORMSDIST(-LN(G230)+(VLOOKUP(B230,LGD_para,3,FALSE)^2/2))/VLOOKUP(B230,LGD_para,3,FALSE)))/LOGNORMDIST(1,LN(G230),(VLOOKUP(B230,LGD_para,3,FALSE)))*'LGD parameters'!$D$11</f>
        <v>0.33381167072117429</v>
      </c>
      <c r="I230" s="106">
        <f>VLOOKUP(C230,'PD Term Structure'!$C$5:$D$14,2,TRUE)</f>
        <v>2</v>
      </c>
      <c r="J230" s="43">
        <f>VLOOKUP(I230,'Master rating scale'!$G$5:$H$14,2,FALSE)</f>
        <v>2</v>
      </c>
      <c r="K230" s="62">
        <f t="shared" si="21"/>
        <v>5.5586974804682351E-3</v>
      </c>
      <c r="M230" s="110">
        <f>VLOOKUP(D230,'PD Term Structure'!$C$5:$D$14,2,TRUE)</f>
        <v>4</v>
      </c>
      <c r="N230" s="110">
        <f t="shared" si="22"/>
        <v>4</v>
      </c>
      <c r="O230" s="107">
        <f t="shared" si="23"/>
        <v>1.111739496093647E-2</v>
      </c>
      <c r="Q230" s="110">
        <f>VLOOKUP(E230,'PD Term Structure'!$C$5:$D$14,2,TRUE)</f>
        <v>4</v>
      </c>
      <c r="R230" s="110">
        <f t="shared" si="24"/>
        <v>4</v>
      </c>
      <c r="S230" s="107">
        <f t="shared" si="25"/>
        <v>1.111739496093647E-2</v>
      </c>
    </row>
    <row r="231" spans="1:19">
      <c r="F231" s="60">
        <f>SUM(F3:F230)</f>
        <v>9246125.8452349957</v>
      </c>
      <c r="K231" s="60">
        <f>SUM(K3:K230)</f>
        <v>3.6023303413701795</v>
      </c>
      <c r="M231" s="110"/>
      <c r="O231" s="60">
        <f>SUM(O3:O230)</f>
        <v>3.997798958099791</v>
      </c>
      <c r="Q231" s="110"/>
      <c r="S231" s="60">
        <f>SUM(S3:S230)</f>
        <v>4.621501728617881</v>
      </c>
    </row>
  </sheetData>
  <sortState ref="A1:L231">
    <sortCondition descending="1" ref="D1:D231"/>
  </sortState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0BCA-DBC8-4630-AAD2-76FFD85B5081}">
  <sheetPr codeName="Sheet18"/>
  <dimension ref="A1:U118"/>
  <sheetViews>
    <sheetView showGridLines="0" tabSelected="1" defaultGridColor="0" colorId="9" zoomScale="120" zoomScaleNormal="120" workbookViewId="0">
      <pane ySplit="3" topLeftCell="A4" activePane="bottomLeft" state="frozen"/>
      <selection pane="bottomLeft" sqref="A1:E1"/>
    </sheetView>
  </sheetViews>
  <sheetFormatPr baseColWidth="10" defaultColWidth="8.83203125" defaultRowHeight="13"/>
  <cols>
    <col min="1" max="1" width="16.1640625" bestFit="1" customWidth="1"/>
    <col min="2" max="2" width="10.1640625" customWidth="1"/>
    <col min="3" max="3" width="12" bestFit="1" customWidth="1"/>
    <col min="4" max="4" width="20.33203125" customWidth="1"/>
    <col min="5" max="5" width="20.33203125" bestFit="1" customWidth="1"/>
    <col min="6" max="7" width="20.33203125" customWidth="1"/>
    <col min="8" max="8" width="13.1640625" customWidth="1"/>
    <col min="9" max="9" width="9.1640625" customWidth="1"/>
    <col min="10" max="10" width="16.83203125" bestFit="1" customWidth="1"/>
    <col min="13" max="21" width="21.6640625" customWidth="1"/>
    <col min="22" max="22" width="8.33203125" bestFit="1" customWidth="1"/>
  </cols>
  <sheetData>
    <row r="1" spans="1:21">
      <c r="A1" s="134" t="s">
        <v>80</v>
      </c>
      <c r="B1" s="134"/>
      <c r="C1" s="134"/>
      <c r="D1" s="134"/>
      <c r="E1" s="134"/>
      <c r="F1" s="135" t="s">
        <v>81</v>
      </c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</row>
    <row r="2" spans="1:21" ht="14" thickBot="1">
      <c r="A2" s="130"/>
      <c r="B2" s="130"/>
      <c r="C2" s="130"/>
      <c r="D2" s="130"/>
      <c r="E2" s="130">
        <f>AnchorYr</f>
        <v>2017</v>
      </c>
      <c r="F2" s="131">
        <f>AnchorYr+1</f>
        <v>2018</v>
      </c>
      <c r="G2" s="131">
        <f>AnchorYr+2</f>
        <v>2019</v>
      </c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</row>
    <row r="3" spans="1:21">
      <c r="A3" s="127" t="s">
        <v>20</v>
      </c>
      <c r="B3" s="128" t="s">
        <v>9</v>
      </c>
      <c r="C3" s="129" t="s">
        <v>21</v>
      </c>
      <c r="D3" s="129" t="s">
        <v>22</v>
      </c>
      <c r="E3" s="129" t="s">
        <v>10</v>
      </c>
      <c r="F3" s="34" t="s">
        <v>10</v>
      </c>
      <c r="G3" s="34" t="s">
        <v>72</v>
      </c>
      <c r="H3" s="34" t="s">
        <v>65</v>
      </c>
      <c r="I3" s="34" t="s">
        <v>11</v>
      </c>
      <c r="J3" s="35" t="s">
        <v>73</v>
      </c>
      <c r="K3" s="35" t="s">
        <v>57</v>
      </c>
      <c r="L3" s="35" t="s">
        <v>59</v>
      </c>
      <c r="M3" s="35" t="s">
        <v>64</v>
      </c>
      <c r="N3" s="35" t="s">
        <v>73</v>
      </c>
      <c r="O3" s="35" t="s">
        <v>57</v>
      </c>
      <c r="P3" s="35" t="s">
        <v>59</v>
      </c>
      <c r="Q3" s="35" t="s">
        <v>64</v>
      </c>
      <c r="R3" s="35" t="s">
        <v>73</v>
      </c>
      <c r="S3" s="35" t="s">
        <v>57</v>
      </c>
      <c r="T3" s="35" t="s">
        <v>59</v>
      </c>
      <c r="U3" s="35" t="s">
        <v>64</v>
      </c>
    </row>
    <row r="4" spans="1:21" ht="14">
      <c r="A4" s="36">
        <v>352062</v>
      </c>
      <c r="B4" s="81" t="s">
        <v>18</v>
      </c>
      <c r="C4" s="37" t="s">
        <v>27</v>
      </c>
      <c r="D4" s="39">
        <v>12984.16</v>
      </c>
      <c r="E4" s="38">
        <v>1.5711105999999999E-2</v>
      </c>
      <c r="F4" s="38">
        <f>INDEX('PD Term Structure'!$E$17:$N$26,MATCH($J4,'PD Term Structure'!$D$17:$D$26,0),MATCH(F$2,'PD Term Structure'!$E$16:$N$16,0))</f>
        <v>2.8507278481012657E-2</v>
      </c>
      <c r="G4" s="38">
        <f>INDEX('PD Term Structure'!$E$17:$N$26,MATCH($J4,'PD Term Structure'!$D$17:$D$26,0),MATCH(G$2,'PD Term Structure'!$E$16:$N$16,0))</f>
        <v>4.7291677269631509E-2</v>
      </c>
      <c r="H4" s="82">
        <f>VLOOKUP(B4,'LGD parameters'!$C$7:$E$11,2,FALSE)</f>
        <v>0.62956863668283192</v>
      </c>
      <c r="I4" s="82">
        <f>(NORMSDIST(-LN(H4)+(VLOOKUP(B4,LGD_para,3,FALSE)^2/2))/VLOOKUP(B4,LGD_para,3,FALSE)-(VLOOKUP(B4,LGD_para,3,FALSE))-H4*(NORMSDIST(-LN(H4)+(VLOOKUP(B4,LGD_para,3,FALSE)^2/2))/VLOOKUP(B4,LGD_para,3,FALSE)))/LOGNORMDIST(1,LN(H4),(VLOOKUP(B4,LGD_para,3,FALSE)))*'LGD parameters'!$D$11</f>
        <v>0.26714251488777335</v>
      </c>
      <c r="J4" s="40">
        <f>VLOOKUP(E4,'PD Term Structure'!$C$5:$D$14,2,TRUE)</f>
        <v>3</v>
      </c>
      <c r="K4" s="43">
        <f>VLOOKUP(J4,'Master rating scale'!$G$5:$H$14,2,FALSE)</f>
        <v>3</v>
      </c>
      <c r="L4" s="62">
        <f t="shared" ref="L4:L35" si="0">D4/$D$118*K4</f>
        <v>1.880766461176632E-2</v>
      </c>
      <c r="M4" s="109">
        <f>IF(SUM(L4:L117)&gt;3,(SUM(L4:L117)-3)*$D$118*0.08/1000,"")</f>
        <v>101.80499063999966</v>
      </c>
      <c r="N4" s="40">
        <f>VLOOKUP(F4,'PD Term Structure'!$C$5:$D$14,2,TRUE)</f>
        <v>4</v>
      </c>
      <c r="O4" s="43">
        <f>VLOOKUP(N4,'Master rating scale'!$G$5:$H$14,2,FALSE)</f>
        <v>4</v>
      </c>
      <c r="P4" s="62">
        <f t="shared" ref="P4:P35" si="1">$D4/$D$118*O4</f>
        <v>2.507688614902176E-2</v>
      </c>
      <c r="Q4" s="109">
        <f>IF(SUM(P4:P117)&gt;3,(SUM(P4:P117)-3)*$D$118*0.08/1000,"")</f>
        <v>186.03669223999981</v>
      </c>
      <c r="R4" s="40">
        <f>VLOOKUP(G4,'PD Term Structure'!$C$5:$D$14,2,TRUE)</f>
        <v>4</v>
      </c>
      <c r="S4" s="43">
        <f>VLOOKUP(R4,'Master rating scale'!$G$5:$H$14,2,FALSE)</f>
        <v>4</v>
      </c>
      <c r="T4" s="62">
        <f t="shared" ref="T4:T35" si="2">$D4/$D$118*S4</f>
        <v>2.507688614902176E-2</v>
      </c>
      <c r="U4" s="109">
        <f>IF(SUM(T4:T117)&gt;3,(SUM(T4:T117)-3)*$D$118*0.08/1000,"")</f>
        <v>254.7820673599997</v>
      </c>
    </row>
    <row r="5" spans="1:21" ht="14">
      <c r="A5" s="36">
        <v>61252</v>
      </c>
      <c r="B5" s="81" t="s">
        <v>18</v>
      </c>
      <c r="C5" s="37" t="s">
        <v>27</v>
      </c>
      <c r="D5" s="39">
        <v>25000</v>
      </c>
      <c r="E5" s="38">
        <v>8.6475639999999999E-3</v>
      </c>
      <c r="F5" s="38">
        <f>INDEX('PD Term Structure'!$E$17:$N$26,MATCH($J5,'PD Term Structure'!$D$17:$D$26,0),MATCH(F$2,'PD Term Structure'!$E$16:$N$16,0))</f>
        <v>2.8507278481012657E-2</v>
      </c>
      <c r="G5" s="38">
        <f>INDEX('PD Term Structure'!$E$17:$N$26,MATCH($J5,'PD Term Structure'!$D$17:$D$26,0),MATCH(G$2,'PD Term Structure'!$E$16:$N$16,0))</f>
        <v>4.7291677269631509E-2</v>
      </c>
      <c r="H5" s="82">
        <f>VLOOKUP(B5,'LGD parameters'!$C$7:$E$11,2,FALSE)</f>
        <v>0.62956863668283192</v>
      </c>
      <c r="I5" s="82">
        <f>(NORMSDIST(-LN(H5)+(VLOOKUP(B5,LGD_para,3,FALSE)^2/2))/VLOOKUP(B5,LGD_para,3,FALSE)-(VLOOKUP(B5,LGD_para,3,FALSE))-H5*(NORMSDIST(-LN(H5)+(VLOOKUP(B5,LGD_para,3,FALSE)^2/2))/VLOOKUP(B5,LGD_para,3,FALSE)))/LOGNORMDIST(1,LN(H5),(VLOOKUP(B5,LGD_para,3,FALSE)))*'LGD parameters'!$D$11</f>
        <v>0.26714251488777335</v>
      </c>
      <c r="J5" s="40">
        <f>VLOOKUP(E5,'PD Term Structure'!$C$5:$D$14,2,TRUE)</f>
        <v>3</v>
      </c>
      <c r="K5" s="43">
        <f>VLOOKUP(J5,'Master rating scale'!$G$5:$H$14,2,FALSE)</f>
        <v>3</v>
      </c>
      <c r="L5" s="62">
        <f t="shared" si="0"/>
        <v>3.6212709585691949E-2</v>
      </c>
      <c r="N5" s="40">
        <f>VLOOKUP(F5,'PD Term Structure'!$C$5:$D$14,2,TRUE)</f>
        <v>4</v>
      </c>
      <c r="O5" s="43">
        <f>VLOOKUP(N5,'Master rating scale'!$G$5:$H$14,2,FALSE)</f>
        <v>4</v>
      </c>
      <c r="P5" s="62">
        <f t="shared" si="1"/>
        <v>4.8283612780922601E-2</v>
      </c>
      <c r="R5" s="40">
        <f>VLOOKUP(G5,'PD Term Structure'!$C$5:$D$14,2,TRUE)</f>
        <v>4</v>
      </c>
      <c r="S5" s="43">
        <f>VLOOKUP(R5,'Master rating scale'!$G$5:$H$14,2,FALSE)</f>
        <v>4</v>
      </c>
      <c r="T5" s="62">
        <f t="shared" si="2"/>
        <v>4.8283612780922601E-2</v>
      </c>
    </row>
    <row r="6" spans="1:21" ht="14">
      <c r="A6" s="36">
        <v>414469</v>
      </c>
      <c r="B6" s="81" t="s">
        <v>18</v>
      </c>
      <c r="C6" s="37" t="s">
        <v>30</v>
      </c>
      <c r="D6" s="39">
        <v>10000</v>
      </c>
      <c r="E6" s="38">
        <v>2.3599999999999999E-2</v>
      </c>
      <c r="F6" s="38">
        <f>INDEX('PD Term Structure'!$E$17:$N$26,MATCH($J6,'PD Term Structure'!$D$17:$D$26,0),MATCH(F$2,'PD Term Structure'!$E$16:$N$16,0))</f>
        <v>5.2108354430379748E-2</v>
      </c>
      <c r="G6" s="38">
        <f>INDEX('PD Term Structure'!$E$17:$N$26,MATCH($J6,'PD Term Structure'!$D$17:$D$26,0),MATCH(G$2,'PD Term Structure'!$E$16:$N$16,0))</f>
        <v>6.3676339047537805E-2</v>
      </c>
      <c r="H6" s="82">
        <f>VLOOKUP(B6,'LGD parameters'!$C$7:$E$11,2,FALSE)</f>
        <v>0.62956863668283192</v>
      </c>
      <c r="I6" s="82">
        <f>(NORMSDIST(-LN(H6)+(VLOOKUP(B6,LGD_para,3,FALSE)^2/2))/VLOOKUP(B6,LGD_para,3,FALSE)-(VLOOKUP(B6,LGD_para,3,FALSE))-H6*(NORMSDIST(-LN(H6)+(VLOOKUP(B6,LGD_para,3,FALSE)^2/2))/VLOOKUP(B6,LGD_para,3,FALSE)))/LOGNORMDIST(1,LN(H6),(VLOOKUP(B6,LGD_para,3,FALSE)))*'LGD parameters'!$D$11</f>
        <v>0.26714251488777335</v>
      </c>
      <c r="J6" s="40">
        <f>VLOOKUP(E6,'PD Term Structure'!$C$5:$D$14,2,TRUE)</f>
        <v>4</v>
      </c>
      <c r="K6" s="43">
        <f>VLOOKUP(J6,'Master rating scale'!$G$5:$H$14,2,FALSE)</f>
        <v>4</v>
      </c>
      <c r="L6" s="62">
        <f t="shared" si="0"/>
        <v>1.931344511236904E-2</v>
      </c>
      <c r="N6" s="40">
        <f>VLOOKUP(F6,'PD Term Structure'!$C$5:$D$14,2,TRUE)</f>
        <v>4</v>
      </c>
      <c r="O6" s="43">
        <f>VLOOKUP(N6,'Master rating scale'!$G$5:$H$14,2,FALSE)</f>
        <v>4</v>
      </c>
      <c r="P6" s="62">
        <f t="shared" si="1"/>
        <v>1.931344511236904E-2</v>
      </c>
      <c r="R6" s="40">
        <f>VLOOKUP(G6,'PD Term Structure'!$C$5:$D$14,2,TRUE)</f>
        <v>5</v>
      </c>
      <c r="S6" s="43">
        <f>VLOOKUP(R6,'Master rating scale'!$G$5:$H$14,2,FALSE)</f>
        <v>5</v>
      </c>
      <c r="T6" s="62">
        <f t="shared" si="2"/>
        <v>2.41418063904613E-2</v>
      </c>
    </row>
    <row r="7" spans="1:21" ht="14">
      <c r="A7" s="36">
        <v>310608</v>
      </c>
      <c r="B7" s="81" t="s">
        <v>18</v>
      </c>
      <c r="C7" s="37" t="s">
        <v>30</v>
      </c>
      <c r="D7" s="39">
        <v>15000</v>
      </c>
      <c r="E7" s="38">
        <v>1.5154779E-2</v>
      </c>
      <c r="F7" s="38">
        <f>INDEX('PD Term Structure'!$E$17:$N$26,MATCH($J7,'PD Term Structure'!$D$17:$D$26,0),MATCH(F$2,'PD Term Structure'!$E$16:$N$16,0))</f>
        <v>2.8507278481012657E-2</v>
      </c>
      <c r="G7" s="38">
        <f>INDEX('PD Term Structure'!$E$17:$N$26,MATCH($J7,'PD Term Structure'!$D$17:$D$26,0),MATCH(G$2,'PD Term Structure'!$E$16:$N$16,0))</f>
        <v>4.7291677269631509E-2</v>
      </c>
      <c r="H7" s="82">
        <f>VLOOKUP(B7,'LGD parameters'!$C$7:$E$11,2,FALSE)</f>
        <v>0.62956863668283192</v>
      </c>
      <c r="I7" s="82">
        <f>(NORMSDIST(-LN(H7)+(VLOOKUP(B7,LGD_para,3,FALSE)^2/2))/VLOOKUP(B7,LGD_para,3,FALSE)-(VLOOKUP(B7,LGD_para,3,FALSE))-H7*(NORMSDIST(-LN(H7)+(VLOOKUP(B7,LGD_para,3,FALSE)^2/2))/VLOOKUP(B7,LGD_para,3,FALSE)))/LOGNORMDIST(1,LN(H7),(VLOOKUP(B7,LGD_para,3,FALSE)))*'LGD parameters'!$D$11</f>
        <v>0.26714251488777335</v>
      </c>
      <c r="J7" s="40">
        <f>VLOOKUP(E7,'PD Term Structure'!$C$5:$D$14,2,TRUE)</f>
        <v>3</v>
      </c>
      <c r="K7" s="43">
        <f>VLOOKUP(J7,'Master rating scale'!$G$5:$H$14,2,FALSE)</f>
        <v>3</v>
      </c>
      <c r="L7" s="62">
        <f t="shared" si="0"/>
        <v>2.172762575141517E-2</v>
      </c>
      <c r="N7" s="40">
        <f>VLOOKUP(F7,'PD Term Structure'!$C$5:$D$14,2,TRUE)</f>
        <v>4</v>
      </c>
      <c r="O7" s="43">
        <f>VLOOKUP(N7,'Master rating scale'!$G$5:$H$14,2,FALSE)</f>
        <v>4</v>
      </c>
      <c r="P7" s="62">
        <f t="shared" si="1"/>
        <v>2.8970167668553561E-2</v>
      </c>
      <c r="R7" s="40">
        <f>VLOOKUP(G7,'PD Term Structure'!$C$5:$D$14,2,TRUE)</f>
        <v>4</v>
      </c>
      <c r="S7" s="43">
        <f>VLOOKUP(R7,'Master rating scale'!$G$5:$H$14,2,FALSE)</f>
        <v>4</v>
      </c>
      <c r="T7" s="62">
        <f t="shared" si="2"/>
        <v>2.8970167668553561E-2</v>
      </c>
    </row>
    <row r="8" spans="1:21" ht="14">
      <c r="A8" s="36">
        <v>206279</v>
      </c>
      <c r="B8" s="81" t="s">
        <v>18</v>
      </c>
      <c r="C8" s="37" t="s">
        <v>30</v>
      </c>
      <c r="D8" s="39">
        <v>16825</v>
      </c>
      <c r="E8" s="38">
        <v>2.3599999999999999E-2</v>
      </c>
      <c r="F8" s="38">
        <f>INDEX('PD Term Structure'!$E$17:$N$26,MATCH($J8,'PD Term Structure'!$D$17:$D$26,0),MATCH(F$2,'PD Term Structure'!$E$16:$N$16,0))</f>
        <v>5.2108354430379748E-2</v>
      </c>
      <c r="G8" s="38">
        <f>INDEX('PD Term Structure'!$E$17:$N$26,MATCH($J8,'PD Term Structure'!$D$17:$D$26,0),MATCH(G$2,'PD Term Structure'!$E$16:$N$16,0))</f>
        <v>6.3676339047537805E-2</v>
      </c>
      <c r="H8" s="82">
        <f>VLOOKUP(B8,'LGD parameters'!$C$7:$E$11,2,FALSE)</f>
        <v>0.62956863668283192</v>
      </c>
      <c r="I8" s="82">
        <f>(NORMSDIST(-LN(H8)+(VLOOKUP(B8,LGD_para,3,FALSE)^2/2))/VLOOKUP(B8,LGD_para,3,FALSE)-(VLOOKUP(B8,LGD_para,3,FALSE))-H8*(NORMSDIST(-LN(H8)+(VLOOKUP(B8,LGD_para,3,FALSE)^2/2))/VLOOKUP(B8,LGD_para,3,FALSE)))/LOGNORMDIST(1,LN(H8),(VLOOKUP(B8,LGD_para,3,FALSE)))*'LGD parameters'!$D$11</f>
        <v>0.26714251488777335</v>
      </c>
      <c r="J8" s="40">
        <f>VLOOKUP(E8,'PD Term Structure'!$C$5:$D$14,2,TRUE)</f>
        <v>4</v>
      </c>
      <c r="K8" s="43">
        <f>VLOOKUP(J8,'Master rating scale'!$G$5:$H$14,2,FALSE)</f>
        <v>4</v>
      </c>
      <c r="L8" s="62">
        <f t="shared" si="0"/>
        <v>3.2494871401560911E-2</v>
      </c>
      <c r="N8" s="40">
        <f>VLOOKUP(F8,'PD Term Structure'!$C$5:$D$14,2,TRUE)</f>
        <v>4</v>
      </c>
      <c r="O8" s="43">
        <f>VLOOKUP(N8,'Master rating scale'!$G$5:$H$14,2,FALSE)</f>
        <v>4</v>
      </c>
      <c r="P8" s="62">
        <f t="shared" si="1"/>
        <v>3.2494871401560911E-2</v>
      </c>
      <c r="R8" s="40">
        <f>VLOOKUP(G8,'PD Term Structure'!$C$5:$D$14,2,TRUE)</f>
        <v>5</v>
      </c>
      <c r="S8" s="43">
        <f>VLOOKUP(R8,'Master rating scale'!$G$5:$H$14,2,FALSE)</f>
        <v>5</v>
      </c>
      <c r="T8" s="62">
        <f t="shared" si="2"/>
        <v>4.0618589251951137E-2</v>
      </c>
    </row>
    <row r="9" spans="1:21" ht="14">
      <c r="A9" s="36">
        <v>84854</v>
      </c>
      <c r="B9" s="81" t="s">
        <v>18</v>
      </c>
      <c r="C9" s="37" t="s">
        <v>30</v>
      </c>
      <c r="D9" s="39">
        <v>27300</v>
      </c>
      <c r="E9" s="38">
        <v>3.5000000000000001E-3</v>
      </c>
      <c r="F9" s="38">
        <f>INDEX('PD Term Structure'!$E$17:$N$26,MATCH($J9,'PD Term Structure'!$D$17:$D$26,0),MATCH(F$2,'PD Term Structure'!$E$16:$N$16,0))</f>
        <v>2.4624108527131781E-2</v>
      </c>
      <c r="G9" s="38">
        <f>INDEX('PD Term Structure'!$E$17:$N$26,MATCH($J9,'PD Term Structure'!$D$17:$D$26,0),MATCH(G$2,'PD Term Structure'!$E$16:$N$16,0))</f>
        <v>4.0379208287343982E-2</v>
      </c>
      <c r="H9" s="82">
        <f>VLOOKUP(B9,'LGD parameters'!$C$7:$E$11,2,FALSE)</f>
        <v>0.62956863668283192</v>
      </c>
      <c r="I9" s="82">
        <f>(NORMSDIST(-LN(H9)+(VLOOKUP(B9,LGD_para,3,FALSE)^2/2))/VLOOKUP(B9,LGD_para,3,FALSE)-(VLOOKUP(B9,LGD_para,3,FALSE))-H9*(NORMSDIST(-LN(H9)+(VLOOKUP(B9,LGD_para,3,FALSE)^2/2))/VLOOKUP(B9,LGD_para,3,FALSE)))/LOGNORMDIST(1,LN(H9),(VLOOKUP(B9,LGD_para,3,FALSE)))*'LGD parameters'!$D$11</f>
        <v>0.26714251488777335</v>
      </c>
      <c r="J9" s="40">
        <f>VLOOKUP(E9,'PD Term Structure'!$C$5:$D$14,2,TRUE)</f>
        <v>2</v>
      </c>
      <c r="K9" s="43">
        <f>VLOOKUP(J9,'Master rating scale'!$G$5:$H$14,2,FALSE)</f>
        <v>2</v>
      </c>
      <c r="L9" s="62">
        <f t="shared" si="0"/>
        <v>2.6362852578383743E-2</v>
      </c>
      <c r="N9" s="40">
        <f>VLOOKUP(F9,'PD Term Structure'!$C$5:$D$14,2,TRUE)</f>
        <v>4</v>
      </c>
      <c r="O9" s="43">
        <f>VLOOKUP(N9,'Master rating scale'!$G$5:$H$14,2,FALSE)</f>
        <v>4</v>
      </c>
      <c r="P9" s="62">
        <f t="shared" si="1"/>
        <v>5.2725705156767486E-2</v>
      </c>
      <c r="R9" s="40">
        <f>VLOOKUP(G9,'PD Term Structure'!$C$5:$D$14,2,TRUE)</f>
        <v>4</v>
      </c>
      <c r="S9" s="43">
        <f>VLOOKUP(R9,'Master rating scale'!$G$5:$H$14,2,FALSE)</f>
        <v>4</v>
      </c>
      <c r="T9" s="62">
        <f t="shared" si="2"/>
        <v>5.2725705156767486E-2</v>
      </c>
    </row>
    <row r="10" spans="1:21" ht="14">
      <c r="A10" s="36">
        <v>8535</v>
      </c>
      <c r="B10" s="81" t="s">
        <v>18</v>
      </c>
      <c r="C10" s="37" t="s">
        <v>30</v>
      </c>
      <c r="D10" s="39">
        <v>33100</v>
      </c>
      <c r="E10" s="38">
        <v>8.6475639999999999E-3</v>
      </c>
      <c r="F10" s="38">
        <f>INDEX('PD Term Structure'!$E$17:$N$26,MATCH($J10,'PD Term Structure'!$D$17:$D$26,0),MATCH(F$2,'PD Term Structure'!$E$16:$N$16,0))</f>
        <v>2.8507278481012657E-2</v>
      </c>
      <c r="G10" s="38">
        <f>INDEX('PD Term Structure'!$E$17:$N$26,MATCH($J10,'PD Term Structure'!$D$17:$D$26,0),MATCH(G$2,'PD Term Structure'!$E$16:$N$16,0))</f>
        <v>4.7291677269631509E-2</v>
      </c>
      <c r="H10" s="82">
        <f>VLOOKUP(B10,'LGD parameters'!$C$7:$E$11,2,FALSE)</f>
        <v>0.62956863668283192</v>
      </c>
      <c r="I10" s="82">
        <f>(NORMSDIST(-LN(H10)+(VLOOKUP(B10,LGD_para,3,FALSE)^2/2))/VLOOKUP(B10,LGD_para,3,FALSE)-(VLOOKUP(B10,LGD_para,3,FALSE))-H10*(NORMSDIST(-LN(H10)+(VLOOKUP(B10,LGD_para,3,FALSE)^2/2))/VLOOKUP(B10,LGD_para,3,FALSE)))/LOGNORMDIST(1,LN(H10),(VLOOKUP(B10,LGD_para,3,FALSE)))*'LGD parameters'!$D$11</f>
        <v>0.26714251488777335</v>
      </c>
      <c r="J10" s="40">
        <f>VLOOKUP(E10,'PD Term Structure'!$C$5:$D$14,2,TRUE)</f>
        <v>3</v>
      </c>
      <c r="K10" s="43">
        <f>VLOOKUP(J10,'Master rating scale'!$G$5:$H$14,2,FALSE)</f>
        <v>3</v>
      </c>
      <c r="L10" s="62">
        <f t="shared" si="0"/>
        <v>4.7945627491456144E-2</v>
      </c>
      <c r="N10" s="40">
        <f>VLOOKUP(F10,'PD Term Structure'!$C$5:$D$14,2,TRUE)</f>
        <v>4</v>
      </c>
      <c r="O10" s="43">
        <f>VLOOKUP(N10,'Master rating scale'!$G$5:$H$14,2,FALSE)</f>
        <v>4</v>
      </c>
      <c r="P10" s="62">
        <f t="shared" si="1"/>
        <v>6.3927503321941526E-2</v>
      </c>
      <c r="R10" s="40">
        <f>VLOOKUP(G10,'PD Term Structure'!$C$5:$D$14,2,TRUE)</f>
        <v>4</v>
      </c>
      <c r="S10" s="43">
        <f>VLOOKUP(R10,'Master rating scale'!$G$5:$H$14,2,FALSE)</f>
        <v>4</v>
      </c>
      <c r="T10" s="62">
        <f t="shared" si="2"/>
        <v>6.3927503321941526E-2</v>
      </c>
    </row>
    <row r="11" spans="1:21" ht="14">
      <c r="A11" s="36">
        <v>34312</v>
      </c>
      <c r="B11" s="81" t="s">
        <v>18</v>
      </c>
      <c r="C11" s="37" t="s">
        <v>29</v>
      </c>
      <c r="D11" s="39">
        <v>10000</v>
      </c>
      <c r="E11" s="38">
        <v>1.4105306E-2</v>
      </c>
      <c r="F11" s="38">
        <f>INDEX('PD Term Structure'!$E$17:$N$26,MATCH($J11,'PD Term Structure'!$D$17:$D$26,0),MATCH(F$2,'PD Term Structure'!$E$16:$N$16,0))</f>
        <v>2.8507278481012657E-2</v>
      </c>
      <c r="G11" s="38">
        <f>INDEX('PD Term Structure'!$E$17:$N$26,MATCH($J11,'PD Term Structure'!$D$17:$D$26,0),MATCH(G$2,'PD Term Structure'!$E$16:$N$16,0))</f>
        <v>4.7291677269631509E-2</v>
      </c>
      <c r="H11" s="82">
        <f>VLOOKUP(B11,'LGD parameters'!$C$7:$E$11,2,FALSE)</f>
        <v>0.62956863668283192</v>
      </c>
      <c r="I11" s="82">
        <f>(NORMSDIST(-LN(H11)+(VLOOKUP(B11,LGD_para,3,FALSE)^2/2))/VLOOKUP(B11,LGD_para,3,FALSE)-(VLOOKUP(B11,LGD_para,3,FALSE))-H11*(NORMSDIST(-LN(H11)+(VLOOKUP(B11,LGD_para,3,FALSE)^2/2))/VLOOKUP(B11,LGD_para,3,FALSE)))/LOGNORMDIST(1,LN(H11),(VLOOKUP(B11,LGD_para,3,FALSE)))*'LGD parameters'!$D$11</f>
        <v>0.26714251488777335</v>
      </c>
      <c r="J11" s="40">
        <f>VLOOKUP(E11,'PD Term Structure'!$C$5:$D$14,2,TRUE)</f>
        <v>3</v>
      </c>
      <c r="K11" s="43">
        <f>VLOOKUP(J11,'Master rating scale'!$G$5:$H$14,2,FALSE)</f>
        <v>3</v>
      </c>
      <c r="L11" s="62">
        <f t="shared" si="0"/>
        <v>1.4485083834276779E-2</v>
      </c>
      <c r="M11" s="60" t="str">
        <f>IF(L125&gt;3,(L125-3)*E125,"")</f>
        <v/>
      </c>
      <c r="N11" s="40">
        <f>VLOOKUP(F11,'PD Term Structure'!$C$5:$D$14,2,TRUE)</f>
        <v>4</v>
      </c>
      <c r="O11" s="43">
        <f>VLOOKUP(N11,'Master rating scale'!$G$5:$H$14,2,FALSE)</f>
        <v>4</v>
      </c>
      <c r="P11" s="62">
        <f t="shared" si="1"/>
        <v>1.931344511236904E-2</v>
      </c>
      <c r="Q11" s="60" t="str">
        <f>IF(P125&gt;3,(P125-3)*H125,"")</f>
        <v/>
      </c>
      <c r="R11" s="40">
        <f>VLOOKUP(G11,'PD Term Structure'!$C$5:$D$14,2,TRUE)</f>
        <v>4</v>
      </c>
      <c r="S11" s="43">
        <f>VLOOKUP(R11,'Master rating scale'!$G$5:$H$14,2,FALSE)</f>
        <v>4</v>
      </c>
      <c r="T11" s="62">
        <f t="shared" si="2"/>
        <v>1.931344511236904E-2</v>
      </c>
      <c r="U11" s="60" t="str">
        <f>IF(T125&gt;3,(T125-3)*L125,"")</f>
        <v/>
      </c>
    </row>
    <row r="12" spans="1:21" ht="14">
      <c r="A12" s="36">
        <v>61832</v>
      </c>
      <c r="B12" s="81" t="s">
        <v>18</v>
      </c>
      <c r="C12" s="37" t="s">
        <v>29</v>
      </c>
      <c r="D12" s="39">
        <v>10000</v>
      </c>
      <c r="E12" s="38">
        <v>1.4105306E-2</v>
      </c>
      <c r="F12" s="38">
        <f>INDEX('PD Term Structure'!$E$17:$N$26,MATCH($J12,'PD Term Structure'!$D$17:$D$26,0),MATCH(F$2,'PD Term Structure'!$E$16:$N$16,0))</f>
        <v>2.8507278481012657E-2</v>
      </c>
      <c r="G12" s="38">
        <f>INDEX('PD Term Structure'!$E$17:$N$26,MATCH($J12,'PD Term Structure'!$D$17:$D$26,0),MATCH(G$2,'PD Term Structure'!$E$16:$N$16,0))</f>
        <v>4.7291677269631509E-2</v>
      </c>
      <c r="H12" s="82">
        <f>VLOOKUP(B12,'LGD parameters'!$C$7:$E$11,2,FALSE)</f>
        <v>0.62956863668283192</v>
      </c>
      <c r="I12" s="82">
        <f>(NORMSDIST(-LN(H12)+(VLOOKUP(B12,LGD_para,3,FALSE)^2/2))/VLOOKUP(B12,LGD_para,3,FALSE)-(VLOOKUP(B12,LGD_para,3,FALSE))-H12*(NORMSDIST(-LN(H12)+(VLOOKUP(B12,LGD_para,3,FALSE)^2/2))/VLOOKUP(B12,LGD_para,3,FALSE)))/LOGNORMDIST(1,LN(H12),(VLOOKUP(B12,LGD_para,3,FALSE)))*'LGD parameters'!$D$11</f>
        <v>0.26714251488777335</v>
      </c>
      <c r="J12" s="40">
        <f>VLOOKUP(E12,'PD Term Structure'!$C$5:$D$14,2,TRUE)</f>
        <v>3</v>
      </c>
      <c r="K12" s="43">
        <f>VLOOKUP(J12,'Master rating scale'!$G$5:$H$14,2,FALSE)</f>
        <v>3</v>
      </c>
      <c r="L12" s="62">
        <f t="shared" si="0"/>
        <v>1.4485083834276779E-2</v>
      </c>
      <c r="N12" s="40">
        <f>VLOOKUP(F12,'PD Term Structure'!$C$5:$D$14,2,TRUE)</f>
        <v>4</v>
      </c>
      <c r="O12" s="43">
        <f>VLOOKUP(N12,'Master rating scale'!$G$5:$H$14,2,FALSE)</f>
        <v>4</v>
      </c>
      <c r="P12" s="62">
        <f t="shared" si="1"/>
        <v>1.931344511236904E-2</v>
      </c>
      <c r="R12" s="40">
        <f>VLOOKUP(G12,'PD Term Structure'!$C$5:$D$14,2,TRUE)</f>
        <v>4</v>
      </c>
      <c r="S12" s="43">
        <f>VLOOKUP(R12,'Master rating scale'!$G$5:$H$14,2,FALSE)</f>
        <v>4</v>
      </c>
      <c r="T12" s="62">
        <f t="shared" si="2"/>
        <v>1.931344511236904E-2</v>
      </c>
    </row>
    <row r="13" spans="1:21" ht="14">
      <c r="A13" s="36">
        <v>65954</v>
      </c>
      <c r="B13" s="81" t="s">
        <v>18</v>
      </c>
      <c r="C13" s="37" t="s">
        <v>29</v>
      </c>
      <c r="D13" s="39">
        <v>10000</v>
      </c>
      <c r="E13" s="38">
        <v>1.4105306E-2</v>
      </c>
      <c r="F13" s="38">
        <f>INDEX('PD Term Structure'!$E$17:$N$26,MATCH($J13,'PD Term Structure'!$D$17:$D$26,0),MATCH(F$2,'PD Term Structure'!$E$16:$N$16,0))</f>
        <v>2.8507278481012657E-2</v>
      </c>
      <c r="G13" s="38">
        <f>INDEX('PD Term Structure'!$E$17:$N$26,MATCH($J13,'PD Term Structure'!$D$17:$D$26,0),MATCH(G$2,'PD Term Structure'!$E$16:$N$16,0))</f>
        <v>4.7291677269631509E-2</v>
      </c>
      <c r="H13" s="82">
        <f>VLOOKUP(B13,'LGD parameters'!$C$7:$E$11,2,FALSE)</f>
        <v>0.62956863668283192</v>
      </c>
      <c r="I13" s="82">
        <f>(NORMSDIST(-LN(H13)+(VLOOKUP(B13,LGD_para,3,FALSE)^2/2))/VLOOKUP(B13,LGD_para,3,FALSE)-(VLOOKUP(B13,LGD_para,3,FALSE))-H13*(NORMSDIST(-LN(H13)+(VLOOKUP(B13,LGD_para,3,FALSE)^2/2))/VLOOKUP(B13,LGD_para,3,FALSE)))/LOGNORMDIST(1,LN(H13),(VLOOKUP(B13,LGD_para,3,FALSE)))*'LGD parameters'!$D$11</f>
        <v>0.26714251488777335</v>
      </c>
      <c r="J13" s="40">
        <f>VLOOKUP(E13,'PD Term Structure'!$C$5:$D$14,2,TRUE)</f>
        <v>3</v>
      </c>
      <c r="K13" s="43">
        <f>VLOOKUP(J13,'Master rating scale'!$G$5:$H$14,2,FALSE)</f>
        <v>3</v>
      </c>
      <c r="L13" s="62">
        <f t="shared" si="0"/>
        <v>1.4485083834276779E-2</v>
      </c>
      <c r="N13" s="40">
        <f>VLOOKUP(F13,'PD Term Structure'!$C$5:$D$14,2,TRUE)</f>
        <v>4</v>
      </c>
      <c r="O13" s="43">
        <f>VLOOKUP(N13,'Master rating scale'!$G$5:$H$14,2,FALSE)</f>
        <v>4</v>
      </c>
      <c r="P13" s="62">
        <f t="shared" si="1"/>
        <v>1.931344511236904E-2</v>
      </c>
      <c r="R13" s="40">
        <f>VLOOKUP(G13,'PD Term Structure'!$C$5:$D$14,2,TRUE)</f>
        <v>4</v>
      </c>
      <c r="S13" s="43">
        <f>VLOOKUP(R13,'Master rating scale'!$G$5:$H$14,2,FALSE)</f>
        <v>4</v>
      </c>
      <c r="T13" s="62">
        <f t="shared" si="2"/>
        <v>1.931344511236904E-2</v>
      </c>
    </row>
    <row r="14" spans="1:21" ht="14">
      <c r="A14" s="36">
        <v>82761</v>
      </c>
      <c r="B14" s="81" t="s">
        <v>18</v>
      </c>
      <c r="C14" s="37" t="s">
        <v>29</v>
      </c>
      <c r="D14" s="39">
        <v>10000</v>
      </c>
      <c r="E14" s="38">
        <v>1.4105306E-2</v>
      </c>
      <c r="F14" s="38">
        <f>INDEX('PD Term Structure'!$E$17:$N$26,MATCH($J14,'PD Term Structure'!$D$17:$D$26,0),MATCH(F$2,'PD Term Structure'!$E$16:$N$16,0))</f>
        <v>2.8507278481012657E-2</v>
      </c>
      <c r="G14" s="38">
        <f>INDEX('PD Term Structure'!$E$17:$N$26,MATCH($J14,'PD Term Structure'!$D$17:$D$26,0),MATCH(G$2,'PD Term Structure'!$E$16:$N$16,0))</f>
        <v>4.7291677269631509E-2</v>
      </c>
      <c r="H14" s="82">
        <f>VLOOKUP(B14,'LGD parameters'!$C$7:$E$11,2,FALSE)</f>
        <v>0.62956863668283192</v>
      </c>
      <c r="I14" s="82">
        <f>(NORMSDIST(-LN(H14)+(VLOOKUP(B14,LGD_para,3,FALSE)^2/2))/VLOOKUP(B14,LGD_para,3,FALSE)-(VLOOKUP(B14,LGD_para,3,FALSE))-H14*(NORMSDIST(-LN(H14)+(VLOOKUP(B14,LGD_para,3,FALSE)^2/2))/VLOOKUP(B14,LGD_para,3,FALSE)))/LOGNORMDIST(1,LN(H14),(VLOOKUP(B14,LGD_para,3,FALSE)))*'LGD parameters'!$D$11</f>
        <v>0.26714251488777335</v>
      </c>
      <c r="J14" s="40">
        <f>VLOOKUP(E14,'PD Term Structure'!$C$5:$D$14,2,TRUE)</f>
        <v>3</v>
      </c>
      <c r="K14" s="43">
        <f>VLOOKUP(J14,'Master rating scale'!$G$5:$H$14,2,FALSE)</f>
        <v>3</v>
      </c>
      <c r="L14" s="62">
        <f t="shared" si="0"/>
        <v>1.4485083834276779E-2</v>
      </c>
      <c r="N14" s="40">
        <f>VLOOKUP(F14,'PD Term Structure'!$C$5:$D$14,2,TRUE)</f>
        <v>4</v>
      </c>
      <c r="O14" s="43">
        <f>VLOOKUP(N14,'Master rating scale'!$G$5:$H$14,2,FALSE)</f>
        <v>4</v>
      </c>
      <c r="P14" s="62">
        <f t="shared" si="1"/>
        <v>1.931344511236904E-2</v>
      </c>
      <c r="R14" s="40">
        <f>VLOOKUP(G14,'PD Term Structure'!$C$5:$D$14,2,TRUE)</f>
        <v>4</v>
      </c>
      <c r="S14" s="43">
        <f>VLOOKUP(R14,'Master rating scale'!$G$5:$H$14,2,FALSE)</f>
        <v>4</v>
      </c>
      <c r="T14" s="62">
        <f t="shared" si="2"/>
        <v>1.931344511236904E-2</v>
      </c>
    </row>
    <row r="15" spans="1:21" ht="14">
      <c r="A15" s="36">
        <v>95768</v>
      </c>
      <c r="B15" s="81" t="s">
        <v>18</v>
      </c>
      <c r="C15" s="37" t="s">
        <v>29</v>
      </c>
      <c r="D15" s="39">
        <v>10000</v>
      </c>
      <c r="E15" s="38">
        <v>1.4105306E-2</v>
      </c>
      <c r="F15" s="38">
        <f>INDEX('PD Term Structure'!$E$17:$N$26,MATCH($J15,'PD Term Structure'!$D$17:$D$26,0),MATCH(F$2,'PD Term Structure'!$E$16:$N$16,0))</f>
        <v>2.8507278481012657E-2</v>
      </c>
      <c r="G15" s="38">
        <f>INDEX('PD Term Structure'!$E$17:$N$26,MATCH($J15,'PD Term Structure'!$D$17:$D$26,0),MATCH(G$2,'PD Term Structure'!$E$16:$N$16,0))</f>
        <v>4.7291677269631509E-2</v>
      </c>
      <c r="H15" s="82">
        <f>VLOOKUP(B15,'LGD parameters'!$C$7:$E$11,2,FALSE)</f>
        <v>0.62956863668283192</v>
      </c>
      <c r="I15" s="82">
        <f>(NORMSDIST(-LN(H15)+(VLOOKUP(B15,LGD_para,3,FALSE)^2/2))/VLOOKUP(B15,LGD_para,3,FALSE)-(VLOOKUP(B15,LGD_para,3,FALSE))-H15*(NORMSDIST(-LN(H15)+(VLOOKUP(B15,LGD_para,3,FALSE)^2/2))/VLOOKUP(B15,LGD_para,3,FALSE)))/LOGNORMDIST(1,LN(H15),(VLOOKUP(B15,LGD_para,3,FALSE)))*'LGD parameters'!$D$11</f>
        <v>0.26714251488777335</v>
      </c>
      <c r="J15" s="40">
        <f>VLOOKUP(E15,'PD Term Structure'!$C$5:$D$14,2,TRUE)</f>
        <v>3</v>
      </c>
      <c r="K15" s="43">
        <f>VLOOKUP(J15,'Master rating scale'!$G$5:$H$14,2,FALSE)</f>
        <v>3</v>
      </c>
      <c r="L15" s="62">
        <f t="shared" si="0"/>
        <v>1.4485083834276779E-2</v>
      </c>
      <c r="N15" s="40">
        <f>VLOOKUP(F15,'PD Term Structure'!$C$5:$D$14,2,TRUE)</f>
        <v>4</v>
      </c>
      <c r="O15" s="43">
        <f>VLOOKUP(N15,'Master rating scale'!$G$5:$H$14,2,FALSE)</f>
        <v>4</v>
      </c>
      <c r="P15" s="62">
        <f t="shared" si="1"/>
        <v>1.931344511236904E-2</v>
      </c>
      <c r="R15" s="40">
        <f>VLOOKUP(G15,'PD Term Structure'!$C$5:$D$14,2,TRUE)</f>
        <v>4</v>
      </c>
      <c r="S15" s="43">
        <f>VLOOKUP(R15,'Master rating scale'!$G$5:$H$14,2,FALSE)</f>
        <v>4</v>
      </c>
      <c r="T15" s="62">
        <f t="shared" si="2"/>
        <v>1.931344511236904E-2</v>
      </c>
    </row>
    <row r="16" spans="1:21" ht="14">
      <c r="A16" s="36">
        <v>150137</v>
      </c>
      <c r="B16" s="81" t="s">
        <v>18</v>
      </c>
      <c r="C16" s="37" t="s">
        <v>29</v>
      </c>
      <c r="D16" s="39">
        <v>10000</v>
      </c>
      <c r="E16" s="38">
        <v>0.03</v>
      </c>
      <c r="F16" s="38">
        <f>INDEX('PD Term Structure'!$E$17:$N$26,MATCH($J16,'PD Term Structure'!$D$17:$D$26,0),MATCH(F$2,'PD Term Structure'!$E$16:$N$16,0))</f>
        <v>5.2108354430379748E-2</v>
      </c>
      <c r="G16" s="38">
        <f>INDEX('PD Term Structure'!$E$17:$N$26,MATCH($J16,'PD Term Structure'!$D$17:$D$26,0),MATCH(G$2,'PD Term Structure'!$E$16:$N$16,0))</f>
        <v>6.3676339047537805E-2</v>
      </c>
      <c r="H16" s="82">
        <f>VLOOKUP(B16,'LGD parameters'!$C$7:$E$11,2,FALSE)</f>
        <v>0.62956863668283192</v>
      </c>
      <c r="I16" s="82">
        <f>(NORMSDIST(-LN(H16)+(VLOOKUP(B16,LGD_para,3,FALSE)^2/2))/VLOOKUP(B16,LGD_para,3,FALSE)-(VLOOKUP(B16,LGD_para,3,FALSE))-H16*(NORMSDIST(-LN(H16)+(VLOOKUP(B16,LGD_para,3,FALSE)^2/2))/VLOOKUP(B16,LGD_para,3,FALSE)))/LOGNORMDIST(1,LN(H16),(VLOOKUP(B16,LGD_para,3,FALSE)))*'LGD parameters'!$D$11</f>
        <v>0.26714251488777335</v>
      </c>
      <c r="J16" s="40">
        <f>VLOOKUP(E16,'PD Term Structure'!$C$5:$D$14,2,TRUE)</f>
        <v>4</v>
      </c>
      <c r="K16" s="43">
        <f>VLOOKUP(J16,'Master rating scale'!$G$5:$H$14,2,FALSE)</f>
        <v>4</v>
      </c>
      <c r="L16" s="62">
        <f t="shared" si="0"/>
        <v>1.931344511236904E-2</v>
      </c>
      <c r="N16" s="40">
        <f>VLOOKUP(F16,'PD Term Structure'!$C$5:$D$14,2,TRUE)</f>
        <v>4</v>
      </c>
      <c r="O16" s="43">
        <f>VLOOKUP(N16,'Master rating scale'!$G$5:$H$14,2,FALSE)</f>
        <v>4</v>
      </c>
      <c r="P16" s="62">
        <f t="shared" si="1"/>
        <v>1.931344511236904E-2</v>
      </c>
      <c r="R16" s="40">
        <f>VLOOKUP(G16,'PD Term Structure'!$C$5:$D$14,2,TRUE)</f>
        <v>5</v>
      </c>
      <c r="S16" s="43">
        <f>VLOOKUP(R16,'Master rating scale'!$G$5:$H$14,2,FALSE)</f>
        <v>5</v>
      </c>
      <c r="T16" s="62">
        <f t="shared" si="2"/>
        <v>2.41418063904613E-2</v>
      </c>
    </row>
    <row r="17" spans="1:20" ht="14">
      <c r="A17" s="36">
        <v>172111</v>
      </c>
      <c r="B17" s="81" t="s">
        <v>18</v>
      </c>
      <c r="C17" s="37" t="s">
        <v>29</v>
      </c>
      <c r="D17" s="39">
        <v>10000</v>
      </c>
      <c r="E17" s="38">
        <v>1.12E-2</v>
      </c>
      <c r="F17" s="38">
        <f>INDEX('PD Term Structure'!$E$17:$N$26,MATCH($J17,'PD Term Structure'!$D$17:$D$26,0),MATCH(F$2,'PD Term Structure'!$E$16:$N$16,0))</f>
        <v>2.8507278481012657E-2</v>
      </c>
      <c r="G17" s="38">
        <f>INDEX('PD Term Structure'!$E$17:$N$26,MATCH($J17,'PD Term Structure'!$D$17:$D$26,0),MATCH(G$2,'PD Term Structure'!$E$16:$N$16,0))</f>
        <v>4.7291677269631509E-2</v>
      </c>
      <c r="H17" s="82">
        <f>VLOOKUP(B17,'LGD parameters'!$C$7:$E$11,2,FALSE)</f>
        <v>0.62956863668283192</v>
      </c>
      <c r="I17" s="82">
        <f>(NORMSDIST(-LN(H17)+(VLOOKUP(B17,LGD_para,3,FALSE)^2/2))/VLOOKUP(B17,LGD_para,3,FALSE)-(VLOOKUP(B17,LGD_para,3,FALSE))-H17*(NORMSDIST(-LN(H17)+(VLOOKUP(B17,LGD_para,3,FALSE)^2/2))/VLOOKUP(B17,LGD_para,3,FALSE)))/LOGNORMDIST(1,LN(H17),(VLOOKUP(B17,LGD_para,3,FALSE)))*'LGD parameters'!$D$11</f>
        <v>0.26714251488777335</v>
      </c>
      <c r="J17" s="40">
        <f>VLOOKUP(E17,'PD Term Structure'!$C$5:$D$14,2,TRUE)</f>
        <v>3</v>
      </c>
      <c r="K17" s="43">
        <f>VLOOKUP(J17,'Master rating scale'!$G$5:$H$14,2,FALSE)</f>
        <v>3</v>
      </c>
      <c r="L17" s="62">
        <f t="shared" si="0"/>
        <v>1.4485083834276779E-2</v>
      </c>
      <c r="N17" s="40">
        <f>VLOOKUP(F17,'PD Term Structure'!$C$5:$D$14,2,TRUE)</f>
        <v>4</v>
      </c>
      <c r="O17" s="43">
        <f>VLOOKUP(N17,'Master rating scale'!$G$5:$H$14,2,FALSE)</f>
        <v>4</v>
      </c>
      <c r="P17" s="62">
        <f t="shared" si="1"/>
        <v>1.931344511236904E-2</v>
      </c>
      <c r="R17" s="40">
        <f>VLOOKUP(G17,'PD Term Structure'!$C$5:$D$14,2,TRUE)</f>
        <v>4</v>
      </c>
      <c r="S17" s="43">
        <f>VLOOKUP(R17,'Master rating scale'!$G$5:$H$14,2,FALSE)</f>
        <v>4</v>
      </c>
      <c r="T17" s="62">
        <f t="shared" si="2"/>
        <v>1.931344511236904E-2</v>
      </c>
    </row>
    <row r="18" spans="1:20" ht="14">
      <c r="A18" s="36">
        <v>187077</v>
      </c>
      <c r="B18" s="81" t="s">
        <v>18</v>
      </c>
      <c r="C18" s="37" t="s">
        <v>29</v>
      </c>
      <c r="D18" s="39">
        <v>10000</v>
      </c>
      <c r="E18" s="38">
        <v>0.03</v>
      </c>
      <c r="F18" s="38">
        <f>INDEX('PD Term Structure'!$E$17:$N$26,MATCH($J18,'PD Term Structure'!$D$17:$D$26,0),MATCH(F$2,'PD Term Structure'!$E$16:$N$16,0))</f>
        <v>5.2108354430379748E-2</v>
      </c>
      <c r="G18" s="38">
        <f>INDEX('PD Term Structure'!$E$17:$N$26,MATCH($J18,'PD Term Structure'!$D$17:$D$26,0),MATCH(G$2,'PD Term Structure'!$E$16:$N$16,0))</f>
        <v>6.3676339047537805E-2</v>
      </c>
      <c r="H18" s="82">
        <f>VLOOKUP(B18,'LGD parameters'!$C$7:$E$11,2,FALSE)</f>
        <v>0.62956863668283192</v>
      </c>
      <c r="I18" s="82">
        <f>(NORMSDIST(-LN(H18)+(VLOOKUP(B18,LGD_para,3,FALSE)^2/2))/VLOOKUP(B18,LGD_para,3,FALSE)-(VLOOKUP(B18,LGD_para,3,FALSE))-H18*(NORMSDIST(-LN(H18)+(VLOOKUP(B18,LGD_para,3,FALSE)^2/2))/VLOOKUP(B18,LGD_para,3,FALSE)))/LOGNORMDIST(1,LN(H18),(VLOOKUP(B18,LGD_para,3,FALSE)))*'LGD parameters'!$D$11</f>
        <v>0.26714251488777335</v>
      </c>
      <c r="J18" s="40">
        <f>VLOOKUP(E18,'PD Term Structure'!$C$5:$D$14,2,TRUE)</f>
        <v>4</v>
      </c>
      <c r="K18" s="43">
        <f>VLOOKUP(J18,'Master rating scale'!$G$5:$H$14,2,FALSE)</f>
        <v>4</v>
      </c>
      <c r="L18" s="62">
        <f t="shared" si="0"/>
        <v>1.931344511236904E-2</v>
      </c>
      <c r="N18" s="40">
        <f>VLOOKUP(F18,'PD Term Structure'!$C$5:$D$14,2,TRUE)</f>
        <v>4</v>
      </c>
      <c r="O18" s="43">
        <f>VLOOKUP(N18,'Master rating scale'!$G$5:$H$14,2,FALSE)</f>
        <v>4</v>
      </c>
      <c r="P18" s="62">
        <f t="shared" si="1"/>
        <v>1.931344511236904E-2</v>
      </c>
      <c r="R18" s="40">
        <f>VLOOKUP(G18,'PD Term Structure'!$C$5:$D$14,2,TRUE)</f>
        <v>5</v>
      </c>
      <c r="S18" s="43">
        <f>VLOOKUP(R18,'Master rating scale'!$G$5:$H$14,2,FALSE)</f>
        <v>5</v>
      </c>
      <c r="T18" s="62">
        <f t="shared" si="2"/>
        <v>2.41418063904613E-2</v>
      </c>
    </row>
    <row r="19" spans="1:20" ht="14">
      <c r="A19" s="36">
        <v>190208</v>
      </c>
      <c r="B19" s="81" t="s">
        <v>18</v>
      </c>
      <c r="C19" s="37" t="s">
        <v>29</v>
      </c>
      <c r="D19" s="39">
        <v>10000</v>
      </c>
      <c r="E19" s="38">
        <v>3.3000000000000002E-2</v>
      </c>
      <c r="F19" s="38">
        <f>INDEX('PD Term Structure'!$E$17:$N$26,MATCH($J19,'PD Term Structure'!$D$17:$D$26,0),MATCH(F$2,'PD Term Structure'!$E$16:$N$16,0))</f>
        <v>5.2108354430379748E-2</v>
      </c>
      <c r="G19" s="38">
        <f>INDEX('PD Term Structure'!$E$17:$N$26,MATCH($J19,'PD Term Structure'!$D$17:$D$26,0),MATCH(G$2,'PD Term Structure'!$E$16:$N$16,0))</f>
        <v>6.3676339047537805E-2</v>
      </c>
      <c r="H19" s="82">
        <f>VLOOKUP(B19,'LGD parameters'!$C$7:$E$11,2,FALSE)</f>
        <v>0.62956863668283192</v>
      </c>
      <c r="I19" s="82">
        <f>(NORMSDIST(-LN(H19)+(VLOOKUP(B19,LGD_para,3,FALSE)^2/2))/VLOOKUP(B19,LGD_para,3,FALSE)-(VLOOKUP(B19,LGD_para,3,FALSE))-H19*(NORMSDIST(-LN(H19)+(VLOOKUP(B19,LGD_para,3,FALSE)^2/2))/VLOOKUP(B19,LGD_para,3,FALSE)))/LOGNORMDIST(1,LN(H19),(VLOOKUP(B19,LGD_para,3,FALSE)))*'LGD parameters'!$D$11</f>
        <v>0.26714251488777335</v>
      </c>
      <c r="J19" s="40">
        <f>VLOOKUP(E19,'PD Term Structure'!$C$5:$D$14,2,TRUE)</f>
        <v>4</v>
      </c>
      <c r="K19" s="43">
        <f>VLOOKUP(J19,'Master rating scale'!$G$5:$H$14,2,FALSE)</f>
        <v>4</v>
      </c>
      <c r="L19" s="62">
        <f t="shared" si="0"/>
        <v>1.931344511236904E-2</v>
      </c>
      <c r="N19" s="40">
        <f>VLOOKUP(F19,'PD Term Structure'!$C$5:$D$14,2,TRUE)</f>
        <v>4</v>
      </c>
      <c r="O19" s="43">
        <f>VLOOKUP(N19,'Master rating scale'!$G$5:$H$14,2,FALSE)</f>
        <v>4</v>
      </c>
      <c r="P19" s="62">
        <f t="shared" si="1"/>
        <v>1.931344511236904E-2</v>
      </c>
      <c r="R19" s="40">
        <f>VLOOKUP(G19,'PD Term Structure'!$C$5:$D$14,2,TRUE)</f>
        <v>5</v>
      </c>
      <c r="S19" s="43">
        <f>VLOOKUP(R19,'Master rating scale'!$G$5:$H$14,2,FALSE)</f>
        <v>5</v>
      </c>
      <c r="T19" s="62">
        <f t="shared" si="2"/>
        <v>2.41418063904613E-2</v>
      </c>
    </row>
    <row r="20" spans="1:20" ht="14">
      <c r="A20" s="36">
        <v>197726</v>
      </c>
      <c r="B20" s="81" t="s">
        <v>18</v>
      </c>
      <c r="C20" s="37" t="s">
        <v>29</v>
      </c>
      <c r="D20" s="39">
        <v>10000</v>
      </c>
      <c r="E20" s="38">
        <v>1.4105306E-2</v>
      </c>
      <c r="F20" s="38">
        <f>INDEX('PD Term Structure'!$E$17:$N$26,MATCH($J20,'PD Term Structure'!$D$17:$D$26,0),MATCH(F$2,'PD Term Structure'!$E$16:$N$16,0))</f>
        <v>2.8507278481012657E-2</v>
      </c>
      <c r="G20" s="38">
        <f>INDEX('PD Term Structure'!$E$17:$N$26,MATCH($J20,'PD Term Structure'!$D$17:$D$26,0),MATCH(G$2,'PD Term Structure'!$E$16:$N$16,0))</f>
        <v>4.7291677269631509E-2</v>
      </c>
      <c r="H20" s="82">
        <f>VLOOKUP(B20,'LGD parameters'!$C$7:$E$11,2,FALSE)</f>
        <v>0.62956863668283192</v>
      </c>
      <c r="I20" s="82">
        <f>(NORMSDIST(-LN(H20)+(VLOOKUP(B20,LGD_para,3,FALSE)^2/2))/VLOOKUP(B20,LGD_para,3,FALSE)-(VLOOKUP(B20,LGD_para,3,FALSE))-H20*(NORMSDIST(-LN(H20)+(VLOOKUP(B20,LGD_para,3,FALSE)^2/2))/VLOOKUP(B20,LGD_para,3,FALSE)))/LOGNORMDIST(1,LN(H20),(VLOOKUP(B20,LGD_para,3,FALSE)))*'LGD parameters'!$D$11</f>
        <v>0.26714251488777335</v>
      </c>
      <c r="J20" s="40">
        <f>VLOOKUP(E20,'PD Term Structure'!$C$5:$D$14,2,TRUE)</f>
        <v>3</v>
      </c>
      <c r="K20" s="43">
        <f>VLOOKUP(J20,'Master rating scale'!$G$5:$H$14,2,FALSE)</f>
        <v>3</v>
      </c>
      <c r="L20" s="62">
        <f t="shared" si="0"/>
        <v>1.4485083834276779E-2</v>
      </c>
      <c r="N20" s="40">
        <f>VLOOKUP(F20,'PD Term Structure'!$C$5:$D$14,2,TRUE)</f>
        <v>4</v>
      </c>
      <c r="O20" s="43">
        <f>VLOOKUP(N20,'Master rating scale'!$G$5:$H$14,2,FALSE)</f>
        <v>4</v>
      </c>
      <c r="P20" s="62">
        <f t="shared" si="1"/>
        <v>1.931344511236904E-2</v>
      </c>
      <c r="R20" s="40">
        <f>VLOOKUP(G20,'PD Term Structure'!$C$5:$D$14,2,TRUE)</f>
        <v>4</v>
      </c>
      <c r="S20" s="43">
        <f>VLOOKUP(R20,'Master rating scale'!$G$5:$H$14,2,FALSE)</f>
        <v>4</v>
      </c>
      <c r="T20" s="62">
        <f t="shared" si="2"/>
        <v>1.931344511236904E-2</v>
      </c>
    </row>
    <row r="21" spans="1:20" ht="14">
      <c r="A21" s="36">
        <v>199596</v>
      </c>
      <c r="B21" s="81" t="s">
        <v>18</v>
      </c>
      <c r="C21" s="37" t="s">
        <v>29</v>
      </c>
      <c r="D21" s="39">
        <v>10000</v>
      </c>
      <c r="E21" s="38">
        <v>3.3000000000000002E-2</v>
      </c>
      <c r="F21" s="38">
        <f>INDEX('PD Term Structure'!$E$17:$N$26,MATCH($J21,'PD Term Structure'!$D$17:$D$26,0),MATCH(F$2,'PD Term Structure'!$E$16:$N$16,0))</f>
        <v>5.2108354430379748E-2</v>
      </c>
      <c r="G21" s="38">
        <f>INDEX('PD Term Structure'!$E$17:$N$26,MATCH($J21,'PD Term Structure'!$D$17:$D$26,0),MATCH(G$2,'PD Term Structure'!$E$16:$N$16,0))</f>
        <v>6.3676339047537805E-2</v>
      </c>
      <c r="H21" s="82">
        <f>VLOOKUP(B21,'LGD parameters'!$C$7:$E$11,2,FALSE)</f>
        <v>0.62956863668283192</v>
      </c>
      <c r="I21" s="82">
        <f>(NORMSDIST(-LN(H21)+(VLOOKUP(B21,LGD_para,3,FALSE)^2/2))/VLOOKUP(B21,LGD_para,3,FALSE)-(VLOOKUP(B21,LGD_para,3,FALSE))-H21*(NORMSDIST(-LN(H21)+(VLOOKUP(B21,LGD_para,3,FALSE)^2/2))/VLOOKUP(B21,LGD_para,3,FALSE)))/LOGNORMDIST(1,LN(H21),(VLOOKUP(B21,LGD_para,3,FALSE)))*'LGD parameters'!$D$11</f>
        <v>0.26714251488777335</v>
      </c>
      <c r="J21" s="40">
        <f>VLOOKUP(E21,'PD Term Structure'!$C$5:$D$14,2,TRUE)</f>
        <v>4</v>
      </c>
      <c r="K21" s="43">
        <f>VLOOKUP(J21,'Master rating scale'!$G$5:$H$14,2,FALSE)</f>
        <v>4</v>
      </c>
      <c r="L21" s="62">
        <f t="shared" si="0"/>
        <v>1.931344511236904E-2</v>
      </c>
      <c r="N21" s="40">
        <f>VLOOKUP(F21,'PD Term Structure'!$C$5:$D$14,2,TRUE)</f>
        <v>4</v>
      </c>
      <c r="O21" s="43">
        <f>VLOOKUP(N21,'Master rating scale'!$G$5:$H$14,2,FALSE)</f>
        <v>4</v>
      </c>
      <c r="P21" s="62">
        <f t="shared" si="1"/>
        <v>1.931344511236904E-2</v>
      </c>
      <c r="R21" s="40">
        <f>VLOOKUP(G21,'PD Term Structure'!$C$5:$D$14,2,TRUE)</f>
        <v>5</v>
      </c>
      <c r="S21" s="43">
        <f>VLOOKUP(R21,'Master rating scale'!$G$5:$H$14,2,FALSE)</f>
        <v>5</v>
      </c>
      <c r="T21" s="62">
        <f t="shared" si="2"/>
        <v>2.41418063904613E-2</v>
      </c>
    </row>
    <row r="22" spans="1:20" ht="14">
      <c r="A22" s="36">
        <v>199825</v>
      </c>
      <c r="B22" s="81" t="s">
        <v>18</v>
      </c>
      <c r="C22" s="37" t="s">
        <v>29</v>
      </c>
      <c r="D22" s="39">
        <v>10000</v>
      </c>
      <c r="E22" s="38">
        <v>1.4105306E-2</v>
      </c>
      <c r="F22" s="38">
        <f>INDEX('PD Term Structure'!$E$17:$N$26,MATCH($J22,'PD Term Structure'!$D$17:$D$26,0),MATCH(F$2,'PD Term Structure'!$E$16:$N$16,0))</f>
        <v>2.8507278481012657E-2</v>
      </c>
      <c r="G22" s="38">
        <f>INDEX('PD Term Structure'!$E$17:$N$26,MATCH($J22,'PD Term Structure'!$D$17:$D$26,0),MATCH(G$2,'PD Term Structure'!$E$16:$N$16,0))</f>
        <v>4.7291677269631509E-2</v>
      </c>
      <c r="H22" s="82">
        <f>VLOOKUP(B22,'LGD parameters'!$C$7:$E$11,2,FALSE)</f>
        <v>0.62956863668283192</v>
      </c>
      <c r="I22" s="82">
        <f>(NORMSDIST(-LN(H22)+(VLOOKUP(B22,LGD_para,3,FALSE)^2/2))/VLOOKUP(B22,LGD_para,3,FALSE)-(VLOOKUP(B22,LGD_para,3,FALSE))-H22*(NORMSDIST(-LN(H22)+(VLOOKUP(B22,LGD_para,3,FALSE)^2/2))/VLOOKUP(B22,LGD_para,3,FALSE)))/LOGNORMDIST(1,LN(H22),(VLOOKUP(B22,LGD_para,3,FALSE)))*'LGD parameters'!$D$11</f>
        <v>0.26714251488777335</v>
      </c>
      <c r="J22" s="40">
        <f>VLOOKUP(E22,'PD Term Structure'!$C$5:$D$14,2,TRUE)</f>
        <v>3</v>
      </c>
      <c r="K22" s="43">
        <f>VLOOKUP(J22,'Master rating scale'!$G$5:$H$14,2,FALSE)</f>
        <v>3</v>
      </c>
      <c r="L22" s="62">
        <f t="shared" si="0"/>
        <v>1.4485083834276779E-2</v>
      </c>
      <c r="N22" s="40">
        <f>VLOOKUP(F22,'PD Term Structure'!$C$5:$D$14,2,TRUE)</f>
        <v>4</v>
      </c>
      <c r="O22" s="43">
        <f>VLOOKUP(N22,'Master rating scale'!$G$5:$H$14,2,FALSE)</f>
        <v>4</v>
      </c>
      <c r="P22" s="62">
        <f t="shared" si="1"/>
        <v>1.931344511236904E-2</v>
      </c>
      <c r="R22" s="40">
        <f>VLOOKUP(G22,'PD Term Structure'!$C$5:$D$14,2,TRUE)</f>
        <v>4</v>
      </c>
      <c r="S22" s="43">
        <f>VLOOKUP(R22,'Master rating scale'!$G$5:$H$14,2,FALSE)</f>
        <v>4</v>
      </c>
      <c r="T22" s="62">
        <f t="shared" si="2"/>
        <v>1.931344511236904E-2</v>
      </c>
    </row>
    <row r="23" spans="1:20" ht="14">
      <c r="A23" s="36">
        <v>201425</v>
      </c>
      <c r="B23" s="81" t="s">
        <v>18</v>
      </c>
      <c r="C23" s="37" t="s">
        <v>29</v>
      </c>
      <c r="D23" s="39">
        <v>10000</v>
      </c>
      <c r="E23" s="38">
        <v>1.4105306E-2</v>
      </c>
      <c r="F23" s="38">
        <f>INDEX('PD Term Structure'!$E$17:$N$26,MATCH($J23,'PD Term Structure'!$D$17:$D$26,0),MATCH(F$2,'PD Term Structure'!$E$16:$N$16,0))</f>
        <v>2.8507278481012657E-2</v>
      </c>
      <c r="G23" s="38">
        <f>INDEX('PD Term Structure'!$E$17:$N$26,MATCH($J23,'PD Term Structure'!$D$17:$D$26,0),MATCH(G$2,'PD Term Structure'!$E$16:$N$16,0))</f>
        <v>4.7291677269631509E-2</v>
      </c>
      <c r="H23" s="82">
        <f>VLOOKUP(B23,'LGD parameters'!$C$7:$E$11,2,FALSE)</f>
        <v>0.62956863668283192</v>
      </c>
      <c r="I23" s="82">
        <f>(NORMSDIST(-LN(H23)+(VLOOKUP(B23,LGD_para,3,FALSE)^2/2))/VLOOKUP(B23,LGD_para,3,FALSE)-(VLOOKUP(B23,LGD_para,3,FALSE))-H23*(NORMSDIST(-LN(H23)+(VLOOKUP(B23,LGD_para,3,FALSE)^2/2))/VLOOKUP(B23,LGD_para,3,FALSE)))/LOGNORMDIST(1,LN(H23),(VLOOKUP(B23,LGD_para,3,FALSE)))*'LGD parameters'!$D$11</f>
        <v>0.26714251488777335</v>
      </c>
      <c r="J23" s="40">
        <f>VLOOKUP(E23,'PD Term Structure'!$C$5:$D$14,2,TRUE)</f>
        <v>3</v>
      </c>
      <c r="K23" s="43">
        <f>VLOOKUP(J23,'Master rating scale'!$G$5:$H$14,2,FALSE)</f>
        <v>3</v>
      </c>
      <c r="L23" s="62">
        <f t="shared" si="0"/>
        <v>1.4485083834276779E-2</v>
      </c>
      <c r="N23" s="40">
        <f>VLOOKUP(F23,'PD Term Structure'!$C$5:$D$14,2,TRUE)</f>
        <v>4</v>
      </c>
      <c r="O23" s="43">
        <f>VLOOKUP(N23,'Master rating scale'!$G$5:$H$14,2,FALSE)</f>
        <v>4</v>
      </c>
      <c r="P23" s="62">
        <f t="shared" si="1"/>
        <v>1.931344511236904E-2</v>
      </c>
      <c r="R23" s="40">
        <f>VLOOKUP(G23,'PD Term Structure'!$C$5:$D$14,2,TRUE)</f>
        <v>4</v>
      </c>
      <c r="S23" s="43">
        <f>VLOOKUP(R23,'Master rating scale'!$G$5:$H$14,2,FALSE)</f>
        <v>4</v>
      </c>
      <c r="T23" s="62">
        <f t="shared" si="2"/>
        <v>1.931344511236904E-2</v>
      </c>
    </row>
    <row r="24" spans="1:20" ht="14">
      <c r="A24" s="36">
        <v>228131</v>
      </c>
      <c r="B24" s="81" t="s">
        <v>18</v>
      </c>
      <c r="C24" s="37" t="s">
        <v>29</v>
      </c>
      <c r="D24" s="39">
        <v>10000</v>
      </c>
      <c r="E24" s="38">
        <v>3.3300000000000003E-2</v>
      </c>
      <c r="F24" s="38">
        <f>INDEX('PD Term Structure'!$E$17:$N$26,MATCH($J24,'PD Term Structure'!$D$17:$D$26,0),MATCH(F$2,'PD Term Structure'!$E$16:$N$16,0))</f>
        <v>5.2108354430379748E-2</v>
      </c>
      <c r="G24" s="38">
        <f>INDEX('PD Term Structure'!$E$17:$N$26,MATCH($J24,'PD Term Structure'!$D$17:$D$26,0),MATCH(G$2,'PD Term Structure'!$E$16:$N$16,0))</f>
        <v>6.3676339047537805E-2</v>
      </c>
      <c r="H24" s="82">
        <f>VLOOKUP(B24,'LGD parameters'!$C$7:$E$11,2,FALSE)</f>
        <v>0.62956863668283192</v>
      </c>
      <c r="I24" s="82">
        <f>(NORMSDIST(-LN(H24)+(VLOOKUP(B24,LGD_para,3,FALSE)^2/2))/VLOOKUP(B24,LGD_para,3,FALSE)-(VLOOKUP(B24,LGD_para,3,FALSE))-H24*(NORMSDIST(-LN(H24)+(VLOOKUP(B24,LGD_para,3,FALSE)^2/2))/VLOOKUP(B24,LGD_para,3,FALSE)))/LOGNORMDIST(1,LN(H24),(VLOOKUP(B24,LGD_para,3,FALSE)))*'LGD parameters'!$D$11</f>
        <v>0.26714251488777335</v>
      </c>
      <c r="J24" s="40">
        <f>VLOOKUP(E24,'PD Term Structure'!$C$5:$D$14,2,TRUE)</f>
        <v>4</v>
      </c>
      <c r="K24" s="43">
        <f>VLOOKUP(J24,'Master rating scale'!$G$5:$H$14,2,FALSE)</f>
        <v>4</v>
      </c>
      <c r="L24" s="62">
        <f t="shared" si="0"/>
        <v>1.931344511236904E-2</v>
      </c>
      <c r="N24" s="40">
        <f>VLOOKUP(F24,'PD Term Structure'!$C$5:$D$14,2,TRUE)</f>
        <v>4</v>
      </c>
      <c r="O24" s="43">
        <f>VLOOKUP(N24,'Master rating scale'!$G$5:$H$14,2,FALSE)</f>
        <v>4</v>
      </c>
      <c r="P24" s="62">
        <f t="shared" si="1"/>
        <v>1.931344511236904E-2</v>
      </c>
      <c r="R24" s="40">
        <f>VLOOKUP(G24,'PD Term Structure'!$C$5:$D$14,2,TRUE)</f>
        <v>5</v>
      </c>
      <c r="S24" s="43">
        <f>VLOOKUP(R24,'Master rating scale'!$G$5:$H$14,2,FALSE)</f>
        <v>5</v>
      </c>
      <c r="T24" s="62">
        <f t="shared" si="2"/>
        <v>2.41418063904613E-2</v>
      </c>
    </row>
    <row r="25" spans="1:20" ht="14">
      <c r="A25" s="36">
        <v>296711</v>
      </c>
      <c r="B25" s="81" t="s">
        <v>18</v>
      </c>
      <c r="C25" s="37" t="s">
        <v>29</v>
      </c>
      <c r="D25" s="39">
        <v>10000</v>
      </c>
      <c r="E25" s="38">
        <v>3.3300000000000003E-2</v>
      </c>
      <c r="F25" s="38">
        <f>INDEX('PD Term Structure'!$E$17:$N$26,MATCH($J25,'PD Term Structure'!$D$17:$D$26,0),MATCH(F$2,'PD Term Structure'!$E$16:$N$16,0))</f>
        <v>5.2108354430379748E-2</v>
      </c>
      <c r="G25" s="38">
        <f>INDEX('PD Term Structure'!$E$17:$N$26,MATCH($J25,'PD Term Structure'!$D$17:$D$26,0),MATCH(G$2,'PD Term Structure'!$E$16:$N$16,0))</f>
        <v>6.3676339047537805E-2</v>
      </c>
      <c r="H25" s="82">
        <f>VLOOKUP(B25,'LGD parameters'!$C$7:$E$11,2,FALSE)</f>
        <v>0.62956863668283192</v>
      </c>
      <c r="I25" s="82">
        <f>(NORMSDIST(-LN(H25)+(VLOOKUP(B25,LGD_para,3,FALSE)^2/2))/VLOOKUP(B25,LGD_para,3,FALSE)-(VLOOKUP(B25,LGD_para,3,FALSE))-H25*(NORMSDIST(-LN(H25)+(VLOOKUP(B25,LGD_para,3,FALSE)^2/2))/VLOOKUP(B25,LGD_para,3,FALSE)))/LOGNORMDIST(1,LN(H25),(VLOOKUP(B25,LGD_para,3,FALSE)))*'LGD parameters'!$D$11</f>
        <v>0.26714251488777335</v>
      </c>
      <c r="J25" s="40">
        <f>VLOOKUP(E25,'PD Term Structure'!$C$5:$D$14,2,TRUE)</f>
        <v>4</v>
      </c>
      <c r="K25" s="43">
        <f>VLOOKUP(J25,'Master rating scale'!$G$5:$H$14,2,FALSE)</f>
        <v>4</v>
      </c>
      <c r="L25" s="62">
        <f t="shared" si="0"/>
        <v>1.931344511236904E-2</v>
      </c>
      <c r="N25" s="40">
        <f>VLOOKUP(F25,'PD Term Structure'!$C$5:$D$14,2,TRUE)</f>
        <v>4</v>
      </c>
      <c r="O25" s="43">
        <f>VLOOKUP(N25,'Master rating scale'!$G$5:$H$14,2,FALSE)</f>
        <v>4</v>
      </c>
      <c r="P25" s="62">
        <f t="shared" si="1"/>
        <v>1.931344511236904E-2</v>
      </c>
      <c r="R25" s="40">
        <f>VLOOKUP(G25,'PD Term Structure'!$C$5:$D$14,2,TRUE)</f>
        <v>5</v>
      </c>
      <c r="S25" s="43">
        <f>VLOOKUP(R25,'Master rating scale'!$G$5:$H$14,2,FALSE)</f>
        <v>5</v>
      </c>
      <c r="T25" s="62">
        <f t="shared" si="2"/>
        <v>2.41418063904613E-2</v>
      </c>
    </row>
    <row r="26" spans="1:20" ht="14">
      <c r="A26" s="36">
        <v>302089</v>
      </c>
      <c r="B26" s="81" t="s">
        <v>18</v>
      </c>
      <c r="C26" s="37" t="s">
        <v>29</v>
      </c>
      <c r="D26" s="39">
        <v>10000</v>
      </c>
      <c r="E26" s="38">
        <v>8.0000000000000004E-4</v>
      </c>
      <c r="F26" s="38">
        <f>INDEX('PD Term Structure'!$E$17:$N$26,MATCH($J26,'PD Term Structure'!$D$17:$D$26,0),MATCH(F$2,'PD Term Structure'!$E$16:$N$16,0))</f>
        <v>2.4624108527131781E-2</v>
      </c>
      <c r="G26" s="38">
        <f>INDEX('PD Term Structure'!$E$17:$N$26,MATCH($J26,'PD Term Structure'!$D$17:$D$26,0),MATCH(G$2,'PD Term Structure'!$E$16:$N$16,0))</f>
        <v>4.0379208287343982E-2</v>
      </c>
      <c r="H26" s="82">
        <f>VLOOKUP(B26,'LGD parameters'!$C$7:$E$11,2,FALSE)</f>
        <v>0.62956863668283192</v>
      </c>
      <c r="I26" s="82">
        <f>(NORMSDIST(-LN(H26)+(VLOOKUP(B26,LGD_para,3,FALSE)^2/2))/VLOOKUP(B26,LGD_para,3,FALSE)-(VLOOKUP(B26,LGD_para,3,FALSE))-H26*(NORMSDIST(-LN(H26)+(VLOOKUP(B26,LGD_para,3,FALSE)^2/2))/VLOOKUP(B26,LGD_para,3,FALSE)))/LOGNORMDIST(1,LN(H26),(VLOOKUP(B26,LGD_para,3,FALSE)))*'LGD parameters'!$D$11</f>
        <v>0.26714251488777335</v>
      </c>
      <c r="J26" s="40">
        <f>VLOOKUP(E26,'PD Term Structure'!$C$5:$D$14,2,TRUE)</f>
        <v>2</v>
      </c>
      <c r="K26" s="43">
        <f>VLOOKUP(J26,'Master rating scale'!$G$5:$H$14,2,FALSE)</f>
        <v>2</v>
      </c>
      <c r="L26" s="62">
        <f t="shared" si="0"/>
        <v>9.6567225561845198E-3</v>
      </c>
      <c r="N26" s="40">
        <f>VLOOKUP(F26,'PD Term Structure'!$C$5:$D$14,2,TRUE)</f>
        <v>4</v>
      </c>
      <c r="O26" s="43">
        <f>VLOOKUP(N26,'Master rating scale'!$G$5:$H$14,2,FALSE)</f>
        <v>4</v>
      </c>
      <c r="P26" s="62">
        <f t="shared" si="1"/>
        <v>1.931344511236904E-2</v>
      </c>
      <c r="R26" s="40">
        <f>VLOOKUP(G26,'PD Term Structure'!$C$5:$D$14,2,TRUE)</f>
        <v>4</v>
      </c>
      <c r="S26" s="43">
        <f>VLOOKUP(R26,'Master rating scale'!$G$5:$H$14,2,FALSE)</f>
        <v>4</v>
      </c>
      <c r="T26" s="62">
        <f t="shared" si="2"/>
        <v>1.931344511236904E-2</v>
      </c>
    </row>
    <row r="27" spans="1:20" ht="14">
      <c r="A27" s="36">
        <v>302548</v>
      </c>
      <c r="B27" s="81" t="s">
        <v>18</v>
      </c>
      <c r="C27" s="37" t="s">
        <v>29</v>
      </c>
      <c r="D27" s="39">
        <v>10000</v>
      </c>
      <c r="E27" s="38">
        <v>1.4105306E-2</v>
      </c>
      <c r="F27" s="38">
        <f>INDEX('PD Term Structure'!$E$17:$N$26,MATCH($J27,'PD Term Structure'!$D$17:$D$26,0),MATCH(F$2,'PD Term Structure'!$E$16:$N$16,0))</f>
        <v>2.8507278481012657E-2</v>
      </c>
      <c r="G27" s="38">
        <f>INDEX('PD Term Structure'!$E$17:$N$26,MATCH($J27,'PD Term Structure'!$D$17:$D$26,0),MATCH(G$2,'PD Term Structure'!$E$16:$N$16,0))</f>
        <v>4.7291677269631509E-2</v>
      </c>
      <c r="H27" s="82">
        <f>VLOOKUP(B27,'LGD parameters'!$C$7:$E$11,2,FALSE)</f>
        <v>0.62956863668283192</v>
      </c>
      <c r="I27" s="82">
        <f>(NORMSDIST(-LN(H27)+(VLOOKUP(B27,LGD_para,3,FALSE)^2/2))/VLOOKUP(B27,LGD_para,3,FALSE)-(VLOOKUP(B27,LGD_para,3,FALSE))-H27*(NORMSDIST(-LN(H27)+(VLOOKUP(B27,LGD_para,3,FALSE)^2/2))/VLOOKUP(B27,LGD_para,3,FALSE)))/LOGNORMDIST(1,LN(H27),(VLOOKUP(B27,LGD_para,3,FALSE)))*'LGD parameters'!$D$11</f>
        <v>0.26714251488777335</v>
      </c>
      <c r="J27" s="40">
        <f>VLOOKUP(E27,'PD Term Structure'!$C$5:$D$14,2,TRUE)</f>
        <v>3</v>
      </c>
      <c r="K27" s="43">
        <f>VLOOKUP(J27,'Master rating scale'!$G$5:$H$14,2,FALSE)</f>
        <v>3</v>
      </c>
      <c r="L27" s="62">
        <f t="shared" si="0"/>
        <v>1.4485083834276779E-2</v>
      </c>
      <c r="N27" s="40">
        <f>VLOOKUP(F27,'PD Term Structure'!$C$5:$D$14,2,TRUE)</f>
        <v>4</v>
      </c>
      <c r="O27" s="43">
        <f>VLOOKUP(N27,'Master rating scale'!$G$5:$H$14,2,FALSE)</f>
        <v>4</v>
      </c>
      <c r="P27" s="62">
        <f t="shared" si="1"/>
        <v>1.931344511236904E-2</v>
      </c>
      <c r="R27" s="40">
        <f>VLOOKUP(G27,'PD Term Structure'!$C$5:$D$14,2,TRUE)</f>
        <v>4</v>
      </c>
      <c r="S27" s="43">
        <f>VLOOKUP(R27,'Master rating scale'!$G$5:$H$14,2,FALSE)</f>
        <v>4</v>
      </c>
      <c r="T27" s="62">
        <f t="shared" si="2"/>
        <v>1.931344511236904E-2</v>
      </c>
    </row>
    <row r="28" spans="1:20" ht="14">
      <c r="A28" s="36">
        <v>327242</v>
      </c>
      <c r="B28" s="81" t="s">
        <v>18</v>
      </c>
      <c r="C28" s="37" t="s">
        <v>29</v>
      </c>
      <c r="D28" s="39">
        <v>10000</v>
      </c>
      <c r="E28" s="38">
        <v>1.4105306E-2</v>
      </c>
      <c r="F28" s="38">
        <f>INDEX('PD Term Structure'!$E$17:$N$26,MATCH($J28,'PD Term Structure'!$D$17:$D$26,0),MATCH(F$2,'PD Term Structure'!$E$16:$N$16,0))</f>
        <v>2.8507278481012657E-2</v>
      </c>
      <c r="G28" s="38">
        <f>INDEX('PD Term Structure'!$E$17:$N$26,MATCH($J28,'PD Term Structure'!$D$17:$D$26,0),MATCH(G$2,'PD Term Structure'!$E$16:$N$16,0))</f>
        <v>4.7291677269631509E-2</v>
      </c>
      <c r="H28" s="82">
        <f>VLOOKUP(B28,'LGD parameters'!$C$7:$E$11,2,FALSE)</f>
        <v>0.62956863668283192</v>
      </c>
      <c r="I28" s="82">
        <f>(NORMSDIST(-LN(H28)+(VLOOKUP(B28,LGD_para,3,FALSE)^2/2))/VLOOKUP(B28,LGD_para,3,FALSE)-(VLOOKUP(B28,LGD_para,3,FALSE))-H28*(NORMSDIST(-LN(H28)+(VLOOKUP(B28,LGD_para,3,FALSE)^2/2))/VLOOKUP(B28,LGD_para,3,FALSE)))/LOGNORMDIST(1,LN(H28),(VLOOKUP(B28,LGD_para,3,FALSE)))*'LGD parameters'!$D$11</f>
        <v>0.26714251488777335</v>
      </c>
      <c r="J28" s="40">
        <f>VLOOKUP(E28,'PD Term Structure'!$C$5:$D$14,2,TRUE)</f>
        <v>3</v>
      </c>
      <c r="K28" s="43">
        <f>VLOOKUP(J28,'Master rating scale'!$G$5:$H$14,2,FALSE)</f>
        <v>3</v>
      </c>
      <c r="L28" s="62">
        <f t="shared" si="0"/>
        <v>1.4485083834276779E-2</v>
      </c>
      <c r="N28" s="40">
        <f>VLOOKUP(F28,'PD Term Structure'!$C$5:$D$14,2,TRUE)</f>
        <v>4</v>
      </c>
      <c r="O28" s="43">
        <f>VLOOKUP(N28,'Master rating scale'!$G$5:$H$14,2,FALSE)</f>
        <v>4</v>
      </c>
      <c r="P28" s="62">
        <f t="shared" si="1"/>
        <v>1.931344511236904E-2</v>
      </c>
      <c r="R28" s="40">
        <f>VLOOKUP(G28,'PD Term Structure'!$C$5:$D$14,2,TRUE)</f>
        <v>4</v>
      </c>
      <c r="S28" s="43">
        <f>VLOOKUP(R28,'Master rating scale'!$G$5:$H$14,2,FALSE)</f>
        <v>4</v>
      </c>
      <c r="T28" s="62">
        <f t="shared" si="2"/>
        <v>1.931344511236904E-2</v>
      </c>
    </row>
    <row r="29" spans="1:20" ht="14">
      <c r="A29" s="36">
        <v>330651</v>
      </c>
      <c r="B29" s="81" t="s">
        <v>18</v>
      </c>
      <c r="C29" s="37" t="s">
        <v>29</v>
      </c>
      <c r="D29" s="39">
        <v>10000</v>
      </c>
      <c r="E29" s="38">
        <v>1.4105306E-2</v>
      </c>
      <c r="F29" s="38">
        <f>INDEX('PD Term Structure'!$E$17:$N$26,MATCH($J29,'PD Term Structure'!$D$17:$D$26,0),MATCH(F$2,'PD Term Structure'!$E$16:$N$16,0))</f>
        <v>2.8507278481012657E-2</v>
      </c>
      <c r="G29" s="38">
        <f>INDEX('PD Term Structure'!$E$17:$N$26,MATCH($J29,'PD Term Structure'!$D$17:$D$26,0),MATCH(G$2,'PD Term Structure'!$E$16:$N$16,0))</f>
        <v>4.7291677269631509E-2</v>
      </c>
      <c r="H29" s="82">
        <f>VLOOKUP(B29,'LGD parameters'!$C$7:$E$11,2,FALSE)</f>
        <v>0.62956863668283192</v>
      </c>
      <c r="I29" s="82">
        <f>(NORMSDIST(-LN(H29)+(VLOOKUP(B29,LGD_para,3,FALSE)^2/2))/VLOOKUP(B29,LGD_para,3,FALSE)-(VLOOKUP(B29,LGD_para,3,FALSE))-H29*(NORMSDIST(-LN(H29)+(VLOOKUP(B29,LGD_para,3,FALSE)^2/2))/VLOOKUP(B29,LGD_para,3,FALSE)))/LOGNORMDIST(1,LN(H29),(VLOOKUP(B29,LGD_para,3,FALSE)))*'LGD parameters'!$D$11</f>
        <v>0.26714251488777335</v>
      </c>
      <c r="J29" s="40">
        <f>VLOOKUP(E29,'PD Term Structure'!$C$5:$D$14,2,TRUE)</f>
        <v>3</v>
      </c>
      <c r="K29" s="43">
        <f>VLOOKUP(J29,'Master rating scale'!$G$5:$H$14,2,FALSE)</f>
        <v>3</v>
      </c>
      <c r="L29" s="62">
        <f t="shared" si="0"/>
        <v>1.4485083834276779E-2</v>
      </c>
      <c r="N29" s="40">
        <f>VLOOKUP(F29,'PD Term Structure'!$C$5:$D$14,2,TRUE)</f>
        <v>4</v>
      </c>
      <c r="O29" s="43">
        <f>VLOOKUP(N29,'Master rating scale'!$G$5:$H$14,2,FALSE)</f>
        <v>4</v>
      </c>
      <c r="P29" s="62">
        <f t="shared" si="1"/>
        <v>1.931344511236904E-2</v>
      </c>
      <c r="R29" s="40">
        <f>VLOOKUP(G29,'PD Term Structure'!$C$5:$D$14,2,TRUE)</f>
        <v>4</v>
      </c>
      <c r="S29" s="43">
        <f>VLOOKUP(R29,'Master rating scale'!$G$5:$H$14,2,FALSE)</f>
        <v>4</v>
      </c>
      <c r="T29" s="62">
        <f t="shared" si="2"/>
        <v>1.931344511236904E-2</v>
      </c>
    </row>
    <row r="30" spans="1:20" ht="14">
      <c r="A30" s="36">
        <v>339441</v>
      </c>
      <c r="B30" s="81" t="s">
        <v>18</v>
      </c>
      <c r="C30" s="37" t="s">
        <v>29</v>
      </c>
      <c r="D30" s="39">
        <v>10000</v>
      </c>
      <c r="E30" s="38">
        <v>1.4105306E-2</v>
      </c>
      <c r="F30" s="38">
        <f>INDEX('PD Term Structure'!$E$17:$N$26,MATCH($J30,'PD Term Structure'!$D$17:$D$26,0),MATCH(F$2,'PD Term Structure'!$E$16:$N$16,0))</f>
        <v>2.8507278481012657E-2</v>
      </c>
      <c r="G30" s="38">
        <f>INDEX('PD Term Structure'!$E$17:$N$26,MATCH($J30,'PD Term Structure'!$D$17:$D$26,0),MATCH(G$2,'PD Term Structure'!$E$16:$N$16,0))</f>
        <v>4.7291677269631509E-2</v>
      </c>
      <c r="H30" s="82">
        <f>VLOOKUP(B30,'LGD parameters'!$C$7:$E$11,2,FALSE)</f>
        <v>0.62956863668283192</v>
      </c>
      <c r="I30" s="82">
        <f>(NORMSDIST(-LN(H30)+(VLOOKUP(B30,LGD_para,3,FALSE)^2/2))/VLOOKUP(B30,LGD_para,3,FALSE)-(VLOOKUP(B30,LGD_para,3,FALSE))-H30*(NORMSDIST(-LN(H30)+(VLOOKUP(B30,LGD_para,3,FALSE)^2/2))/VLOOKUP(B30,LGD_para,3,FALSE)))/LOGNORMDIST(1,LN(H30),(VLOOKUP(B30,LGD_para,3,FALSE)))*'LGD parameters'!$D$11</f>
        <v>0.26714251488777335</v>
      </c>
      <c r="J30" s="40">
        <f>VLOOKUP(E30,'PD Term Structure'!$C$5:$D$14,2,TRUE)</f>
        <v>3</v>
      </c>
      <c r="K30" s="43">
        <f>VLOOKUP(J30,'Master rating scale'!$G$5:$H$14,2,FALSE)</f>
        <v>3</v>
      </c>
      <c r="L30" s="62">
        <f t="shared" si="0"/>
        <v>1.4485083834276779E-2</v>
      </c>
      <c r="N30" s="40">
        <f>VLOOKUP(F30,'PD Term Structure'!$C$5:$D$14,2,TRUE)</f>
        <v>4</v>
      </c>
      <c r="O30" s="43">
        <f>VLOOKUP(N30,'Master rating scale'!$G$5:$H$14,2,FALSE)</f>
        <v>4</v>
      </c>
      <c r="P30" s="62">
        <f t="shared" si="1"/>
        <v>1.931344511236904E-2</v>
      </c>
      <c r="R30" s="40">
        <f>VLOOKUP(G30,'PD Term Structure'!$C$5:$D$14,2,TRUE)</f>
        <v>4</v>
      </c>
      <c r="S30" s="43">
        <f>VLOOKUP(R30,'Master rating scale'!$G$5:$H$14,2,FALSE)</f>
        <v>4</v>
      </c>
      <c r="T30" s="62">
        <f t="shared" si="2"/>
        <v>1.931344511236904E-2</v>
      </c>
    </row>
    <row r="31" spans="1:20" ht="14">
      <c r="A31" s="36">
        <v>349080</v>
      </c>
      <c r="B31" s="81" t="s">
        <v>18</v>
      </c>
      <c r="C31" s="37" t="s">
        <v>29</v>
      </c>
      <c r="D31" s="39">
        <v>10000</v>
      </c>
      <c r="E31" s="38">
        <v>4.4999999999999998E-2</v>
      </c>
      <c r="F31" s="38">
        <f>INDEX('PD Term Structure'!$E$17:$N$26,MATCH($J31,'PD Term Structure'!$D$17:$D$26,0),MATCH(F$2,'PD Term Structure'!$E$16:$N$16,0))</f>
        <v>5.2108354430379748E-2</v>
      </c>
      <c r="G31" s="38">
        <f>INDEX('PD Term Structure'!$E$17:$N$26,MATCH($J31,'PD Term Structure'!$D$17:$D$26,0),MATCH(G$2,'PD Term Structure'!$E$16:$N$16,0))</f>
        <v>6.3676339047537805E-2</v>
      </c>
      <c r="H31" s="82">
        <f>VLOOKUP(B31,'LGD parameters'!$C$7:$E$11,2,FALSE)</f>
        <v>0.62956863668283192</v>
      </c>
      <c r="I31" s="82">
        <f>(NORMSDIST(-LN(H31)+(VLOOKUP(B31,LGD_para,3,FALSE)^2/2))/VLOOKUP(B31,LGD_para,3,FALSE)-(VLOOKUP(B31,LGD_para,3,FALSE))-H31*(NORMSDIST(-LN(H31)+(VLOOKUP(B31,LGD_para,3,FALSE)^2/2))/VLOOKUP(B31,LGD_para,3,FALSE)))/LOGNORMDIST(1,LN(H31),(VLOOKUP(B31,LGD_para,3,FALSE)))*'LGD parameters'!$D$11</f>
        <v>0.26714251488777335</v>
      </c>
      <c r="J31" s="40">
        <f>VLOOKUP(E31,'PD Term Structure'!$C$5:$D$14,2,TRUE)</f>
        <v>4</v>
      </c>
      <c r="K31" s="43">
        <f>VLOOKUP(J31,'Master rating scale'!$G$5:$H$14,2,FALSE)</f>
        <v>4</v>
      </c>
      <c r="L31" s="62">
        <f t="shared" si="0"/>
        <v>1.931344511236904E-2</v>
      </c>
      <c r="N31" s="40">
        <f>VLOOKUP(F31,'PD Term Structure'!$C$5:$D$14,2,TRUE)</f>
        <v>4</v>
      </c>
      <c r="O31" s="43">
        <f>VLOOKUP(N31,'Master rating scale'!$G$5:$H$14,2,FALSE)</f>
        <v>4</v>
      </c>
      <c r="P31" s="62">
        <f t="shared" si="1"/>
        <v>1.931344511236904E-2</v>
      </c>
      <c r="R31" s="40">
        <f>VLOOKUP(G31,'PD Term Structure'!$C$5:$D$14,2,TRUE)</f>
        <v>5</v>
      </c>
      <c r="S31" s="43">
        <f>VLOOKUP(R31,'Master rating scale'!$G$5:$H$14,2,FALSE)</f>
        <v>5</v>
      </c>
      <c r="T31" s="62">
        <f t="shared" si="2"/>
        <v>2.41418063904613E-2</v>
      </c>
    </row>
    <row r="32" spans="1:20" ht="14">
      <c r="A32" s="36">
        <v>350188</v>
      </c>
      <c r="B32" s="81" t="s">
        <v>18</v>
      </c>
      <c r="C32" s="37" t="s">
        <v>29</v>
      </c>
      <c r="D32" s="39">
        <v>10000</v>
      </c>
      <c r="E32" s="38">
        <v>4.4999999999999998E-2</v>
      </c>
      <c r="F32" s="38">
        <f>INDEX('PD Term Structure'!$E$17:$N$26,MATCH($J32,'PD Term Structure'!$D$17:$D$26,0),MATCH(F$2,'PD Term Structure'!$E$16:$N$16,0))</f>
        <v>5.2108354430379748E-2</v>
      </c>
      <c r="G32" s="38">
        <f>INDEX('PD Term Structure'!$E$17:$N$26,MATCH($J32,'PD Term Structure'!$D$17:$D$26,0),MATCH(G$2,'PD Term Structure'!$E$16:$N$16,0))</f>
        <v>6.3676339047537805E-2</v>
      </c>
      <c r="H32" s="82">
        <f>VLOOKUP(B32,'LGD parameters'!$C$7:$E$11,2,FALSE)</f>
        <v>0.62956863668283192</v>
      </c>
      <c r="I32" s="82">
        <f>(NORMSDIST(-LN(H32)+(VLOOKUP(B32,LGD_para,3,FALSE)^2/2))/VLOOKUP(B32,LGD_para,3,FALSE)-(VLOOKUP(B32,LGD_para,3,FALSE))-H32*(NORMSDIST(-LN(H32)+(VLOOKUP(B32,LGD_para,3,FALSE)^2/2))/VLOOKUP(B32,LGD_para,3,FALSE)))/LOGNORMDIST(1,LN(H32),(VLOOKUP(B32,LGD_para,3,FALSE)))*'LGD parameters'!$D$11</f>
        <v>0.26714251488777335</v>
      </c>
      <c r="J32" s="40">
        <f>VLOOKUP(E32,'PD Term Structure'!$C$5:$D$14,2,TRUE)</f>
        <v>4</v>
      </c>
      <c r="K32" s="43">
        <f>VLOOKUP(J32,'Master rating scale'!$G$5:$H$14,2,FALSE)</f>
        <v>4</v>
      </c>
      <c r="L32" s="62">
        <f t="shared" si="0"/>
        <v>1.931344511236904E-2</v>
      </c>
      <c r="N32" s="40">
        <f>VLOOKUP(F32,'PD Term Structure'!$C$5:$D$14,2,TRUE)</f>
        <v>4</v>
      </c>
      <c r="O32" s="43">
        <f>VLOOKUP(N32,'Master rating scale'!$G$5:$H$14,2,FALSE)</f>
        <v>4</v>
      </c>
      <c r="P32" s="62">
        <f t="shared" si="1"/>
        <v>1.931344511236904E-2</v>
      </c>
      <c r="R32" s="40">
        <f>VLOOKUP(G32,'PD Term Structure'!$C$5:$D$14,2,TRUE)</f>
        <v>5</v>
      </c>
      <c r="S32" s="43">
        <f>VLOOKUP(R32,'Master rating scale'!$G$5:$H$14,2,FALSE)</f>
        <v>5</v>
      </c>
      <c r="T32" s="62">
        <f t="shared" si="2"/>
        <v>2.41418063904613E-2</v>
      </c>
    </row>
    <row r="33" spans="1:20" ht="14">
      <c r="A33" s="36">
        <v>350539</v>
      </c>
      <c r="B33" s="81" t="s">
        <v>18</v>
      </c>
      <c r="C33" s="37" t="s">
        <v>29</v>
      </c>
      <c r="D33" s="39">
        <v>10000</v>
      </c>
      <c r="E33" s="38">
        <v>4.4999999999999998E-2</v>
      </c>
      <c r="F33" s="38">
        <f>INDEX('PD Term Structure'!$E$17:$N$26,MATCH($J33,'PD Term Structure'!$D$17:$D$26,0),MATCH(F$2,'PD Term Structure'!$E$16:$N$16,0))</f>
        <v>5.2108354430379748E-2</v>
      </c>
      <c r="G33" s="38">
        <f>INDEX('PD Term Structure'!$E$17:$N$26,MATCH($J33,'PD Term Structure'!$D$17:$D$26,0),MATCH(G$2,'PD Term Structure'!$E$16:$N$16,0))</f>
        <v>6.3676339047537805E-2</v>
      </c>
      <c r="H33" s="82">
        <f>VLOOKUP(B33,'LGD parameters'!$C$7:$E$11,2,FALSE)</f>
        <v>0.62956863668283192</v>
      </c>
      <c r="I33" s="82">
        <f>(NORMSDIST(-LN(H33)+(VLOOKUP(B33,LGD_para,3,FALSE)^2/2))/VLOOKUP(B33,LGD_para,3,FALSE)-(VLOOKUP(B33,LGD_para,3,FALSE))-H33*(NORMSDIST(-LN(H33)+(VLOOKUP(B33,LGD_para,3,FALSE)^2/2))/VLOOKUP(B33,LGD_para,3,FALSE)))/LOGNORMDIST(1,LN(H33),(VLOOKUP(B33,LGD_para,3,FALSE)))*'LGD parameters'!$D$11</f>
        <v>0.26714251488777335</v>
      </c>
      <c r="J33" s="40">
        <f>VLOOKUP(E33,'PD Term Structure'!$C$5:$D$14,2,TRUE)</f>
        <v>4</v>
      </c>
      <c r="K33" s="43">
        <f>VLOOKUP(J33,'Master rating scale'!$G$5:$H$14,2,FALSE)</f>
        <v>4</v>
      </c>
      <c r="L33" s="62">
        <f t="shared" si="0"/>
        <v>1.931344511236904E-2</v>
      </c>
      <c r="N33" s="40">
        <f>VLOOKUP(F33,'PD Term Structure'!$C$5:$D$14,2,TRUE)</f>
        <v>4</v>
      </c>
      <c r="O33" s="43">
        <f>VLOOKUP(N33,'Master rating scale'!$G$5:$H$14,2,FALSE)</f>
        <v>4</v>
      </c>
      <c r="P33" s="62">
        <f t="shared" si="1"/>
        <v>1.931344511236904E-2</v>
      </c>
      <c r="R33" s="40">
        <f>VLOOKUP(G33,'PD Term Structure'!$C$5:$D$14,2,TRUE)</f>
        <v>5</v>
      </c>
      <c r="S33" s="43">
        <f>VLOOKUP(R33,'Master rating scale'!$G$5:$H$14,2,FALSE)</f>
        <v>5</v>
      </c>
      <c r="T33" s="62">
        <f t="shared" si="2"/>
        <v>2.41418063904613E-2</v>
      </c>
    </row>
    <row r="34" spans="1:20" ht="14">
      <c r="A34" s="36">
        <v>362321</v>
      </c>
      <c r="B34" s="81" t="s">
        <v>18</v>
      </c>
      <c r="C34" s="37" t="s">
        <v>29</v>
      </c>
      <c r="D34" s="39">
        <v>10000</v>
      </c>
      <c r="E34" s="38">
        <v>4.4999999999999998E-2</v>
      </c>
      <c r="F34" s="38">
        <f>INDEX('PD Term Structure'!$E$17:$N$26,MATCH($J34,'PD Term Structure'!$D$17:$D$26,0),MATCH(F$2,'PD Term Structure'!$E$16:$N$16,0))</f>
        <v>5.2108354430379748E-2</v>
      </c>
      <c r="G34" s="38">
        <f>INDEX('PD Term Structure'!$E$17:$N$26,MATCH($J34,'PD Term Structure'!$D$17:$D$26,0),MATCH(G$2,'PD Term Structure'!$E$16:$N$16,0))</f>
        <v>6.3676339047537805E-2</v>
      </c>
      <c r="H34" s="82">
        <f>VLOOKUP(B34,'LGD parameters'!$C$7:$E$11,2,FALSE)</f>
        <v>0.62956863668283192</v>
      </c>
      <c r="I34" s="82">
        <f>(NORMSDIST(-LN(H34)+(VLOOKUP(B34,LGD_para,3,FALSE)^2/2))/VLOOKUP(B34,LGD_para,3,FALSE)-(VLOOKUP(B34,LGD_para,3,FALSE))-H34*(NORMSDIST(-LN(H34)+(VLOOKUP(B34,LGD_para,3,FALSE)^2/2))/VLOOKUP(B34,LGD_para,3,FALSE)))/LOGNORMDIST(1,LN(H34),(VLOOKUP(B34,LGD_para,3,FALSE)))*'LGD parameters'!$D$11</f>
        <v>0.26714251488777335</v>
      </c>
      <c r="J34" s="40">
        <f>VLOOKUP(E34,'PD Term Structure'!$C$5:$D$14,2,TRUE)</f>
        <v>4</v>
      </c>
      <c r="K34" s="43">
        <f>VLOOKUP(J34,'Master rating scale'!$G$5:$H$14,2,FALSE)</f>
        <v>4</v>
      </c>
      <c r="L34" s="62">
        <f t="shared" si="0"/>
        <v>1.931344511236904E-2</v>
      </c>
      <c r="N34" s="40">
        <f>VLOOKUP(F34,'PD Term Structure'!$C$5:$D$14,2,TRUE)</f>
        <v>4</v>
      </c>
      <c r="O34" s="43">
        <f>VLOOKUP(N34,'Master rating scale'!$G$5:$H$14,2,FALSE)</f>
        <v>4</v>
      </c>
      <c r="P34" s="62">
        <f t="shared" si="1"/>
        <v>1.931344511236904E-2</v>
      </c>
      <c r="R34" s="40">
        <f>VLOOKUP(G34,'PD Term Structure'!$C$5:$D$14,2,TRUE)</f>
        <v>5</v>
      </c>
      <c r="S34" s="43">
        <f>VLOOKUP(R34,'Master rating scale'!$G$5:$H$14,2,FALSE)</f>
        <v>5</v>
      </c>
      <c r="T34" s="62">
        <f t="shared" si="2"/>
        <v>2.41418063904613E-2</v>
      </c>
    </row>
    <row r="35" spans="1:20" ht="14">
      <c r="A35" s="36">
        <v>370766</v>
      </c>
      <c r="B35" s="81" t="s">
        <v>18</v>
      </c>
      <c r="C35" s="37" t="s">
        <v>29</v>
      </c>
      <c r="D35" s="39">
        <v>10000</v>
      </c>
      <c r="E35" s="38">
        <v>4.4999999999999998E-2</v>
      </c>
      <c r="F35" s="38">
        <f>INDEX('PD Term Structure'!$E$17:$N$26,MATCH($J35,'PD Term Structure'!$D$17:$D$26,0),MATCH(F$2,'PD Term Structure'!$E$16:$N$16,0))</f>
        <v>5.2108354430379748E-2</v>
      </c>
      <c r="G35" s="38">
        <f>INDEX('PD Term Structure'!$E$17:$N$26,MATCH($J35,'PD Term Structure'!$D$17:$D$26,0),MATCH(G$2,'PD Term Structure'!$E$16:$N$16,0))</f>
        <v>6.3676339047537805E-2</v>
      </c>
      <c r="H35" s="82">
        <f>VLOOKUP(B35,'LGD parameters'!$C$7:$E$11,2,FALSE)</f>
        <v>0.62956863668283192</v>
      </c>
      <c r="I35" s="82">
        <f>(NORMSDIST(-LN(H35)+(VLOOKUP(B35,LGD_para,3,FALSE)^2/2))/VLOOKUP(B35,LGD_para,3,FALSE)-(VLOOKUP(B35,LGD_para,3,FALSE))-H35*(NORMSDIST(-LN(H35)+(VLOOKUP(B35,LGD_para,3,FALSE)^2/2))/VLOOKUP(B35,LGD_para,3,FALSE)))/LOGNORMDIST(1,LN(H35),(VLOOKUP(B35,LGD_para,3,FALSE)))*'LGD parameters'!$D$11</f>
        <v>0.26714251488777335</v>
      </c>
      <c r="J35" s="40">
        <f>VLOOKUP(E35,'PD Term Structure'!$C$5:$D$14,2,TRUE)</f>
        <v>4</v>
      </c>
      <c r="K35" s="43">
        <f>VLOOKUP(J35,'Master rating scale'!$G$5:$H$14,2,FALSE)</f>
        <v>4</v>
      </c>
      <c r="L35" s="62">
        <f t="shared" si="0"/>
        <v>1.931344511236904E-2</v>
      </c>
      <c r="N35" s="40">
        <f>VLOOKUP(F35,'PD Term Structure'!$C$5:$D$14,2,TRUE)</f>
        <v>4</v>
      </c>
      <c r="O35" s="43">
        <f>VLOOKUP(N35,'Master rating scale'!$G$5:$H$14,2,FALSE)</f>
        <v>4</v>
      </c>
      <c r="P35" s="62">
        <f t="shared" si="1"/>
        <v>1.931344511236904E-2</v>
      </c>
      <c r="R35" s="40">
        <f>VLOOKUP(G35,'PD Term Structure'!$C$5:$D$14,2,TRUE)</f>
        <v>5</v>
      </c>
      <c r="S35" s="43">
        <f>VLOOKUP(R35,'Master rating scale'!$G$5:$H$14,2,FALSE)</f>
        <v>5</v>
      </c>
      <c r="T35" s="62">
        <f t="shared" si="2"/>
        <v>2.41418063904613E-2</v>
      </c>
    </row>
    <row r="36" spans="1:20" ht="14">
      <c r="A36" s="36">
        <v>371890</v>
      </c>
      <c r="B36" s="81" t="s">
        <v>18</v>
      </c>
      <c r="C36" s="37" t="s">
        <v>29</v>
      </c>
      <c r="D36" s="39">
        <v>10000</v>
      </c>
      <c r="E36" s="38">
        <v>4.4999999999999998E-2</v>
      </c>
      <c r="F36" s="38">
        <f>INDEX('PD Term Structure'!$E$17:$N$26,MATCH($J36,'PD Term Structure'!$D$17:$D$26,0),MATCH(F$2,'PD Term Structure'!$E$16:$N$16,0))</f>
        <v>5.2108354430379748E-2</v>
      </c>
      <c r="G36" s="38">
        <f>INDEX('PD Term Structure'!$E$17:$N$26,MATCH($J36,'PD Term Structure'!$D$17:$D$26,0),MATCH(G$2,'PD Term Structure'!$E$16:$N$16,0))</f>
        <v>6.3676339047537805E-2</v>
      </c>
      <c r="H36" s="82">
        <f>VLOOKUP(B36,'LGD parameters'!$C$7:$E$11,2,FALSE)</f>
        <v>0.62956863668283192</v>
      </c>
      <c r="I36" s="82">
        <f>(NORMSDIST(-LN(H36)+(VLOOKUP(B36,LGD_para,3,FALSE)^2/2))/VLOOKUP(B36,LGD_para,3,FALSE)-(VLOOKUP(B36,LGD_para,3,FALSE))-H36*(NORMSDIST(-LN(H36)+(VLOOKUP(B36,LGD_para,3,FALSE)^2/2))/VLOOKUP(B36,LGD_para,3,FALSE)))/LOGNORMDIST(1,LN(H36),(VLOOKUP(B36,LGD_para,3,FALSE)))*'LGD parameters'!$D$11</f>
        <v>0.26714251488777335</v>
      </c>
      <c r="J36" s="40">
        <f>VLOOKUP(E36,'PD Term Structure'!$C$5:$D$14,2,TRUE)</f>
        <v>4</v>
      </c>
      <c r="K36" s="43">
        <f>VLOOKUP(J36,'Master rating scale'!$G$5:$H$14,2,FALSE)</f>
        <v>4</v>
      </c>
      <c r="L36" s="62">
        <f t="shared" ref="L36:L67" si="3">D36/$D$118*K36</f>
        <v>1.931344511236904E-2</v>
      </c>
      <c r="N36" s="40">
        <f>VLOOKUP(F36,'PD Term Structure'!$C$5:$D$14,2,TRUE)</f>
        <v>4</v>
      </c>
      <c r="O36" s="43">
        <f>VLOOKUP(N36,'Master rating scale'!$G$5:$H$14,2,FALSE)</f>
        <v>4</v>
      </c>
      <c r="P36" s="62">
        <f t="shared" ref="P36:P67" si="4">$D36/$D$118*O36</f>
        <v>1.931344511236904E-2</v>
      </c>
      <c r="R36" s="40">
        <f>VLOOKUP(G36,'PD Term Structure'!$C$5:$D$14,2,TRUE)</f>
        <v>5</v>
      </c>
      <c r="S36" s="43">
        <f>VLOOKUP(R36,'Master rating scale'!$G$5:$H$14,2,FALSE)</f>
        <v>5</v>
      </c>
      <c r="T36" s="62">
        <f t="shared" ref="T36:T67" si="5">$D36/$D$118*S36</f>
        <v>2.41418063904613E-2</v>
      </c>
    </row>
    <row r="37" spans="1:20" ht="14">
      <c r="A37" s="36">
        <v>379291</v>
      </c>
      <c r="B37" s="81" t="s">
        <v>18</v>
      </c>
      <c r="C37" s="37" t="s">
        <v>29</v>
      </c>
      <c r="D37" s="39">
        <v>10000</v>
      </c>
      <c r="E37" s="38">
        <v>4.4999999999999998E-2</v>
      </c>
      <c r="F37" s="38">
        <f>INDEX('PD Term Structure'!$E$17:$N$26,MATCH($J37,'PD Term Structure'!$D$17:$D$26,0),MATCH(F$2,'PD Term Structure'!$E$16:$N$16,0))</f>
        <v>5.2108354430379748E-2</v>
      </c>
      <c r="G37" s="38">
        <f>INDEX('PD Term Structure'!$E$17:$N$26,MATCH($J37,'PD Term Structure'!$D$17:$D$26,0),MATCH(G$2,'PD Term Structure'!$E$16:$N$16,0))</f>
        <v>6.3676339047537805E-2</v>
      </c>
      <c r="H37" s="82">
        <f>VLOOKUP(B37,'LGD parameters'!$C$7:$E$11,2,FALSE)</f>
        <v>0.62956863668283192</v>
      </c>
      <c r="I37" s="82">
        <f>(NORMSDIST(-LN(H37)+(VLOOKUP(B37,LGD_para,3,FALSE)^2/2))/VLOOKUP(B37,LGD_para,3,FALSE)-(VLOOKUP(B37,LGD_para,3,FALSE))-H37*(NORMSDIST(-LN(H37)+(VLOOKUP(B37,LGD_para,3,FALSE)^2/2))/VLOOKUP(B37,LGD_para,3,FALSE)))/LOGNORMDIST(1,LN(H37),(VLOOKUP(B37,LGD_para,3,FALSE)))*'LGD parameters'!$D$11</f>
        <v>0.26714251488777335</v>
      </c>
      <c r="J37" s="40">
        <f>VLOOKUP(E37,'PD Term Structure'!$C$5:$D$14,2,TRUE)</f>
        <v>4</v>
      </c>
      <c r="K37" s="43">
        <f>VLOOKUP(J37,'Master rating scale'!$G$5:$H$14,2,FALSE)</f>
        <v>4</v>
      </c>
      <c r="L37" s="62">
        <f t="shared" si="3"/>
        <v>1.931344511236904E-2</v>
      </c>
      <c r="N37" s="40">
        <f>VLOOKUP(F37,'PD Term Structure'!$C$5:$D$14,2,TRUE)</f>
        <v>4</v>
      </c>
      <c r="O37" s="43">
        <f>VLOOKUP(N37,'Master rating scale'!$G$5:$H$14,2,FALSE)</f>
        <v>4</v>
      </c>
      <c r="P37" s="62">
        <f t="shared" si="4"/>
        <v>1.931344511236904E-2</v>
      </c>
      <c r="R37" s="40">
        <f>VLOOKUP(G37,'PD Term Structure'!$C$5:$D$14,2,TRUE)</f>
        <v>5</v>
      </c>
      <c r="S37" s="43">
        <f>VLOOKUP(R37,'Master rating scale'!$G$5:$H$14,2,FALSE)</f>
        <v>5</v>
      </c>
      <c r="T37" s="62">
        <f t="shared" si="5"/>
        <v>2.41418063904613E-2</v>
      </c>
    </row>
    <row r="38" spans="1:20" ht="14">
      <c r="A38" s="36">
        <v>423623</v>
      </c>
      <c r="B38" s="81" t="s">
        <v>18</v>
      </c>
      <c r="C38" s="37" t="s">
        <v>29</v>
      </c>
      <c r="D38" s="39">
        <v>10000</v>
      </c>
      <c r="E38" s="38">
        <v>4.4999999999999998E-2</v>
      </c>
      <c r="F38" s="38">
        <f>INDEX('PD Term Structure'!$E$17:$N$26,MATCH($J38,'PD Term Structure'!$D$17:$D$26,0),MATCH(F$2,'PD Term Structure'!$E$16:$N$16,0))</f>
        <v>5.2108354430379748E-2</v>
      </c>
      <c r="G38" s="38">
        <f>INDEX('PD Term Structure'!$E$17:$N$26,MATCH($J38,'PD Term Structure'!$D$17:$D$26,0),MATCH(G$2,'PD Term Structure'!$E$16:$N$16,0))</f>
        <v>6.3676339047537805E-2</v>
      </c>
      <c r="H38" s="82">
        <f>VLOOKUP(B38,'LGD parameters'!$C$7:$E$11,2,FALSE)</f>
        <v>0.62956863668283192</v>
      </c>
      <c r="I38" s="82">
        <f>(NORMSDIST(-LN(H38)+(VLOOKUP(B38,LGD_para,3,FALSE)^2/2))/VLOOKUP(B38,LGD_para,3,FALSE)-(VLOOKUP(B38,LGD_para,3,FALSE))-H38*(NORMSDIST(-LN(H38)+(VLOOKUP(B38,LGD_para,3,FALSE)^2/2))/VLOOKUP(B38,LGD_para,3,FALSE)))/LOGNORMDIST(1,LN(H38),(VLOOKUP(B38,LGD_para,3,FALSE)))*'LGD parameters'!$D$11</f>
        <v>0.26714251488777335</v>
      </c>
      <c r="J38" s="40">
        <f>VLOOKUP(E38,'PD Term Structure'!$C$5:$D$14,2,TRUE)</f>
        <v>4</v>
      </c>
      <c r="K38" s="43">
        <f>VLOOKUP(J38,'Master rating scale'!$G$5:$H$14,2,FALSE)</f>
        <v>4</v>
      </c>
      <c r="L38" s="62">
        <f t="shared" si="3"/>
        <v>1.931344511236904E-2</v>
      </c>
      <c r="N38" s="40">
        <f>VLOOKUP(F38,'PD Term Structure'!$C$5:$D$14,2,TRUE)</f>
        <v>4</v>
      </c>
      <c r="O38" s="43">
        <f>VLOOKUP(N38,'Master rating scale'!$G$5:$H$14,2,FALSE)</f>
        <v>4</v>
      </c>
      <c r="P38" s="62">
        <f t="shared" si="4"/>
        <v>1.931344511236904E-2</v>
      </c>
      <c r="R38" s="40">
        <f>VLOOKUP(G38,'PD Term Structure'!$C$5:$D$14,2,TRUE)</f>
        <v>5</v>
      </c>
      <c r="S38" s="43">
        <f>VLOOKUP(R38,'Master rating scale'!$G$5:$H$14,2,FALSE)</f>
        <v>5</v>
      </c>
      <c r="T38" s="62">
        <f t="shared" si="5"/>
        <v>2.41418063904613E-2</v>
      </c>
    </row>
    <row r="39" spans="1:20" ht="14">
      <c r="A39" s="36">
        <v>63168</v>
      </c>
      <c r="B39" s="81" t="s">
        <v>18</v>
      </c>
      <c r="C39" s="37" t="s">
        <v>29</v>
      </c>
      <c r="D39" s="39">
        <v>10260</v>
      </c>
      <c r="E39" s="38">
        <v>4.4999999999999998E-2</v>
      </c>
      <c r="F39" s="38">
        <f>INDEX('PD Term Structure'!$E$17:$N$26,MATCH($J39,'PD Term Structure'!$D$17:$D$26,0),MATCH(F$2,'PD Term Structure'!$E$16:$N$16,0))</f>
        <v>5.2108354430379748E-2</v>
      </c>
      <c r="G39" s="38">
        <f>INDEX('PD Term Structure'!$E$17:$N$26,MATCH($J39,'PD Term Structure'!$D$17:$D$26,0),MATCH(G$2,'PD Term Structure'!$E$16:$N$16,0))</f>
        <v>6.3676339047537805E-2</v>
      </c>
      <c r="H39" s="82">
        <f>VLOOKUP(B39,'LGD parameters'!$C$7:$E$11,2,FALSE)</f>
        <v>0.62956863668283192</v>
      </c>
      <c r="I39" s="82">
        <f>(NORMSDIST(-LN(H39)+(VLOOKUP(B39,LGD_para,3,FALSE)^2/2))/VLOOKUP(B39,LGD_para,3,FALSE)-(VLOOKUP(B39,LGD_para,3,FALSE))-H39*(NORMSDIST(-LN(H39)+(VLOOKUP(B39,LGD_para,3,FALSE)^2/2))/VLOOKUP(B39,LGD_para,3,FALSE)))/LOGNORMDIST(1,LN(H39),(VLOOKUP(B39,LGD_para,3,FALSE)))*'LGD parameters'!$D$11</f>
        <v>0.26714251488777335</v>
      </c>
      <c r="J39" s="40">
        <f>VLOOKUP(E39,'PD Term Structure'!$C$5:$D$14,2,TRUE)</f>
        <v>4</v>
      </c>
      <c r="K39" s="43">
        <f>VLOOKUP(J39,'Master rating scale'!$G$5:$H$14,2,FALSE)</f>
        <v>4</v>
      </c>
      <c r="L39" s="62">
        <f t="shared" si="3"/>
        <v>1.9815594685290636E-2</v>
      </c>
      <c r="N39" s="40">
        <f>VLOOKUP(F39,'PD Term Structure'!$C$5:$D$14,2,TRUE)</f>
        <v>4</v>
      </c>
      <c r="O39" s="43">
        <f>VLOOKUP(N39,'Master rating scale'!$G$5:$H$14,2,FALSE)</f>
        <v>4</v>
      </c>
      <c r="P39" s="62">
        <f t="shared" si="4"/>
        <v>1.9815594685290636E-2</v>
      </c>
      <c r="R39" s="40">
        <f>VLOOKUP(G39,'PD Term Structure'!$C$5:$D$14,2,TRUE)</f>
        <v>5</v>
      </c>
      <c r="S39" s="43">
        <f>VLOOKUP(R39,'Master rating scale'!$G$5:$H$14,2,FALSE)</f>
        <v>5</v>
      </c>
      <c r="T39" s="62">
        <f t="shared" si="5"/>
        <v>2.4769493356613295E-2</v>
      </c>
    </row>
    <row r="40" spans="1:20" ht="14">
      <c r="A40" s="36">
        <v>79087</v>
      </c>
      <c r="B40" s="81" t="s">
        <v>18</v>
      </c>
      <c r="C40" s="37" t="s">
        <v>29</v>
      </c>
      <c r="D40" s="39">
        <v>11008.5</v>
      </c>
      <c r="E40" s="38">
        <v>4.4999999999999998E-2</v>
      </c>
      <c r="F40" s="38">
        <f>INDEX('PD Term Structure'!$E$17:$N$26,MATCH($J40,'PD Term Structure'!$D$17:$D$26,0),MATCH(F$2,'PD Term Structure'!$E$16:$N$16,0))</f>
        <v>5.2108354430379748E-2</v>
      </c>
      <c r="G40" s="38">
        <f>INDEX('PD Term Structure'!$E$17:$N$26,MATCH($J40,'PD Term Structure'!$D$17:$D$26,0),MATCH(G$2,'PD Term Structure'!$E$16:$N$16,0))</f>
        <v>6.3676339047537805E-2</v>
      </c>
      <c r="H40" s="82">
        <f>VLOOKUP(B40,'LGD parameters'!$C$7:$E$11,2,FALSE)</f>
        <v>0.62956863668283192</v>
      </c>
      <c r="I40" s="82">
        <f>(NORMSDIST(-LN(H40)+(VLOOKUP(B40,LGD_para,3,FALSE)^2/2))/VLOOKUP(B40,LGD_para,3,FALSE)-(VLOOKUP(B40,LGD_para,3,FALSE))-H40*(NORMSDIST(-LN(H40)+(VLOOKUP(B40,LGD_para,3,FALSE)^2/2))/VLOOKUP(B40,LGD_para,3,FALSE)))/LOGNORMDIST(1,LN(H40),(VLOOKUP(B40,LGD_para,3,FALSE)))*'LGD parameters'!$D$11</f>
        <v>0.26714251488777335</v>
      </c>
      <c r="J40" s="40">
        <f>VLOOKUP(E40,'PD Term Structure'!$C$5:$D$14,2,TRUE)</f>
        <v>4</v>
      </c>
      <c r="K40" s="43">
        <f>VLOOKUP(J40,'Master rating scale'!$G$5:$H$14,2,FALSE)</f>
        <v>4</v>
      </c>
      <c r="L40" s="62">
        <f t="shared" si="3"/>
        <v>2.1261206051951458E-2</v>
      </c>
      <c r="N40" s="40">
        <f>VLOOKUP(F40,'PD Term Structure'!$C$5:$D$14,2,TRUE)</f>
        <v>4</v>
      </c>
      <c r="O40" s="43">
        <f>VLOOKUP(N40,'Master rating scale'!$G$5:$H$14,2,FALSE)</f>
        <v>4</v>
      </c>
      <c r="P40" s="62">
        <f t="shared" si="4"/>
        <v>2.1261206051951458E-2</v>
      </c>
      <c r="R40" s="40">
        <f>VLOOKUP(G40,'PD Term Structure'!$C$5:$D$14,2,TRUE)</f>
        <v>5</v>
      </c>
      <c r="S40" s="43">
        <f>VLOOKUP(R40,'Master rating scale'!$G$5:$H$14,2,FALSE)</f>
        <v>5</v>
      </c>
      <c r="T40" s="62">
        <f t="shared" si="5"/>
        <v>2.6576507564939324E-2</v>
      </c>
    </row>
    <row r="41" spans="1:20" ht="14">
      <c r="A41" s="36">
        <v>115222</v>
      </c>
      <c r="B41" s="81" t="s">
        <v>18</v>
      </c>
      <c r="C41" s="37" t="s">
        <v>29</v>
      </c>
      <c r="D41" s="39">
        <v>11250</v>
      </c>
      <c r="E41" s="38">
        <v>4.4999999999999998E-2</v>
      </c>
      <c r="F41" s="38">
        <f>INDEX('PD Term Structure'!$E$17:$N$26,MATCH($J41,'PD Term Structure'!$D$17:$D$26,0),MATCH(F$2,'PD Term Structure'!$E$16:$N$16,0))</f>
        <v>5.2108354430379748E-2</v>
      </c>
      <c r="G41" s="38">
        <f>INDEX('PD Term Structure'!$E$17:$N$26,MATCH($J41,'PD Term Structure'!$D$17:$D$26,0),MATCH(G$2,'PD Term Structure'!$E$16:$N$16,0))</f>
        <v>6.3676339047537805E-2</v>
      </c>
      <c r="H41" s="82">
        <f>VLOOKUP(B41,'LGD parameters'!$C$7:$E$11,2,FALSE)</f>
        <v>0.62956863668283192</v>
      </c>
      <c r="I41" s="82">
        <f>(NORMSDIST(-LN(H41)+(VLOOKUP(B41,LGD_para,3,FALSE)^2/2))/VLOOKUP(B41,LGD_para,3,FALSE)-(VLOOKUP(B41,LGD_para,3,FALSE))-H41*(NORMSDIST(-LN(H41)+(VLOOKUP(B41,LGD_para,3,FALSE)^2/2))/VLOOKUP(B41,LGD_para,3,FALSE)))/LOGNORMDIST(1,LN(H41),(VLOOKUP(B41,LGD_para,3,FALSE)))*'LGD parameters'!$D$11</f>
        <v>0.26714251488777335</v>
      </c>
      <c r="J41" s="40">
        <f>VLOOKUP(E41,'PD Term Structure'!$C$5:$D$14,2,TRUE)</f>
        <v>4</v>
      </c>
      <c r="K41" s="43">
        <f>VLOOKUP(J41,'Master rating scale'!$G$5:$H$14,2,FALSE)</f>
        <v>4</v>
      </c>
      <c r="L41" s="62">
        <f t="shared" si="3"/>
        <v>2.172762575141517E-2</v>
      </c>
      <c r="N41" s="40">
        <f>VLOOKUP(F41,'PD Term Structure'!$C$5:$D$14,2,TRUE)</f>
        <v>4</v>
      </c>
      <c r="O41" s="43">
        <f>VLOOKUP(N41,'Master rating scale'!$G$5:$H$14,2,FALSE)</f>
        <v>4</v>
      </c>
      <c r="P41" s="62">
        <f t="shared" si="4"/>
        <v>2.172762575141517E-2</v>
      </c>
      <c r="R41" s="40">
        <f>VLOOKUP(G41,'PD Term Structure'!$C$5:$D$14,2,TRUE)</f>
        <v>5</v>
      </c>
      <c r="S41" s="43">
        <f>VLOOKUP(R41,'Master rating scale'!$G$5:$H$14,2,FALSE)</f>
        <v>5</v>
      </c>
      <c r="T41" s="62">
        <f t="shared" si="5"/>
        <v>2.7159532189268962E-2</v>
      </c>
    </row>
    <row r="42" spans="1:20" ht="14">
      <c r="A42" s="36">
        <v>245395</v>
      </c>
      <c r="B42" s="81" t="s">
        <v>18</v>
      </c>
      <c r="C42" s="37" t="s">
        <v>29</v>
      </c>
      <c r="D42" s="39">
        <v>11259.5</v>
      </c>
      <c r="E42" s="38">
        <v>4.4999999999999998E-2</v>
      </c>
      <c r="F42" s="38">
        <f>INDEX('PD Term Structure'!$E$17:$N$26,MATCH($J42,'PD Term Structure'!$D$17:$D$26,0),MATCH(F$2,'PD Term Structure'!$E$16:$N$16,0))</f>
        <v>5.2108354430379748E-2</v>
      </c>
      <c r="G42" s="38">
        <f>INDEX('PD Term Structure'!$E$17:$N$26,MATCH($J42,'PD Term Structure'!$D$17:$D$26,0),MATCH(G$2,'PD Term Structure'!$E$16:$N$16,0))</f>
        <v>6.3676339047537805E-2</v>
      </c>
      <c r="H42" s="82">
        <f>VLOOKUP(B42,'LGD parameters'!$C$7:$E$11,2,FALSE)</f>
        <v>0.62956863668283192</v>
      </c>
      <c r="I42" s="82">
        <f>(NORMSDIST(-LN(H42)+(VLOOKUP(B42,LGD_para,3,FALSE)^2/2))/VLOOKUP(B42,LGD_para,3,FALSE)-(VLOOKUP(B42,LGD_para,3,FALSE))-H42*(NORMSDIST(-LN(H42)+(VLOOKUP(B42,LGD_para,3,FALSE)^2/2))/VLOOKUP(B42,LGD_para,3,FALSE)))/LOGNORMDIST(1,LN(H42),(VLOOKUP(B42,LGD_para,3,FALSE)))*'LGD parameters'!$D$11</f>
        <v>0.26714251488777335</v>
      </c>
      <c r="J42" s="40">
        <f>VLOOKUP(E42,'PD Term Structure'!$C$5:$D$14,2,TRUE)</f>
        <v>4</v>
      </c>
      <c r="K42" s="43">
        <f>VLOOKUP(J42,'Master rating scale'!$G$5:$H$14,2,FALSE)</f>
        <v>4</v>
      </c>
      <c r="L42" s="62">
        <f t="shared" si="3"/>
        <v>2.1745973524271923E-2</v>
      </c>
      <c r="N42" s="40">
        <f>VLOOKUP(F42,'PD Term Structure'!$C$5:$D$14,2,TRUE)</f>
        <v>4</v>
      </c>
      <c r="O42" s="43">
        <f>VLOOKUP(N42,'Master rating scale'!$G$5:$H$14,2,FALSE)</f>
        <v>4</v>
      </c>
      <c r="P42" s="62">
        <f t="shared" si="4"/>
        <v>2.1745973524271923E-2</v>
      </c>
      <c r="R42" s="40">
        <f>VLOOKUP(G42,'PD Term Structure'!$C$5:$D$14,2,TRUE)</f>
        <v>5</v>
      </c>
      <c r="S42" s="43">
        <f>VLOOKUP(R42,'Master rating scale'!$G$5:$H$14,2,FALSE)</f>
        <v>5</v>
      </c>
      <c r="T42" s="62">
        <f t="shared" si="5"/>
        <v>2.7182466905339903E-2</v>
      </c>
    </row>
    <row r="43" spans="1:20" ht="14">
      <c r="A43" s="36">
        <v>91652</v>
      </c>
      <c r="B43" s="81" t="s">
        <v>18</v>
      </c>
      <c r="C43" s="37" t="s">
        <v>29</v>
      </c>
      <c r="D43" s="39">
        <v>12000</v>
      </c>
      <c r="E43" s="38">
        <v>4.4999999999999998E-2</v>
      </c>
      <c r="F43" s="38">
        <f>INDEX('PD Term Structure'!$E$17:$N$26,MATCH($J43,'PD Term Structure'!$D$17:$D$26,0),MATCH(F$2,'PD Term Structure'!$E$16:$N$16,0))</f>
        <v>5.2108354430379748E-2</v>
      </c>
      <c r="G43" s="38">
        <f>INDEX('PD Term Structure'!$E$17:$N$26,MATCH($J43,'PD Term Structure'!$D$17:$D$26,0),MATCH(G$2,'PD Term Structure'!$E$16:$N$16,0))</f>
        <v>6.3676339047537805E-2</v>
      </c>
      <c r="H43" s="82">
        <f>VLOOKUP(B43,'LGD parameters'!$C$7:$E$11,2,FALSE)</f>
        <v>0.62956863668283192</v>
      </c>
      <c r="I43" s="82">
        <f>(NORMSDIST(-LN(H43)+(VLOOKUP(B43,LGD_para,3,FALSE)^2/2))/VLOOKUP(B43,LGD_para,3,FALSE)-(VLOOKUP(B43,LGD_para,3,FALSE))-H43*(NORMSDIST(-LN(H43)+(VLOOKUP(B43,LGD_para,3,FALSE)^2/2))/VLOOKUP(B43,LGD_para,3,FALSE)))/LOGNORMDIST(1,LN(H43),(VLOOKUP(B43,LGD_para,3,FALSE)))*'LGD parameters'!$D$11</f>
        <v>0.26714251488777335</v>
      </c>
      <c r="J43" s="40">
        <f>VLOOKUP(E43,'PD Term Structure'!$C$5:$D$14,2,TRUE)</f>
        <v>4</v>
      </c>
      <c r="K43" s="43">
        <f>VLOOKUP(J43,'Master rating scale'!$G$5:$H$14,2,FALSE)</f>
        <v>4</v>
      </c>
      <c r="L43" s="62">
        <f t="shared" si="3"/>
        <v>2.317613413484285E-2</v>
      </c>
      <c r="N43" s="40">
        <f>VLOOKUP(F43,'PD Term Structure'!$C$5:$D$14,2,TRUE)</f>
        <v>4</v>
      </c>
      <c r="O43" s="43">
        <f>VLOOKUP(N43,'Master rating scale'!$G$5:$H$14,2,FALSE)</f>
        <v>4</v>
      </c>
      <c r="P43" s="62">
        <f t="shared" si="4"/>
        <v>2.317613413484285E-2</v>
      </c>
      <c r="R43" s="40">
        <f>VLOOKUP(G43,'PD Term Structure'!$C$5:$D$14,2,TRUE)</f>
        <v>5</v>
      </c>
      <c r="S43" s="43">
        <f>VLOOKUP(R43,'Master rating scale'!$G$5:$H$14,2,FALSE)</f>
        <v>5</v>
      </c>
      <c r="T43" s="62">
        <f t="shared" si="5"/>
        <v>2.8970167668553561E-2</v>
      </c>
    </row>
    <row r="44" spans="1:20" ht="14">
      <c r="A44" s="36">
        <v>341410</v>
      </c>
      <c r="B44" s="81" t="s">
        <v>18</v>
      </c>
      <c r="C44" s="37" t="s">
        <v>29</v>
      </c>
      <c r="D44" s="39">
        <v>12500</v>
      </c>
      <c r="E44" s="38">
        <v>4.4999999999999998E-2</v>
      </c>
      <c r="F44" s="38">
        <f>INDEX('PD Term Structure'!$E$17:$N$26,MATCH($J44,'PD Term Structure'!$D$17:$D$26,0),MATCH(F$2,'PD Term Structure'!$E$16:$N$16,0))</f>
        <v>5.2108354430379748E-2</v>
      </c>
      <c r="G44" s="38">
        <f>INDEX('PD Term Structure'!$E$17:$N$26,MATCH($J44,'PD Term Structure'!$D$17:$D$26,0),MATCH(G$2,'PD Term Structure'!$E$16:$N$16,0))</f>
        <v>6.3676339047537805E-2</v>
      </c>
      <c r="H44" s="82">
        <f>VLOOKUP(B44,'LGD parameters'!$C$7:$E$11,2,FALSE)</f>
        <v>0.62956863668283192</v>
      </c>
      <c r="I44" s="82">
        <f>(NORMSDIST(-LN(H44)+(VLOOKUP(B44,LGD_para,3,FALSE)^2/2))/VLOOKUP(B44,LGD_para,3,FALSE)-(VLOOKUP(B44,LGD_para,3,FALSE))-H44*(NORMSDIST(-LN(H44)+(VLOOKUP(B44,LGD_para,3,FALSE)^2/2))/VLOOKUP(B44,LGD_para,3,FALSE)))/LOGNORMDIST(1,LN(H44),(VLOOKUP(B44,LGD_para,3,FALSE)))*'LGD parameters'!$D$11</f>
        <v>0.26714251488777335</v>
      </c>
      <c r="J44" s="40">
        <f>VLOOKUP(E44,'PD Term Structure'!$C$5:$D$14,2,TRUE)</f>
        <v>4</v>
      </c>
      <c r="K44" s="43">
        <f>VLOOKUP(J44,'Master rating scale'!$G$5:$H$14,2,FALSE)</f>
        <v>4</v>
      </c>
      <c r="L44" s="62">
        <f t="shared" si="3"/>
        <v>2.41418063904613E-2</v>
      </c>
      <c r="N44" s="40">
        <f>VLOOKUP(F44,'PD Term Structure'!$C$5:$D$14,2,TRUE)</f>
        <v>4</v>
      </c>
      <c r="O44" s="43">
        <f>VLOOKUP(N44,'Master rating scale'!$G$5:$H$14,2,FALSE)</f>
        <v>4</v>
      </c>
      <c r="P44" s="62">
        <f t="shared" si="4"/>
        <v>2.41418063904613E-2</v>
      </c>
      <c r="R44" s="40">
        <f>VLOOKUP(G44,'PD Term Structure'!$C$5:$D$14,2,TRUE)</f>
        <v>5</v>
      </c>
      <c r="S44" s="43">
        <f>VLOOKUP(R44,'Master rating scale'!$G$5:$H$14,2,FALSE)</f>
        <v>5</v>
      </c>
      <c r="T44" s="62">
        <f t="shared" si="5"/>
        <v>3.0177257988076626E-2</v>
      </c>
    </row>
    <row r="45" spans="1:20" ht="14">
      <c r="A45" s="36">
        <v>179103</v>
      </c>
      <c r="B45" s="81" t="s">
        <v>18</v>
      </c>
      <c r="C45" s="37" t="s">
        <v>29</v>
      </c>
      <c r="D45" s="39">
        <v>13025</v>
      </c>
      <c r="E45" s="38">
        <v>4.4999999999999998E-2</v>
      </c>
      <c r="F45" s="38">
        <f>INDEX('PD Term Structure'!$E$17:$N$26,MATCH($J45,'PD Term Structure'!$D$17:$D$26,0),MATCH(F$2,'PD Term Structure'!$E$16:$N$16,0))</f>
        <v>5.2108354430379748E-2</v>
      </c>
      <c r="G45" s="38">
        <f>INDEX('PD Term Structure'!$E$17:$N$26,MATCH($J45,'PD Term Structure'!$D$17:$D$26,0),MATCH(G$2,'PD Term Structure'!$E$16:$N$16,0))</f>
        <v>6.3676339047537805E-2</v>
      </c>
      <c r="H45" s="82">
        <f>VLOOKUP(B45,'LGD parameters'!$C$7:$E$11,2,FALSE)</f>
        <v>0.62956863668283192</v>
      </c>
      <c r="I45" s="82">
        <f>(NORMSDIST(-LN(H45)+(VLOOKUP(B45,LGD_para,3,FALSE)^2/2))/VLOOKUP(B45,LGD_para,3,FALSE)-(VLOOKUP(B45,LGD_para,3,FALSE))-H45*(NORMSDIST(-LN(H45)+(VLOOKUP(B45,LGD_para,3,FALSE)^2/2))/VLOOKUP(B45,LGD_para,3,FALSE)))/LOGNORMDIST(1,LN(H45),(VLOOKUP(B45,LGD_para,3,FALSE)))*'LGD parameters'!$D$11</f>
        <v>0.26714251488777335</v>
      </c>
      <c r="J45" s="40">
        <f>VLOOKUP(E45,'PD Term Structure'!$C$5:$D$14,2,TRUE)</f>
        <v>4</v>
      </c>
      <c r="K45" s="43">
        <f>VLOOKUP(J45,'Master rating scale'!$G$5:$H$14,2,FALSE)</f>
        <v>4</v>
      </c>
      <c r="L45" s="62">
        <f t="shared" si="3"/>
        <v>2.5155762258860678E-2</v>
      </c>
      <c r="N45" s="40">
        <f>VLOOKUP(F45,'PD Term Structure'!$C$5:$D$14,2,TRUE)</f>
        <v>4</v>
      </c>
      <c r="O45" s="43">
        <f>VLOOKUP(N45,'Master rating scale'!$G$5:$H$14,2,FALSE)</f>
        <v>4</v>
      </c>
      <c r="P45" s="62">
        <f t="shared" si="4"/>
        <v>2.5155762258860678E-2</v>
      </c>
      <c r="R45" s="40">
        <f>VLOOKUP(G45,'PD Term Structure'!$C$5:$D$14,2,TRUE)</f>
        <v>5</v>
      </c>
      <c r="S45" s="43">
        <f>VLOOKUP(R45,'Master rating scale'!$G$5:$H$14,2,FALSE)</f>
        <v>5</v>
      </c>
      <c r="T45" s="62">
        <f t="shared" si="5"/>
        <v>3.1444702823575844E-2</v>
      </c>
    </row>
    <row r="46" spans="1:20" ht="14">
      <c r="A46" s="36">
        <v>167742</v>
      </c>
      <c r="B46" s="81" t="s">
        <v>18</v>
      </c>
      <c r="C46" s="37" t="s">
        <v>29</v>
      </c>
      <c r="D46" s="39">
        <v>13087.5</v>
      </c>
      <c r="E46" s="38">
        <v>1.4105306E-2</v>
      </c>
      <c r="F46" s="38">
        <f>INDEX('PD Term Structure'!$E$17:$N$26,MATCH($J46,'PD Term Structure'!$D$17:$D$26,0),MATCH(F$2,'PD Term Structure'!$E$16:$N$16,0))</f>
        <v>2.8507278481012657E-2</v>
      </c>
      <c r="G46" s="38">
        <f>INDEX('PD Term Structure'!$E$17:$N$26,MATCH($J46,'PD Term Structure'!$D$17:$D$26,0),MATCH(G$2,'PD Term Structure'!$E$16:$N$16,0))</f>
        <v>4.7291677269631509E-2</v>
      </c>
      <c r="H46" s="82">
        <f>VLOOKUP(B46,'LGD parameters'!$C$7:$E$11,2,FALSE)</f>
        <v>0.62956863668283192</v>
      </c>
      <c r="I46" s="82">
        <f>(NORMSDIST(-LN(H46)+(VLOOKUP(B46,LGD_para,3,FALSE)^2/2))/VLOOKUP(B46,LGD_para,3,FALSE)-(VLOOKUP(B46,LGD_para,3,FALSE))-H46*(NORMSDIST(-LN(H46)+(VLOOKUP(B46,LGD_para,3,FALSE)^2/2))/VLOOKUP(B46,LGD_para,3,FALSE)))/LOGNORMDIST(1,LN(H46),(VLOOKUP(B46,LGD_para,3,FALSE)))*'LGD parameters'!$D$11</f>
        <v>0.26714251488777335</v>
      </c>
      <c r="J46" s="40">
        <f>VLOOKUP(E46,'PD Term Structure'!$C$5:$D$14,2,TRUE)</f>
        <v>3</v>
      </c>
      <c r="K46" s="43">
        <f>VLOOKUP(J46,'Master rating scale'!$G$5:$H$14,2,FALSE)</f>
        <v>3</v>
      </c>
      <c r="L46" s="62">
        <f t="shared" si="3"/>
        <v>1.8957353468109738E-2</v>
      </c>
      <c r="N46" s="40">
        <f>VLOOKUP(F46,'PD Term Structure'!$C$5:$D$14,2,TRUE)</f>
        <v>4</v>
      </c>
      <c r="O46" s="43">
        <f>VLOOKUP(N46,'Master rating scale'!$G$5:$H$14,2,FALSE)</f>
        <v>4</v>
      </c>
      <c r="P46" s="62">
        <f t="shared" si="4"/>
        <v>2.5276471290812983E-2</v>
      </c>
      <c r="R46" s="40">
        <f>VLOOKUP(G46,'PD Term Structure'!$C$5:$D$14,2,TRUE)</f>
        <v>4</v>
      </c>
      <c r="S46" s="43">
        <f>VLOOKUP(R46,'Master rating scale'!$G$5:$H$14,2,FALSE)</f>
        <v>4</v>
      </c>
      <c r="T46" s="62">
        <f t="shared" si="5"/>
        <v>2.5276471290812983E-2</v>
      </c>
    </row>
    <row r="47" spans="1:20" ht="14">
      <c r="A47" s="36">
        <v>1218</v>
      </c>
      <c r="B47" s="81" t="s">
        <v>18</v>
      </c>
      <c r="C47" s="37" t="s">
        <v>29</v>
      </c>
      <c r="D47" s="39">
        <v>14064.188</v>
      </c>
      <c r="E47" s="38">
        <v>0.05</v>
      </c>
      <c r="F47" s="38">
        <f>INDEX('PD Term Structure'!$E$17:$N$26,MATCH($J47,'PD Term Structure'!$D$17:$D$26,0),MATCH(F$2,'PD Term Structure'!$E$16:$N$16,0))</f>
        <v>5.2108354430379748E-2</v>
      </c>
      <c r="G47" s="38">
        <f>INDEX('PD Term Structure'!$E$17:$N$26,MATCH($J47,'PD Term Structure'!$D$17:$D$26,0),MATCH(G$2,'PD Term Structure'!$E$16:$N$16,0))</f>
        <v>6.3676339047537805E-2</v>
      </c>
      <c r="H47" s="82">
        <f>VLOOKUP(B47,'LGD parameters'!$C$7:$E$11,2,FALSE)</f>
        <v>0.62956863668283192</v>
      </c>
      <c r="I47" s="82">
        <f>(NORMSDIST(-LN(H47)+(VLOOKUP(B47,LGD_para,3,FALSE)^2/2))/VLOOKUP(B47,LGD_para,3,FALSE)-(VLOOKUP(B47,LGD_para,3,FALSE))-H47*(NORMSDIST(-LN(H47)+(VLOOKUP(B47,LGD_para,3,FALSE)^2/2))/VLOOKUP(B47,LGD_para,3,FALSE)))/LOGNORMDIST(1,LN(H47),(VLOOKUP(B47,LGD_para,3,FALSE)))*'LGD parameters'!$D$11</f>
        <v>0.26714251488777335</v>
      </c>
      <c r="J47" s="40">
        <f>VLOOKUP(E47,'PD Term Structure'!$C$5:$D$14,2,TRUE)</f>
        <v>4</v>
      </c>
      <c r="K47" s="43">
        <f>VLOOKUP(J47,'Master rating scale'!$G$5:$H$14,2,FALSE)</f>
        <v>4</v>
      </c>
      <c r="L47" s="62">
        <f t="shared" si="3"/>
        <v>2.7162792298803931E-2</v>
      </c>
      <c r="N47" s="40">
        <f>VLOOKUP(F47,'PD Term Structure'!$C$5:$D$14,2,TRUE)</f>
        <v>4</v>
      </c>
      <c r="O47" s="43">
        <f>VLOOKUP(N47,'Master rating scale'!$G$5:$H$14,2,FALSE)</f>
        <v>4</v>
      </c>
      <c r="P47" s="62">
        <f t="shared" si="4"/>
        <v>2.7162792298803931E-2</v>
      </c>
      <c r="R47" s="40">
        <f>VLOOKUP(G47,'PD Term Structure'!$C$5:$D$14,2,TRUE)</f>
        <v>5</v>
      </c>
      <c r="S47" s="43">
        <f>VLOOKUP(R47,'Master rating scale'!$G$5:$H$14,2,FALSE)</f>
        <v>5</v>
      </c>
      <c r="T47" s="62">
        <f t="shared" si="5"/>
        <v>3.395349037350491E-2</v>
      </c>
    </row>
    <row r="48" spans="1:20" ht="14">
      <c r="A48" s="36">
        <v>336710</v>
      </c>
      <c r="B48" s="81" t="s">
        <v>18</v>
      </c>
      <c r="C48" s="37" t="s">
        <v>29</v>
      </c>
      <c r="D48" s="39">
        <v>14400</v>
      </c>
      <c r="E48" s="38">
        <v>0.05</v>
      </c>
      <c r="F48" s="38">
        <f>INDEX('PD Term Structure'!$E$17:$N$26,MATCH($J48,'PD Term Structure'!$D$17:$D$26,0),MATCH(F$2,'PD Term Structure'!$E$16:$N$16,0))</f>
        <v>5.2108354430379748E-2</v>
      </c>
      <c r="G48" s="38">
        <f>INDEX('PD Term Structure'!$E$17:$N$26,MATCH($J48,'PD Term Structure'!$D$17:$D$26,0),MATCH(G$2,'PD Term Structure'!$E$16:$N$16,0))</f>
        <v>6.3676339047537805E-2</v>
      </c>
      <c r="H48" s="82">
        <f>VLOOKUP(B48,'LGD parameters'!$C$7:$E$11,2,FALSE)</f>
        <v>0.62956863668283192</v>
      </c>
      <c r="I48" s="82">
        <f>(NORMSDIST(-LN(H48)+(VLOOKUP(B48,LGD_para,3,FALSE)^2/2))/VLOOKUP(B48,LGD_para,3,FALSE)-(VLOOKUP(B48,LGD_para,3,FALSE))-H48*(NORMSDIST(-LN(H48)+(VLOOKUP(B48,LGD_para,3,FALSE)^2/2))/VLOOKUP(B48,LGD_para,3,FALSE)))/LOGNORMDIST(1,LN(H48),(VLOOKUP(B48,LGD_para,3,FALSE)))*'LGD parameters'!$D$11</f>
        <v>0.26714251488777335</v>
      </c>
      <c r="J48" s="40">
        <f>VLOOKUP(E48,'PD Term Structure'!$C$5:$D$14,2,TRUE)</f>
        <v>4</v>
      </c>
      <c r="K48" s="43">
        <f>VLOOKUP(J48,'Master rating scale'!$G$5:$H$14,2,FALSE)</f>
        <v>4</v>
      </c>
      <c r="L48" s="62">
        <f t="shared" si="3"/>
        <v>2.7811360961811419E-2</v>
      </c>
      <c r="N48" s="40">
        <f>VLOOKUP(F48,'PD Term Structure'!$C$5:$D$14,2,TRUE)</f>
        <v>4</v>
      </c>
      <c r="O48" s="43">
        <f>VLOOKUP(N48,'Master rating scale'!$G$5:$H$14,2,FALSE)</f>
        <v>4</v>
      </c>
      <c r="P48" s="62">
        <f t="shared" si="4"/>
        <v>2.7811360961811419E-2</v>
      </c>
      <c r="R48" s="40">
        <f>VLOOKUP(G48,'PD Term Structure'!$C$5:$D$14,2,TRUE)</f>
        <v>5</v>
      </c>
      <c r="S48" s="43">
        <f>VLOOKUP(R48,'Master rating scale'!$G$5:$H$14,2,FALSE)</f>
        <v>5</v>
      </c>
      <c r="T48" s="62">
        <f t="shared" si="5"/>
        <v>3.4764201202264276E-2</v>
      </c>
    </row>
    <row r="49" spans="1:20" ht="14">
      <c r="A49" s="36">
        <v>34084</v>
      </c>
      <c r="B49" s="81" t="s">
        <v>18</v>
      </c>
      <c r="C49" s="37" t="s">
        <v>29</v>
      </c>
      <c r="D49" s="39">
        <v>15000</v>
      </c>
      <c r="E49" s="38">
        <v>0.05</v>
      </c>
      <c r="F49" s="38">
        <f>INDEX('PD Term Structure'!$E$17:$N$26,MATCH($J49,'PD Term Structure'!$D$17:$D$26,0),MATCH(F$2,'PD Term Structure'!$E$16:$N$16,0))</f>
        <v>5.2108354430379748E-2</v>
      </c>
      <c r="G49" s="38">
        <f>INDEX('PD Term Structure'!$E$17:$N$26,MATCH($J49,'PD Term Structure'!$D$17:$D$26,0),MATCH(G$2,'PD Term Structure'!$E$16:$N$16,0))</f>
        <v>6.3676339047537805E-2</v>
      </c>
      <c r="H49" s="82">
        <f>VLOOKUP(B49,'LGD parameters'!$C$7:$E$11,2,FALSE)</f>
        <v>0.62956863668283192</v>
      </c>
      <c r="I49" s="82">
        <f>(NORMSDIST(-LN(H49)+(VLOOKUP(B49,LGD_para,3,FALSE)^2/2))/VLOOKUP(B49,LGD_para,3,FALSE)-(VLOOKUP(B49,LGD_para,3,FALSE))-H49*(NORMSDIST(-LN(H49)+(VLOOKUP(B49,LGD_para,3,FALSE)^2/2))/VLOOKUP(B49,LGD_para,3,FALSE)))/LOGNORMDIST(1,LN(H49),(VLOOKUP(B49,LGD_para,3,FALSE)))*'LGD parameters'!$D$11</f>
        <v>0.26714251488777335</v>
      </c>
      <c r="J49" s="40">
        <f>VLOOKUP(E49,'PD Term Structure'!$C$5:$D$14,2,TRUE)</f>
        <v>4</v>
      </c>
      <c r="K49" s="43">
        <f>VLOOKUP(J49,'Master rating scale'!$G$5:$H$14,2,FALSE)</f>
        <v>4</v>
      </c>
      <c r="L49" s="62">
        <f t="shared" si="3"/>
        <v>2.8970167668553561E-2</v>
      </c>
      <c r="N49" s="40">
        <f>VLOOKUP(F49,'PD Term Structure'!$C$5:$D$14,2,TRUE)</f>
        <v>4</v>
      </c>
      <c r="O49" s="43">
        <f>VLOOKUP(N49,'Master rating scale'!$G$5:$H$14,2,FALSE)</f>
        <v>4</v>
      </c>
      <c r="P49" s="62">
        <f t="shared" si="4"/>
        <v>2.8970167668553561E-2</v>
      </c>
      <c r="R49" s="40">
        <f>VLOOKUP(G49,'PD Term Structure'!$C$5:$D$14,2,TRUE)</f>
        <v>5</v>
      </c>
      <c r="S49" s="43">
        <f>VLOOKUP(R49,'Master rating scale'!$G$5:$H$14,2,FALSE)</f>
        <v>5</v>
      </c>
      <c r="T49" s="62">
        <f t="shared" si="5"/>
        <v>3.6212709585691949E-2</v>
      </c>
    </row>
    <row r="50" spans="1:20" ht="14">
      <c r="A50" s="36">
        <v>231192</v>
      </c>
      <c r="B50" s="81" t="s">
        <v>18</v>
      </c>
      <c r="C50" s="37" t="s">
        <v>29</v>
      </c>
      <c r="D50" s="39">
        <v>15000</v>
      </c>
      <c r="E50" s="38">
        <v>0.05</v>
      </c>
      <c r="F50" s="38">
        <f>INDEX('PD Term Structure'!$E$17:$N$26,MATCH($J50,'PD Term Structure'!$D$17:$D$26,0),MATCH(F$2,'PD Term Structure'!$E$16:$N$16,0))</f>
        <v>5.2108354430379748E-2</v>
      </c>
      <c r="G50" s="38">
        <f>INDEX('PD Term Structure'!$E$17:$N$26,MATCH($J50,'PD Term Structure'!$D$17:$D$26,0),MATCH(G$2,'PD Term Structure'!$E$16:$N$16,0))</f>
        <v>6.3676339047537805E-2</v>
      </c>
      <c r="H50" s="82">
        <f>VLOOKUP(B50,'LGD parameters'!$C$7:$E$11,2,FALSE)</f>
        <v>0.62956863668283192</v>
      </c>
      <c r="I50" s="82">
        <f>(NORMSDIST(-LN(H50)+(VLOOKUP(B50,LGD_para,3,FALSE)^2/2))/VLOOKUP(B50,LGD_para,3,FALSE)-(VLOOKUP(B50,LGD_para,3,FALSE))-H50*(NORMSDIST(-LN(H50)+(VLOOKUP(B50,LGD_para,3,FALSE)^2/2))/VLOOKUP(B50,LGD_para,3,FALSE)))/LOGNORMDIST(1,LN(H50),(VLOOKUP(B50,LGD_para,3,FALSE)))*'LGD parameters'!$D$11</f>
        <v>0.26714251488777335</v>
      </c>
      <c r="J50" s="40">
        <f>VLOOKUP(E50,'PD Term Structure'!$C$5:$D$14,2,TRUE)</f>
        <v>4</v>
      </c>
      <c r="K50" s="43">
        <f>VLOOKUP(J50,'Master rating scale'!$G$5:$H$14,2,FALSE)</f>
        <v>4</v>
      </c>
      <c r="L50" s="62">
        <f t="shared" si="3"/>
        <v>2.8970167668553561E-2</v>
      </c>
      <c r="N50" s="40">
        <f>VLOOKUP(F50,'PD Term Structure'!$C$5:$D$14,2,TRUE)</f>
        <v>4</v>
      </c>
      <c r="O50" s="43">
        <f>VLOOKUP(N50,'Master rating scale'!$G$5:$H$14,2,FALSE)</f>
        <v>4</v>
      </c>
      <c r="P50" s="62">
        <f t="shared" si="4"/>
        <v>2.8970167668553561E-2</v>
      </c>
      <c r="R50" s="40">
        <f>VLOOKUP(G50,'PD Term Structure'!$C$5:$D$14,2,TRUE)</f>
        <v>5</v>
      </c>
      <c r="S50" s="43">
        <f>VLOOKUP(R50,'Master rating scale'!$G$5:$H$14,2,FALSE)</f>
        <v>5</v>
      </c>
      <c r="T50" s="62">
        <f t="shared" si="5"/>
        <v>3.6212709585691949E-2</v>
      </c>
    </row>
    <row r="51" spans="1:20" ht="14">
      <c r="A51" s="36">
        <v>465170</v>
      </c>
      <c r="B51" s="81" t="s">
        <v>18</v>
      </c>
      <c r="C51" s="37" t="s">
        <v>29</v>
      </c>
      <c r="D51" s="39">
        <v>15000</v>
      </c>
      <c r="E51" s="38">
        <v>0.05</v>
      </c>
      <c r="F51" s="38">
        <f>INDEX('PD Term Structure'!$E$17:$N$26,MATCH($J51,'PD Term Structure'!$D$17:$D$26,0),MATCH(F$2,'PD Term Structure'!$E$16:$N$16,0))</f>
        <v>5.2108354430379748E-2</v>
      </c>
      <c r="G51" s="38">
        <f>INDEX('PD Term Structure'!$E$17:$N$26,MATCH($J51,'PD Term Structure'!$D$17:$D$26,0),MATCH(G$2,'PD Term Structure'!$E$16:$N$16,0))</f>
        <v>6.3676339047537805E-2</v>
      </c>
      <c r="H51" s="82">
        <f>VLOOKUP(B51,'LGD parameters'!$C$7:$E$11,2,FALSE)</f>
        <v>0.62956863668283192</v>
      </c>
      <c r="I51" s="82">
        <f>(NORMSDIST(-LN(H51)+(VLOOKUP(B51,LGD_para,3,FALSE)^2/2))/VLOOKUP(B51,LGD_para,3,FALSE)-(VLOOKUP(B51,LGD_para,3,FALSE))-H51*(NORMSDIST(-LN(H51)+(VLOOKUP(B51,LGD_para,3,FALSE)^2/2))/VLOOKUP(B51,LGD_para,3,FALSE)))/LOGNORMDIST(1,LN(H51),(VLOOKUP(B51,LGD_para,3,FALSE)))*'LGD parameters'!$D$11</f>
        <v>0.26714251488777335</v>
      </c>
      <c r="J51" s="40">
        <f>VLOOKUP(E51,'PD Term Structure'!$C$5:$D$14,2,TRUE)</f>
        <v>4</v>
      </c>
      <c r="K51" s="43">
        <f>VLOOKUP(J51,'Master rating scale'!$G$5:$H$14,2,FALSE)</f>
        <v>4</v>
      </c>
      <c r="L51" s="62">
        <f t="shared" si="3"/>
        <v>2.8970167668553561E-2</v>
      </c>
      <c r="N51" s="40">
        <f>VLOOKUP(F51,'PD Term Structure'!$C$5:$D$14,2,TRUE)</f>
        <v>4</v>
      </c>
      <c r="O51" s="43">
        <f>VLOOKUP(N51,'Master rating scale'!$G$5:$H$14,2,FALSE)</f>
        <v>4</v>
      </c>
      <c r="P51" s="62">
        <f t="shared" si="4"/>
        <v>2.8970167668553561E-2</v>
      </c>
      <c r="R51" s="40">
        <f>VLOOKUP(G51,'PD Term Structure'!$C$5:$D$14,2,TRUE)</f>
        <v>5</v>
      </c>
      <c r="S51" s="43">
        <f>VLOOKUP(R51,'Master rating scale'!$G$5:$H$14,2,FALSE)</f>
        <v>5</v>
      </c>
      <c r="T51" s="62">
        <f t="shared" si="5"/>
        <v>3.6212709585691949E-2</v>
      </c>
    </row>
    <row r="52" spans="1:20" ht="14">
      <c r="A52" s="36">
        <v>341493</v>
      </c>
      <c r="B52" s="81" t="s">
        <v>18</v>
      </c>
      <c r="C52" s="37" t="s">
        <v>29</v>
      </c>
      <c r="D52" s="39">
        <v>15327</v>
      </c>
      <c r="E52" s="38">
        <v>0.05</v>
      </c>
      <c r="F52" s="38">
        <f>INDEX('PD Term Structure'!$E$17:$N$26,MATCH($J52,'PD Term Structure'!$D$17:$D$26,0),MATCH(F$2,'PD Term Structure'!$E$16:$N$16,0))</f>
        <v>5.2108354430379748E-2</v>
      </c>
      <c r="G52" s="38">
        <f>INDEX('PD Term Structure'!$E$17:$N$26,MATCH($J52,'PD Term Structure'!$D$17:$D$26,0),MATCH(G$2,'PD Term Structure'!$E$16:$N$16,0))</f>
        <v>6.3676339047537805E-2</v>
      </c>
      <c r="H52" s="82">
        <f>VLOOKUP(B52,'LGD parameters'!$C$7:$E$11,2,FALSE)</f>
        <v>0.62956863668283192</v>
      </c>
      <c r="I52" s="82">
        <f>(NORMSDIST(-LN(H52)+(VLOOKUP(B52,LGD_para,3,FALSE)^2/2))/VLOOKUP(B52,LGD_para,3,FALSE)-(VLOOKUP(B52,LGD_para,3,FALSE))-H52*(NORMSDIST(-LN(H52)+(VLOOKUP(B52,LGD_para,3,FALSE)^2/2))/VLOOKUP(B52,LGD_para,3,FALSE)))/LOGNORMDIST(1,LN(H52),(VLOOKUP(B52,LGD_para,3,FALSE)))*'LGD parameters'!$D$11</f>
        <v>0.26714251488777335</v>
      </c>
      <c r="J52" s="40">
        <f>VLOOKUP(E52,'PD Term Structure'!$C$5:$D$14,2,TRUE)</f>
        <v>4</v>
      </c>
      <c r="K52" s="43">
        <f>VLOOKUP(J52,'Master rating scale'!$G$5:$H$14,2,FALSE)</f>
        <v>4</v>
      </c>
      <c r="L52" s="62">
        <f t="shared" si="3"/>
        <v>2.960171732372803E-2</v>
      </c>
      <c r="N52" s="40">
        <f>VLOOKUP(F52,'PD Term Structure'!$C$5:$D$14,2,TRUE)</f>
        <v>4</v>
      </c>
      <c r="O52" s="43">
        <f>VLOOKUP(N52,'Master rating scale'!$G$5:$H$14,2,FALSE)</f>
        <v>4</v>
      </c>
      <c r="P52" s="62">
        <f t="shared" si="4"/>
        <v>2.960171732372803E-2</v>
      </c>
      <c r="R52" s="40">
        <f>VLOOKUP(G52,'PD Term Structure'!$C$5:$D$14,2,TRUE)</f>
        <v>5</v>
      </c>
      <c r="S52" s="43">
        <f>VLOOKUP(R52,'Master rating scale'!$G$5:$H$14,2,FALSE)</f>
        <v>5</v>
      </c>
      <c r="T52" s="62">
        <f t="shared" si="5"/>
        <v>3.7002146654660034E-2</v>
      </c>
    </row>
    <row r="53" spans="1:20" ht="14">
      <c r="A53" s="36">
        <v>187848</v>
      </c>
      <c r="B53" s="81" t="s">
        <v>18</v>
      </c>
      <c r="C53" s="37" t="s">
        <v>29</v>
      </c>
      <c r="D53" s="39">
        <v>15455</v>
      </c>
      <c r="E53" s="38">
        <v>0.05</v>
      </c>
      <c r="F53" s="38">
        <f>INDEX('PD Term Structure'!$E$17:$N$26,MATCH($J53,'PD Term Structure'!$D$17:$D$26,0),MATCH(F$2,'PD Term Structure'!$E$16:$N$16,0))</f>
        <v>5.2108354430379748E-2</v>
      </c>
      <c r="G53" s="38">
        <f>INDEX('PD Term Structure'!$E$17:$N$26,MATCH($J53,'PD Term Structure'!$D$17:$D$26,0),MATCH(G$2,'PD Term Structure'!$E$16:$N$16,0))</f>
        <v>6.3676339047537805E-2</v>
      </c>
      <c r="H53" s="82">
        <f>VLOOKUP(B53,'LGD parameters'!$C$7:$E$11,2,FALSE)</f>
        <v>0.62956863668283192</v>
      </c>
      <c r="I53" s="82">
        <f>(NORMSDIST(-LN(H53)+(VLOOKUP(B53,LGD_para,3,FALSE)^2/2))/VLOOKUP(B53,LGD_para,3,FALSE)-(VLOOKUP(B53,LGD_para,3,FALSE))-H53*(NORMSDIST(-LN(H53)+(VLOOKUP(B53,LGD_para,3,FALSE)^2/2))/VLOOKUP(B53,LGD_para,3,FALSE)))/LOGNORMDIST(1,LN(H53),(VLOOKUP(B53,LGD_para,3,FALSE)))*'LGD parameters'!$D$11</f>
        <v>0.26714251488777335</v>
      </c>
      <c r="J53" s="40">
        <f>VLOOKUP(E53,'PD Term Structure'!$C$5:$D$14,2,TRUE)</f>
        <v>4</v>
      </c>
      <c r="K53" s="43">
        <f>VLOOKUP(J53,'Master rating scale'!$G$5:$H$14,2,FALSE)</f>
        <v>4</v>
      </c>
      <c r="L53" s="62">
        <f t="shared" si="3"/>
        <v>2.9848929421166352E-2</v>
      </c>
      <c r="N53" s="40">
        <f>VLOOKUP(F53,'PD Term Structure'!$C$5:$D$14,2,TRUE)</f>
        <v>4</v>
      </c>
      <c r="O53" s="43">
        <f>VLOOKUP(N53,'Master rating scale'!$G$5:$H$14,2,FALSE)</f>
        <v>4</v>
      </c>
      <c r="P53" s="62">
        <f t="shared" si="4"/>
        <v>2.9848929421166352E-2</v>
      </c>
      <c r="R53" s="40">
        <f>VLOOKUP(G53,'PD Term Structure'!$C$5:$D$14,2,TRUE)</f>
        <v>5</v>
      </c>
      <c r="S53" s="43">
        <f>VLOOKUP(R53,'Master rating scale'!$G$5:$H$14,2,FALSE)</f>
        <v>5</v>
      </c>
      <c r="T53" s="62">
        <f t="shared" si="5"/>
        <v>3.7311161776457942E-2</v>
      </c>
    </row>
    <row r="54" spans="1:20" ht="14">
      <c r="A54" s="36">
        <v>187862</v>
      </c>
      <c r="B54" s="81" t="s">
        <v>18</v>
      </c>
      <c r="C54" s="37" t="s">
        <v>29</v>
      </c>
      <c r="D54" s="39">
        <v>15594.5</v>
      </c>
      <c r="E54" s="38">
        <v>0.05</v>
      </c>
      <c r="F54" s="38">
        <f>INDEX('PD Term Structure'!$E$17:$N$26,MATCH($J54,'PD Term Structure'!$D$17:$D$26,0),MATCH(F$2,'PD Term Structure'!$E$16:$N$16,0))</f>
        <v>5.2108354430379748E-2</v>
      </c>
      <c r="G54" s="38">
        <f>INDEX('PD Term Structure'!$E$17:$N$26,MATCH($J54,'PD Term Structure'!$D$17:$D$26,0),MATCH(G$2,'PD Term Structure'!$E$16:$N$16,0))</f>
        <v>6.3676339047537805E-2</v>
      </c>
      <c r="H54" s="82">
        <f>VLOOKUP(B54,'LGD parameters'!$C$7:$E$11,2,FALSE)</f>
        <v>0.62956863668283192</v>
      </c>
      <c r="I54" s="82">
        <f>(NORMSDIST(-LN(H54)+(VLOOKUP(B54,LGD_para,3,FALSE)^2/2))/VLOOKUP(B54,LGD_para,3,FALSE)-(VLOOKUP(B54,LGD_para,3,FALSE))-H54*(NORMSDIST(-LN(H54)+(VLOOKUP(B54,LGD_para,3,FALSE)^2/2))/VLOOKUP(B54,LGD_para,3,FALSE)))/LOGNORMDIST(1,LN(H54),(VLOOKUP(B54,LGD_para,3,FALSE)))*'LGD parameters'!$D$11</f>
        <v>0.26714251488777335</v>
      </c>
      <c r="J54" s="40">
        <f>VLOOKUP(E54,'PD Term Structure'!$C$5:$D$14,2,TRUE)</f>
        <v>4</v>
      </c>
      <c r="K54" s="43">
        <f>VLOOKUP(J54,'Master rating scale'!$G$5:$H$14,2,FALSE)</f>
        <v>4</v>
      </c>
      <c r="L54" s="62">
        <f t="shared" si="3"/>
        <v>3.01183519804839E-2</v>
      </c>
      <c r="N54" s="40">
        <f>VLOOKUP(F54,'PD Term Structure'!$C$5:$D$14,2,TRUE)</f>
        <v>4</v>
      </c>
      <c r="O54" s="43">
        <f>VLOOKUP(N54,'Master rating scale'!$G$5:$H$14,2,FALSE)</f>
        <v>4</v>
      </c>
      <c r="P54" s="62">
        <f t="shared" si="4"/>
        <v>3.01183519804839E-2</v>
      </c>
      <c r="R54" s="40">
        <f>VLOOKUP(G54,'PD Term Structure'!$C$5:$D$14,2,TRUE)</f>
        <v>5</v>
      </c>
      <c r="S54" s="43">
        <f>VLOOKUP(R54,'Master rating scale'!$G$5:$H$14,2,FALSE)</f>
        <v>5</v>
      </c>
      <c r="T54" s="62">
        <f t="shared" si="5"/>
        <v>3.7647939975604873E-2</v>
      </c>
    </row>
    <row r="55" spans="1:20" ht="14">
      <c r="A55" s="36">
        <v>249253</v>
      </c>
      <c r="B55" s="81" t="s">
        <v>18</v>
      </c>
      <c r="C55" s="37" t="s">
        <v>29</v>
      </c>
      <c r="D55" s="39">
        <v>16500</v>
      </c>
      <c r="E55" s="38">
        <v>0.05</v>
      </c>
      <c r="F55" s="38">
        <f>INDEX('PD Term Structure'!$E$17:$N$26,MATCH($J55,'PD Term Structure'!$D$17:$D$26,0),MATCH(F$2,'PD Term Structure'!$E$16:$N$16,0))</f>
        <v>5.2108354430379748E-2</v>
      </c>
      <c r="G55" s="38">
        <f>INDEX('PD Term Structure'!$E$17:$N$26,MATCH($J55,'PD Term Structure'!$D$17:$D$26,0),MATCH(G$2,'PD Term Structure'!$E$16:$N$16,0))</f>
        <v>6.3676339047537805E-2</v>
      </c>
      <c r="H55" s="82">
        <f>VLOOKUP(B55,'LGD parameters'!$C$7:$E$11,2,FALSE)</f>
        <v>0.62956863668283192</v>
      </c>
      <c r="I55" s="82">
        <f>(NORMSDIST(-LN(H55)+(VLOOKUP(B55,LGD_para,3,FALSE)^2/2))/VLOOKUP(B55,LGD_para,3,FALSE)-(VLOOKUP(B55,LGD_para,3,FALSE))-H55*(NORMSDIST(-LN(H55)+(VLOOKUP(B55,LGD_para,3,FALSE)^2/2))/VLOOKUP(B55,LGD_para,3,FALSE)))/LOGNORMDIST(1,LN(H55),(VLOOKUP(B55,LGD_para,3,FALSE)))*'LGD parameters'!$D$11</f>
        <v>0.26714251488777335</v>
      </c>
      <c r="J55" s="40">
        <f>VLOOKUP(E55,'PD Term Structure'!$C$5:$D$14,2,TRUE)</f>
        <v>4</v>
      </c>
      <c r="K55" s="43">
        <f>VLOOKUP(J55,'Master rating scale'!$G$5:$H$14,2,FALSE)</f>
        <v>4</v>
      </c>
      <c r="L55" s="62">
        <f t="shared" si="3"/>
        <v>3.1867184435408917E-2</v>
      </c>
      <c r="N55" s="40">
        <f>VLOOKUP(F55,'PD Term Structure'!$C$5:$D$14,2,TRUE)</f>
        <v>4</v>
      </c>
      <c r="O55" s="43">
        <f>VLOOKUP(N55,'Master rating scale'!$G$5:$H$14,2,FALSE)</f>
        <v>4</v>
      </c>
      <c r="P55" s="62">
        <f t="shared" si="4"/>
        <v>3.1867184435408917E-2</v>
      </c>
      <c r="R55" s="40">
        <f>VLOOKUP(G55,'PD Term Structure'!$C$5:$D$14,2,TRUE)</f>
        <v>5</v>
      </c>
      <c r="S55" s="43">
        <f>VLOOKUP(R55,'Master rating scale'!$G$5:$H$14,2,FALSE)</f>
        <v>5</v>
      </c>
      <c r="T55" s="62">
        <f t="shared" si="5"/>
        <v>3.9833980544261148E-2</v>
      </c>
    </row>
    <row r="56" spans="1:20" ht="14">
      <c r="A56" s="36">
        <v>32467</v>
      </c>
      <c r="B56" s="81" t="s">
        <v>18</v>
      </c>
      <c r="C56" s="37" t="s">
        <v>29</v>
      </c>
      <c r="D56" s="39">
        <v>16875.5</v>
      </c>
      <c r="E56" s="38">
        <v>0.05</v>
      </c>
      <c r="F56" s="38">
        <f>INDEX('PD Term Structure'!$E$17:$N$26,MATCH($J56,'PD Term Structure'!$D$17:$D$26,0),MATCH(F$2,'PD Term Structure'!$E$16:$N$16,0))</f>
        <v>5.2108354430379748E-2</v>
      </c>
      <c r="G56" s="38">
        <f>INDEX('PD Term Structure'!$E$17:$N$26,MATCH($J56,'PD Term Structure'!$D$17:$D$26,0),MATCH(G$2,'PD Term Structure'!$E$16:$N$16,0))</f>
        <v>6.3676339047537805E-2</v>
      </c>
      <c r="H56" s="82">
        <f>VLOOKUP(B56,'LGD parameters'!$C$7:$E$11,2,FALSE)</f>
        <v>0.62956863668283192</v>
      </c>
      <c r="I56" s="82">
        <f>(NORMSDIST(-LN(H56)+(VLOOKUP(B56,LGD_para,3,FALSE)^2/2))/VLOOKUP(B56,LGD_para,3,FALSE)-(VLOOKUP(B56,LGD_para,3,FALSE))-H56*(NORMSDIST(-LN(H56)+(VLOOKUP(B56,LGD_para,3,FALSE)^2/2))/VLOOKUP(B56,LGD_para,3,FALSE)))/LOGNORMDIST(1,LN(H56),(VLOOKUP(B56,LGD_para,3,FALSE)))*'LGD parameters'!$D$11</f>
        <v>0.26714251488777335</v>
      </c>
      <c r="J56" s="40">
        <f>VLOOKUP(E56,'PD Term Structure'!$C$5:$D$14,2,TRUE)</f>
        <v>4</v>
      </c>
      <c r="K56" s="43">
        <f>VLOOKUP(J56,'Master rating scale'!$G$5:$H$14,2,FALSE)</f>
        <v>4</v>
      </c>
      <c r="L56" s="62">
        <f t="shared" si="3"/>
        <v>3.2592404299378375E-2</v>
      </c>
      <c r="N56" s="40">
        <f>VLOOKUP(F56,'PD Term Structure'!$C$5:$D$14,2,TRUE)</f>
        <v>4</v>
      </c>
      <c r="O56" s="43">
        <f>VLOOKUP(N56,'Master rating scale'!$G$5:$H$14,2,FALSE)</f>
        <v>4</v>
      </c>
      <c r="P56" s="62">
        <f t="shared" si="4"/>
        <v>3.2592404299378375E-2</v>
      </c>
      <c r="R56" s="40">
        <f>VLOOKUP(G56,'PD Term Structure'!$C$5:$D$14,2,TRUE)</f>
        <v>5</v>
      </c>
      <c r="S56" s="43">
        <f>VLOOKUP(R56,'Master rating scale'!$G$5:$H$14,2,FALSE)</f>
        <v>5</v>
      </c>
      <c r="T56" s="62">
        <f t="shared" si="5"/>
        <v>4.0740505374222968E-2</v>
      </c>
    </row>
    <row r="57" spans="1:20" ht="14">
      <c r="A57" s="36">
        <v>373602</v>
      </c>
      <c r="B57" s="81" t="s">
        <v>18</v>
      </c>
      <c r="C57" s="37" t="s">
        <v>29</v>
      </c>
      <c r="D57" s="39">
        <v>17000</v>
      </c>
      <c r="E57" s="38">
        <v>0.05</v>
      </c>
      <c r="F57" s="38">
        <f>INDEX('PD Term Structure'!$E$17:$N$26,MATCH($J57,'PD Term Structure'!$D$17:$D$26,0),MATCH(F$2,'PD Term Structure'!$E$16:$N$16,0))</f>
        <v>5.2108354430379748E-2</v>
      </c>
      <c r="G57" s="38">
        <f>INDEX('PD Term Structure'!$E$17:$N$26,MATCH($J57,'PD Term Structure'!$D$17:$D$26,0),MATCH(G$2,'PD Term Structure'!$E$16:$N$16,0))</f>
        <v>6.3676339047537805E-2</v>
      </c>
      <c r="H57" s="82">
        <f>VLOOKUP(B57,'LGD parameters'!$C$7:$E$11,2,FALSE)</f>
        <v>0.62956863668283192</v>
      </c>
      <c r="I57" s="82">
        <f>(NORMSDIST(-LN(H57)+(VLOOKUP(B57,LGD_para,3,FALSE)^2/2))/VLOOKUP(B57,LGD_para,3,FALSE)-(VLOOKUP(B57,LGD_para,3,FALSE))-H57*(NORMSDIST(-LN(H57)+(VLOOKUP(B57,LGD_para,3,FALSE)^2/2))/VLOOKUP(B57,LGD_para,3,FALSE)))/LOGNORMDIST(1,LN(H57),(VLOOKUP(B57,LGD_para,3,FALSE)))*'LGD parameters'!$D$11</f>
        <v>0.26714251488777335</v>
      </c>
      <c r="J57" s="40">
        <f>VLOOKUP(E57,'PD Term Structure'!$C$5:$D$14,2,TRUE)</f>
        <v>4</v>
      </c>
      <c r="K57" s="43">
        <f>VLOOKUP(J57,'Master rating scale'!$G$5:$H$14,2,FALSE)</f>
        <v>4</v>
      </c>
      <c r="L57" s="62">
        <f t="shared" si="3"/>
        <v>3.2832856691027368E-2</v>
      </c>
      <c r="N57" s="40">
        <f>VLOOKUP(F57,'PD Term Structure'!$C$5:$D$14,2,TRUE)</f>
        <v>4</v>
      </c>
      <c r="O57" s="43">
        <f>VLOOKUP(N57,'Master rating scale'!$G$5:$H$14,2,FALSE)</f>
        <v>4</v>
      </c>
      <c r="P57" s="62">
        <f t="shared" si="4"/>
        <v>3.2832856691027368E-2</v>
      </c>
      <c r="R57" s="40">
        <f>VLOOKUP(G57,'PD Term Structure'!$C$5:$D$14,2,TRUE)</f>
        <v>5</v>
      </c>
      <c r="S57" s="43">
        <f>VLOOKUP(R57,'Master rating scale'!$G$5:$H$14,2,FALSE)</f>
        <v>5</v>
      </c>
      <c r="T57" s="62">
        <f t="shared" si="5"/>
        <v>4.104107086378421E-2</v>
      </c>
    </row>
    <row r="58" spans="1:20" ht="14">
      <c r="A58" s="36">
        <v>67438</v>
      </c>
      <c r="B58" s="81" t="s">
        <v>18</v>
      </c>
      <c r="C58" s="37" t="s">
        <v>29</v>
      </c>
      <c r="D58" s="39">
        <v>17120.5</v>
      </c>
      <c r="E58" s="38">
        <v>0.05</v>
      </c>
      <c r="F58" s="38">
        <f>INDEX('PD Term Structure'!$E$17:$N$26,MATCH($J58,'PD Term Structure'!$D$17:$D$26,0),MATCH(F$2,'PD Term Structure'!$E$16:$N$16,0))</f>
        <v>5.2108354430379748E-2</v>
      </c>
      <c r="G58" s="38">
        <f>INDEX('PD Term Structure'!$E$17:$N$26,MATCH($J58,'PD Term Structure'!$D$17:$D$26,0),MATCH(G$2,'PD Term Structure'!$E$16:$N$16,0))</f>
        <v>6.3676339047537805E-2</v>
      </c>
      <c r="H58" s="82">
        <f>VLOOKUP(B58,'LGD parameters'!$C$7:$E$11,2,FALSE)</f>
        <v>0.62956863668283192</v>
      </c>
      <c r="I58" s="82">
        <f>(NORMSDIST(-LN(H58)+(VLOOKUP(B58,LGD_para,3,FALSE)^2/2))/VLOOKUP(B58,LGD_para,3,FALSE)-(VLOOKUP(B58,LGD_para,3,FALSE))-H58*(NORMSDIST(-LN(H58)+(VLOOKUP(B58,LGD_para,3,FALSE)^2/2))/VLOOKUP(B58,LGD_para,3,FALSE)))/LOGNORMDIST(1,LN(H58),(VLOOKUP(B58,LGD_para,3,FALSE)))*'LGD parameters'!$D$11</f>
        <v>0.26714251488777335</v>
      </c>
      <c r="J58" s="40">
        <f>VLOOKUP(E58,'PD Term Structure'!$C$5:$D$14,2,TRUE)</f>
        <v>4</v>
      </c>
      <c r="K58" s="43">
        <f>VLOOKUP(J58,'Master rating scale'!$G$5:$H$14,2,FALSE)</f>
        <v>4</v>
      </c>
      <c r="L58" s="62">
        <f t="shared" si="3"/>
        <v>3.3065583704631418E-2</v>
      </c>
      <c r="N58" s="40">
        <f>VLOOKUP(F58,'PD Term Structure'!$C$5:$D$14,2,TRUE)</f>
        <v>4</v>
      </c>
      <c r="O58" s="43">
        <f>VLOOKUP(N58,'Master rating scale'!$G$5:$H$14,2,FALSE)</f>
        <v>4</v>
      </c>
      <c r="P58" s="62">
        <f t="shared" si="4"/>
        <v>3.3065583704631418E-2</v>
      </c>
      <c r="R58" s="40">
        <f>VLOOKUP(G58,'PD Term Structure'!$C$5:$D$14,2,TRUE)</f>
        <v>5</v>
      </c>
      <c r="S58" s="43">
        <f>VLOOKUP(R58,'Master rating scale'!$G$5:$H$14,2,FALSE)</f>
        <v>5</v>
      </c>
      <c r="T58" s="62">
        <f t="shared" si="5"/>
        <v>4.1331979630789273E-2</v>
      </c>
    </row>
    <row r="59" spans="1:20" ht="14">
      <c r="A59" s="36">
        <v>142525</v>
      </c>
      <c r="B59" s="81" t="s">
        <v>18</v>
      </c>
      <c r="C59" s="37" t="s">
        <v>29</v>
      </c>
      <c r="D59" s="39">
        <v>17280.5</v>
      </c>
      <c r="E59" s="38">
        <v>0.05</v>
      </c>
      <c r="F59" s="38">
        <f>INDEX('PD Term Structure'!$E$17:$N$26,MATCH($J59,'PD Term Structure'!$D$17:$D$26,0),MATCH(F$2,'PD Term Structure'!$E$16:$N$16,0))</f>
        <v>5.2108354430379748E-2</v>
      </c>
      <c r="G59" s="38">
        <f>INDEX('PD Term Structure'!$E$17:$N$26,MATCH($J59,'PD Term Structure'!$D$17:$D$26,0),MATCH(G$2,'PD Term Structure'!$E$16:$N$16,0))</f>
        <v>6.3676339047537805E-2</v>
      </c>
      <c r="H59" s="82">
        <f>VLOOKUP(B59,'LGD parameters'!$C$7:$E$11,2,FALSE)</f>
        <v>0.62956863668283192</v>
      </c>
      <c r="I59" s="82">
        <f>(NORMSDIST(-LN(H59)+(VLOOKUP(B59,LGD_para,3,FALSE)^2/2))/VLOOKUP(B59,LGD_para,3,FALSE)-(VLOOKUP(B59,LGD_para,3,FALSE))-H59*(NORMSDIST(-LN(H59)+(VLOOKUP(B59,LGD_para,3,FALSE)^2/2))/VLOOKUP(B59,LGD_para,3,FALSE)))/LOGNORMDIST(1,LN(H59),(VLOOKUP(B59,LGD_para,3,FALSE)))*'LGD parameters'!$D$11</f>
        <v>0.26714251488777335</v>
      </c>
      <c r="J59" s="40">
        <f>VLOOKUP(E59,'PD Term Structure'!$C$5:$D$14,2,TRUE)</f>
        <v>4</v>
      </c>
      <c r="K59" s="43">
        <f>VLOOKUP(J59,'Master rating scale'!$G$5:$H$14,2,FALSE)</f>
        <v>4</v>
      </c>
      <c r="L59" s="62">
        <f t="shared" si="3"/>
        <v>3.3374598826429319E-2</v>
      </c>
      <c r="N59" s="40">
        <f>VLOOKUP(F59,'PD Term Structure'!$C$5:$D$14,2,TRUE)</f>
        <v>4</v>
      </c>
      <c r="O59" s="43">
        <f>VLOOKUP(N59,'Master rating scale'!$G$5:$H$14,2,FALSE)</f>
        <v>4</v>
      </c>
      <c r="P59" s="62">
        <f t="shared" si="4"/>
        <v>3.3374598826429319E-2</v>
      </c>
      <c r="R59" s="40">
        <f>VLOOKUP(G59,'PD Term Structure'!$C$5:$D$14,2,TRUE)</f>
        <v>5</v>
      </c>
      <c r="S59" s="43">
        <f>VLOOKUP(R59,'Master rating scale'!$G$5:$H$14,2,FALSE)</f>
        <v>5</v>
      </c>
      <c r="T59" s="62">
        <f t="shared" si="5"/>
        <v>4.1718248533036649E-2</v>
      </c>
    </row>
    <row r="60" spans="1:20" ht="14">
      <c r="A60" s="36">
        <v>293064</v>
      </c>
      <c r="B60" s="81" t="s">
        <v>18</v>
      </c>
      <c r="C60" s="37" t="s">
        <v>29</v>
      </c>
      <c r="D60" s="39">
        <v>17422.5</v>
      </c>
      <c r="E60" s="38">
        <v>0.05</v>
      </c>
      <c r="F60" s="38">
        <f>INDEX('PD Term Structure'!$E$17:$N$26,MATCH($J60,'PD Term Structure'!$D$17:$D$26,0),MATCH(F$2,'PD Term Structure'!$E$16:$N$16,0))</f>
        <v>5.2108354430379748E-2</v>
      </c>
      <c r="G60" s="38">
        <f>INDEX('PD Term Structure'!$E$17:$N$26,MATCH($J60,'PD Term Structure'!$D$17:$D$26,0),MATCH(G$2,'PD Term Structure'!$E$16:$N$16,0))</f>
        <v>6.3676339047537805E-2</v>
      </c>
      <c r="H60" s="82">
        <f>VLOOKUP(B60,'LGD parameters'!$C$7:$E$11,2,FALSE)</f>
        <v>0.62956863668283192</v>
      </c>
      <c r="I60" s="82">
        <f>(NORMSDIST(-LN(H60)+(VLOOKUP(B60,LGD_para,3,FALSE)^2/2))/VLOOKUP(B60,LGD_para,3,FALSE)-(VLOOKUP(B60,LGD_para,3,FALSE))-H60*(NORMSDIST(-LN(H60)+(VLOOKUP(B60,LGD_para,3,FALSE)^2/2))/VLOOKUP(B60,LGD_para,3,FALSE)))/LOGNORMDIST(1,LN(H60),(VLOOKUP(B60,LGD_para,3,FALSE)))*'LGD parameters'!$D$11</f>
        <v>0.26714251488777335</v>
      </c>
      <c r="J60" s="40">
        <f>VLOOKUP(E60,'PD Term Structure'!$C$5:$D$14,2,TRUE)</f>
        <v>4</v>
      </c>
      <c r="K60" s="43">
        <f>VLOOKUP(J60,'Master rating scale'!$G$5:$H$14,2,FALSE)</f>
        <v>4</v>
      </c>
      <c r="L60" s="62">
        <f t="shared" si="3"/>
        <v>3.3648849747024964E-2</v>
      </c>
      <c r="N60" s="40">
        <f>VLOOKUP(F60,'PD Term Structure'!$C$5:$D$14,2,TRUE)</f>
        <v>4</v>
      </c>
      <c r="O60" s="43">
        <f>VLOOKUP(N60,'Master rating scale'!$G$5:$H$14,2,FALSE)</f>
        <v>4</v>
      </c>
      <c r="P60" s="62">
        <f t="shared" si="4"/>
        <v>3.3648849747024964E-2</v>
      </c>
      <c r="R60" s="40">
        <f>VLOOKUP(G60,'PD Term Structure'!$C$5:$D$14,2,TRUE)</f>
        <v>5</v>
      </c>
      <c r="S60" s="43">
        <f>VLOOKUP(R60,'Master rating scale'!$G$5:$H$14,2,FALSE)</f>
        <v>5</v>
      </c>
      <c r="T60" s="62">
        <f t="shared" si="5"/>
        <v>4.2061062183781209E-2</v>
      </c>
    </row>
    <row r="61" spans="1:20" ht="14">
      <c r="A61" s="36">
        <v>425659</v>
      </c>
      <c r="B61" s="81" t="s">
        <v>18</v>
      </c>
      <c r="C61" s="37" t="s">
        <v>29</v>
      </c>
      <c r="D61" s="39">
        <v>17500</v>
      </c>
      <c r="E61" s="38">
        <v>0.05</v>
      </c>
      <c r="F61" s="38">
        <f>INDEX('PD Term Structure'!$E$17:$N$26,MATCH($J61,'PD Term Structure'!$D$17:$D$26,0),MATCH(F$2,'PD Term Structure'!$E$16:$N$16,0))</f>
        <v>5.2108354430379748E-2</v>
      </c>
      <c r="G61" s="38">
        <f>INDEX('PD Term Structure'!$E$17:$N$26,MATCH($J61,'PD Term Structure'!$D$17:$D$26,0),MATCH(G$2,'PD Term Structure'!$E$16:$N$16,0))</f>
        <v>6.3676339047537805E-2</v>
      </c>
      <c r="H61" s="82">
        <f>VLOOKUP(B61,'LGD parameters'!$C$7:$E$11,2,FALSE)</f>
        <v>0.62956863668283192</v>
      </c>
      <c r="I61" s="82">
        <f>(NORMSDIST(-LN(H61)+(VLOOKUP(B61,LGD_para,3,FALSE)^2/2))/VLOOKUP(B61,LGD_para,3,FALSE)-(VLOOKUP(B61,LGD_para,3,FALSE))-H61*(NORMSDIST(-LN(H61)+(VLOOKUP(B61,LGD_para,3,FALSE)^2/2))/VLOOKUP(B61,LGD_para,3,FALSE)))/LOGNORMDIST(1,LN(H61),(VLOOKUP(B61,LGD_para,3,FALSE)))*'LGD parameters'!$D$11</f>
        <v>0.26714251488777335</v>
      </c>
      <c r="J61" s="40">
        <f>VLOOKUP(E61,'PD Term Structure'!$C$5:$D$14,2,TRUE)</f>
        <v>4</v>
      </c>
      <c r="K61" s="43">
        <f>VLOOKUP(J61,'Master rating scale'!$G$5:$H$14,2,FALSE)</f>
        <v>4</v>
      </c>
      <c r="L61" s="62">
        <f t="shared" si="3"/>
        <v>3.3798528946645826E-2</v>
      </c>
      <c r="N61" s="40">
        <f>VLOOKUP(F61,'PD Term Structure'!$C$5:$D$14,2,TRUE)</f>
        <v>4</v>
      </c>
      <c r="O61" s="43">
        <f>VLOOKUP(N61,'Master rating scale'!$G$5:$H$14,2,FALSE)</f>
        <v>4</v>
      </c>
      <c r="P61" s="62">
        <f t="shared" si="4"/>
        <v>3.3798528946645826E-2</v>
      </c>
      <c r="R61" s="40">
        <f>VLOOKUP(G61,'PD Term Structure'!$C$5:$D$14,2,TRUE)</f>
        <v>5</v>
      </c>
      <c r="S61" s="43">
        <f>VLOOKUP(R61,'Master rating scale'!$G$5:$H$14,2,FALSE)</f>
        <v>5</v>
      </c>
      <c r="T61" s="62">
        <f t="shared" si="5"/>
        <v>4.2248161183307278E-2</v>
      </c>
    </row>
    <row r="62" spans="1:20" ht="14">
      <c r="A62" s="36">
        <v>433654</v>
      </c>
      <c r="B62" s="81" t="s">
        <v>18</v>
      </c>
      <c r="C62" s="37" t="s">
        <v>29</v>
      </c>
      <c r="D62" s="39">
        <v>17500</v>
      </c>
      <c r="E62" s="38">
        <v>0.05</v>
      </c>
      <c r="F62" s="38">
        <f>INDEX('PD Term Structure'!$E$17:$N$26,MATCH($J62,'PD Term Structure'!$D$17:$D$26,0),MATCH(F$2,'PD Term Structure'!$E$16:$N$16,0))</f>
        <v>5.2108354430379748E-2</v>
      </c>
      <c r="G62" s="38">
        <f>INDEX('PD Term Structure'!$E$17:$N$26,MATCH($J62,'PD Term Structure'!$D$17:$D$26,0),MATCH(G$2,'PD Term Structure'!$E$16:$N$16,0))</f>
        <v>6.3676339047537805E-2</v>
      </c>
      <c r="H62" s="82">
        <f>VLOOKUP(B62,'LGD parameters'!$C$7:$E$11,2,FALSE)</f>
        <v>0.62956863668283192</v>
      </c>
      <c r="I62" s="82">
        <f>(NORMSDIST(-LN(H62)+(VLOOKUP(B62,LGD_para,3,FALSE)^2/2))/VLOOKUP(B62,LGD_para,3,FALSE)-(VLOOKUP(B62,LGD_para,3,FALSE))-H62*(NORMSDIST(-LN(H62)+(VLOOKUP(B62,LGD_para,3,FALSE)^2/2))/VLOOKUP(B62,LGD_para,3,FALSE)))/LOGNORMDIST(1,LN(H62),(VLOOKUP(B62,LGD_para,3,FALSE)))*'LGD parameters'!$D$11</f>
        <v>0.26714251488777335</v>
      </c>
      <c r="J62" s="40">
        <f>VLOOKUP(E62,'PD Term Structure'!$C$5:$D$14,2,TRUE)</f>
        <v>4</v>
      </c>
      <c r="K62" s="43">
        <f>VLOOKUP(J62,'Master rating scale'!$G$5:$H$14,2,FALSE)</f>
        <v>4</v>
      </c>
      <c r="L62" s="62">
        <f t="shared" si="3"/>
        <v>3.3798528946645826E-2</v>
      </c>
      <c r="N62" s="40">
        <f>VLOOKUP(F62,'PD Term Structure'!$C$5:$D$14,2,TRUE)</f>
        <v>4</v>
      </c>
      <c r="O62" s="43">
        <f>VLOOKUP(N62,'Master rating scale'!$G$5:$H$14,2,FALSE)</f>
        <v>4</v>
      </c>
      <c r="P62" s="62">
        <f t="shared" si="4"/>
        <v>3.3798528946645826E-2</v>
      </c>
      <c r="R62" s="40">
        <f>VLOOKUP(G62,'PD Term Structure'!$C$5:$D$14,2,TRUE)</f>
        <v>5</v>
      </c>
      <c r="S62" s="43">
        <f>VLOOKUP(R62,'Master rating scale'!$G$5:$H$14,2,FALSE)</f>
        <v>5</v>
      </c>
      <c r="T62" s="62">
        <f t="shared" si="5"/>
        <v>4.2248161183307278E-2</v>
      </c>
    </row>
    <row r="63" spans="1:20" ht="14">
      <c r="A63" s="36">
        <v>478420</v>
      </c>
      <c r="B63" s="81" t="s">
        <v>18</v>
      </c>
      <c r="C63" s="37" t="s">
        <v>29</v>
      </c>
      <c r="D63" s="39">
        <v>17500</v>
      </c>
      <c r="E63" s="38">
        <v>0.05</v>
      </c>
      <c r="F63" s="38">
        <f>INDEX('PD Term Structure'!$E$17:$N$26,MATCH($J63,'PD Term Structure'!$D$17:$D$26,0),MATCH(F$2,'PD Term Structure'!$E$16:$N$16,0))</f>
        <v>5.2108354430379748E-2</v>
      </c>
      <c r="G63" s="38">
        <f>INDEX('PD Term Structure'!$E$17:$N$26,MATCH($J63,'PD Term Structure'!$D$17:$D$26,0),MATCH(G$2,'PD Term Structure'!$E$16:$N$16,0))</f>
        <v>6.3676339047537805E-2</v>
      </c>
      <c r="H63" s="82">
        <f>VLOOKUP(B63,'LGD parameters'!$C$7:$E$11,2,FALSE)</f>
        <v>0.62956863668283192</v>
      </c>
      <c r="I63" s="82">
        <f>(NORMSDIST(-LN(H63)+(VLOOKUP(B63,LGD_para,3,FALSE)^2/2))/VLOOKUP(B63,LGD_para,3,FALSE)-(VLOOKUP(B63,LGD_para,3,FALSE))-H63*(NORMSDIST(-LN(H63)+(VLOOKUP(B63,LGD_para,3,FALSE)^2/2))/VLOOKUP(B63,LGD_para,3,FALSE)))/LOGNORMDIST(1,LN(H63),(VLOOKUP(B63,LGD_para,3,FALSE)))*'LGD parameters'!$D$11</f>
        <v>0.26714251488777335</v>
      </c>
      <c r="J63" s="40">
        <f>VLOOKUP(E63,'PD Term Structure'!$C$5:$D$14,2,TRUE)</f>
        <v>4</v>
      </c>
      <c r="K63" s="43">
        <f>VLOOKUP(J63,'Master rating scale'!$G$5:$H$14,2,FALSE)</f>
        <v>4</v>
      </c>
      <c r="L63" s="62">
        <f t="shared" si="3"/>
        <v>3.3798528946645826E-2</v>
      </c>
      <c r="N63" s="40">
        <f>VLOOKUP(F63,'PD Term Structure'!$C$5:$D$14,2,TRUE)</f>
        <v>4</v>
      </c>
      <c r="O63" s="43">
        <f>VLOOKUP(N63,'Master rating scale'!$G$5:$H$14,2,FALSE)</f>
        <v>4</v>
      </c>
      <c r="P63" s="62">
        <f t="shared" si="4"/>
        <v>3.3798528946645826E-2</v>
      </c>
      <c r="R63" s="40">
        <f>VLOOKUP(G63,'PD Term Structure'!$C$5:$D$14,2,TRUE)</f>
        <v>5</v>
      </c>
      <c r="S63" s="43">
        <f>VLOOKUP(R63,'Master rating scale'!$G$5:$H$14,2,FALSE)</f>
        <v>5</v>
      </c>
      <c r="T63" s="62">
        <f t="shared" si="5"/>
        <v>4.2248161183307278E-2</v>
      </c>
    </row>
    <row r="64" spans="1:20" ht="14">
      <c r="A64" s="36">
        <v>284692</v>
      </c>
      <c r="B64" s="81" t="s">
        <v>18</v>
      </c>
      <c r="C64" s="37" t="s">
        <v>29</v>
      </c>
      <c r="D64" s="39">
        <v>17703.5</v>
      </c>
      <c r="E64" s="38">
        <v>0.05</v>
      </c>
      <c r="F64" s="38">
        <f>INDEX('PD Term Structure'!$E$17:$N$26,MATCH($J64,'PD Term Structure'!$D$17:$D$26,0),MATCH(F$2,'PD Term Structure'!$E$16:$N$16,0))</f>
        <v>5.2108354430379748E-2</v>
      </c>
      <c r="G64" s="38">
        <f>INDEX('PD Term Structure'!$E$17:$N$26,MATCH($J64,'PD Term Structure'!$D$17:$D$26,0),MATCH(G$2,'PD Term Structure'!$E$16:$N$16,0))</f>
        <v>6.3676339047537805E-2</v>
      </c>
      <c r="H64" s="82">
        <f>VLOOKUP(B64,'LGD parameters'!$C$7:$E$11,2,FALSE)</f>
        <v>0.62956863668283192</v>
      </c>
      <c r="I64" s="82">
        <f>(NORMSDIST(-LN(H64)+(VLOOKUP(B64,LGD_para,3,FALSE)^2/2))/VLOOKUP(B64,LGD_para,3,FALSE)-(VLOOKUP(B64,LGD_para,3,FALSE))-H64*(NORMSDIST(-LN(H64)+(VLOOKUP(B64,LGD_para,3,FALSE)^2/2))/VLOOKUP(B64,LGD_para,3,FALSE)))/LOGNORMDIST(1,LN(H64),(VLOOKUP(B64,LGD_para,3,FALSE)))*'LGD parameters'!$D$11</f>
        <v>0.26714251488777335</v>
      </c>
      <c r="J64" s="40">
        <f>VLOOKUP(E64,'PD Term Structure'!$C$5:$D$14,2,TRUE)</f>
        <v>4</v>
      </c>
      <c r="K64" s="43">
        <f>VLOOKUP(J64,'Master rating scale'!$G$5:$H$14,2,FALSE)</f>
        <v>4</v>
      </c>
      <c r="L64" s="62">
        <f t="shared" si="3"/>
        <v>3.4191557554682533E-2</v>
      </c>
      <c r="N64" s="40">
        <f>VLOOKUP(F64,'PD Term Structure'!$C$5:$D$14,2,TRUE)</f>
        <v>4</v>
      </c>
      <c r="O64" s="43">
        <f>VLOOKUP(N64,'Master rating scale'!$G$5:$H$14,2,FALSE)</f>
        <v>4</v>
      </c>
      <c r="P64" s="62">
        <f t="shared" si="4"/>
        <v>3.4191557554682533E-2</v>
      </c>
      <c r="R64" s="40">
        <f>VLOOKUP(G64,'PD Term Structure'!$C$5:$D$14,2,TRUE)</f>
        <v>5</v>
      </c>
      <c r="S64" s="43">
        <f>VLOOKUP(R64,'Master rating scale'!$G$5:$H$14,2,FALSE)</f>
        <v>5</v>
      </c>
      <c r="T64" s="62">
        <f t="shared" si="5"/>
        <v>4.2739446943353167E-2</v>
      </c>
    </row>
    <row r="65" spans="1:20" ht="14">
      <c r="A65" s="36">
        <v>252928</v>
      </c>
      <c r="B65" s="81" t="s">
        <v>18</v>
      </c>
      <c r="C65" s="37" t="s">
        <v>29</v>
      </c>
      <c r="D65" s="39">
        <v>17895</v>
      </c>
      <c r="E65" s="38">
        <v>0.05</v>
      </c>
      <c r="F65" s="38">
        <f>INDEX('PD Term Structure'!$E$17:$N$26,MATCH($J65,'PD Term Structure'!$D$17:$D$26,0),MATCH(F$2,'PD Term Structure'!$E$16:$N$16,0))</f>
        <v>5.2108354430379748E-2</v>
      </c>
      <c r="G65" s="38">
        <f>INDEX('PD Term Structure'!$E$17:$N$26,MATCH($J65,'PD Term Structure'!$D$17:$D$26,0),MATCH(G$2,'PD Term Structure'!$E$16:$N$16,0))</f>
        <v>6.3676339047537805E-2</v>
      </c>
      <c r="H65" s="82">
        <f>VLOOKUP(B65,'LGD parameters'!$C$7:$E$11,2,FALSE)</f>
        <v>0.62956863668283192</v>
      </c>
      <c r="I65" s="82">
        <f>(NORMSDIST(-LN(H65)+(VLOOKUP(B65,LGD_para,3,FALSE)^2/2))/VLOOKUP(B65,LGD_para,3,FALSE)-(VLOOKUP(B65,LGD_para,3,FALSE))-H65*(NORMSDIST(-LN(H65)+(VLOOKUP(B65,LGD_para,3,FALSE)^2/2))/VLOOKUP(B65,LGD_para,3,FALSE)))/LOGNORMDIST(1,LN(H65),(VLOOKUP(B65,LGD_para,3,FALSE)))*'LGD parameters'!$D$11</f>
        <v>0.26714251488777335</v>
      </c>
      <c r="J65" s="40">
        <f>VLOOKUP(E65,'PD Term Structure'!$C$5:$D$14,2,TRUE)</f>
        <v>4</v>
      </c>
      <c r="K65" s="43">
        <f>VLOOKUP(J65,'Master rating scale'!$G$5:$H$14,2,FALSE)</f>
        <v>4</v>
      </c>
      <c r="L65" s="62">
        <f t="shared" si="3"/>
        <v>3.4561410028584399E-2</v>
      </c>
      <c r="N65" s="40">
        <f>VLOOKUP(F65,'PD Term Structure'!$C$5:$D$14,2,TRUE)</f>
        <v>4</v>
      </c>
      <c r="O65" s="43">
        <f>VLOOKUP(N65,'Master rating scale'!$G$5:$H$14,2,FALSE)</f>
        <v>4</v>
      </c>
      <c r="P65" s="62">
        <f t="shared" si="4"/>
        <v>3.4561410028584399E-2</v>
      </c>
      <c r="R65" s="40">
        <f>VLOOKUP(G65,'PD Term Structure'!$C$5:$D$14,2,TRUE)</f>
        <v>5</v>
      </c>
      <c r="S65" s="43">
        <f>VLOOKUP(R65,'Master rating scale'!$G$5:$H$14,2,FALSE)</f>
        <v>5</v>
      </c>
      <c r="T65" s="62">
        <f t="shared" si="5"/>
        <v>4.3201762535730499E-2</v>
      </c>
    </row>
    <row r="66" spans="1:20" ht="14">
      <c r="A66" s="36">
        <v>238890</v>
      </c>
      <c r="B66" s="81" t="s">
        <v>18</v>
      </c>
      <c r="C66" s="37" t="s">
        <v>29</v>
      </c>
      <c r="D66" s="39">
        <v>18362.5</v>
      </c>
      <c r="E66" s="38">
        <v>0.05</v>
      </c>
      <c r="F66" s="38">
        <f>INDEX('PD Term Structure'!$E$17:$N$26,MATCH($J66,'PD Term Structure'!$D$17:$D$26,0),MATCH(F$2,'PD Term Structure'!$E$16:$N$16,0))</f>
        <v>5.2108354430379748E-2</v>
      </c>
      <c r="G66" s="38">
        <f>INDEX('PD Term Structure'!$E$17:$N$26,MATCH($J66,'PD Term Structure'!$D$17:$D$26,0),MATCH(G$2,'PD Term Structure'!$E$16:$N$16,0))</f>
        <v>6.3676339047537805E-2</v>
      </c>
      <c r="H66" s="82">
        <f>VLOOKUP(B66,'LGD parameters'!$C$7:$E$11,2,FALSE)</f>
        <v>0.62956863668283192</v>
      </c>
      <c r="I66" s="82">
        <f>(NORMSDIST(-LN(H66)+(VLOOKUP(B66,LGD_para,3,FALSE)^2/2))/VLOOKUP(B66,LGD_para,3,FALSE)-(VLOOKUP(B66,LGD_para,3,FALSE))-H66*(NORMSDIST(-LN(H66)+(VLOOKUP(B66,LGD_para,3,FALSE)^2/2))/VLOOKUP(B66,LGD_para,3,FALSE)))/LOGNORMDIST(1,LN(H66),(VLOOKUP(B66,LGD_para,3,FALSE)))*'LGD parameters'!$D$11</f>
        <v>0.26714251488777335</v>
      </c>
      <c r="J66" s="40">
        <f>VLOOKUP(E66,'PD Term Structure'!$C$5:$D$14,2,TRUE)</f>
        <v>4</v>
      </c>
      <c r="K66" s="43">
        <f>VLOOKUP(J66,'Master rating scale'!$G$5:$H$14,2,FALSE)</f>
        <v>4</v>
      </c>
      <c r="L66" s="62">
        <f t="shared" si="3"/>
        <v>3.5464313587587649E-2</v>
      </c>
      <c r="N66" s="40">
        <f>VLOOKUP(F66,'PD Term Structure'!$C$5:$D$14,2,TRUE)</f>
        <v>4</v>
      </c>
      <c r="O66" s="43">
        <f>VLOOKUP(N66,'Master rating scale'!$G$5:$H$14,2,FALSE)</f>
        <v>4</v>
      </c>
      <c r="P66" s="62">
        <f t="shared" si="4"/>
        <v>3.5464313587587649E-2</v>
      </c>
      <c r="R66" s="40">
        <f>VLOOKUP(G66,'PD Term Structure'!$C$5:$D$14,2,TRUE)</f>
        <v>5</v>
      </c>
      <c r="S66" s="43">
        <f>VLOOKUP(R66,'Master rating scale'!$G$5:$H$14,2,FALSE)</f>
        <v>5</v>
      </c>
      <c r="T66" s="62">
        <f t="shared" si="5"/>
        <v>4.433039198448456E-2</v>
      </c>
    </row>
    <row r="67" spans="1:20" ht="14">
      <c r="A67" s="36">
        <v>60616</v>
      </c>
      <c r="B67" s="81" t="s">
        <v>18</v>
      </c>
      <c r="C67" s="37" t="s">
        <v>29</v>
      </c>
      <c r="D67" s="39">
        <v>18975</v>
      </c>
      <c r="E67" s="38">
        <v>0.05</v>
      </c>
      <c r="F67" s="38">
        <f>INDEX('PD Term Structure'!$E$17:$N$26,MATCH($J67,'PD Term Structure'!$D$17:$D$26,0),MATCH(F$2,'PD Term Structure'!$E$16:$N$16,0))</f>
        <v>5.2108354430379748E-2</v>
      </c>
      <c r="G67" s="38">
        <f>INDEX('PD Term Structure'!$E$17:$N$26,MATCH($J67,'PD Term Structure'!$D$17:$D$26,0),MATCH(G$2,'PD Term Structure'!$E$16:$N$16,0))</f>
        <v>6.3676339047537805E-2</v>
      </c>
      <c r="H67" s="82">
        <f>VLOOKUP(B67,'LGD parameters'!$C$7:$E$11,2,FALSE)</f>
        <v>0.62956863668283192</v>
      </c>
      <c r="I67" s="82">
        <f>(NORMSDIST(-LN(H67)+(VLOOKUP(B67,LGD_para,3,FALSE)^2/2))/VLOOKUP(B67,LGD_para,3,FALSE)-(VLOOKUP(B67,LGD_para,3,FALSE))-H67*(NORMSDIST(-LN(H67)+(VLOOKUP(B67,LGD_para,3,FALSE)^2/2))/VLOOKUP(B67,LGD_para,3,FALSE)))/LOGNORMDIST(1,LN(H67),(VLOOKUP(B67,LGD_para,3,FALSE)))*'LGD parameters'!$D$11</f>
        <v>0.26714251488777335</v>
      </c>
      <c r="J67" s="40">
        <f>VLOOKUP(E67,'PD Term Structure'!$C$5:$D$14,2,TRUE)</f>
        <v>4</v>
      </c>
      <c r="K67" s="43">
        <f>VLOOKUP(J67,'Master rating scale'!$G$5:$H$14,2,FALSE)</f>
        <v>4</v>
      </c>
      <c r="L67" s="62">
        <f t="shared" si="3"/>
        <v>3.6647262100720258E-2</v>
      </c>
      <c r="N67" s="40">
        <f>VLOOKUP(F67,'PD Term Structure'!$C$5:$D$14,2,TRUE)</f>
        <v>4</v>
      </c>
      <c r="O67" s="43">
        <f>VLOOKUP(N67,'Master rating scale'!$G$5:$H$14,2,FALSE)</f>
        <v>4</v>
      </c>
      <c r="P67" s="62">
        <f t="shared" si="4"/>
        <v>3.6647262100720258E-2</v>
      </c>
      <c r="R67" s="40">
        <f>VLOOKUP(G67,'PD Term Structure'!$C$5:$D$14,2,TRUE)</f>
        <v>5</v>
      </c>
      <c r="S67" s="43">
        <f>VLOOKUP(R67,'Master rating scale'!$G$5:$H$14,2,FALSE)</f>
        <v>5</v>
      </c>
      <c r="T67" s="62">
        <f t="shared" si="5"/>
        <v>4.5809077625900321E-2</v>
      </c>
    </row>
    <row r="68" spans="1:20" ht="14">
      <c r="A68" s="36">
        <v>227030</v>
      </c>
      <c r="B68" s="81" t="s">
        <v>18</v>
      </c>
      <c r="C68" s="37" t="s">
        <v>29</v>
      </c>
      <c r="D68" s="39">
        <v>19674.5</v>
      </c>
      <c r="E68" s="38">
        <v>0.05</v>
      </c>
      <c r="F68" s="38">
        <f>INDEX('PD Term Structure'!$E$17:$N$26,MATCH($J68,'PD Term Structure'!$D$17:$D$26,0),MATCH(F$2,'PD Term Structure'!$E$16:$N$16,0))</f>
        <v>5.2108354430379748E-2</v>
      </c>
      <c r="G68" s="38">
        <f>INDEX('PD Term Structure'!$E$17:$N$26,MATCH($J68,'PD Term Structure'!$D$17:$D$26,0),MATCH(G$2,'PD Term Structure'!$E$16:$N$16,0))</f>
        <v>6.3676339047537805E-2</v>
      </c>
      <c r="H68" s="82">
        <f>VLOOKUP(B68,'LGD parameters'!$C$7:$E$11,2,FALSE)</f>
        <v>0.62956863668283192</v>
      </c>
      <c r="I68" s="82">
        <f>(NORMSDIST(-LN(H68)+(VLOOKUP(B68,LGD_para,3,FALSE)^2/2))/VLOOKUP(B68,LGD_para,3,FALSE)-(VLOOKUP(B68,LGD_para,3,FALSE))-H68*(NORMSDIST(-LN(H68)+(VLOOKUP(B68,LGD_para,3,FALSE)^2/2))/VLOOKUP(B68,LGD_para,3,FALSE)))/LOGNORMDIST(1,LN(H68),(VLOOKUP(B68,LGD_para,3,FALSE)))*'LGD parameters'!$D$11</f>
        <v>0.26714251488777335</v>
      </c>
      <c r="J68" s="40">
        <f>VLOOKUP(E68,'PD Term Structure'!$C$5:$D$14,2,TRUE)</f>
        <v>4</v>
      </c>
      <c r="K68" s="43">
        <f>VLOOKUP(J68,'Master rating scale'!$G$5:$H$14,2,FALSE)</f>
        <v>4</v>
      </c>
      <c r="L68" s="62">
        <f t="shared" ref="L68:L99" si="6">D68/$D$118*K68</f>
        <v>3.7998237586330467E-2</v>
      </c>
      <c r="N68" s="40">
        <f>VLOOKUP(F68,'PD Term Structure'!$C$5:$D$14,2,TRUE)</f>
        <v>4</v>
      </c>
      <c r="O68" s="43">
        <f>VLOOKUP(N68,'Master rating scale'!$G$5:$H$14,2,FALSE)</f>
        <v>4</v>
      </c>
      <c r="P68" s="62">
        <f t="shared" ref="P68:P99" si="7">$D68/$D$118*O68</f>
        <v>3.7998237586330467E-2</v>
      </c>
      <c r="R68" s="40">
        <f>VLOOKUP(G68,'PD Term Structure'!$C$5:$D$14,2,TRUE)</f>
        <v>5</v>
      </c>
      <c r="S68" s="43">
        <f>VLOOKUP(R68,'Master rating scale'!$G$5:$H$14,2,FALSE)</f>
        <v>5</v>
      </c>
      <c r="T68" s="62">
        <f t="shared" ref="T68:T99" si="8">$D68/$D$118*S68</f>
        <v>4.7497796982913086E-2</v>
      </c>
    </row>
    <row r="69" spans="1:20" ht="14">
      <c r="A69" s="36">
        <v>148027</v>
      </c>
      <c r="B69" s="81" t="s">
        <v>18</v>
      </c>
      <c r="C69" s="37" t="s">
        <v>29</v>
      </c>
      <c r="D69" s="39">
        <v>19919.5</v>
      </c>
      <c r="E69" s="38">
        <v>0.05</v>
      </c>
      <c r="F69" s="38">
        <f>INDEX('PD Term Structure'!$E$17:$N$26,MATCH($J69,'PD Term Structure'!$D$17:$D$26,0),MATCH(F$2,'PD Term Structure'!$E$16:$N$16,0))</f>
        <v>5.2108354430379748E-2</v>
      </c>
      <c r="G69" s="38">
        <f>INDEX('PD Term Structure'!$E$17:$N$26,MATCH($J69,'PD Term Structure'!$D$17:$D$26,0),MATCH(G$2,'PD Term Structure'!$E$16:$N$16,0))</f>
        <v>6.3676339047537805E-2</v>
      </c>
      <c r="H69" s="82">
        <f>VLOOKUP(B69,'LGD parameters'!$C$7:$E$11,2,FALSE)</f>
        <v>0.62956863668283192</v>
      </c>
      <c r="I69" s="82">
        <f>(NORMSDIST(-LN(H69)+(VLOOKUP(B69,LGD_para,3,FALSE)^2/2))/VLOOKUP(B69,LGD_para,3,FALSE)-(VLOOKUP(B69,LGD_para,3,FALSE))-H69*(NORMSDIST(-LN(H69)+(VLOOKUP(B69,LGD_para,3,FALSE)^2/2))/VLOOKUP(B69,LGD_para,3,FALSE)))/LOGNORMDIST(1,LN(H69),(VLOOKUP(B69,LGD_para,3,FALSE)))*'LGD parameters'!$D$11</f>
        <v>0.26714251488777335</v>
      </c>
      <c r="J69" s="40">
        <f>VLOOKUP(E69,'PD Term Structure'!$C$5:$D$14,2,TRUE)</f>
        <v>4</v>
      </c>
      <c r="K69" s="43">
        <f>VLOOKUP(J69,'Master rating scale'!$G$5:$H$14,2,FALSE)</f>
        <v>4</v>
      </c>
      <c r="L69" s="62">
        <f t="shared" si="6"/>
        <v>3.8471416991583511E-2</v>
      </c>
      <c r="N69" s="40">
        <f>VLOOKUP(F69,'PD Term Structure'!$C$5:$D$14,2,TRUE)</f>
        <v>4</v>
      </c>
      <c r="O69" s="43">
        <f>VLOOKUP(N69,'Master rating scale'!$G$5:$H$14,2,FALSE)</f>
        <v>4</v>
      </c>
      <c r="P69" s="62">
        <f t="shared" si="7"/>
        <v>3.8471416991583511E-2</v>
      </c>
      <c r="R69" s="40">
        <f>VLOOKUP(G69,'PD Term Structure'!$C$5:$D$14,2,TRUE)</f>
        <v>5</v>
      </c>
      <c r="S69" s="43">
        <f>VLOOKUP(R69,'Master rating scale'!$G$5:$H$14,2,FALSE)</f>
        <v>5</v>
      </c>
      <c r="T69" s="62">
        <f t="shared" si="8"/>
        <v>4.8089271239479391E-2</v>
      </c>
    </row>
    <row r="70" spans="1:20" ht="14">
      <c r="A70" s="36">
        <v>35835</v>
      </c>
      <c r="B70" s="81" t="s">
        <v>18</v>
      </c>
      <c r="C70" s="37" t="s">
        <v>29</v>
      </c>
      <c r="D70" s="39">
        <v>20000</v>
      </c>
      <c r="E70" s="38">
        <v>0.05</v>
      </c>
      <c r="F70" s="38">
        <f>INDEX('PD Term Structure'!$E$17:$N$26,MATCH($J70,'PD Term Structure'!$D$17:$D$26,0),MATCH(F$2,'PD Term Structure'!$E$16:$N$16,0))</f>
        <v>5.2108354430379748E-2</v>
      </c>
      <c r="G70" s="38">
        <f>INDEX('PD Term Structure'!$E$17:$N$26,MATCH($J70,'PD Term Structure'!$D$17:$D$26,0),MATCH(G$2,'PD Term Structure'!$E$16:$N$16,0))</f>
        <v>6.3676339047537805E-2</v>
      </c>
      <c r="H70" s="82">
        <f>VLOOKUP(B70,'LGD parameters'!$C$7:$E$11,2,FALSE)</f>
        <v>0.62956863668283192</v>
      </c>
      <c r="I70" s="82">
        <f>(NORMSDIST(-LN(H70)+(VLOOKUP(B70,LGD_para,3,FALSE)^2/2))/VLOOKUP(B70,LGD_para,3,FALSE)-(VLOOKUP(B70,LGD_para,3,FALSE))-H70*(NORMSDIST(-LN(H70)+(VLOOKUP(B70,LGD_para,3,FALSE)^2/2))/VLOOKUP(B70,LGD_para,3,FALSE)))/LOGNORMDIST(1,LN(H70),(VLOOKUP(B70,LGD_para,3,FALSE)))*'LGD parameters'!$D$11</f>
        <v>0.26714251488777335</v>
      </c>
      <c r="J70" s="40">
        <f>VLOOKUP(E70,'PD Term Structure'!$C$5:$D$14,2,TRUE)</f>
        <v>4</v>
      </c>
      <c r="K70" s="43">
        <f>VLOOKUP(J70,'Master rating scale'!$G$5:$H$14,2,FALSE)</f>
        <v>4</v>
      </c>
      <c r="L70" s="62">
        <f t="shared" si="6"/>
        <v>3.8626890224738079E-2</v>
      </c>
      <c r="N70" s="40">
        <f>VLOOKUP(F70,'PD Term Structure'!$C$5:$D$14,2,TRUE)</f>
        <v>4</v>
      </c>
      <c r="O70" s="43">
        <f>VLOOKUP(N70,'Master rating scale'!$G$5:$H$14,2,FALSE)</f>
        <v>4</v>
      </c>
      <c r="P70" s="62">
        <f t="shared" si="7"/>
        <v>3.8626890224738079E-2</v>
      </c>
      <c r="R70" s="40">
        <f>VLOOKUP(G70,'PD Term Structure'!$C$5:$D$14,2,TRUE)</f>
        <v>5</v>
      </c>
      <c r="S70" s="43">
        <f>VLOOKUP(R70,'Master rating scale'!$G$5:$H$14,2,FALSE)</f>
        <v>5</v>
      </c>
      <c r="T70" s="62">
        <f t="shared" si="8"/>
        <v>4.8283612780922601E-2</v>
      </c>
    </row>
    <row r="71" spans="1:20" ht="14">
      <c r="A71" s="36">
        <v>179067</v>
      </c>
      <c r="B71" s="81" t="s">
        <v>18</v>
      </c>
      <c r="C71" s="37" t="s">
        <v>29</v>
      </c>
      <c r="D71" s="39">
        <v>20000</v>
      </c>
      <c r="E71" s="38">
        <v>0.05</v>
      </c>
      <c r="F71" s="38">
        <f>INDEX('PD Term Structure'!$E$17:$N$26,MATCH($J71,'PD Term Structure'!$D$17:$D$26,0),MATCH(F$2,'PD Term Structure'!$E$16:$N$16,0))</f>
        <v>5.2108354430379748E-2</v>
      </c>
      <c r="G71" s="38">
        <f>INDEX('PD Term Structure'!$E$17:$N$26,MATCH($J71,'PD Term Structure'!$D$17:$D$26,0),MATCH(G$2,'PD Term Structure'!$E$16:$N$16,0))</f>
        <v>6.3676339047537805E-2</v>
      </c>
      <c r="H71" s="82">
        <f>VLOOKUP(B71,'LGD parameters'!$C$7:$E$11,2,FALSE)</f>
        <v>0.62956863668283192</v>
      </c>
      <c r="I71" s="82">
        <f>(NORMSDIST(-LN(H71)+(VLOOKUP(B71,LGD_para,3,FALSE)^2/2))/VLOOKUP(B71,LGD_para,3,FALSE)-(VLOOKUP(B71,LGD_para,3,FALSE))-H71*(NORMSDIST(-LN(H71)+(VLOOKUP(B71,LGD_para,3,FALSE)^2/2))/VLOOKUP(B71,LGD_para,3,FALSE)))/LOGNORMDIST(1,LN(H71),(VLOOKUP(B71,LGD_para,3,FALSE)))*'LGD parameters'!$D$11</f>
        <v>0.26714251488777335</v>
      </c>
      <c r="J71" s="40">
        <f>VLOOKUP(E71,'PD Term Structure'!$C$5:$D$14,2,TRUE)</f>
        <v>4</v>
      </c>
      <c r="K71" s="43">
        <f>VLOOKUP(J71,'Master rating scale'!$G$5:$H$14,2,FALSE)</f>
        <v>4</v>
      </c>
      <c r="L71" s="62">
        <f t="shared" si="6"/>
        <v>3.8626890224738079E-2</v>
      </c>
      <c r="N71" s="40">
        <f>VLOOKUP(F71,'PD Term Structure'!$C$5:$D$14,2,TRUE)</f>
        <v>4</v>
      </c>
      <c r="O71" s="43">
        <f>VLOOKUP(N71,'Master rating scale'!$G$5:$H$14,2,FALSE)</f>
        <v>4</v>
      </c>
      <c r="P71" s="62">
        <f t="shared" si="7"/>
        <v>3.8626890224738079E-2</v>
      </c>
      <c r="R71" s="40">
        <f>VLOOKUP(G71,'PD Term Structure'!$C$5:$D$14,2,TRUE)</f>
        <v>5</v>
      </c>
      <c r="S71" s="43">
        <f>VLOOKUP(R71,'Master rating scale'!$G$5:$H$14,2,FALSE)</f>
        <v>5</v>
      </c>
      <c r="T71" s="62">
        <f t="shared" si="8"/>
        <v>4.8283612780922601E-2</v>
      </c>
    </row>
    <row r="72" spans="1:20" ht="14">
      <c r="A72" s="36">
        <v>200399</v>
      </c>
      <c r="B72" s="81" t="s">
        <v>18</v>
      </c>
      <c r="C72" s="37" t="s">
        <v>29</v>
      </c>
      <c r="D72" s="39">
        <v>20000</v>
      </c>
      <c r="E72" s="38">
        <v>0.05</v>
      </c>
      <c r="F72" s="38">
        <f>INDEX('PD Term Structure'!$E$17:$N$26,MATCH($J72,'PD Term Structure'!$D$17:$D$26,0),MATCH(F$2,'PD Term Structure'!$E$16:$N$16,0))</f>
        <v>5.2108354430379748E-2</v>
      </c>
      <c r="G72" s="38">
        <f>INDEX('PD Term Structure'!$E$17:$N$26,MATCH($J72,'PD Term Structure'!$D$17:$D$26,0),MATCH(G$2,'PD Term Structure'!$E$16:$N$16,0))</f>
        <v>6.3676339047537805E-2</v>
      </c>
      <c r="H72" s="82">
        <f>VLOOKUP(B72,'LGD parameters'!$C$7:$E$11,2,FALSE)</f>
        <v>0.62956863668283192</v>
      </c>
      <c r="I72" s="82">
        <f>(NORMSDIST(-LN(H72)+(VLOOKUP(B72,LGD_para,3,FALSE)^2/2))/VLOOKUP(B72,LGD_para,3,FALSE)-(VLOOKUP(B72,LGD_para,3,FALSE))-H72*(NORMSDIST(-LN(H72)+(VLOOKUP(B72,LGD_para,3,FALSE)^2/2))/VLOOKUP(B72,LGD_para,3,FALSE)))/LOGNORMDIST(1,LN(H72),(VLOOKUP(B72,LGD_para,3,FALSE)))*'LGD parameters'!$D$11</f>
        <v>0.26714251488777335</v>
      </c>
      <c r="J72" s="40">
        <f>VLOOKUP(E72,'PD Term Structure'!$C$5:$D$14,2,TRUE)</f>
        <v>4</v>
      </c>
      <c r="K72" s="43">
        <f>VLOOKUP(J72,'Master rating scale'!$G$5:$H$14,2,FALSE)</f>
        <v>4</v>
      </c>
      <c r="L72" s="62">
        <f t="shared" si="6"/>
        <v>3.8626890224738079E-2</v>
      </c>
      <c r="N72" s="40">
        <f>VLOOKUP(F72,'PD Term Structure'!$C$5:$D$14,2,TRUE)</f>
        <v>4</v>
      </c>
      <c r="O72" s="43">
        <f>VLOOKUP(N72,'Master rating scale'!$G$5:$H$14,2,FALSE)</f>
        <v>4</v>
      </c>
      <c r="P72" s="62">
        <f t="shared" si="7"/>
        <v>3.8626890224738079E-2</v>
      </c>
      <c r="R72" s="40">
        <f>VLOOKUP(G72,'PD Term Structure'!$C$5:$D$14,2,TRUE)</f>
        <v>5</v>
      </c>
      <c r="S72" s="43">
        <f>VLOOKUP(R72,'Master rating scale'!$G$5:$H$14,2,FALSE)</f>
        <v>5</v>
      </c>
      <c r="T72" s="62">
        <f t="shared" si="8"/>
        <v>4.8283612780922601E-2</v>
      </c>
    </row>
    <row r="73" spans="1:20" ht="14">
      <c r="A73" s="36">
        <v>263132</v>
      </c>
      <c r="B73" s="81" t="s">
        <v>18</v>
      </c>
      <c r="C73" s="37" t="s">
        <v>29</v>
      </c>
      <c r="D73" s="39">
        <v>20000</v>
      </c>
      <c r="E73" s="38">
        <v>0.05</v>
      </c>
      <c r="F73" s="38">
        <f>INDEX('PD Term Structure'!$E$17:$N$26,MATCH($J73,'PD Term Structure'!$D$17:$D$26,0),MATCH(F$2,'PD Term Structure'!$E$16:$N$16,0))</f>
        <v>5.2108354430379748E-2</v>
      </c>
      <c r="G73" s="38">
        <f>INDEX('PD Term Structure'!$E$17:$N$26,MATCH($J73,'PD Term Structure'!$D$17:$D$26,0),MATCH(G$2,'PD Term Structure'!$E$16:$N$16,0))</f>
        <v>6.3676339047537805E-2</v>
      </c>
      <c r="H73" s="82">
        <f>VLOOKUP(B73,'LGD parameters'!$C$7:$E$11,2,FALSE)</f>
        <v>0.62956863668283192</v>
      </c>
      <c r="I73" s="82">
        <f>(NORMSDIST(-LN(H73)+(VLOOKUP(B73,LGD_para,3,FALSE)^2/2))/VLOOKUP(B73,LGD_para,3,FALSE)-(VLOOKUP(B73,LGD_para,3,FALSE))-H73*(NORMSDIST(-LN(H73)+(VLOOKUP(B73,LGD_para,3,FALSE)^2/2))/VLOOKUP(B73,LGD_para,3,FALSE)))/LOGNORMDIST(1,LN(H73),(VLOOKUP(B73,LGD_para,3,FALSE)))*'LGD parameters'!$D$11</f>
        <v>0.26714251488777335</v>
      </c>
      <c r="J73" s="40">
        <f>VLOOKUP(E73,'PD Term Structure'!$C$5:$D$14,2,TRUE)</f>
        <v>4</v>
      </c>
      <c r="K73" s="43">
        <f>VLOOKUP(J73,'Master rating scale'!$G$5:$H$14,2,FALSE)</f>
        <v>4</v>
      </c>
      <c r="L73" s="62">
        <f t="shared" si="6"/>
        <v>3.8626890224738079E-2</v>
      </c>
      <c r="N73" s="40">
        <f>VLOOKUP(F73,'PD Term Structure'!$C$5:$D$14,2,TRUE)</f>
        <v>4</v>
      </c>
      <c r="O73" s="43">
        <f>VLOOKUP(N73,'Master rating scale'!$G$5:$H$14,2,FALSE)</f>
        <v>4</v>
      </c>
      <c r="P73" s="62">
        <f t="shared" si="7"/>
        <v>3.8626890224738079E-2</v>
      </c>
      <c r="R73" s="40">
        <f>VLOOKUP(G73,'PD Term Structure'!$C$5:$D$14,2,TRUE)</f>
        <v>5</v>
      </c>
      <c r="S73" s="43">
        <f>VLOOKUP(R73,'Master rating scale'!$G$5:$H$14,2,FALSE)</f>
        <v>5</v>
      </c>
      <c r="T73" s="62">
        <f t="shared" si="8"/>
        <v>4.8283612780922601E-2</v>
      </c>
    </row>
    <row r="74" spans="1:20" ht="14">
      <c r="A74" s="36">
        <v>330743</v>
      </c>
      <c r="B74" s="81" t="s">
        <v>18</v>
      </c>
      <c r="C74" s="37" t="s">
        <v>29</v>
      </c>
      <c r="D74" s="39">
        <v>20000</v>
      </c>
      <c r="E74" s="38">
        <v>1.4105306E-2</v>
      </c>
      <c r="F74" s="38">
        <f>INDEX('PD Term Structure'!$E$17:$N$26,MATCH($J74,'PD Term Structure'!$D$17:$D$26,0),MATCH(F$2,'PD Term Structure'!$E$16:$N$16,0))</f>
        <v>2.8507278481012657E-2</v>
      </c>
      <c r="G74" s="38">
        <f>INDEX('PD Term Structure'!$E$17:$N$26,MATCH($J74,'PD Term Structure'!$D$17:$D$26,0),MATCH(G$2,'PD Term Structure'!$E$16:$N$16,0))</f>
        <v>4.7291677269631509E-2</v>
      </c>
      <c r="H74" s="82">
        <f>VLOOKUP(B74,'LGD parameters'!$C$7:$E$11,2,FALSE)</f>
        <v>0.62956863668283192</v>
      </c>
      <c r="I74" s="82">
        <f>(NORMSDIST(-LN(H74)+(VLOOKUP(B74,LGD_para,3,FALSE)^2/2))/VLOOKUP(B74,LGD_para,3,FALSE)-(VLOOKUP(B74,LGD_para,3,FALSE))-H74*(NORMSDIST(-LN(H74)+(VLOOKUP(B74,LGD_para,3,FALSE)^2/2))/VLOOKUP(B74,LGD_para,3,FALSE)))/LOGNORMDIST(1,LN(H74),(VLOOKUP(B74,LGD_para,3,FALSE)))*'LGD parameters'!$D$11</f>
        <v>0.26714251488777335</v>
      </c>
      <c r="J74" s="40">
        <f>VLOOKUP(E74,'PD Term Structure'!$C$5:$D$14,2,TRUE)</f>
        <v>3</v>
      </c>
      <c r="K74" s="43">
        <f>VLOOKUP(J74,'Master rating scale'!$G$5:$H$14,2,FALSE)</f>
        <v>3</v>
      </c>
      <c r="L74" s="62">
        <f t="shared" si="6"/>
        <v>2.8970167668553558E-2</v>
      </c>
      <c r="N74" s="40">
        <f>VLOOKUP(F74,'PD Term Structure'!$C$5:$D$14,2,TRUE)</f>
        <v>4</v>
      </c>
      <c r="O74" s="43">
        <f>VLOOKUP(N74,'Master rating scale'!$G$5:$H$14,2,FALSE)</f>
        <v>4</v>
      </c>
      <c r="P74" s="62">
        <f t="shared" si="7"/>
        <v>3.8626890224738079E-2</v>
      </c>
      <c r="R74" s="40">
        <f>VLOOKUP(G74,'PD Term Structure'!$C$5:$D$14,2,TRUE)</f>
        <v>4</v>
      </c>
      <c r="S74" s="43">
        <f>VLOOKUP(R74,'Master rating scale'!$G$5:$H$14,2,FALSE)</f>
        <v>4</v>
      </c>
      <c r="T74" s="62">
        <f t="shared" si="8"/>
        <v>3.8626890224738079E-2</v>
      </c>
    </row>
    <row r="75" spans="1:20" ht="14">
      <c r="A75" s="36">
        <v>452989</v>
      </c>
      <c r="B75" s="81" t="s">
        <v>18</v>
      </c>
      <c r="C75" s="37" t="s">
        <v>29</v>
      </c>
      <c r="D75" s="39">
        <v>20000</v>
      </c>
      <c r="E75" s="38">
        <v>1.4105306E-2</v>
      </c>
      <c r="F75" s="38">
        <f>INDEX('PD Term Structure'!$E$17:$N$26,MATCH($J75,'PD Term Structure'!$D$17:$D$26,0),MATCH(F$2,'PD Term Structure'!$E$16:$N$16,0))</f>
        <v>2.8507278481012657E-2</v>
      </c>
      <c r="G75" s="38">
        <f>INDEX('PD Term Structure'!$E$17:$N$26,MATCH($J75,'PD Term Structure'!$D$17:$D$26,0),MATCH(G$2,'PD Term Structure'!$E$16:$N$16,0))</f>
        <v>4.7291677269631509E-2</v>
      </c>
      <c r="H75" s="82">
        <f>VLOOKUP(B75,'LGD parameters'!$C$7:$E$11,2,FALSE)</f>
        <v>0.62956863668283192</v>
      </c>
      <c r="I75" s="82">
        <f>(NORMSDIST(-LN(H75)+(VLOOKUP(B75,LGD_para,3,FALSE)^2/2))/VLOOKUP(B75,LGD_para,3,FALSE)-(VLOOKUP(B75,LGD_para,3,FALSE))-H75*(NORMSDIST(-LN(H75)+(VLOOKUP(B75,LGD_para,3,FALSE)^2/2))/VLOOKUP(B75,LGD_para,3,FALSE)))/LOGNORMDIST(1,LN(H75),(VLOOKUP(B75,LGD_para,3,FALSE)))*'LGD parameters'!$D$11</f>
        <v>0.26714251488777335</v>
      </c>
      <c r="J75" s="40">
        <f>VLOOKUP(E75,'PD Term Structure'!$C$5:$D$14,2,TRUE)</f>
        <v>3</v>
      </c>
      <c r="K75" s="43">
        <f>VLOOKUP(J75,'Master rating scale'!$G$5:$H$14,2,FALSE)</f>
        <v>3</v>
      </c>
      <c r="L75" s="62">
        <f t="shared" si="6"/>
        <v>2.8970167668553558E-2</v>
      </c>
      <c r="N75" s="40">
        <f>VLOOKUP(F75,'PD Term Structure'!$C$5:$D$14,2,TRUE)</f>
        <v>4</v>
      </c>
      <c r="O75" s="43">
        <f>VLOOKUP(N75,'Master rating scale'!$G$5:$H$14,2,FALSE)</f>
        <v>4</v>
      </c>
      <c r="P75" s="62">
        <f t="shared" si="7"/>
        <v>3.8626890224738079E-2</v>
      </c>
      <c r="R75" s="40">
        <f>VLOOKUP(G75,'PD Term Structure'!$C$5:$D$14,2,TRUE)</f>
        <v>4</v>
      </c>
      <c r="S75" s="43">
        <f>VLOOKUP(R75,'Master rating scale'!$G$5:$H$14,2,FALSE)</f>
        <v>4</v>
      </c>
      <c r="T75" s="62">
        <f t="shared" si="8"/>
        <v>3.8626890224738079E-2</v>
      </c>
    </row>
    <row r="76" spans="1:20" ht="14">
      <c r="A76" s="36">
        <v>31982</v>
      </c>
      <c r="B76" s="81" t="s">
        <v>18</v>
      </c>
      <c r="C76" s="37" t="s">
        <v>29</v>
      </c>
      <c r="D76" s="39">
        <v>20418</v>
      </c>
      <c r="E76" s="38">
        <v>1.4105306E-2</v>
      </c>
      <c r="F76" s="38">
        <f>INDEX('PD Term Structure'!$E$17:$N$26,MATCH($J76,'PD Term Structure'!$D$17:$D$26,0),MATCH(F$2,'PD Term Structure'!$E$16:$N$16,0))</f>
        <v>2.8507278481012657E-2</v>
      </c>
      <c r="G76" s="38">
        <f>INDEX('PD Term Structure'!$E$17:$N$26,MATCH($J76,'PD Term Structure'!$D$17:$D$26,0),MATCH(G$2,'PD Term Structure'!$E$16:$N$16,0))</f>
        <v>4.7291677269631509E-2</v>
      </c>
      <c r="H76" s="82">
        <f>VLOOKUP(B76,'LGD parameters'!$C$7:$E$11,2,FALSE)</f>
        <v>0.62956863668283192</v>
      </c>
      <c r="I76" s="82">
        <f>(NORMSDIST(-LN(H76)+(VLOOKUP(B76,LGD_para,3,FALSE)^2/2))/VLOOKUP(B76,LGD_para,3,FALSE)-(VLOOKUP(B76,LGD_para,3,FALSE))-H76*(NORMSDIST(-LN(H76)+(VLOOKUP(B76,LGD_para,3,FALSE)^2/2))/VLOOKUP(B76,LGD_para,3,FALSE)))/LOGNORMDIST(1,LN(H76),(VLOOKUP(B76,LGD_para,3,FALSE)))*'LGD parameters'!$D$11</f>
        <v>0.26714251488777335</v>
      </c>
      <c r="J76" s="40">
        <f>VLOOKUP(E76,'PD Term Structure'!$C$5:$D$14,2,TRUE)</f>
        <v>3</v>
      </c>
      <c r="K76" s="43">
        <f>VLOOKUP(J76,'Master rating scale'!$G$5:$H$14,2,FALSE)</f>
        <v>3</v>
      </c>
      <c r="L76" s="62">
        <f t="shared" si="6"/>
        <v>2.9575644172826331E-2</v>
      </c>
      <c r="N76" s="40">
        <f>VLOOKUP(F76,'PD Term Structure'!$C$5:$D$14,2,TRUE)</f>
        <v>4</v>
      </c>
      <c r="O76" s="43">
        <f>VLOOKUP(N76,'Master rating scale'!$G$5:$H$14,2,FALSE)</f>
        <v>4</v>
      </c>
      <c r="P76" s="62">
        <f t="shared" si="7"/>
        <v>3.9434192230435108E-2</v>
      </c>
      <c r="R76" s="40">
        <f>VLOOKUP(G76,'PD Term Structure'!$C$5:$D$14,2,TRUE)</f>
        <v>4</v>
      </c>
      <c r="S76" s="43">
        <f>VLOOKUP(R76,'Master rating scale'!$G$5:$H$14,2,FALSE)</f>
        <v>4</v>
      </c>
      <c r="T76" s="62">
        <f t="shared" si="8"/>
        <v>3.9434192230435108E-2</v>
      </c>
    </row>
    <row r="77" spans="1:20" ht="14">
      <c r="A77" s="36">
        <v>382040</v>
      </c>
      <c r="B77" s="81" t="s">
        <v>18</v>
      </c>
      <c r="C77" s="37" t="s">
        <v>29</v>
      </c>
      <c r="D77" s="39">
        <v>20750</v>
      </c>
      <c r="E77" s="38">
        <v>1.4105306E-2</v>
      </c>
      <c r="F77" s="38">
        <f>INDEX('PD Term Structure'!$E$17:$N$26,MATCH($J77,'PD Term Structure'!$D$17:$D$26,0),MATCH(F$2,'PD Term Structure'!$E$16:$N$16,0))</f>
        <v>2.8507278481012657E-2</v>
      </c>
      <c r="G77" s="38">
        <f>INDEX('PD Term Structure'!$E$17:$N$26,MATCH($J77,'PD Term Structure'!$D$17:$D$26,0),MATCH(G$2,'PD Term Structure'!$E$16:$N$16,0))</f>
        <v>4.7291677269631509E-2</v>
      </c>
      <c r="H77" s="82">
        <f>VLOOKUP(B77,'LGD parameters'!$C$7:$E$11,2,FALSE)</f>
        <v>0.62956863668283192</v>
      </c>
      <c r="I77" s="82">
        <f>(NORMSDIST(-LN(H77)+(VLOOKUP(B77,LGD_para,3,FALSE)^2/2))/VLOOKUP(B77,LGD_para,3,FALSE)-(VLOOKUP(B77,LGD_para,3,FALSE))-H77*(NORMSDIST(-LN(H77)+(VLOOKUP(B77,LGD_para,3,FALSE)^2/2))/VLOOKUP(B77,LGD_para,3,FALSE)))/LOGNORMDIST(1,LN(H77),(VLOOKUP(B77,LGD_para,3,FALSE)))*'LGD parameters'!$D$11</f>
        <v>0.26714251488777335</v>
      </c>
      <c r="J77" s="40">
        <f>VLOOKUP(E77,'PD Term Structure'!$C$5:$D$14,2,TRUE)</f>
        <v>3</v>
      </c>
      <c r="K77" s="43">
        <f>VLOOKUP(J77,'Master rating scale'!$G$5:$H$14,2,FALSE)</f>
        <v>3</v>
      </c>
      <c r="L77" s="62">
        <f t="shared" si="6"/>
        <v>3.0056548956124321E-2</v>
      </c>
      <c r="N77" s="40">
        <f>VLOOKUP(F77,'PD Term Structure'!$C$5:$D$14,2,TRUE)</f>
        <v>4</v>
      </c>
      <c r="O77" s="43">
        <f>VLOOKUP(N77,'Master rating scale'!$G$5:$H$14,2,FALSE)</f>
        <v>4</v>
      </c>
      <c r="P77" s="62">
        <f t="shared" si="7"/>
        <v>4.0075398608165759E-2</v>
      </c>
      <c r="R77" s="40">
        <f>VLOOKUP(G77,'PD Term Structure'!$C$5:$D$14,2,TRUE)</f>
        <v>4</v>
      </c>
      <c r="S77" s="43">
        <f>VLOOKUP(R77,'Master rating scale'!$G$5:$H$14,2,FALSE)</f>
        <v>4</v>
      </c>
      <c r="T77" s="62">
        <f t="shared" si="8"/>
        <v>4.0075398608165759E-2</v>
      </c>
    </row>
    <row r="78" spans="1:20" ht="14">
      <c r="A78" s="36">
        <v>169333</v>
      </c>
      <c r="B78" s="81" t="s">
        <v>18</v>
      </c>
      <c r="C78" s="37" t="s">
        <v>29</v>
      </c>
      <c r="D78" s="39">
        <v>21820</v>
      </c>
      <c r="E78" s="38">
        <v>1.4105306E-2</v>
      </c>
      <c r="F78" s="38">
        <f>INDEX('PD Term Structure'!$E$17:$N$26,MATCH($J78,'PD Term Structure'!$D$17:$D$26,0),MATCH(F$2,'PD Term Structure'!$E$16:$N$16,0))</f>
        <v>2.8507278481012657E-2</v>
      </c>
      <c r="G78" s="38">
        <f>INDEX('PD Term Structure'!$E$17:$N$26,MATCH($J78,'PD Term Structure'!$D$17:$D$26,0),MATCH(G$2,'PD Term Structure'!$E$16:$N$16,0))</f>
        <v>4.7291677269631509E-2</v>
      </c>
      <c r="H78" s="82">
        <f>VLOOKUP(B78,'LGD parameters'!$C$7:$E$11,2,FALSE)</f>
        <v>0.62956863668283192</v>
      </c>
      <c r="I78" s="82">
        <f>(NORMSDIST(-LN(H78)+(VLOOKUP(B78,LGD_para,3,FALSE)^2/2))/VLOOKUP(B78,LGD_para,3,FALSE)-(VLOOKUP(B78,LGD_para,3,FALSE))-H78*(NORMSDIST(-LN(H78)+(VLOOKUP(B78,LGD_para,3,FALSE)^2/2))/VLOOKUP(B78,LGD_para,3,FALSE)))/LOGNORMDIST(1,LN(H78),(VLOOKUP(B78,LGD_para,3,FALSE)))*'LGD parameters'!$D$11</f>
        <v>0.26714251488777335</v>
      </c>
      <c r="J78" s="40">
        <f>VLOOKUP(E78,'PD Term Structure'!$C$5:$D$14,2,TRUE)</f>
        <v>3</v>
      </c>
      <c r="K78" s="43">
        <f>VLOOKUP(J78,'Master rating scale'!$G$5:$H$14,2,FALSE)</f>
        <v>3</v>
      </c>
      <c r="L78" s="62">
        <f t="shared" si="6"/>
        <v>3.1606452926391936E-2</v>
      </c>
      <c r="N78" s="40">
        <f>VLOOKUP(F78,'PD Term Structure'!$C$5:$D$14,2,TRUE)</f>
        <v>4</v>
      </c>
      <c r="O78" s="43">
        <f>VLOOKUP(N78,'Master rating scale'!$G$5:$H$14,2,FALSE)</f>
        <v>4</v>
      </c>
      <c r="P78" s="62">
        <f t="shared" si="7"/>
        <v>4.2141937235189247E-2</v>
      </c>
      <c r="R78" s="40">
        <f>VLOOKUP(G78,'PD Term Structure'!$C$5:$D$14,2,TRUE)</f>
        <v>4</v>
      </c>
      <c r="S78" s="43">
        <f>VLOOKUP(R78,'Master rating scale'!$G$5:$H$14,2,FALSE)</f>
        <v>4</v>
      </c>
      <c r="T78" s="62">
        <f t="shared" si="8"/>
        <v>4.2141937235189247E-2</v>
      </c>
    </row>
    <row r="79" spans="1:20" ht="14">
      <c r="A79" s="36">
        <v>182032</v>
      </c>
      <c r="B79" s="81" t="s">
        <v>18</v>
      </c>
      <c r="C79" s="37" t="s">
        <v>29</v>
      </c>
      <c r="D79" s="39">
        <v>22500</v>
      </c>
      <c r="E79" s="38">
        <v>1.4105306E-2</v>
      </c>
      <c r="F79" s="38">
        <f>INDEX('PD Term Structure'!$E$17:$N$26,MATCH($J79,'PD Term Structure'!$D$17:$D$26,0),MATCH(F$2,'PD Term Structure'!$E$16:$N$16,0))</f>
        <v>2.8507278481012657E-2</v>
      </c>
      <c r="G79" s="38">
        <f>INDEX('PD Term Structure'!$E$17:$N$26,MATCH($J79,'PD Term Structure'!$D$17:$D$26,0),MATCH(G$2,'PD Term Structure'!$E$16:$N$16,0))</f>
        <v>4.7291677269631509E-2</v>
      </c>
      <c r="H79" s="82">
        <f>VLOOKUP(B79,'LGD parameters'!$C$7:$E$11,2,FALSE)</f>
        <v>0.62956863668283192</v>
      </c>
      <c r="I79" s="82">
        <f>(NORMSDIST(-LN(H79)+(VLOOKUP(B79,LGD_para,3,FALSE)^2/2))/VLOOKUP(B79,LGD_para,3,FALSE)-(VLOOKUP(B79,LGD_para,3,FALSE))-H79*(NORMSDIST(-LN(H79)+(VLOOKUP(B79,LGD_para,3,FALSE)^2/2))/VLOOKUP(B79,LGD_para,3,FALSE)))/LOGNORMDIST(1,LN(H79),(VLOOKUP(B79,LGD_para,3,FALSE)))*'LGD parameters'!$D$11</f>
        <v>0.26714251488777335</v>
      </c>
      <c r="J79" s="40">
        <f>VLOOKUP(E79,'PD Term Structure'!$C$5:$D$14,2,TRUE)</f>
        <v>3</v>
      </c>
      <c r="K79" s="43">
        <f>VLOOKUP(J79,'Master rating scale'!$G$5:$H$14,2,FALSE)</f>
        <v>3</v>
      </c>
      <c r="L79" s="62">
        <f t="shared" si="6"/>
        <v>3.2591438627122757E-2</v>
      </c>
      <c r="N79" s="40">
        <f>VLOOKUP(F79,'PD Term Structure'!$C$5:$D$14,2,TRUE)</f>
        <v>4</v>
      </c>
      <c r="O79" s="43">
        <f>VLOOKUP(N79,'Master rating scale'!$G$5:$H$14,2,FALSE)</f>
        <v>4</v>
      </c>
      <c r="P79" s="62">
        <f t="shared" si="7"/>
        <v>4.345525150283034E-2</v>
      </c>
      <c r="R79" s="40">
        <f>VLOOKUP(G79,'PD Term Structure'!$C$5:$D$14,2,TRUE)</f>
        <v>4</v>
      </c>
      <c r="S79" s="43">
        <f>VLOOKUP(R79,'Master rating scale'!$G$5:$H$14,2,FALSE)</f>
        <v>4</v>
      </c>
      <c r="T79" s="62">
        <f t="shared" si="8"/>
        <v>4.345525150283034E-2</v>
      </c>
    </row>
    <row r="80" spans="1:20" ht="14">
      <c r="A80" s="36">
        <v>467139</v>
      </c>
      <c r="B80" s="81" t="s">
        <v>18</v>
      </c>
      <c r="C80" s="37" t="s">
        <v>29</v>
      </c>
      <c r="D80" s="39">
        <v>22500</v>
      </c>
      <c r="E80" s="38">
        <v>1.4105306E-2</v>
      </c>
      <c r="F80" s="38">
        <f>INDEX('PD Term Structure'!$E$17:$N$26,MATCH($J80,'PD Term Structure'!$D$17:$D$26,0),MATCH(F$2,'PD Term Structure'!$E$16:$N$16,0))</f>
        <v>2.8507278481012657E-2</v>
      </c>
      <c r="G80" s="38">
        <f>INDEX('PD Term Structure'!$E$17:$N$26,MATCH($J80,'PD Term Structure'!$D$17:$D$26,0),MATCH(G$2,'PD Term Structure'!$E$16:$N$16,0))</f>
        <v>4.7291677269631509E-2</v>
      </c>
      <c r="H80" s="82">
        <f>VLOOKUP(B80,'LGD parameters'!$C$7:$E$11,2,FALSE)</f>
        <v>0.62956863668283192</v>
      </c>
      <c r="I80" s="82">
        <f>(NORMSDIST(-LN(H80)+(VLOOKUP(B80,LGD_para,3,FALSE)^2/2))/VLOOKUP(B80,LGD_para,3,FALSE)-(VLOOKUP(B80,LGD_para,3,FALSE))-H80*(NORMSDIST(-LN(H80)+(VLOOKUP(B80,LGD_para,3,FALSE)^2/2))/VLOOKUP(B80,LGD_para,3,FALSE)))/LOGNORMDIST(1,LN(H80),(VLOOKUP(B80,LGD_para,3,FALSE)))*'LGD parameters'!$D$11</f>
        <v>0.26714251488777335</v>
      </c>
      <c r="J80" s="40">
        <f>VLOOKUP(E80,'PD Term Structure'!$C$5:$D$14,2,TRUE)</f>
        <v>3</v>
      </c>
      <c r="K80" s="43">
        <f>VLOOKUP(J80,'Master rating scale'!$G$5:$H$14,2,FALSE)</f>
        <v>3</v>
      </c>
      <c r="L80" s="62">
        <f t="shared" si="6"/>
        <v>3.2591438627122757E-2</v>
      </c>
      <c r="N80" s="40">
        <f>VLOOKUP(F80,'PD Term Structure'!$C$5:$D$14,2,TRUE)</f>
        <v>4</v>
      </c>
      <c r="O80" s="43">
        <f>VLOOKUP(N80,'Master rating scale'!$G$5:$H$14,2,FALSE)</f>
        <v>4</v>
      </c>
      <c r="P80" s="62">
        <f t="shared" si="7"/>
        <v>4.345525150283034E-2</v>
      </c>
      <c r="R80" s="40">
        <f>VLOOKUP(G80,'PD Term Structure'!$C$5:$D$14,2,TRUE)</f>
        <v>4</v>
      </c>
      <c r="S80" s="43">
        <f>VLOOKUP(R80,'Master rating scale'!$G$5:$H$14,2,FALSE)</f>
        <v>4</v>
      </c>
      <c r="T80" s="62">
        <f t="shared" si="8"/>
        <v>4.345525150283034E-2</v>
      </c>
    </row>
    <row r="81" spans="1:20" ht="14">
      <c r="A81" s="36">
        <v>284957</v>
      </c>
      <c r="B81" s="81" t="s">
        <v>18</v>
      </c>
      <c r="C81" s="37" t="s">
        <v>29</v>
      </c>
      <c r="D81" s="39">
        <v>22750</v>
      </c>
      <c r="E81" s="38">
        <v>1.4105306E-2</v>
      </c>
      <c r="F81" s="38">
        <f>INDEX('PD Term Structure'!$E$17:$N$26,MATCH($J81,'PD Term Structure'!$D$17:$D$26,0),MATCH(F$2,'PD Term Structure'!$E$16:$N$16,0))</f>
        <v>2.8507278481012657E-2</v>
      </c>
      <c r="G81" s="38">
        <f>INDEX('PD Term Structure'!$E$17:$N$26,MATCH($J81,'PD Term Structure'!$D$17:$D$26,0),MATCH(G$2,'PD Term Structure'!$E$16:$N$16,0))</f>
        <v>4.7291677269631509E-2</v>
      </c>
      <c r="H81" s="82">
        <f>VLOOKUP(B81,'LGD parameters'!$C$7:$E$11,2,FALSE)</f>
        <v>0.62956863668283192</v>
      </c>
      <c r="I81" s="82">
        <f>(NORMSDIST(-LN(H81)+(VLOOKUP(B81,LGD_para,3,FALSE)^2/2))/VLOOKUP(B81,LGD_para,3,FALSE)-(VLOOKUP(B81,LGD_para,3,FALSE))-H81*(NORMSDIST(-LN(H81)+(VLOOKUP(B81,LGD_para,3,FALSE)^2/2))/VLOOKUP(B81,LGD_para,3,FALSE)))/LOGNORMDIST(1,LN(H81),(VLOOKUP(B81,LGD_para,3,FALSE)))*'LGD parameters'!$D$11</f>
        <v>0.26714251488777335</v>
      </c>
      <c r="J81" s="40">
        <f>VLOOKUP(E81,'PD Term Structure'!$C$5:$D$14,2,TRUE)</f>
        <v>3</v>
      </c>
      <c r="K81" s="43">
        <f>VLOOKUP(J81,'Master rating scale'!$G$5:$H$14,2,FALSE)</f>
        <v>3</v>
      </c>
      <c r="L81" s="62">
        <f t="shared" si="6"/>
        <v>3.295356572297968E-2</v>
      </c>
      <c r="N81" s="40">
        <f>VLOOKUP(F81,'PD Term Structure'!$C$5:$D$14,2,TRUE)</f>
        <v>4</v>
      </c>
      <c r="O81" s="43">
        <f>VLOOKUP(N81,'Master rating scale'!$G$5:$H$14,2,FALSE)</f>
        <v>4</v>
      </c>
      <c r="P81" s="62">
        <f t="shared" si="7"/>
        <v>4.3938087630639569E-2</v>
      </c>
      <c r="R81" s="40">
        <f>VLOOKUP(G81,'PD Term Structure'!$C$5:$D$14,2,TRUE)</f>
        <v>4</v>
      </c>
      <c r="S81" s="43">
        <f>VLOOKUP(R81,'Master rating scale'!$G$5:$H$14,2,FALSE)</f>
        <v>4</v>
      </c>
      <c r="T81" s="62">
        <f t="shared" si="8"/>
        <v>4.3938087630639569E-2</v>
      </c>
    </row>
    <row r="82" spans="1:20" ht="14">
      <c r="A82" s="36">
        <v>428054</v>
      </c>
      <c r="B82" s="81" t="s">
        <v>18</v>
      </c>
      <c r="C82" s="37" t="s">
        <v>29</v>
      </c>
      <c r="D82" s="39">
        <v>22982.5</v>
      </c>
      <c r="E82" s="38">
        <v>1.4105306E-2</v>
      </c>
      <c r="F82" s="38">
        <f>INDEX('PD Term Structure'!$E$17:$N$26,MATCH($J82,'PD Term Structure'!$D$17:$D$26,0),MATCH(F$2,'PD Term Structure'!$E$16:$N$16,0))</f>
        <v>2.8507278481012657E-2</v>
      </c>
      <c r="G82" s="38">
        <f>INDEX('PD Term Structure'!$E$17:$N$26,MATCH($J82,'PD Term Structure'!$D$17:$D$26,0),MATCH(G$2,'PD Term Structure'!$E$16:$N$16,0))</f>
        <v>4.7291677269631509E-2</v>
      </c>
      <c r="H82" s="82">
        <f>VLOOKUP(B82,'LGD parameters'!$C$7:$E$11,2,FALSE)</f>
        <v>0.62956863668283192</v>
      </c>
      <c r="I82" s="82">
        <f>(NORMSDIST(-LN(H82)+(VLOOKUP(B82,LGD_para,3,FALSE)^2/2))/VLOOKUP(B82,LGD_para,3,FALSE)-(VLOOKUP(B82,LGD_para,3,FALSE))-H82*(NORMSDIST(-LN(H82)+(VLOOKUP(B82,LGD_para,3,FALSE)^2/2))/VLOOKUP(B82,LGD_para,3,FALSE)))/LOGNORMDIST(1,LN(H82),(VLOOKUP(B82,LGD_para,3,FALSE)))*'LGD parameters'!$D$11</f>
        <v>0.26714251488777335</v>
      </c>
      <c r="J82" s="40">
        <f>VLOOKUP(E82,'PD Term Structure'!$C$5:$D$14,2,TRUE)</f>
        <v>3</v>
      </c>
      <c r="K82" s="43">
        <f>VLOOKUP(J82,'Master rating scale'!$G$5:$H$14,2,FALSE)</f>
        <v>3</v>
      </c>
      <c r="L82" s="62">
        <f t="shared" si="6"/>
        <v>3.3290343922126611E-2</v>
      </c>
      <c r="N82" s="40">
        <f>VLOOKUP(F82,'PD Term Structure'!$C$5:$D$14,2,TRUE)</f>
        <v>4</v>
      </c>
      <c r="O82" s="43">
        <f>VLOOKUP(N82,'Master rating scale'!$G$5:$H$14,2,FALSE)</f>
        <v>4</v>
      </c>
      <c r="P82" s="62">
        <f t="shared" si="7"/>
        <v>4.4387125229502146E-2</v>
      </c>
      <c r="R82" s="40">
        <f>VLOOKUP(G82,'PD Term Structure'!$C$5:$D$14,2,TRUE)</f>
        <v>4</v>
      </c>
      <c r="S82" s="43">
        <f>VLOOKUP(R82,'Master rating scale'!$G$5:$H$14,2,FALSE)</f>
        <v>4</v>
      </c>
      <c r="T82" s="62">
        <f t="shared" si="8"/>
        <v>4.4387125229502146E-2</v>
      </c>
    </row>
    <row r="83" spans="1:20" ht="14">
      <c r="A83" s="36">
        <v>202941</v>
      </c>
      <c r="B83" s="81" t="s">
        <v>18</v>
      </c>
      <c r="C83" s="37" t="s">
        <v>29</v>
      </c>
      <c r="D83" s="39">
        <v>23400</v>
      </c>
      <c r="E83" s="38">
        <v>1.4105306E-2</v>
      </c>
      <c r="F83" s="38">
        <f>INDEX('PD Term Structure'!$E$17:$N$26,MATCH($J83,'PD Term Structure'!$D$17:$D$26,0),MATCH(F$2,'PD Term Structure'!$E$16:$N$16,0))</f>
        <v>2.8507278481012657E-2</v>
      </c>
      <c r="G83" s="38">
        <f>INDEX('PD Term Structure'!$E$17:$N$26,MATCH($J83,'PD Term Structure'!$D$17:$D$26,0),MATCH(G$2,'PD Term Structure'!$E$16:$N$16,0))</f>
        <v>4.7291677269631509E-2</v>
      </c>
      <c r="H83" s="82">
        <f>VLOOKUP(B83,'LGD parameters'!$C$7:$E$11,2,FALSE)</f>
        <v>0.62956863668283192</v>
      </c>
      <c r="I83" s="82">
        <f>(NORMSDIST(-LN(H83)+(VLOOKUP(B83,LGD_para,3,FALSE)^2/2))/VLOOKUP(B83,LGD_para,3,FALSE)-(VLOOKUP(B83,LGD_para,3,FALSE))-H83*(NORMSDIST(-LN(H83)+(VLOOKUP(B83,LGD_para,3,FALSE)^2/2))/VLOOKUP(B83,LGD_para,3,FALSE)))/LOGNORMDIST(1,LN(H83),(VLOOKUP(B83,LGD_para,3,FALSE)))*'LGD parameters'!$D$11</f>
        <v>0.26714251488777335</v>
      </c>
      <c r="J83" s="40">
        <f>VLOOKUP(E83,'PD Term Structure'!$C$5:$D$14,2,TRUE)</f>
        <v>3</v>
      </c>
      <c r="K83" s="43">
        <f>VLOOKUP(J83,'Master rating scale'!$G$5:$H$14,2,FALSE)</f>
        <v>3</v>
      </c>
      <c r="L83" s="62">
        <f t="shared" si="6"/>
        <v>3.3895096172207664E-2</v>
      </c>
      <c r="N83" s="40">
        <f>VLOOKUP(F83,'PD Term Structure'!$C$5:$D$14,2,TRUE)</f>
        <v>4</v>
      </c>
      <c r="O83" s="43">
        <f>VLOOKUP(N83,'Master rating scale'!$G$5:$H$14,2,FALSE)</f>
        <v>4</v>
      </c>
      <c r="P83" s="62">
        <f t="shared" si="7"/>
        <v>4.5193461562943557E-2</v>
      </c>
      <c r="R83" s="40">
        <f>VLOOKUP(G83,'PD Term Structure'!$C$5:$D$14,2,TRUE)</f>
        <v>4</v>
      </c>
      <c r="S83" s="43">
        <f>VLOOKUP(R83,'Master rating scale'!$G$5:$H$14,2,FALSE)</f>
        <v>4</v>
      </c>
      <c r="T83" s="62">
        <f t="shared" si="8"/>
        <v>4.5193461562943557E-2</v>
      </c>
    </row>
    <row r="84" spans="1:20" ht="14">
      <c r="A84" s="36">
        <v>273672</v>
      </c>
      <c r="B84" s="81" t="s">
        <v>18</v>
      </c>
      <c r="C84" s="37" t="s">
        <v>29</v>
      </c>
      <c r="D84" s="39">
        <v>23750</v>
      </c>
      <c r="E84" s="38">
        <v>1.4105306E-2</v>
      </c>
      <c r="F84" s="38">
        <f>INDEX('PD Term Structure'!$E$17:$N$26,MATCH($J84,'PD Term Structure'!$D$17:$D$26,0),MATCH(F$2,'PD Term Structure'!$E$16:$N$16,0))</f>
        <v>2.8507278481012657E-2</v>
      </c>
      <c r="G84" s="38">
        <f>INDEX('PD Term Structure'!$E$17:$N$26,MATCH($J84,'PD Term Structure'!$D$17:$D$26,0),MATCH(G$2,'PD Term Structure'!$E$16:$N$16,0))</f>
        <v>4.7291677269631509E-2</v>
      </c>
      <c r="H84" s="82">
        <f>VLOOKUP(B84,'LGD parameters'!$C$7:$E$11,2,FALSE)</f>
        <v>0.62956863668283192</v>
      </c>
      <c r="I84" s="82">
        <f>(NORMSDIST(-LN(H84)+(VLOOKUP(B84,LGD_para,3,FALSE)^2/2))/VLOOKUP(B84,LGD_para,3,FALSE)-(VLOOKUP(B84,LGD_para,3,FALSE))-H84*(NORMSDIST(-LN(H84)+(VLOOKUP(B84,LGD_para,3,FALSE)^2/2))/VLOOKUP(B84,LGD_para,3,FALSE)))/LOGNORMDIST(1,LN(H84),(VLOOKUP(B84,LGD_para,3,FALSE)))*'LGD parameters'!$D$11</f>
        <v>0.26714251488777335</v>
      </c>
      <c r="J84" s="40">
        <f>VLOOKUP(E84,'PD Term Structure'!$C$5:$D$14,2,TRUE)</f>
        <v>3</v>
      </c>
      <c r="K84" s="43">
        <f>VLOOKUP(J84,'Master rating scale'!$G$5:$H$14,2,FALSE)</f>
        <v>3</v>
      </c>
      <c r="L84" s="62">
        <f t="shared" si="6"/>
        <v>3.4402074106407353E-2</v>
      </c>
      <c r="N84" s="40">
        <f>VLOOKUP(F84,'PD Term Structure'!$C$5:$D$14,2,TRUE)</f>
        <v>4</v>
      </c>
      <c r="O84" s="43">
        <f>VLOOKUP(N84,'Master rating scale'!$G$5:$H$14,2,FALSE)</f>
        <v>4</v>
      </c>
      <c r="P84" s="62">
        <f t="shared" si="7"/>
        <v>4.5869432141876471E-2</v>
      </c>
      <c r="R84" s="40">
        <f>VLOOKUP(G84,'PD Term Structure'!$C$5:$D$14,2,TRUE)</f>
        <v>4</v>
      </c>
      <c r="S84" s="43">
        <f>VLOOKUP(R84,'Master rating scale'!$G$5:$H$14,2,FALSE)</f>
        <v>4</v>
      </c>
      <c r="T84" s="62">
        <f t="shared" si="8"/>
        <v>4.5869432141876471E-2</v>
      </c>
    </row>
    <row r="85" spans="1:20" ht="14">
      <c r="A85" s="36">
        <v>425210</v>
      </c>
      <c r="B85" s="81" t="s">
        <v>18</v>
      </c>
      <c r="C85" s="37" t="s">
        <v>29</v>
      </c>
      <c r="D85" s="39">
        <v>23750</v>
      </c>
      <c r="E85" s="38">
        <v>1.4105306E-2</v>
      </c>
      <c r="F85" s="38">
        <f>INDEX('PD Term Structure'!$E$17:$N$26,MATCH($J85,'PD Term Structure'!$D$17:$D$26,0),MATCH(F$2,'PD Term Structure'!$E$16:$N$16,0))</f>
        <v>2.8507278481012657E-2</v>
      </c>
      <c r="G85" s="38">
        <f>INDEX('PD Term Structure'!$E$17:$N$26,MATCH($J85,'PD Term Structure'!$D$17:$D$26,0),MATCH(G$2,'PD Term Structure'!$E$16:$N$16,0))</f>
        <v>4.7291677269631509E-2</v>
      </c>
      <c r="H85" s="82">
        <f>VLOOKUP(B85,'LGD parameters'!$C$7:$E$11,2,FALSE)</f>
        <v>0.62956863668283192</v>
      </c>
      <c r="I85" s="82">
        <f>(NORMSDIST(-LN(H85)+(VLOOKUP(B85,LGD_para,3,FALSE)^2/2))/VLOOKUP(B85,LGD_para,3,FALSE)-(VLOOKUP(B85,LGD_para,3,FALSE))-H85*(NORMSDIST(-LN(H85)+(VLOOKUP(B85,LGD_para,3,FALSE)^2/2))/VLOOKUP(B85,LGD_para,3,FALSE)))/LOGNORMDIST(1,LN(H85),(VLOOKUP(B85,LGD_para,3,FALSE)))*'LGD parameters'!$D$11</f>
        <v>0.26714251488777335</v>
      </c>
      <c r="J85" s="40">
        <f>VLOOKUP(E85,'PD Term Structure'!$C$5:$D$14,2,TRUE)</f>
        <v>3</v>
      </c>
      <c r="K85" s="43">
        <f>VLOOKUP(J85,'Master rating scale'!$G$5:$H$14,2,FALSE)</f>
        <v>3</v>
      </c>
      <c r="L85" s="62">
        <f t="shared" si="6"/>
        <v>3.4402074106407353E-2</v>
      </c>
      <c r="N85" s="40">
        <f>VLOOKUP(F85,'PD Term Structure'!$C$5:$D$14,2,TRUE)</f>
        <v>4</v>
      </c>
      <c r="O85" s="43">
        <f>VLOOKUP(N85,'Master rating scale'!$G$5:$H$14,2,FALSE)</f>
        <v>4</v>
      </c>
      <c r="P85" s="62">
        <f t="shared" si="7"/>
        <v>4.5869432141876471E-2</v>
      </c>
      <c r="R85" s="40">
        <f>VLOOKUP(G85,'PD Term Structure'!$C$5:$D$14,2,TRUE)</f>
        <v>4</v>
      </c>
      <c r="S85" s="43">
        <f>VLOOKUP(R85,'Master rating scale'!$G$5:$H$14,2,FALSE)</f>
        <v>4</v>
      </c>
      <c r="T85" s="62">
        <f t="shared" si="8"/>
        <v>4.5869432141876471E-2</v>
      </c>
    </row>
    <row r="86" spans="1:20" ht="14">
      <c r="A86" s="36">
        <v>58366</v>
      </c>
      <c r="B86" s="81" t="s">
        <v>18</v>
      </c>
      <c r="C86" s="37" t="s">
        <v>29</v>
      </c>
      <c r="D86" s="39">
        <v>24637.5</v>
      </c>
      <c r="E86" s="38">
        <v>1.4105306E-2</v>
      </c>
      <c r="F86" s="38">
        <f>INDEX('PD Term Structure'!$E$17:$N$26,MATCH($J86,'PD Term Structure'!$D$17:$D$26,0),MATCH(F$2,'PD Term Structure'!$E$16:$N$16,0))</f>
        <v>2.8507278481012657E-2</v>
      </c>
      <c r="G86" s="38">
        <f>INDEX('PD Term Structure'!$E$17:$N$26,MATCH($J86,'PD Term Structure'!$D$17:$D$26,0),MATCH(G$2,'PD Term Structure'!$E$16:$N$16,0))</f>
        <v>4.7291677269631509E-2</v>
      </c>
      <c r="H86" s="82">
        <f>VLOOKUP(B86,'LGD parameters'!$C$7:$E$11,2,FALSE)</f>
        <v>0.62956863668283192</v>
      </c>
      <c r="I86" s="82">
        <f>(NORMSDIST(-LN(H86)+(VLOOKUP(B86,LGD_para,3,FALSE)^2/2))/VLOOKUP(B86,LGD_para,3,FALSE)-(VLOOKUP(B86,LGD_para,3,FALSE))-H86*(NORMSDIST(-LN(H86)+(VLOOKUP(B86,LGD_para,3,FALSE)^2/2))/VLOOKUP(B86,LGD_para,3,FALSE)))/LOGNORMDIST(1,LN(H86),(VLOOKUP(B86,LGD_para,3,FALSE)))*'LGD parameters'!$D$11</f>
        <v>0.26714251488777335</v>
      </c>
      <c r="J86" s="40">
        <f>VLOOKUP(E86,'PD Term Structure'!$C$5:$D$14,2,TRUE)</f>
        <v>3</v>
      </c>
      <c r="K86" s="43">
        <f>VLOOKUP(J86,'Master rating scale'!$G$5:$H$14,2,FALSE)</f>
        <v>3</v>
      </c>
      <c r="L86" s="62">
        <f t="shared" si="6"/>
        <v>3.5687625296699423E-2</v>
      </c>
      <c r="N86" s="40">
        <f>VLOOKUP(F86,'PD Term Structure'!$C$5:$D$14,2,TRUE)</f>
        <v>4</v>
      </c>
      <c r="O86" s="43">
        <f>VLOOKUP(N86,'Master rating scale'!$G$5:$H$14,2,FALSE)</f>
        <v>4</v>
      </c>
      <c r="P86" s="62">
        <f t="shared" si="7"/>
        <v>4.7583500395599228E-2</v>
      </c>
      <c r="R86" s="40">
        <f>VLOOKUP(G86,'PD Term Structure'!$C$5:$D$14,2,TRUE)</f>
        <v>4</v>
      </c>
      <c r="S86" s="43">
        <f>VLOOKUP(R86,'Master rating scale'!$G$5:$H$14,2,FALSE)</f>
        <v>4</v>
      </c>
      <c r="T86" s="62">
        <f t="shared" si="8"/>
        <v>4.7583500395599228E-2</v>
      </c>
    </row>
    <row r="87" spans="1:20" ht="14">
      <c r="A87" s="36">
        <v>243927</v>
      </c>
      <c r="B87" s="81" t="s">
        <v>18</v>
      </c>
      <c r="C87" s="37" t="s">
        <v>29</v>
      </c>
      <c r="D87" s="39">
        <v>25000</v>
      </c>
      <c r="E87" s="38">
        <v>1.4105306E-2</v>
      </c>
      <c r="F87" s="38">
        <f>INDEX('PD Term Structure'!$E$17:$N$26,MATCH($J87,'PD Term Structure'!$D$17:$D$26,0),MATCH(F$2,'PD Term Structure'!$E$16:$N$16,0))</f>
        <v>2.8507278481012657E-2</v>
      </c>
      <c r="G87" s="38">
        <f>INDEX('PD Term Structure'!$E$17:$N$26,MATCH($J87,'PD Term Structure'!$D$17:$D$26,0),MATCH(G$2,'PD Term Structure'!$E$16:$N$16,0))</f>
        <v>4.7291677269631509E-2</v>
      </c>
      <c r="H87" s="82">
        <f>VLOOKUP(B87,'LGD parameters'!$C$7:$E$11,2,FALSE)</f>
        <v>0.62956863668283192</v>
      </c>
      <c r="I87" s="82">
        <f>(NORMSDIST(-LN(H87)+(VLOOKUP(B87,LGD_para,3,FALSE)^2/2))/VLOOKUP(B87,LGD_para,3,FALSE)-(VLOOKUP(B87,LGD_para,3,FALSE))-H87*(NORMSDIST(-LN(H87)+(VLOOKUP(B87,LGD_para,3,FALSE)^2/2))/VLOOKUP(B87,LGD_para,3,FALSE)))/LOGNORMDIST(1,LN(H87),(VLOOKUP(B87,LGD_para,3,FALSE)))*'LGD parameters'!$D$11</f>
        <v>0.26714251488777335</v>
      </c>
      <c r="J87" s="40">
        <f>VLOOKUP(E87,'PD Term Structure'!$C$5:$D$14,2,TRUE)</f>
        <v>3</v>
      </c>
      <c r="K87" s="43">
        <f>VLOOKUP(J87,'Master rating scale'!$G$5:$H$14,2,FALSE)</f>
        <v>3</v>
      </c>
      <c r="L87" s="62">
        <f t="shared" si="6"/>
        <v>3.6212709585691949E-2</v>
      </c>
      <c r="N87" s="40">
        <f>VLOOKUP(F87,'PD Term Structure'!$C$5:$D$14,2,TRUE)</f>
        <v>4</v>
      </c>
      <c r="O87" s="43">
        <f>VLOOKUP(N87,'Master rating scale'!$G$5:$H$14,2,FALSE)</f>
        <v>4</v>
      </c>
      <c r="P87" s="62">
        <f t="shared" si="7"/>
        <v>4.8283612780922601E-2</v>
      </c>
      <c r="R87" s="40">
        <f>VLOOKUP(G87,'PD Term Structure'!$C$5:$D$14,2,TRUE)</f>
        <v>4</v>
      </c>
      <c r="S87" s="43">
        <f>VLOOKUP(R87,'Master rating scale'!$G$5:$H$14,2,FALSE)</f>
        <v>4</v>
      </c>
      <c r="T87" s="62">
        <f t="shared" si="8"/>
        <v>4.8283612780922601E-2</v>
      </c>
    </row>
    <row r="88" spans="1:20" ht="14">
      <c r="A88" s="36">
        <v>371015</v>
      </c>
      <c r="B88" s="81" t="s">
        <v>18</v>
      </c>
      <c r="C88" s="37" t="s">
        <v>29</v>
      </c>
      <c r="D88" s="39">
        <v>25000</v>
      </c>
      <c r="E88" s="38">
        <v>7.2999999999999995E-2</v>
      </c>
      <c r="F88" s="38">
        <f>INDEX('PD Term Structure'!$E$17:$N$26,MATCH($J88,'PD Term Structure'!$D$17:$D$26,0),MATCH(F$2,'PD Term Structure'!$E$16:$N$16,0))</f>
        <v>6.8341153846153843E-2</v>
      </c>
      <c r="G88" s="38">
        <f>INDEX('PD Term Structure'!$E$17:$N$26,MATCH($J88,'PD Term Structure'!$D$17:$D$26,0),MATCH(G$2,'PD Term Structure'!$E$16:$N$16,0))</f>
        <v>7.2008092485476807E-2</v>
      </c>
      <c r="H88" s="82">
        <f>VLOOKUP(B88,'LGD parameters'!$C$7:$E$11,2,FALSE)</f>
        <v>0.62956863668283192</v>
      </c>
      <c r="I88" s="82">
        <f>(NORMSDIST(-LN(H88)+(VLOOKUP(B88,LGD_para,3,FALSE)^2/2))/VLOOKUP(B88,LGD_para,3,FALSE)-(VLOOKUP(B88,LGD_para,3,FALSE))-H88*(NORMSDIST(-LN(H88)+(VLOOKUP(B88,LGD_para,3,FALSE)^2/2))/VLOOKUP(B88,LGD_para,3,FALSE)))/LOGNORMDIST(1,LN(H88),(VLOOKUP(B88,LGD_para,3,FALSE)))*'LGD parameters'!$D$11</f>
        <v>0.26714251488777335</v>
      </c>
      <c r="J88" s="40">
        <f>VLOOKUP(E88,'PD Term Structure'!$C$5:$D$14,2,TRUE)</f>
        <v>5</v>
      </c>
      <c r="K88" s="43">
        <f>VLOOKUP(J88,'Master rating scale'!$G$5:$H$14,2,FALSE)</f>
        <v>5</v>
      </c>
      <c r="L88" s="62">
        <f t="shared" si="6"/>
        <v>6.0354515976153253E-2</v>
      </c>
      <c r="N88" s="40">
        <f>VLOOKUP(F88,'PD Term Structure'!$C$5:$D$14,2,TRUE)</f>
        <v>5</v>
      </c>
      <c r="O88" s="43">
        <f>VLOOKUP(N88,'Master rating scale'!$G$5:$H$14,2,FALSE)</f>
        <v>5</v>
      </c>
      <c r="P88" s="62">
        <f t="shared" si="7"/>
        <v>6.0354515976153253E-2</v>
      </c>
      <c r="R88" s="40">
        <f>VLOOKUP(G88,'PD Term Structure'!$C$5:$D$14,2,TRUE)</f>
        <v>5</v>
      </c>
      <c r="S88" s="43">
        <f>VLOOKUP(R88,'Master rating scale'!$G$5:$H$14,2,FALSE)</f>
        <v>5</v>
      </c>
      <c r="T88" s="62">
        <f t="shared" si="8"/>
        <v>6.0354515976153253E-2</v>
      </c>
    </row>
    <row r="89" spans="1:20" ht="14">
      <c r="A89" s="36">
        <v>380571</v>
      </c>
      <c r="B89" s="81" t="s">
        <v>18</v>
      </c>
      <c r="C89" s="37" t="s">
        <v>29</v>
      </c>
      <c r="D89" s="39">
        <v>27500</v>
      </c>
      <c r="E89" s="38">
        <v>7.2999999999999995E-2</v>
      </c>
      <c r="F89" s="38">
        <f>INDEX('PD Term Structure'!$E$17:$N$26,MATCH($J89,'PD Term Structure'!$D$17:$D$26,0),MATCH(F$2,'PD Term Structure'!$E$16:$N$16,0))</f>
        <v>6.8341153846153843E-2</v>
      </c>
      <c r="G89" s="38">
        <f>INDEX('PD Term Structure'!$E$17:$N$26,MATCH($J89,'PD Term Structure'!$D$17:$D$26,0),MATCH(G$2,'PD Term Structure'!$E$16:$N$16,0))</f>
        <v>7.2008092485476807E-2</v>
      </c>
      <c r="H89" s="82">
        <f>VLOOKUP(B89,'LGD parameters'!$C$7:$E$11,2,FALSE)</f>
        <v>0.62956863668283192</v>
      </c>
      <c r="I89" s="82">
        <f>(NORMSDIST(-LN(H89)+(VLOOKUP(B89,LGD_para,3,FALSE)^2/2))/VLOOKUP(B89,LGD_para,3,FALSE)-(VLOOKUP(B89,LGD_para,3,FALSE))-H89*(NORMSDIST(-LN(H89)+(VLOOKUP(B89,LGD_para,3,FALSE)^2/2))/VLOOKUP(B89,LGD_para,3,FALSE)))/LOGNORMDIST(1,LN(H89),(VLOOKUP(B89,LGD_para,3,FALSE)))*'LGD parameters'!$D$11</f>
        <v>0.26714251488777335</v>
      </c>
      <c r="J89" s="40">
        <f>VLOOKUP(E89,'PD Term Structure'!$C$5:$D$14,2,TRUE)</f>
        <v>5</v>
      </c>
      <c r="K89" s="43">
        <f>VLOOKUP(J89,'Master rating scale'!$G$5:$H$14,2,FALSE)</f>
        <v>5</v>
      </c>
      <c r="L89" s="62">
        <f t="shared" si="6"/>
        <v>6.6389967573768582E-2</v>
      </c>
      <c r="N89" s="40">
        <f>VLOOKUP(F89,'PD Term Structure'!$C$5:$D$14,2,TRUE)</f>
        <v>5</v>
      </c>
      <c r="O89" s="43">
        <f>VLOOKUP(N89,'Master rating scale'!$G$5:$H$14,2,FALSE)</f>
        <v>5</v>
      </c>
      <c r="P89" s="62">
        <f t="shared" si="7"/>
        <v>6.6389967573768582E-2</v>
      </c>
      <c r="R89" s="40">
        <f>VLOOKUP(G89,'PD Term Structure'!$C$5:$D$14,2,TRUE)</f>
        <v>5</v>
      </c>
      <c r="S89" s="43">
        <f>VLOOKUP(R89,'Master rating scale'!$G$5:$H$14,2,FALSE)</f>
        <v>5</v>
      </c>
      <c r="T89" s="62">
        <f t="shared" si="8"/>
        <v>6.6389967573768582E-2</v>
      </c>
    </row>
    <row r="90" spans="1:20" ht="14">
      <c r="A90" s="36">
        <v>302090</v>
      </c>
      <c r="B90" s="81" t="s">
        <v>18</v>
      </c>
      <c r="C90" s="37" t="s">
        <v>29</v>
      </c>
      <c r="D90" s="39">
        <v>27610.5</v>
      </c>
      <c r="E90" s="38">
        <v>7.2999999999999995E-2</v>
      </c>
      <c r="F90" s="38">
        <f>INDEX('PD Term Structure'!$E$17:$N$26,MATCH($J90,'PD Term Structure'!$D$17:$D$26,0),MATCH(F$2,'PD Term Structure'!$E$16:$N$16,0))</f>
        <v>6.8341153846153843E-2</v>
      </c>
      <c r="G90" s="38">
        <f>INDEX('PD Term Structure'!$E$17:$N$26,MATCH($J90,'PD Term Structure'!$D$17:$D$26,0),MATCH(G$2,'PD Term Structure'!$E$16:$N$16,0))</f>
        <v>7.2008092485476807E-2</v>
      </c>
      <c r="H90" s="82">
        <f>VLOOKUP(B90,'LGD parameters'!$C$7:$E$11,2,FALSE)</f>
        <v>0.62956863668283192</v>
      </c>
      <c r="I90" s="82">
        <f>(NORMSDIST(-LN(H90)+(VLOOKUP(B90,LGD_para,3,FALSE)^2/2))/VLOOKUP(B90,LGD_para,3,FALSE)-(VLOOKUP(B90,LGD_para,3,FALSE))-H90*(NORMSDIST(-LN(H90)+(VLOOKUP(B90,LGD_para,3,FALSE)^2/2))/VLOOKUP(B90,LGD_para,3,FALSE)))/LOGNORMDIST(1,LN(H90),(VLOOKUP(B90,LGD_para,3,FALSE)))*'LGD parameters'!$D$11</f>
        <v>0.26714251488777335</v>
      </c>
      <c r="J90" s="40">
        <f>VLOOKUP(E90,'PD Term Structure'!$C$5:$D$14,2,TRUE)</f>
        <v>5</v>
      </c>
      <c r="K90" s="43">
        <f>VLOOKUP(J90,'Master rating scale'!$G$5:$H$14,2,FALSE)</f>
        <v>5</v>
      </c>
      <c r="L90" s="62">
        <f t="shared" si="6"/>
        <v>6.6656734534383172E-2</v>
      </c>
      <c r="N90" s="40">
        <f>VLOOKUP(F90,'PD Term Structure'!$C$5:$D$14,2,TRUE)</f>
        <v>5</v>
      </c>
      <c r="O90" s="43">
        <f>VLOOKUP(N90,'Master rating scale'!$G$5:$H$14,2,FALSE)</f>
        <v>5</v>
      </c>
      <c r="P90" s="62">
        <f t="shared" si="7"/>
        <v>6.6656734534383172E-2</v>
      </c>
      <c r="R90" s="40">
        <f>VLOOKUP(G90,'PD Term Structure'!$C$5:$D$14,2,TRUE)</f>
        <v>5</v>
      </c>
      <c r="S90" s="43">
        <f>VLOOKUP(R90,'Master rating scale'!$G$5:$H$14,2,FALSE)</f>
        <v>5</v>
      </c>
      <c r="T90" s="62">
        <f t="shared" si="8"/>
        <v>6.6656734534383172E-2</v>
      </c>
    </row>
    <row r="91" spans="1:20" ht="14">
      <c r="A91" s="36">
        <v>26607</v>
      </c>
      <c r="B91" s="81" t="s">
        <v>18</v>
      </c>
      <c r="C91" s="37" t="s">
        <v>29</v>
      </c>
      <c r="D91" s="39">
        <v>27892.097000000002</v>
      </c>
      <c r="E91" s="38">
        <v>7.2999999999999995E-2</v>
      </c>
      <c r="F91" s="38">
        <f>INDEX('PD Term Structure'!$E$17:$N$26,MATCH($J91,'PD Term Structure'!$D$17:$D$26,0),MATCH(F$2,'PD Term Structure'!$E$16:$N$16,0))</f>
        <v>6.8341153846153843E-2</v>
      </c>
      <c r="G91" s="38">
        <f>INDEX('PD Term Structure'!$E$17:$N$26,MATCH($J91,'PD Term Structure'!$D$17:$D$26,0),MATCH(G$2,'PD Term Structure'!$E$16:$N$16,0))</f>
        <v>7.2008092485476807E-2</v>
      </c>
      <c r="H91" s="82">
        <f>VLOOKUP(B91,'LGD parameters'!$C$7:$E$11,2,FALSE)</f>
        <v>0.62956863668283192</v>
      </c>
      <c r="I91" s="82">
        <f>(NORMSDIST(-LN(H91)+(VLOOKUP(B91,LGD_para,3,FALSE)^2/2))/VLOOKUP(B91,LGD_para,3,FALSE)-(VLOOKUP(B91,LGD_para,3,FALSE))-H91*(NORMSDIST(-LN(H91)+(VLOOKUP(B91,LGD_para,3,FALSE)^2/2))/VLOOKUP(B91,LGD_para,3,FALSE)))/LOGNORMDIST(1,LN(H91),(VLOOKUP(B91,LGD_para,3,FALSE)))*'LGD parameters'!$D$11</f>
        <v>0.26714251488777335</v>
      </c>
      <c r="J91" s="40">
        <f>VLOOKUP(E91,'PD Term Structure'!$C$5:$D$14,2,TRUE)</f>
        <v>5</v>
      </c>
      <c r="K91" s="43">
        <f>VLOOKUP(J91,'Master rating scale'!$G$5:$H$14,2,FALSE)</f>
        <v>5</v>
      </c>
      <c r="L91" s="62">
        <f t="shared" si="6"/>
        <v>6.7336560559796657E-2</v>
      </c>
      <c r="N91" s="40">
        <f>VLOOKUP(F91,'PD Term Structure'!$C$5:$D$14,2,TRUE)</f>
        <v>5</v>
      </c>
      <c r="O91" s="43">
        <f>VLOOKUP(N91,'Master rating scale'!$G$5:$H$14,2,FALSE)</f>
        <v>5</v>
      </c>
      <c r="P91" s="62">
        <f t="shared" si="7"/>
        <v>6.7336560559796657E-2</v>
      </c>
      <c r="R91" s="40">
        <f>VLOOKUP(G91,'PD Term Structure'!$C$5:$D$14,2,TRUE)</f>
        <v>5</v>
      </c>
      <c r="S91" s="43">
        <f>VLOOKUP(R91,'Master rating scale'!$G$5:$H$14,2,FALSE)</f>
        <v>5</v>
      </c>
      <c r="T91" s="62">
        <f t="shared" si="8"/>
        <v>6.7336560559796657E-2</v>
      </c>
    </row>
    <row r="92" spans="1:20" ht="14">
      <c r="A92" s="36">
        <v>70029</v>
      </c>
      <c r="B92" s="81" t="s">
        <v>18</v>
      </c>
      <c r="C92" s="37" t="s">
        <v>29</v>
      </c>
      <c r="D92" s="39">
        <v>30000</v>
      </c>
      <c r="E92" s="38">
        <v>7.2999999999999995E-2</v>
      </c>
      <c r="F92" s="38">
        <f>INDEX('PD Term Structure'!$E$17:$N$26,MATCH($J92,'PD Term Structure'!$D$17:$D$26,0),MATCH(F$2,'PD Term Structure'!$E$16:$N$16,0))</f>
        <v>6.8341153846153843E-2</v>
      </c>
      <c r="G92" s="38">
        <f>INDEX('PD Term Structure'!$E$17:$N$26,MATCH($J92,'PD Term Structure'!$D$17:$D$26,0),MATCH(G$2,'PD Term Structure'!$E$16:$N$16,0))</f>
        <v>7.2008092485476807E-2</v>
      </c>
      <c r="H92" s="82">
        <f>VLOOKUP(B92,'LGD parameters'!$C$7:$E$11,2,FALSE)</f>
        <v>0.62956863668283192</v>
      </c>
      <c r="I92" s="82">
        <f>(NORMSDIST(-LN(H92)+(VLOOKUP(B92,LGD_para,3,FALSE)^2/2))/VLOOKUP(B92,LGD_para,3,FALSE)-(VLOOKUP(B92,LGD_para,3,FALSE))-H92*(NORMSDIST(-LN(H92)+(VLOOKUP(B92,LGD_para,3,FALSE)^2/2))/VLOOKUP(B92,LGD_para,3,FALSE)))/LOGNORMDIST(1,LN(H92),(VLOOKUP(B92,LGD_para,3,FALSE)))*'LGD parameters'!$D$11</f>
        <v>0.26714251488777335</v>
      </c>
      <c r="J92" s="40">
        <f>VLOOKUP(E92,'PD Term Structure'!$C$5:$D$14,2,TRUE)</f>
        <v>5</v>
      </c>
      <c r="K92" s="43">
        <f>VLOOKUP(J92,'Master rating scale'!$G$5:$H$14,2,FALSE)</f>
        <v>5</v>
      </c>
      <c r="L92" s="62">
        <f t="shared" si="6"/>
        <v>7.2425419171383898E-2</v>
      </c>
      <c r="N92" s="40">
        <f>VLOOKUP(F92,'PD Term Structure'!$C$5:$D$14,2,TRUE)</f>
        <v>5</v>
      </c>
      <c r="O92" s="43">
        <f>VLOOKUP(N92,'Master rating scale'!$G$5:$H$14,2,FALSE)</f>
        <v>5</v>
      </c>
      <c r="P92" s="62">
        <f t="shared" si="7"/>
        <v>7.2425419171383898E-2</v>
      </c>
      <c r="R92" s="40">
        <f>VLOOKUP(G92,'PD Term Structure'!$C$5:$D$14,2,TRUE)</f>
        <v>5</v>
      </c>
      <c r="S92" s="43">
        <f>VLOOKUP(R92,'Master rating scale'!$G$5:$H$14,2,FALSE)</f>
        <v>5</v>
      </c>
      <c r="T92" s="62">
        <f t="shared" si="8"/>
        <v>7.2425419171383898E-2</v>
      </c>
    </row>
    <row r="93" spans="1:20" ht="14">
      <c r="A93" s="36">
        <v>143611</v>
      </c>
      <c r="B93" s="81" t="s">
        <v>18</v>
      </c>
      <c r="C93" s="37" t="s">
        <v>29</v>
      </c>
      <c r="D93" s="39">
        <v>30000</v>
      </c>
      <c r="E93" s="38">
        <v>7.2999999999999995E-2</v>
      </c>
      <c r="F93" s="38">
        <f>INDEX('PD Term Structure'!$E$17:$N$26,MATCH($J93,'PD Term Structure'!$D$17:$D$26,0),MATCH(F$2,'PD Term Structure'!$E$16:$N$16,0))</f>
        <v>6.8341153846153843E-2</v>
      </c>
      <c r="G93" s="38">
        <f>INDEX('PD Term Structure'!$E$17:$N$26,MATCH($J93,'PD Term Structure'!$D$17:$D$26,0),MATCH(G$2,'PD Term Structure'!$E$16:$N$16,0))</f>
        <v>7.2008092485476807E-2</v>
      </c>
      <c r="H93" s="82">
        <f>VLOOKUP(B93,'LGD parameters'!$C$7:$E$11,2,FALSE)</f>
        <v>0.62956863668283192</v>
      </c>
      <c r="I93" s="82">
        <f>(NORMSDIST(-LN(H93)+(VLOOKUP(B93,LGD_para,3,FALSE)^2/2))/VLOOKUP(B93,LGD_para,3,FALSE)-(VLOOKUP(B93,LGD_para,3,FALSE))-H93*(NORMSDIST(-LN(H93)+(VLOOKUP(B93,LGD_para,3,FALSE)^2/2))/VLOOKUP(B93,LGD_para,3,FALSE)))/LOGNORMDIST(1,LN(H93),(VLOOKUP(B93,LGD_para,3,FALSE)))*'LGD parameters'!$D$11</f>
        <v>0.26714251488777335</v>
      </c>
      <c r="J93" s="40">
        <f>VLOOKUP(E93,'PD Term Structure'!$C$5:$D$14,2,TRUE)</f>
        <v>5</v>
      </c>
      <c r="K93" s="43">
        <f>VLOOKUP(J93,'Master rating scale'!$G$5:$H$14,2,FALSE)</f>
        <v>5</v>
      </c>
      <c r="L93" s="62">
        <f t="shared" si="6"/>
        <v>7.2425419171383898E-2</v>
      </c>
      <c r="N93" s="40">
        <f>VLOOKUP(F93,'PD Term Structure'!$C$5:$D$14,2,TRUE)</f>
        <v>5</v>
      </c>
      <c r="O93" s="43">
        <f>VLOOKUP(N93,'Master rating scale'!$G$5:$H$14,2,FALSE)</f>
        <v>5</v>
      </c>
      <c r="P93" s="62">
        <f t="shared" si="7"/>
        <v>7.2425419171383898E-2</v>
      </c>
      <c r="R93" s="40">
        <f>VLOOKUP(G93,'PD Term Structure'!$C$5:$D$14,2,TRUE)</f>
        <v>5</v>
      </c>
      <c r="S93" s="43">
        <f>VLOOKUP(R93,'Master rating scale'!$G$5:$H$14,2,FALSE)</f>
        <v>5</v>
      </c>
      <c r="T93" s="62">
        <f t="shared" si="8"/>
        <v>7.2425419171383898E-2</v>
      </c>
    </row>
    <row r="94" spans="1:20" ht="14">
      <c r="A94" s="36">
        <v>206051</v>
      </c>
      <c r="B94" s="81" t="s">
        <v>18</v>
      </c>
      <c r="C94" s="37" t="s">
        <v>29</v>
      </c>
      <c r="D94" s="39">
        <v>30000</v>
      </c>
      <c r="E94" s="38">
        <v>7.2999999999999995E-2</v>
      </c>
      <c r="F94" s="38">
        <f>INDEX('PD Term Structure'!$E$17:$N$26,MATCH($J94,'PD Term Structure'!$D$17:$D$26,0),MATCH(F$2,'PD Term Structure'!$E$16:$N$16,0))</f>
        <v>6.8341153846153843E-2</v>
      </c>
      <c r="G94" s="38">
        <f>INDEX('PD Term Structure'!$E$17:$N$26,MATCH($J94,'PD Term Structure'!$D$17:$D$26,0),MATCH(G$2,'PD Term Structure'!$E$16:$N$16,0))</f>
        <v>7.2008092485476807E-2</v>
      </c>
      <c r="H94" s="82">
        <f>VLOOKUP(B94,'LGD parameters'!$C$7:$E$11,2,FALSE)</f>
        <v>0.62956863668283192</v>
      </c>
      <c r="I94" s="82">
        <f>(NORMSDIST(-LN(H94)+(VLOOKUP(B94,LGD_para,3,FALSE)^2/2))/VLOOKUP(B94,LGD_para,3,FALSE)-(VLOOKUP(B94,LGD_para,3,FALSE))-H94*(NORMSDIST(-LN(H94)+(VLOOKUP(B94,LGD_para,3,FALSE)^2/2))/VLOOKUP(B94,LGD_para,3,FALSE)))/LOGNORMDIST(1,LN(H94),(VLOOKUP(B94,LGD_para,3,FALSE)))*'LGD parameters'!$D$11</f>
        <v>0.26714251488777335</v>
      </c>
      <c r="J94" s="40">
        <f>VLOOKUP(E94,'PD Term Structure'!$C$5:$D$14,2,TRUE)</f>
        <v>5</v>
      </c>
      <c r="K94" s="43">
        <f>VLOOKUP(J94,'Master rating scale'!$G$5:$H$14,2,FALSE)</f>
        <v>5</v>
      </c>
      <c r="L94" s="62">
        <f t="shared" si="6"/>
        <v>7.2425419171383898E-2</v>
      </c>
      <c r="N94" s="40">
        <f>VLOOKUP(F94,'PD Term Structure'!$C$5:$D$14,2,TRUE)</f>
        <v>5</v>
      </c>
      <c r="O94" s="43">
        <f>VLOOKUP(N94,'Master rating scale'!$G$5:$H$14,2,FALSE)</f>
        <v>5</v>
      </c>
      <c r="P94" s="62">
        <f t="shared" si="7"/>
        <v>7.2425419171383898E-2</v>
      </c>
      <c r="R94" s="40">
        <f>VLOOKUP(G94,'PD Term Structure'!$C$5:$D$14,2,TRUE)</f>
        <v>5</v>
      </c>
      <c r="S94" s="43">
        <f>VLOOKUP(R94,'Master rating scale'!$G$5:$H$14,2,FALSE)</f>
        <v>5</v>
      </c>
      <c r="T94" s="62">
        <f t="shared" si="8"/>
        <v>7.2425419171383898E-2</v>
      </c>
    </row>
    <row r="95" spans="1:20" ht="14">
      <c r="A95" s="36">
        <v>362213</v>
      </c>
      <c r="B95" s="81" t="s">
        <v>18</v>
      </c>
      <c r="C95" s="37" t="s">
        <v>29</v>
      </c>
      <c r="D95" s="39">
        <v>30026</v>
      </c>
      <c r="E95" s="38">
        <v>3.4200000000000001E-2</v>
      </c>
      <c r="F95" s="38">
        <f>INDEX('PD Term Structure'!$E$17:$N$26,MATCH($J95,'PD Term Structure'!$D$17:$D$26,0),MATCH(F$2,'PD Term Structure'!$E$16:$N$16,0))</f>
        <v>5.2108354430379748E-2</v>
      </c>
      <c r="G95" s="38">
        <f>INDEX('PD Term Structure'!$E$17:$N$26,MATCH($J95,'PD Term Structure'!$D$17:$D$26,0),MATCH(G$2,'PD Term Structure'!$E$16:$N$16,0))</f>
        <v>6.3676339047537805E-2</v>
      </c>
      <c r="H95" s="82">
        <f>VLOOKUP(B95,'LGD parameters'!$C$7:$E$11,2,FALSE)</f>
        <v>0.62956863668283192</v>
      </c>
      <c r="I95" s="82">
        <f>(NORMSDIST(-LN(H95)+(VLOOKUP(B95,LGD_para,3,FALSE)^2/2))/VLOOKUP(B95,LGD_para,3,FALSE)-(VLOOKUP(B95,LGD_para,3,FALSE))-H95*(NORMSDIST(-LN(H95)+(VLOOKUP(B95,LGD_para,3,FALSE)^2/2))/VLOOKUP(B95,LGD_para,3,FALSE)))/LOGNORMDIST(1,LN(H95),(VLOOKUP(B95,LGD_para,3,FALSE)))*'LGD parameters'!$D$11</f>
        <v>0.26714251488777335</v>
      </c>
      <c r="J95" s="40">
        <f>VLOOKUP(E95,'PD Term Structure'!$C$5:$D$14,2,TRUE)</f>
        <v>4</v>
      </c>
      <c r="K95" s="43">
        <f>VLOOKUP(J95,'Master rating scale'!$G$5:$H$14,2,FALSE)</f>
        <v>4</v>
      </c>
      <c r="L95" s="62">
        <f t="shared" si="6"/>
        <v>5.7990550294399285E-2</v>
      </c>
      <c r="N95" s="40">
        <f>VLOOKUP(F95,'PD Term Structure'!$C$5:$D$14,2,TRUE)</f>
        <v>4</v>
      </c>
      <c r="O95" s="43">
        <f>VLOOKUP(N95,'Master rating scale'!$G$5:$H$14,2,FALSE)</f>
        <v>4</v>
      </c>
      <c r="P95" s="62">
        <f t="shared" si="7"/>
        <v>5.7990550294399285E-2</v>
      </c>
      <c r="R95" s="40">
        <f>VLOOKUP(G95,'PD Term Structure'!$C$5:$D$14,2,TRUE)</f>
        <v>5</v>
      </c>
      <c r="S95" s="43">
        <f>VLOOKUP(R95,'Master rating scale'!$G$5:$H$14,2,FALSE)</f>
        <v>5</v>
      </c>
      <c r="T95" s="62">
        <f t="shared" si="8"/>
        <v>7.2488187867999099E-2</v>
      </c>
    </row>
    <row r="96" spans="1:20" ht="14">
      <c r="A96" s="36">
        <v>176358</v>
      </c>
      <c r="B96" s="81" t="s">
        <v>18</v>
      </c>
      <c r="C96" s="37" t="s">
        <v>29</v>
      </c>
      <c r="D96" s="39">
        <v>30761</v>
      </c>
      <c r="E96" s="38">
        <v>1.4105306E-2</v>
      </c>
      <c r="F96" s="38">
        <f>INDEX('PD Term Structure'!$E$17:$N$26,MATCH($J96,'PD Term Structure'!$D$17:$D$26,0),MATCH(F$2,'PD Term Structure'!$E$16:$N$16,0))</f>
        <v>2.8507278481012657E-2</v>
      </c>
      <c r="G96" s="38">
        <f>INDEX('PD Term Structure'!$E$17:$N$26,MATCH($J96,'PD Term Structure'!$D$17:$D$26,0),MATCH(G$2,'PD Term Structure'!$E$16:$N$16,0))</f>
        <v>4.7291677269631509E-2</v>
      </c>
      <c r="H96" s="82">
        <f>VLOOKUP(B96,'LGD parameters'!$C$7:$E$11,2,FALSE)</f>
        <v>0.62956863668283192</v>
      </c>
      <c r="I96" s="82">
        <f>(NORMSDIST(-LN(H96)+(VLOOKUP(B96,LGD_para,3,FALSE)^2/2))/VLOOKUP(B96,LGD_para,3,FALSE)-(VLOOKUP(B96,LGD_para,3,FALSE))-H96*(NORMSDIST(-LN(H96)+(VLOOKUP(B96,LGD_para,3,FALSE)^2/2))/VLOOKUP(B96,LGD_para,3,FALSE)))/LOGNORMDIST(1,LN(H96),(VLOOKUP(B96,LGD_para,3,FALSE)))*'LGD parameters'!$D$11</f>
        <v>0.26714251488777335</v>
      </c>
      <c r="J96" s="40">
        <f>VLOOKUP(E96,'PD Term Structure'!$C$5:$D$14,2,TRUE)</f>
        <v>3</v>
      </c>
      <c r="K96" s="43">
        <f>VLOOKUP(J96,'Master rating scale'!$G$5:$H$14,2,FALSE)</f>
        <v>3</v>
      </c>
      <c r="L96" s="62">
        <f t="shared" si="6"/>
        <v>4.4557566382618805E-2</v>
      </c>
      <c r="N96" s="40">
        <f>VLOOKUP(F96,'PD Term Structure'!$C$5:$D$14,2,TRUE)</f>
        <v>4</v>
      </c>
      <c r="O96" s="43">
        <f>VLOOKUP(N96,'Master rating scale'!$G$5:$H$14,2,FALSE)</f>
        <v>4</v>
      </c>
      <c r="P96" s="62">
        <f t="shared" si="7"/>
        <v>5.9410088510158408E-2</v>
      </c>
      <c r="R96" s="40">
        <f>VLOOKUP(G96,'PD Term Structure'!$C$5:$D$14,2,TRUE)</f>
        <v>4</v>
      </c>
      <c r="S96" s="43">
        <f>VLOOKUP(R96,'Master rating scale'!$G$5:$H$14,2,FALSE)</f>
        <v>4</v>
      </c>
      <c r="T96" s="62">
        <f t="shared" si="8"/>
        <v>5.9410088510158408E-2</v>
      </c>
    </row>
    <row r="97" spans="1:20" ht="14">
      <c r="A97" s="36">
        <v>307326</v>
      </c>
      <c r="B97" s="81" t="s">
        <v>18</v>
      </c>
      <c r="C97" s="37" t="s">
        <v>29</v>
      </c>
      <c r="D97" s="39">
        <v>31000</v>
      </c>
      <c r="E97" s="38">
        <v>1.4105306E-2</v>
      </c>
      <c r="F97" s="38">
        <f>INDEX('PD Term Structure'!$E$17:$N$26,MATCH($J97,'PD Term Structure'!$D$17:$D$26,0),MATCH(F$2,'PD Term Structure'!$E$16:$N$16,0))</f>
        <v>2.8507278481012657E-2</v>
      </c>
      <c r="G97" s="38">
        <f>INDEX('PD Term Structure'!$E$17:$N$26,MATCH($J97,'PD Term Structure'!$D$17:$D$26,0),MATCH(G$2,'PD Term Structure'!$E$16:$N$16,0))</f>
        <v>4.7291677269631509E-2</v>
      </c>
      <c r="H97" s="82">
        <f>VLOOKUP(B97,'LGD parameters'!$C$7:$E$11,2,FALSE)</f>
        <v>0.62956863668283192</v>
      </c>
      <c r="I97" s="82">
        <f>(NORMSDIST(-LN(H97)+(VLOOKUP(B97,LGD_para,3,FALSE)^2/2))/VLOOKUP(B97,LGD_para,3,FALSE)-(VLOOKUP(B97,LGD_para,3,FALSE))-H97*(NORMSDIST(-LN(H97)+(VLOOKUP(B97,LGD_para,3,FALSE)^2/2))/VLOOKUP(B97,LGD_para,3,FALSE)))/LOGNORMDIST(1,LN(H97),(VLOOKUP(B97,LGD_para,3,FALSE)))*'LGD parameters'!$D$11</f>
        <v>0.26714251488777335</v>
      </c>
      <c r="J97" s="40">
        <f>VLOOKUP(E97,'PD Term Structure'!$C$5:$D$14,2,TRUE)</f>
        <v>3</v>
      </c>
      <c r="K97" s="43">
        <f>VLOOKUP(J97,'Master rating scale'!$G$5:$H$14,2,FALSE)</f>
        <v>3</v>
      </c>
      <c r="L97" s="62">
        <f t="shared" si="6"/>
        <v>4.4903759886258027E-2</v>
      </c>
      <c r="N97" s="40">
        <f>VLOOKUP(F97,'PD Term Structure'!$C$5:$D$14,2,TRUE)</f>
        <v>4</v>
      </c>
      <c r="O97" s="43">
        <f>VLOOKUP(N97,'Master rating scale'!$G$5:$H$14,2,FALSE)</f>
        <v>4</v>
      </c>
      <c r="P97" s="62">
        <f t="shared" si="7"/>
        <v>5.9871679848344031E-2</v>
      </c>
      <c r="R97" s="40">
        <f>VLOOKUP(G97,'PD Term Structure'!$C$5:$D$14,2,TRUE)</f>
        <v>4</v>
      </c>
      <c r="S97" s="43">
        <f>VLOOKUP(R97,'Master rating scale'!$G$5:$H$14,2,FALSE)</f>
        <v>4</v>
      </c>
      <c r="T97" s="62">
        <f t="shared" si="8"/>
        <v>5.9871679848344031E-2</v>
      </c>
    </row>
    <row r="98" spans="1:20" ht="14">
      <c r="A98" s="36">
        <v>243623</v>
      </c>
      <c r="B98" s="81" t="s">
        <v>18</v>
      </c>
      <c r="C98" s="37" t="s">
        <v>29</v>
      </c>
      <c r="D98" s="39">
        <v>31430</v>
      </c>
      <c r="E98" s="38">
        <v>1.4105306E-2</v>
      </c>
      <c r="F98" s="38">
        <f>INDEX('PD Term Structure'!$E$17:$N$26,MATCH($J98,'PD Term Structure'!$D$17:$D$26,0),MATCH(F$2,'PD Term Structure'!$E$16:$N$16,0))</f>
        <v>2.8507278481012657E-2</v>
      </c>
      <c r="G98" s="38">
        <f>INDEX('PD Term Structure'!$E$17:$N$26,MATCH($J98,'PD Term Structure'!$D$17:$D$26,0),MATCH(G$2,'PD Term Structure'!$E$16:$N$16,0))</f>
        <v>4.7291677269631509E-2</v>
      </c>
      <c r="H98" s="82">
        <f>VLOOKUP(B98,'LGD parameters'!$C$7:$E$11,2,FALSE)</f>
        <v>0.62956863668283192</v>
      </c>
      <c r="I98" s="82">
        <f>(NORMSDIST(-LN(H98)+(VLOOKUP(B98,LGD_para,3,FALSE)^2/2))/VLOOKUP(B98,LGD_para,3,FALSE)-(VLOOKUP(B98,LGD_para,3,FALSE))-H98*(NORMSDIST(-LN(H98)+(VLOOKUP(B98,LGD_para,3,FALSE)^2/2))/VLOOKUP(B98,LGD_para,3,FALSE)))/LOGNORMDIST(1,LN(H98),(VLOOKUP(B98,LGD_para,3,FALSE)))*'LGD parameters'!$D$11</f>
        <v>0.26714251488777335</v>
      </c>
      <c r="J98" s="40">
        <f>VLOOKUP(E98,'PD Term Structure'!$C$5:$D$14,2,TRUE)</f>
        <v>3</v>
      </c>
      <c r="K98" s="43">
        <f>VLOOKUP(J98,'Master rating scale'!$G$5:$H$14,2,FALSE)</f>
        <v>3</v>
      </c>
      <c r="L98" s="62">
        <f t="shared" si="6"/>
        <v>4.5526618491131918E-2</v>
      </c>
      <c r="N98" s="40">
        <f>VLOOKUP(F98,'PD Term Structure'!$C$5:$D$14,2,TRUE)</f>
        <v>4</v>
      </c>
      <c r="O98" s="43">
        <f>VLOOKUP(N98,'Master rating scale'!$G$5:$H$14,2,FALSE)</f>
        <v>4</v>
      </c>
      <c r="P98" s="62">
        <f t="shared" si="7"/>
        <v>6.0702157988175895E-2</v>
      </c>
      <c r="R98" s="40">
        <f>VLOOKUP(G98,'PD Term Structure'!$C$5:$D$14,2,TRUE)</f>
        <v>4</v>
      </c>
      <c r="S98" s="43">
        <f>VLOOKUP(R98,'Master rating scale'!$G$5:$H$14,2,FALSE)</f>
        <v>4</v>
      </c>
      <c r="T98" s="62">
        <f t="shared" si="8"/>
        <v>6.0702157988175895E-2</v>
      </c>
    </row>
    <row r="99" spans="1:20" ht="14">
      <c r="A99" s="36">
        <v>114060</v>
      </c>
      <c r="B99" s="81" t="s">
        <v>18</v>
      </c>
      <c r="C99" s="37" t="s">
        <v>29</v>
      </c>
      <c r="D99" s="39">
        <v>31500</v>
      </c>
      <c r="E99" s="38">
        <v>1.4105306E-2</v>
      </c>
      <c r="F99" s="38">
        <f>INDEX('PD Term Structure'!$E$17:$N$26,MATCH($J99,'PD Term Structure'!$D$17:$D$26,0),MATCH(F$2,'PD Term Structure'!$E$16:$N$16,0))</f>
        <v>2.8507278481012657E-2</v>
      </c>
      <c r="G99" s="38">
        <f>INDEX('PD Term Structure'!$E$17:$N$26,MATCH($J99,'PD Term Structure'!$D$17:$D$26,0),MATCH(G$2,'PD Term Structure'!$E$16:$N$16,0))</f>
        <v>4.7291677269631509E-2</v>
      </c>
      <c r="H99" s="82">
        <f>VLOOKUP(B99,'LGD parameters'!$C$7:$E$11,2,FALSE)</f>
        <v>0.62956863668283192</v>
      </c>
      <c r="I99" s="82">
        <f>(NORMSDIST(-LN(H99)+(VLOOKUP(B99,LGD_para,3,FALSE)^2/2))/VLOOKUP(B99,LGD_para,3,FALSE)-(VLOOKUP(B99,LGD_para,3,FALSE))-H99*(NORMSDIST(-LN(H99)+(VLOOKUP(B99,LGD_para,3,FALSE)^2/2))/VLOOKUP(B99,LGD_para,3,FALSE)))/LOGNORMDIST(1,LN(H99),(VLOOKUP(B99,LGD_para,3,FALSE)))*'LGD parameters'!$D$11</f>
        <v>0.26714251488777335</v>
      </c>
      <c r="J99" s="40">
        <f>VLOOKUP(E99,'PD Term Structure'!$C$5:$D$14,2,TRUE)</f>
        <v>3</v>
      </c>
      <c r="K99" s="43">
        <f>VLOOKUP(J99,'Master rating scale'!$G$5:$H$14,2,FALSE)</f>
        <v>3</v>
      </c>
      <c r="L99" s="62">
        <f t="shared" si="6"/>
        <v>4.562801407797186E-2</v>
      </c>
      <c r="N99" s="40">
        <f>VLOOKUP(F99,'PD Term Structure'!$C$5:$D$14,2,TRUE)</f>
        <v>4</v>
      </c>
      <c r="O99" s="43">
        <f>VLOOKUP(N99,'Master rating scale'!$G$5:$H$14,2,FALSE)</f>
        <v>4</v>
      </c>
      <c r="P99" s="62">
        <f t="shared" si="7"/>
        <v>6.0837352103962482E-2</v>
      </c>
      <c r="R99" s="40">
        <f>VLOOKUP(G99,'PD Term Structure'!$C$5:$D$14,2,TRUE)</f>
        <v>4</v>
      </c>
      <c r="S99" s="43">
        <f>VLOOKUP(R99,'Master rating scale'!$G$5:$H$14,2,FALSE)</f>
        <v>4</v>
      </c>
      <c r="T99" s="62">
        <f t="shared" si="8"/>
        <v>6.0837352103962482E-2</v>
      </c>
    </row>
    <row r="100" spans="1:20" ht="14">
      <c r="A100" s="36">
        <v>33682</v>
      </c>
      <c r="B100" s="81" t="s">
        <v>18</v>
      </c>
      <c r="C100" s="37" t="s">
        <v>29</v>
      </c>
      <c r="D100" s="39">
        <v>32836.5</v>
      </c>
      <c r="E100" s="38">
        <v>1.4105306E-2</v>
      </c>
      <c r="F100" s="38">
        <f>INDEX('PD Term Structure'!$E$17:$N$26,MATCH($J100,'PD Term Structure'!$D$17:$D$26,0),MATCH(F$2,'PD Term Structure'!$E$16:$N$16,0))</f>
        <v>2.8507278481012657E-2</v>
      </c>
      <c r="G100" s="38">
        <f>INDEX('PD Term Structure'!$E$17:$N$26,MATCH($J100,'PD Term Structure'!$D$17:$D$26,0),MATCH(G$2,'PD Term Structure'!$E$16:$N$16,0))</f>
        <v>4.7291677269631509E-2</v>
      </c>
      <c r="H100" s="82">
        <f>VLOOKUP(B100,'LGD parameters'!$C$7:$E$11,2,FALSE)</f>
        <v>0.62956863668283192</v>
      </c>
      <c r="I100" s="82">
        <f>(NORMSDIST(-LN(H100)+(VLOOKUP(B100,LGD_para,3,FALSE)^2/2))/VLOOKUP(B100,LGD_para,3,FALSE)-(VLOOKUP(B100,LGD_para,3,FALSE))-H100*(NORMSDIST(-LN(H100)+(VLOOKUP(B100,LGD_para,3,FALSE)^2/2))/VLOOKUP(B100,LGD_para,3,FALSE)))/LOGNORMDIST(1,LN(H100),(VLOOKUP(B100,LGD_para,3,FALSE)))*'LGD parameters'!$D$11</f>
        <v>0.26714251488777335</v>
      </c>
      <c r="J100" s="40">
        <f>VLOOKUP(E100,'PD Term Structure'!$C$5:$D$14,2,TRUE)</f>
        <v>3</v>
      </c>
      <c r="K100" s="43">
        <f>VLOOKUP(J100,'Master rating scale'!$G$5:$H$14,2,FALSE)</f>
        <v>3</v>
      </c>
      <c r="L100" s="62">
        <f t="shared" ref="L100:L131" si="9">D100/$D$118*K100</f>
        <v>4.7563945532422956E-2</v>
      </c>
      <c r="N100" s="40">
        <f>VLOOKUP(F100,'PD Term Structure'!$C$5:$D$14,2,TRUE)</f>
        <v>4</v>
      </c>
      <c r="O100" s="43">
        <f>VLOOKUP(N100,'Master rating scale'!$G$5:$H$14,2,FALSE)</f>
        <v>4</v>
      </c>
      <c r="P100" s="62">
        <f t="shared" ref="P100:P131" si="10">$D100/$D$118*O100</f>
        <v>6.3418594043230608E-2</v>
      </c>
      <c r="R100" s="40">
        <f>VLOOKUP(G100,'PD Term Structure'!$C$5:$D$14,2,TRUE)</f>
        <v>4</v>
      </c>
      <c r="S100" s="43">
        <f>VLOOKUP(R100,'Master rating scale'!$G$5:$H$14,2,FALSE)</f>
        <v>4</v>
      </c>
      <c r="T100" s="62">
        <f t="shared" ref="T100:T131" si="11">$D100/$D$118*S100</f>
        <v>6.3418594043230608E-2</v>
      </c>
    </row>
    <row r="101" spans="1:20" ht="14">
      <c r="A101" s="36">
        <v>469516</v>
      </c>
      <c r="B101" s="81" t="s">
        <v>18</v>
      </c>
      <c r="C101" s="37" t="s">
        <v>29</v>
      </c>
      <c r="D101" s="39">
        <v>33000</v>
      </c>
      <c r="E101" s="38">
        <v>1.4105306E-2</v>
      </c>
      <c r="F101" s="38">
        <f>INDEX('PD Term Structure'!$E$17:$N$26,MATCH($J101,'PD Term Structure'!$D$17:$D$26,0),MATCH(F$2,'PD Term Structure'!$E$16:$N$16,0))</f>
        <v>2.8507278481012657E-2</v>
      </c>
      <c r="G101" s="38">
        <f>INDEX('PD Term Structure'!$E$17:$N$26,MATCH($J101,'PD Term Structure'!$D$17:$D$26,0),MATCH(G$2,'PD Term Structure'!$E$16:$N$16,0))</f>
        <v>4.7291677269631509E-2</v>
      </c>
      <c r="H101" s="82">
        <f>VLOOKUP(B101,'LGD parameters'!$C$7:$E$11,2,FALSE)</f>
        <v>0.62956863668283192</v>
      </c>
      <c r="I101" s="82">
        <f>(NORMSDIST(-LN(H101)+(VLOOKUP(B101,LGD_para,3,FALSE)^2/2))/VLOOKUP(B101,LGD_para,3,FALSE)-(VLOOKUP(B101,LGD_para,3,FALSE))-H101*(NORMSDIST(-LN(H101)+(VLOOKUP(B101,LGD_para,3,FALSE)^2/2))/VLOOKUP(B101,LGD_para,3,FALSE)))/LOGNORMDIST(1,LN(H101),(VLOOKUP(B101,LGD_para,3,FALSE)))*'LGD parameters'!$D$11</f>
        <v>0.26714251488777335</v>
      </c>
      <c r="J101" s="40">
        <f>VLOOKUP(E101,'PD Term Structure'!$C$5:$D$14,2,TRUE)</f>
        <v>3</v>
      </c>
      <c r="K101" s="43">
        <f>VLOOKUP(J101,'Master rating scale'!$G$5:$H$14,2,FALSE)</f>
        <v>3</v>
      </c>
      <c r="L101" s="62">
        <f t="shared" si="9"/>
        <v>4.7800776653113372E-2</v>
      </c>
      <c r="N101" s="40">
        <f>VLOOKUP(F101,'PD Term Structure'!$C$5:$D$14,2,TRUE)</f>
        <v>4</v>
      </c>
      <c r="O101" s="43">
        <f>VLOOKUP(N101,'Master rating scale'!$G$5:$H$14,2,FALSE)</f>
        <v>4</v>
      </c>
      <c r="P101" s="62">
        <f t="shared" si="10"/>
        <v>6.3734368870817834E-2</v>
      </c>
      <c r="R101" s="40">
        <f>VLOOKUP(G101,'PD Term Structure'!$C$5:$D$14,2,TRUE)</f>
        <v>4</v>
      </c>
      <c r="S101" s="43">
        <f>VLOOKUP(R101,'Master rating scale'!$G$5:$H$14,2,FALSE)</f>
        <v>4</v>
      </c>
      <c r="T101" s="62">
        <f t="shared" si="11"/>
        <v>6.3734368870817834E-2</v>
      </c>
    </row>
    <row r="102" spans="1:20" ht="14">
      <c r="A102" s="36">
        <v>15294</v>
      </c>
      <c r="B102" s="81" t="s">
        <v>18</v>
      </c>
      <c r="C102" s="37" t="s">
        <v>29</v>
      </c>
      <c r="D102" s="39">
        <v>34647.5</v>
      </c>
      <c r="E102" s="38">
        <v>1.4105306E-2</v>
      </c>
      <c r="F102" s="38">
        <f>INDEX('PD Term Structure'!$E$17:$N$26,MATCH($J102,'PD Term Structure'!$D$17:$D$26,0),MATCH(F$2,'PD Term Structure'!$E$16:$N$16,0))</f>
        <v>2.8507278481012657E-2</v>
      </c>
      <c r="G102" s="38">
        <f>INDEX('PD Term Structure'!$E$17:$N$26,MATCH($J102,'PD Term Structure'!$D$17:$D$26,0),MATCH(G$2,'PD Term Structure'!$E$16:$N$16,0))</f>
        <v>4.7291677269631509E-2</v>
      </c>
      <c r="H102" s="82">
        <f>VLOOKUP(B102,'LGD parameters'!$C$7:$E$11,2,FALSE)</f>
        <v>0.62956863668283192</v>
      </c>
      <c r="I102" s="82">
        <f>(NORMSDIST(-LN(H102)+(VLOOKUP(B102,LGD_para,3,FALSE)^2/2))/VLOOKUP(B102,LGD_para,3,FALSE)-(VLOOKUP(B102,LGD_para,3,FALSE))-H102*(NORMSDIST(-LN(H102)+(VLOOKUP(B102,LGD_para,3,FALSE)^2/2))/VLOOKUP(B102,LGD_para,3,FALSE)))/LOGNORMDIST(1,LN(H102),(VLOOKUP(B102,LGD_para,3,FALSE)))*'LGD parameters'!$D$11</f>
        <v>0.26714251488777335</v>
      </c>
      <c r="J102" s="40">
        <f>VLOOKUP(E102,'PD Term Structure'!$C$5:$D$14,2,TRUE)</f>
        <v>3</v>
      </c>
      <c r="K102" s="43">
        <f>VLOOKUP(J102,'Master rating scale'!$G$5:$H$14,2,FALSE)</f>
        <v>3</v>
      </c>
      <c r="L102" s="62">
        <f t="shared" si="9"/>
        <v>5.0187194214810479E-2</v>
      </c>
      <c r="N102" s="40">
        <f>VLOOKUP(F102,'PD Term Structure'!$C$5:$D$14,2,TRUE)</f>
        <v>4</v>
      </c>
      <c r="O102" s="43">
        <f>VLOOKUP(N102,'Master rating scale'!$G$5:$H$14,2,FALSE)</f>
        <v>4</v>
      </c>
      <c r="P102" s="62">
        <f t="shared" si="10"/>
        <v>6.6916258953080635E-2</v>
      </c>
      <c r="R102" s="40">
        <f>VLOOKUP(G102,'PD Term Structure'!$C$5:$D$14,2,TRUE)</f>
        <v>4</v>
      </c>
      <c r="S102" s="43">
        <f>VLOOKUP(R102,'Master rating scale'!$G$5:$H$14,2,FALSE)</f>
        <v>4</v>
      </c>
      <c r="T102" s="62">
        <f t="shared" si="11"/>
        <v>6.6916258953080635E-2</v>
      </c>
    </row>
    <row r="103" spans="1:20" ht="14">
      <c r="A103" s="36">
        <v>302531</v>
      </c>
      <c r="B103" s="81" t="s">
        <v>18</v>
      </c>
      <c r="C103" s="37" t="s">
        <v>24</v>
      </c>
      <c r="D103" s="39">
        <v>15995.11</v>
      </c>
      <c r="E103" s="38">
        <v>1.09E-2</v>
      </c>
      <c r="F103" s="38">
        <f>INDEX('PD Term Structure'!$E$17:$N$26,MATCH($J103,'PD Term Structure'!$D$17:$D$26,0),MATCH(F$2,'PD Term Structure'!$E$16:$N$16,0))</f>
        <v>2.8507278481012657E-2</v>
      </c>
      <c r="G103" s="38">
        <f>INDEX('PD Term Structure'!$E$17:$N$26,MATCH($J103,'PD Term Structure'!$D$17:$D$26,0),MATCH(G$2,'PD Term Structure'!$E$16:$N$16,0))</f>
        <v>4.7291677269631509E-2</v>
      </c>
      <c r="H103" s="82">
        <f>VLOOKUP(B103,'LGD parameters'!$C$7:$E$11,2,FALSE)</f>
        <v>0.62956863668283192</v>
      </c>
      <c r="I103" s="82">
        <f>(NORMSDIST(-LN(H103)+(VLOOKUP(B103,LGD_para,3,FALSE)^2/2))/VLOOKUP(B103,LGD_para,3,FALSE)-(VLOOKUP(B103,LGD_para,3,FALSE))-H103*(NORMSDIST(-LN(H103)+(VLOOKUP(B103,LGD_para,3,FALSE)^2/2))/VLOOKUP(B103,LGD_para,3,FALSE)))/LOGNORMDIST(1,LN(H103),(VLOOKUP(B103,LGD_para,3,FALSE)))*'LGD parameters'!$D$11</f>
        <v>0.26714251488777335</v>
      </c>
      <c r="J103" s="40">
        <f>VLOOKUP(E103,'PD Term Structure'!$C$5:$D$14,2,TRUE)</f>
        <v>3</v>
      </c>
      <c r="K103" s="43">
        <f>VLOOKUP(J103,'Master rating scale'!$G$5:$H$14,2,FALSE)</f>
        <v>3</v>
      </c>
      <c r="L103" s="62">
        <f t="shared" si="9"/>
        <v>2.3169050928847888E-2</v>
      </c>
      <c r="N103" s="40">
        <f>VLOOKUP(F103,'PD Term Structure'!$C$5:$D$14,2,TRUE)</f>
        <v>4</v>
      </c>
      <c r="O103" s="43">
        <f>VLOOKUP(N103,'Master rating scale'!$G$5:$H$14,2,FALSE)</f>
        <v>4</v>
      </c>
      <c r="P103" s="62">
        <f t="shared" si="10"/>
        <v>3.0892067905130518E-2</v>
      </c>
      <c r="R103" s="40">
        <f>VLOOKUP(G103,'PD Term Structure'!$C$5:$D$14,2,TRUE)</f>
        <v>4</v>
      </c>
      <c r="S103" s="43">
        <f>VLOOKUP(R103,'Master rating scale'!$G$5:$H$14,2,FALSE)</f>
        <v>4</v>
      </c>
      <c r="T103" s="62">
        <f t="shared" si="11"/>
        <v>3.0892067905130518E-2</v>
      </c>
    </row>
    <row r="104" spans="1:20" ht="14">
      <c r="A104" s="36">
        <v>473899</v>
      </c>
      <c r="B104" s="81" t="s">
        <v>18</v>
      </c>
      <c r="C104" s="37" t="s">
        <v>24</v>
      </c>
      <c r="D104" s="39">
        <v>16550</v>
      </c>
      <c r="E104" s="38">
        <v>1.09E-2</v>
      </c>
      <c r="F104" s="38">
        <f>INDEX('PD Term Structure'!$E$17:$N$26,MATCH($J104,'PD Term Structure'!$D$17:$D$26,0),MATCH(F$2,'PD Term Structure'!$E$16:$N$16,0))</f>
        <v>2.8507278481012657E-2</v>
      </c>
      <c r="G104" s="38">
        <f>INDEX('PD Term Structure'!$E$17:$N$26,MATCH($J104,'PD Term Structure'!$D$17:$D$26,0),MATCH(G$2,'PD Term Structure'!$E$16:$N$16,0))</f>
        <v>4.7291677269631509E-2</v>
      </c>
      <c r="H104" s="82">
        <f>VLOOKUP(B104,'LGD parameters'!$C$7:$E$11,2,FALSE)</f>
        <v>0.62956863668283192</v>
      </c>
      <c r="I104" s="82">
        <f>(NORMSDIST(-LN(H104)+(VLOOKUP(B104,LGD_para,3,FALSE)^2/2))/VLOOKUP(B104,LGD_para,3,FALSE)-(VLOOKUP(B104,LGD_para,3,FALSE))-H104*(NORMSDIST(-LN(H104)+(VLOOKUP(B104,LGD_para,3,FALSE)^2/2))/VLOOKUP(B104,LGD_para,3,FALSE)))/LOGNORMDIST(1,LN(H104),(VLOOKUP(B104,LGD_para,3,FALSE)))*'LGD parameters'!$D$11</f>
        <v>0.26714251488777335</v>
      </c>
      <c r="J104" s="40">
        <f>VLOOKUP(E104,'PD Term Structure'!$C$5:$D$14,2,TRUE)</f>
        <v>3</v>
      </c>
      <c r="K104" s="43">
        <f>VLOOKUP(J104,'Master rating scale'!$G$5:$H$14,2,FALSE)</f>
        <v>3</v>
      </c>
      <c r="L104" s="62">
        <f t="shared" si="9"/>
        <v>2.3972813745728072E-2</v>
      </c>
      <c r="N104" s="40">
        <f>VLOOKUP(F104,'PD Term Structure'!$C$5:$D$14,2,TRUE)</f>
        <v>4</v>
      </c>
      <c r="O104" s="43">
        <f>VLOOKUP(N104,'Master rating scale'!$G$5:$H$14,2,FALSE)</f>
        <v>4</v>
      </c>
      <c r="P104" s="62">
        <f t="shared" si="10"/>
        <v>3.1963751660970763E-2</v>
      </c>
      <c r="R104" s="40">
        <f>VLOOKUP(G104,'PD Term Structure'!$C$5:$D$14,2,TRUE)</f>
        <v>4</v>
      </c>
      <c r="S104" s="43">
        <f>VLOOKUP(R104,'Master rating scale'!$G$5:$H$14,2,FALSE)</f>
        <v>4</v>
      </c>
      <c r="T104" s="62">
        <f t="shared" si="11"/>
        <v>3.1963751660970763E-2</v>
      </c>
    </row>
    <row r="105" spans="1:20" ht="14">
      <c r="A105" s="36">
        <v>58043</v>
      </c>
      <c r="B105" s="81" t="s">
        <v>18</v>
      </c>
      <c r="C105" s="37" t="s">
        <v>24</v>
      </c>
      <c r="D105" s="39">
        <v>19687.5</v>
      </c>
      <c r="E105" s="38">
        <v>5.7999999999999996E-3</v>
      </c>
      <c r="F105" s="38">
        <f>INDEX('PD Term Structure'!$E$17:$N$26,MATCH($J105,'PD Term Structure'!$D$17:$D$26,0),MATCH(F$2,'PD Term Structure'!$E$16:$N$16,0))</f>
        <v>2.8507278481012657E-2</v>
      </c>
      <c r="G105" s="38">
        <f>INDEX('PD Term Structure'!$E$17:$N$26,MATCH($J105,'PD Term Structure'!$D$17:$D$26,0),MATCH(G$2,'PD Term Structure'!$E$16:$N$16,0))</f>
        <v>4.7291677269631509E-2</v>
      </c>
      <c r="H105" s="82">
        <f>VLOOKUP(B105,'LGD parameters'!$C$7:$E$11,2,FALSE)</f>
        <v>0.62956863668283192</v>
      </c>
      <c r="I105" s="82">
        <f>(NORMSDIST(-LN(H105)+(VLOOKUP(B105,LGD_para,3,FALSE)^2/2))/VLOOKUP(B105,LGD_para,3,FALSE)-(VLOOKUP(B105,LGD_para,3,FALSE))-H105*(NORMSDIST(-LN(H105)+(VLOOKUP(B105,LGD_para,3,FALSE)^2/2))/VLOOKUP(B105,LGD_para,3,FALSE)))/LOGNORMDIST(1,LN(H105),(VLOOKUP(B105,LGD_para,3,FALSE)))*'LGD parameters'!$D$11</f>
        <v>0.26714251488777335</v>
      </c>
      <c r="J105" s="40">
        <f>VLOOKUP(E105,'PD Term Structure'!$C$5:$D$14,2,TRUE)</f>
        <v>3</v>
      </c>
      <c r="K105" s="43">
        <f>VLOOKUP(J105,'Master rating scale'!$G$5:$H$14,2,FALSE)</f>
        <v>3</v>
      </c>
      <c r="L105" s="62">
        <f t="shared" si="9"/>
        <v>2.8517508798732414E-2</v>
      </c>
      <c r="N105" s="40">
        <f>VLOOKUP(F105,'PD Term Structure'!$C$5:$D$14,2,TRUE)</f>
        <v>4</v>
      </c>
      <c r="O105" s="43">
        <f>VLOOKUP(N105,'Master rating scale'!$G$5:$H$14,2,FALSE)</f>
        <v>4</v>
      </c>
      <c r="P105" s="62">
        <f t="shared" si="10"/>
        <v>3.8023345064976552E-2</v>
      </c>
      <c r="R105" s="40">
        <f>VLOOKUP(G105,'PD Term Structure'!$C$5:$D$14,2,TRUE)</f>
        <v>4</v>
      </c>
      <c r="S105" s="43">
        <f>VLOOKUP(R105,'Master rating scale'!$G$5:$H$14,2,FALSE)</f>
        <v>4</v>
      </c>
      <c r="T105" s="62">
        <f t="shared" si="11"/>
        <v>3.8023345064976552E-2</v>
      </c>
    </row>
    <row r="106" spans="1:20" ht="14">
      <c r="A106" s="36">
        <v>301288</v>
      </c>
      <c r="B106" s="81" t="s">
        <v>18</v>
      </c>
      <c r="C106" s="37" t="s">
        <v>24</v>
      </c>
      <c r="D106" s="39">
        <v>22925</v>
      </c>
      <c r="E106" s="38">
        <v>2.3599999999999999E-2</v>
      </c>
      <c r="F106" s="38">
        <f>INDEX('PD Term Structure'!$E$17:$N$26,MATCH($J106,'PD Term Structure'!$D$17:$D$26,0),MATCH(F$2,'PD Term Structure'!$E$16:$N$16,0))</f>
        <v>5.2108354430379748E-2</v>
      </c>
      <c r="G106" s="38">
        <f>INDEX('PD Term Structure'!$E$17:$N$26,MATCH($J106,'PD Term Structure'!$D$17:$D$26,0),MATCH(G$2,'PD Term Structure'!$E$16:$N$16,0))</f>
        <v>6.3676339047537805E-2</v>
      </c>
      <c r="H106" s="82">
        <f>VLOOKUP(B106,'LGD parameters'!$C$7:$E$11,2,FALSE)</f>
        <v>0.62956863668283192</v>
      </c>
      <c r="I106" s="82">
        <f>(NORMSDIST(-LN(H106)+(VLOOKUP(B106,LGD_para,3,FALSE)^2/2))/VLOOKUP(B106,LGD_para,3,FALSE)-(VLOOKUP(B106,LGD_para,3,FALSE))-H106*(NORMSDIST(-LN(H106)+(VLOOKUP(B106,LGD_para,3,FALSE)^2/2))/VLOOKUP(B106,LGD_para,3,FALSE)))/LOGNORMDIST(1,LN(H106),(VLOOKUP(B106,LGD_para,3,FALSE)))*'LGD parameters'!$D$11</f>
        <v>0.26714251488777335</v>
      </c>
      <c r="J106" s="40">
        <f>VLOOKUP(E106,'PD Term Structure'!$C$5:$D$14,2,TRUE)</f>
        <v>4</v>
      </c>
      <c r="K106" s="43">
        <f>VLOOKUP(J106,'Master rating scale'!$G$5:$H$14,2,FALSE)</f>
        <v>4</v>
      </c>
      <c r="L106" s="62">
        <f t="shared" si="9"/>
        <v>4.4276072920106026E-2</v>
      </c>
      <c r="N106" s="40">
        <f>VLOOKUP(F106,'PD Term Structure'!$C$5:$D$14,2,TRUE)</f>
        <v>4</v>
      </c>
      <c r="O106" s="43">
        <f>VLOOKUP(N106,'Master rating scale'!$G$5:$H$14,2,FALSE)</f>
        <v>4</v>
      </c>
      <c r="P106" s="62">
        <f t="shared" si="10"/>
        <v>4.4276072920106026E-2</v>
      </c>
      <c r="R106" s="40">
        <f>VLOOKUP(G106,'PD Term Structure'!$C$5:$D$14,2,TRUE)</f>
        <v>5</v>
      </c>
      <c r="S106" s="43">
        <f>VLOOKUP(R106,'Master rating scale'!$G$5:$H$14,2,FALSE)</f>
        <v>5</v>
      </c>
      <c r="T106" s="62">
        <f t="shared" si="11"/>
        <v>5.534509115013253E-2</v>
      </c>
    </row>
    <row r="107" spans="1:20" ht="14">
      <c r="A107" s="36">
        <v>166585</v>
      </c>
      <c r="B107" s="81" t="s">
        <v>18</v>
      </c>
      <c r="C107" s="37" t="s">
        <v>24</v>
      </c>
      <c r="D107" s="39">
        <v>25500</v>
      </c>
      <c r="E107" s="38">
        <v>8.6475639999999999E-3</v>
      </c>
      <c r="F107" s="38">
        <f>INDEX('PD Term Structure'!$E$17:$N$26,MATCH($J107,'PD Term Structure'!$D$17:$D$26,0),MATCH(F$2,'PD Term Structure'!$E$16:$N$16,0))</f>
        <v>2.8507278481012657E-2</v>
      </c>
      <c r="G107" s="38">
        <f>INDEX('PD Term Structure'!$E$17:$N$26,MATCH($J107,'PD Term Structure'!$D$17:$D$26,0),MATCH(G$2,'PD Term Structure'!$E$16:$N$16,0))</f>
        <v>4.7291677269631509E-2</v>
      </c>
      <c r="H107" s="82">
        <f>VLOOKUP(B107,'LGD parameters'!$C$7:$E$11,2,FALSE)</f>
        <v>0.62956863668283192</v>
      </c>
      <c r="I107" s="82">
        <f>(NORMSDIST(-LN(H107)+(VLOOKUP(B107,LGD_para,3,FALSE)^2/2))/VLOOKUP(B107,LGD_para,3,FALSE)-(VLOOKUP(B107,LGD_para,3,FALSE))-H107*(NORMSDIST(-LN(H107)+(VLOOKUP(B107,LGD_para,3,FALSE)^2/2))/VLOOKUP(B107,LGD_para,3,FALSE)))/LOGNORMDIST(1,LN(H107),(VLOOKUP(B107,LGD_para,3,FALSE)))*'LGD parameters'!$D$11</f>
        <v>0.26714251488777335</v>
      </c>
      <c r="J107" s="40">
        <f>VLOOKUP(E107,'PD Term Structure'!$C$5:$D$14,2,TRUE)</f>
        <v>3</v>
      </c>
      <c r="K107" s="43">
        <f>VLOOKUP(J107,'Master rating scale'!$G$5:$H$14,2,FALSE)</f>
        <v>3</v>
      </c>
      <c r="L107" s="62">
        <f t="shared" si="9"/>
        <v>3.6936963777405789E-2</v>
      </c>
      <c r="N107" s="40">
        <f>VLOOKUP(F107,'PD Term Structure'!$C$5:$D$14,2,TRUE)</f>
        <v>4</v>
      </c>
      <c r="O107" s="43">
        <f>VLOOKUP(N107,'Master rating scale'!$G$5:$H$14,2,FALSE)</f>
        <v>4</v>
      </c>
      <c r="P107" s="62">
        <f t="shared" si="10"/>
        <v>4.9249285036541052E-2</v>
      </c>
      <c r="R107" s="40">
        <f>VLOOKUP(G107,'PD Term Structure'!$C$5:$D$14,2,TRUE)</f>
        <v>4</v>
      </c>
      <c r="S107" s="43">
        <f>VLOOKUP(R107,'Master rating scale'!$G$5:$H$14,2,FALSE)</f>
        <v>4</v>
      </c>
      <c r="T107" s="62">
        <f t="shared" si="11"/>
        <v>4.9249285036541052E-2</v>
      </c>
    </row>
    <row r="108" spans="1:20" ht="14">
      <c r="A108" s="36">
        <v>176453</v>
      </c>
      <c r="B108" s="81" t="s">
        <v>18</v>
      </c>
      <c r="C108" s="37" t="s">
        <v>24</v>
      </c>
      <c r="D108" s="39">
        <v>30000</v>
      </c>
      <c r="E108" s="38">
        <v>3.5000000000000001E-3</v>
      </c>
      <c r="F108" s="38">
        <f>INDEX('PD Term Structure'!$E$17:$N$26,MATCH($J108,'PD Term Structure'!$D$17:$D$26,0),MATCH(F$2,'PD Term Structure'!$E$16:$N$16,0))</f>
        <v>2.4624108527131781E-2</v>
      </c>
      <c r="G108" s="38">
        <f>INDEX('PD Term Structure'!$E$17:$N$26,MATCH($J108,'PD Term Structure'!$D$17:$D$26,0),MATCH(G$2,'PD Term Structure'!$E$16:$N$16,0))</f>
        <v>4.0379208287343982E-2</v>
      </c>
      <c r="H108" s="82">
        <f>VLOOKUP(B108,'LGD parameters'!$C$7:$E$11,2,FALSE)</f>
        <v>0.62956863668283192</v>
      </c>
      <c r="I108" s="82">
        <f>(NORMSDIST(-LN(H108)+(VLOOKUP(B108,LGD_para,3,FALSE)^2/2))/VLOOKUP(B108,LGD_para,3,FALSE)-(VLOOKUP(B108,LGD_para,3,FALSE))-H108*(NORMSDIST(-LN(H108)+(VLOOKUP(B108,LGD_para,3,FALSE)^2/2))/VLOOKUP(B108,LGD_para,3,FALSE)))/LOGNORMDIST(1,LN(H108),(VLOOKUP(B108,LGD_para,3,FALSE)))*'LGD parameters'!$D$11</f>
        <v>0.26714251488777335</v>
      </c>
      <c r="J108" s="40">
        <f>VLOOKUP(E108,'PD Term Structure'!$C$5:$D$14,2,TRUE)</f>
        <v>2</v>
      </c>
      <c r="K108" s="43">
        <f>VLOOKUP(J108,'Master rating scale'!$G$5:$H$14,2,FALSE)</f>
        <v>2</v>
      </c>
      <c r="L108" s="62">
        <f t="shared" si="9"/>
        <v>2.8970167668553561E-2</v>
      </c>
      <c r="N108" s="40">
        <f>VLOOKUP(F108,'PD Term Structure'!$C$5:$D$14,2,TRUE)</f>
        <v>4</v>
      </c>
      <c r="O108" s="43">
        <f>VLOOKUP(N108,'Master rating scale'!$G$5:$H$14,2,FALSE)</f>
        <v>4</v>
      </c>
      <c r="P108" s="62">
        <f t="shared" si="10"/>
        <v>5.7940335337107123E-2</v>
      </c>
      <c r="R108" s="40">
        <f>VLOOKUP(G108,'PD Term Structure'!$C$5:$D$14,2,TRUE)</f>
        <v>4</v>
      </c>
      <c r="S108" s="43">
        <f>VLOOKUP(R108,'Master rating scale'!$G$5:$H$14,2,FALSE)</f>
        <v>4</v>
      </c>
      <c r="T108" s="62">
        <f t="shared" si="11"/>
        <v>5.7940335337107123E-2</v>
      </c>
    </row>
    <row r="109" spans="1:20" ht="14">
      <c r="A109" s="36">
        <v>309383</v>
      </c>
      <c r="B109" s="81" t="s">
        <v>18</v>
      </c>
      <c r="C109" s="37" t="s">
        <v>26</v>
      </c>
      <c r="D109" s="39">
        <v>24552</v>
      </c>
      <c r="E109" s="38">
        <v>8.6475639999999999E-3</v>
      </c>
      <c r="F109" s="38">
        <f>INDEX('PD Term Structure'!$E$17:$N$26,MATCH($J109,'PD Term Structure'!$D$17:$D$26,0),MATCH(F$2,'PD Term Structure'!$E$16:$N$16,0))</f>
        <v>2.8507278481012657E-2</v>
      </c>
      <c r="G109" s="38">
        <f>INDEX('PD Term Structure'!$E$17:$N$26,MATCH($J109,'PD Term Structure'!$D$17:$D$26,0),MATCH(G$2,'PD Term Structure'!$E$16:$N$16,0))</f>
        <v>4.7291677269631509E-2</v>
      </c>
      <c r="H109" s="82">
        <f>VLOOKUP(B109,'LGD parameters'!$C$7:$E$11,2,FALSE)</f>
        <v>0.62956863668283192</v>
      </c>
      <c r="I109" s="82">
        <f>(NORMSDIST(-LN(H109)+(VLOOKUP(B109,LGD_para,3,FALSE)^2/2))/VLOOKUP(B109,LGD_para,3,FALSE)-(VLOOKUP(B109,LGD_para,3,FALSE))-H109*(NORMSDIST(-LN(H109)+(VLOOKUP(B109,LGD_para,3,FALSE)^2/2))/VLOOKUP(B109,LGD_para,3,FALSE)))/LOGNORMDIST(1,LN(H109),(VLOOKUP(B109,LGD_para,3,FALSE)))*'LGD parameters'!$D$11</f>
        <v>0.26714251488777335</v>
      </c>
      <c r="J109" s="40">
        <f>VLOOKUP(E109,'PD Term Structure'!$C$5:$D$14,2,TRUE)</f>
        <v>3</v>
      </c>
      <c r="K109" s="43">
        <f>VLOOKUP(J109,'Master rating scale'!$G$5:$H$14,2,FALSE)</f>
        <v>3</v>
      </c>
      <c r="L109" s="62">
        <f t="shared" si="9"/>
        <v>3.5563777829916349E-2</v>
      </c>
      <c r="N109" s="40">
        <f>VLOOKUP(F109,'PD Term Structure'!$C$5:$D$14,2,TRUE)</f>
        <v>4</v>
      </c>
      <c r="O109" s="43">
        <f>VLOOKUP(N109,'Master rating scale'!$G$5:$H$14,2,FALSE)</f>
        <v>4</v>
      </c>
      <c r="P109" s="62">
        <f t="shared" si="10"/>
        <v>4.7418370439888467E-2</v>
      </c>
      <c r="R109" s="40">
        <f>VLOOKUP(G109,'PD Term Structure'!$C$5:$D$14,2,TRUE)</f>
        <v>4</v>
      </c>
      <c r="S109" s="43">
        <f>VLOOKUP(R109,'Master rating scale'!$G$5:$H$14,2,FALSE)</f>
        <v>4</v>
      </c>
      <c r="T109" s="62">
        <f t="shared" si="11"/>
        <v>4.7418370439888467E-2</v>
      </c>
    </row>
    <row r="110" spans="1:20" ht="14">
      <c r="A110" s="36">
        <v>231284</v>
      </c>
      <c r="B110" s="81" t="s">
        <v>18</v>
      </c>
      <c r="C110" s="37" t="s">
        <v>26</v>
      </c>
      <c r="D110" s="39">
        <v>25000</v>
      </c>
      <c r="E110" s="38">
        <v>2.3599999999999999E-2</v>
      </c>
      <c r="F110" s="38">
        <f>INDEX('PD Term Structure'!$E$17:$N$26,MATCH($J110,'PD Term Structure'!$D$17:$D$26,0),MATCH(F$2,'PD Term Structure'!$E$16:$N$16,0))</f>
        <v>5.2108354430379748E-2</v>
      </c>
      <c r="G110" s="38">
        <f>INDEX('PD Term Structure'!$E$17:$N$26,MATCH($J110,'PD Term Structure'!$D$17:$D$26,0),MATCH(G$2,'PD Term Structure'!$E$16:$N$16,0))</f>
        <v>6.3676339047537805E-2</v>
      </c>
      <c r="H110" s="82">
        <f>VLOOKUP(B110,'LGD parameters'!$C$7:$E$11,2,FALSE)</f>
        <v>0.62956863668283192</v>
      </c>
      <c r="I110" s="82">
        <f>(NORMSDIST(-LN(H110)+(VLOOKUP(B110,LGD_para,3,FALSE)^2/2))/VLOOKUP(B110,LGD_para,3,FALSE)-(VLOOKUP(B110,LGD_para,3,FALSE))-H110*(NORMSDIST(-LN(H110)+(VLOOKUP(B110,LGD_para,3,FALSE)^2/2))/VLOOKUP(B110,LGD_para,3,FALSE)))/LOGNORMDIST(1,LN(H110),(VLOOKUP(B110,LGD_para,3,FALSE)))*'LGD parameters'!$D$11</f>
        <v>0.26714251488777335</v>
      </c>
      <c r="J110" s="40">
        <f>VLOOKUP(E110,'PD Term Structure'!$C$5:$D$14,2,TRUE)</f>
        <v>4</v>
      </c>
      <c r="K110" s="43">
        <f>VLOOKUP(J110,'Master rating scale'!$G$5:$H$14,2,FALSE)</f>
        <v>4</v>
      </c>
      <c r="L110" s="62">
        <f t="shared" si="9"/>
        <v>4.8283612780922601E-2</v>
      </c>
      <c r="N110" s="40">
        <f>VLOOKUP(F110,'PD Term Structure'!$C$5:$D$14,2,TRUE)</f>
        <v>4</v>
      </c>
      <c r="O110" s="43">
        <f>VLOOKUP(N110,'Master rating scale'!$G$5:$H$14,2,FALSE)</f>
        <v>4</v>
      </c>
      <c r="P110" s="62">
        <f t="shared" si="10"/>
        <v>4.8283612780922601E-2</v>
      </c>
      <c r="R110" s="40">
        <f>VLOOKUP(G110,'PD Term Structure'!$C$5:$D$14,2,TRUE)</f>
        <v>5</v>
      </c>
      <c r="S110" s="43">
        <f>VLOOKUP(R110,'Master rating scale'!$G$5:$H$14,2,FALSE)</f>
        <v>5</v>
      </c>
      <c r="T110" s="62">
        <f t="shared" si="11"/>
        <v>6.0354515976153253E-2</v>
      </c>
    </row>
    <row r="111" spans="1:20" ht="14">
      <c r="A111" s="36">
        <v>455458</v>
      </c>
      <c r="B111" s="81" t="s">
        <v>18</v>
      </c>
      <c r="C111" s="37" t="s">
        <v>26</v>
      </c>
      <c r="D111" s="39">
        <v>25000</v>
      </c>
      <c r="E111" s="38">
        <v>8.6475639999999999E-3</v>
      </c>
      <c r="F111" s="38">
        <f>INDEX('PD Term Structure'!$E$17:$N$26,MATCH($J111,'PD Term Structure'!$D$17:$D$26,0),MATCH(F$2,'PD Term Structure'!$E$16:$N$16,0))</f>
        <v>2.8507278481012657E-2</v>
      </c>
      <c r="G111" s="38">
        <f>INDEX('PD Term Structure'!$E$17:$N$26,MATCH($J111,'PD Term Structure'!$D$17:$D$26,0),MATCH(G$2,'PD Term Structure'!$E$16:$N$16,0))</f>
        <v>4.7291677269631509E-2</v>
      </c>
      <c r="H111" s="82">
        <f>VLOOKUP(B111,'LGD parameters'!$C$7:$E$11,2,FALSE)</f>
        <v>0.62956863668283192</v>
      </c>
      <c r="I111" s="82">
        <f>(NORMSDIST(-LN(H111)+(VLOOKUP(B111,LGD_para,3,FALSE)^2/2))/VLOOKUP(B111,LGD_para,3,FALSE)-(VLOOKUP(B111,LGD_para,3,FALSE))-H111*(NORMSDIST(-LN(H111)+(VLOOKUP(B111,LGD_para,3,FALSE)^2/2))/VLOOKUP(B111,LGD_para,3,FALSE)))/LOGNORMDIST(1,LN(H111),(VLOOKUP(B111,LGD_para,3,FALSE)))*'LGD parameters'!$D$11</f>
        <v>0.26714251488777335</v>
      </c>
      <c r="J111" s="40">
        <f>VLOOKUP(E111,'PD Term Structure'!$C$5:$D$14,2,TRUE)</f>
        <v>3</v>
      </c>
      <c r="K111" s="43">
        <f>VLOOKUP(J111,'Master rating scale'!$G$5:$H$14,2,FALSE)</f>
        <v>3</v>
      </c>
      <c r="L111" s="62">
        <f t="shared" si="9"/>
        <v>3.6212709585691949E-2</v>
      </c>
      <c r="N111" s="40">
        <f>VLOOKUP(F111,'PD Term Structure'!$C$5:$D$14,2,TRUE)</f>
        <v>4</v>
      </c>
      <c r="O111" s="43">
        <f>VLOOKUP(N111,'Master rating scale'!$G$5:$H$14,2,FALSE)</f>
        <v>4</v>
      </c>
      <c r="P111" s="62">
        <f t="shared" si="10"/>
        <v>4.8283612780922601E-2</v>
      </c>
      <c r="R111" s="40">
        <f>VLOOKUP(G111,'PD Term Structure'!$C$5:$D$14,2,TRUE)</f>
        <v>4</v>
      </c>
      <c r="S111" s="43">
        <f>VLOOKUP(R111,'Master rating scale'!$G$5:$H$14,2,FALSE)</f>
        <v>4</v>
      </c>
      <c r="T111" s="62">
        <f t="shared" si="11"/>
        <v>4.8283612780922601E-2</v>
      </c>
    </row>
    <row r="112" spans="1:20" ht="14">
      <c r="A112" s="36">
        <v>371529</v>
      </c>
      <c r="B112" s="81" t="s">
        <v>18</v>
      </c>
      <c r="C112" s="37" t="s">
        <v>26</v>
      </c>
      <c r="D112" s="39">
        <v>28180</v>
      </c>
      <c r="E112" s="38">
        <v>0.115980429</v>
      </c>
      <c r="F112" s="38">
        <f>INDEX('PD Term Structure'!$E$17:$N$26,MATCH($J112,'PD Term Structure'!$D$17:$D$26,0),MATCH(F$2,'PD Term Structure'!$E$16:$N$16,0))</f>
        <v>8.8153521126760559E-2</v>
      </c>
      <c r="G112" s="38">
        <f>INDEX('PD Term Structure'!$E$17:$N$26,MATCH($J112,'PD Term Structure'!$D$17:$D$26,0),MATCH(G$2,'PD Term Structure'!$E$16:$N$16,0))</f>
        <v>8.4807337383134257E-2</v>
      </c>
      <c r="H112" s="82">
        <f>VLOOKUP(B112,'LGD parameters'!$C$7:$E$11,2,FALSE)</f>
        <v>0.62956863668283192</v>
      </c>
      <c r="I112" s="82">
        <f>(NORMSDIST(-LN(H112)+(VLOOKUP(B112,LGD_para,3,FALSE)^2/2))/VLOOKUP(B112,LGD_para,3,FALSE)-(VLOOKUP(B112,LGD_para,3,FALSE))-H112*(NORMSDIST(-LN(H112)+(VLOOKUP(B112,LGD_para,3,FALSE)^2/2))/VLOOKUP(B112,LGD_para,3,FALSE)))/LOGNORMDIST(1,LN(H112),(VLOOKUP(B112,LGD_para,3,FALSE)))*'LGD parameters'!$D$11</f>
        <v>0.26714251488777335</v>
      </c>
      <c r="J112" s="40">
        <f>VLOOKUP(E112,'PD Term Structure'!$C$5:$D$14,2,TRUE)</f>
        <v>6</v>
      </c>
      <c r="K112" s="43">
        <f>VLOOKUP(J112,'Master rating scale'!$G$5:$H$14,2,FALSE)</f>
        <v>6</v>
      </c>
      <c r="L112" s="62">
        <f t="shared" si="9"/>
        <v>8.1637932489983939E-2</v>
      </c>
      <c r="N112" s="40">
        <f>VLOOKUP(F112,'PD Term Structure'!$C$5:$D$14,2,TRUE)</f>
        <v>6</v>
      </c>
      <c r="O112" s="43">
        <f>VLOOKUP(N112,'Master rating scale'!$G$5:$H$14,2,FALSE)</f>
        <v>6</v>
      </c>
      <c r="P112" s="62">
        <f t="shared" si="10"/>
        <v>8.1637932489983939E-2</v>
      </c>
      <c r="R112" s="40">
        <f>VLOOKUP(G112,'PD Term Structure'!$C$5:$D$14,2,TRUE)</f>
        <v>6</v>
      </c>
      <c r="S112" s="43">
        <f>VLOOKUP(R112,'Master rating scale'!$G$5:$H$14,2,FALSE)</f>
        <v>6</v>
      </c>
      <c r="T112" s="62">
        <f t="shared" si="11"/>
        <v>8.1637932489983939E-2</v>
      </c>
    </row>
    <row r="113" spans="1:20" ht="14">
      <c r="A113" s="36">
        <v>8665</v>
      </c>
      <c r="B113" s="81" t="s">
        <v>18</v>
      </c>
      <c r="C113" s="37" t="s">
        <v>25</v>
      </c>
      <c r="D113" s="39">
        <v>11500</v>
      </c>
      <c r="E113" s="38">
        <v>2.0440630000000001E-2</v>
      </c>
      <c r="F113" s="38">
        <f>INDEX('PD Term Structure'!$E$17:$N$26,MATCH($J113,'PD Term Structure'!$D$17:$D$26,0),MATCH(F$2,'PD Term Structure'!$E$16:$N$16,0))</f>
        <v>5.2108354430379748E-2</v>
      </c>
      <c r="G113" s="38">
        <f>INDEX('PD Term Structure'!$E$17:$N$26,MATCH($J113,'PD Term Structure'!$D$17:$D$26,0),MATCH(G$2,'PD Term Structure'!$E$16:$N$16,0))</f>
        <v>6.3676339047537805E-2</v>
      </c>
      <c r="H113" s="82">
        <f>VLOOKUP(B113,'LGD parameters'!$C$7:$E$11,2,FALSE)</f>
        <v>0.62956863668283192</v>
      </c>
      <c r="I113" s="82">
        <f>(NORMSDIST(-LN(H113)+(VLOOKUP(B113,LGD_para,3,FALSE)^2/2))/VLOOKUP(B113,LGD_para,3,FALSE)-(VLOOKUP(B113,LGD_para,3,FALSE))-H113*(NORMSDIST(-LN(H113)+(VLOOKUP(B113,LGD_para,3,FALSE)^2/2))/VLOOKUP(B113,LGD_para,3,FALSE)))/LOGNORMDIST(1,LN(H113),(VLOOKUP(B113,LGD_para,3,FALSE)))*'LGD parameters'!$D$11</f>
        <v>0.26714251488777335</v>
      </c>
      <c r="J113" s="40">
        <f>VLOOKUP(E113,'PD Term Structure'!$C$5:$D$14,2,TRUE)</f>
        <v>4</v>
      </c>
      <c r="K113" s="43">
        <f>VLOOKUP(J113,'Master rating scale'!$G$5:$H$14,2,FALSE)</f>
        <v>4</v>
      </c>
      <c r="L113" s="62">
        <f t="shared" si="9"/>
        <v>2.2210461879224399E-2</v>
      </c>
      <c r="N113" s="40">
        <f>VLOOKUP(F113,'PD Term Structure'!$C$5:$D$14,2,TRUE)</f>
        <v>4</v>
      </c>
      <c r="O113" s="43">
        <f>VLOOKUP(N113,'Master rating scale'!$G$5:$H$14,2,FALSE)</f>
        <v>4</v>
      </c>
      <c r="P113" s="62">
        <f t="shared" si="10"/>
        <v>2.2210461879224399E-2</v>
      </c>
      <c r="R113" s="40">
        <f>VLOOKUP(G113,'PD Term Structure'!$C$5:$D$14,2,TRUE)</f>
        <v>5</v>
      </c>
      <c r="S113" s="43">
        <f>VLOOKUP(R113,'Master rating scale'!$G$5:$H$14,2,FALSE)</f>
        <v>5</v>
      </c>
      <c r="T113" s="62">
        <f t="shared" si="11"/>
        <v>2.77630773490305E-2</v>
      </c>
    </row>
    <row r="114" spans="1:20" ht="14">
      <c r="A114" s="36">
        <v>301957</v>
      </c>
      <c r="B114" s="81" t="s">
        <v>18</v>
      </c>
      <c r="C114" s="37" t="s">
        <v>25</v>
      </c>
      <c r="D114" s="39">
        <v>22407</v>
      </c>
      <c r="E114" s="38">
        <v>8.6475639999999999E-3</v>
      </c>
      <c r="F114" s="38">
        <f>INDEX('PD Term Structure'!$E$17:$N$26,MATCH($J114,'PD Term Structure'!$D$17:$D$26,0),MATCH(F$2,'PD Term Structure'!$E$16:$N$16,0))</f>
        <v>2.8507278481012657E-2</v>
      </c>
      <c r="G114" s="38">
        <f>INDEX('PD Term Structure'!$E$17:$N$26,MATCH($J114,'PD Term Structure'!$D$17:$D$26,0),MATCH(G$2,'PD Term Structure'!$E$16:$N$16,0))</f>
        <v>4.7291677269631509E-2</v>
      </c>
      <c r="H114" s="82">
        <f>VLOOKUP(B114,'LGD parameters'!$C$7:$E$11,2,FALSE)</f>
        <v>0.62956863668283192</v>
      </c>
      <c r="I114" s="82">
        <f>(NORMSDIST(-LN(H114)+(VLOOKUP(B114,LGD_para,3,FALSE)^2/2))/VLOOKUP(B114,LGD_para,3,FALSE)-(VLOOKUP(B114,LGD_para,3,FALSE))-H114*(NORMSDIST(-LN(H114)+(VLOOKUP(B114,LGD_para,3,FALSE)^2/2))/VLOOKUP(B114,LGD_para,3,FALSE)))/LOGNORMDIST(1,LN(H114),(VLOOKUP(B114,LGD_para,3,FALSE)))*'LGD parameters'!$D$11</f>
        <v>0.26714251488777335</v>
      </c>
      <c r="J114" s="40">
        <f>VLOOKUP(E114,'PD Term Structure'!$C$5:$D$14,2,TRUE)</f>
        <v>3</v>
      </c>
      <c r="K114" s="43">
        <f>VLOOKUP(J114,'Master rating scale'!$G$5:$H$14,2,FALSE)</f>
        <v>3</v>
      </c>
      <c r="L114" s="62">
        <f t="shared" si="9"/>
        <v>3.2456727347463986E-2</v>
      </c>
      <c r="N114" s="40">
        <f>VLOOKUP(F114,'PD Term Structure'!$C$5:$D$14,2,TRUE)</f>
        <v>4</v>
      </c>
      <c r="O114" s="43">
        <f>VLOOKUP(N114,'Master rating scale'!$G$5:$H$14,2,FALSE)</f>
        <v>4</v>
      </c>
      <c r="P114" s="62">
        <f t="shared" si="10"/>
        <v>4.3275636463285312E-2</v>
      </c>
      <c r="R114" s="40">
        <f>VLOOKUP(G114,'PD Term Structure'!$C$5:$D$14,2,TRUE)</f>
        <v>4</v>
      </c>
      <c r="S114" s="43">
        <f>VLOOKUP(R114,'Master rating scale'!$G$5:$H$14,2,FALSE)</f>
        <v>4</v>
      </c>
      <c r="T114" s="62">
        <f t="shared" si="11"/>
        <v>4.3275636463285312E-2</v>
      </c>
    </row>
    <row r="115" spans="1:20" ht="14">
      <c r="A115" s="36">
        <v>200677</v>
      </c>
      <c r="B115" s="81" t="s">
        <v>18</v>
      </c>
      <c r="C115" s="37" t="s">
        <v>25</v>
      </c>
      <c r="D115" s="39">
        <v>25750</v>
      </c>
      <c r="E115" s="38">
        <v>2.0440630000000001E-2</v>
      </c>
      <c r="F115" s="38">
        <f>INDEX('PD Term Structure'!$E$17:$N$26,MATCH($J115,'PD Term Structure'!$D$17:$D$26,0),MATCH(F$2,'PD Term Structure'!$E$16:$N$16,0))</f>
        <v>5.2108354430379748E-2</v>
      </c>
      <c r="G115" s="38">
        <f>INDEX('PD Term Structure'!$E$17:$N$26,MATCH($J115,'PD Term Structure'!$D$17:$D$26,0),MATCH(G$2,'PD Term Structure'!$E$16:$N$16,0))</f>
        <v>6.3676339047537805E-2</v>
      </c>
      <c r="H115" s="82">
        <f>VLOOKUP(B115,'LGD parameters'!$C$7:$E$11,2,FALSE)</f>
        <v>0.62956863668283192</v>
      </c>
      <c r="I115" s="82">
        <f>(NORMSDIST(-LN(H115)+(VLOOKUP(B115,LGD_para,3,FALSE)^2/2))/VLOOKUP(B115,LGD_para,3,FALSE)-(VLOOKUP(B115,LGD_para,3,FALSE))-H115*(NORMSDIST(-LN(H115)+(VLOOKUP(B115,LGD_para,3,FALSE)^2/2))/VLOOKUP(B115,LGD_para,3,FALSE)))/LOGNORMDIST(1,LN(H115),(VLOOKUP(B115,LGD_para,3,FALSE)))*'LGD parameters'!$D$11</f>
        <v>0.26714251488777335</v>
      </c>
      <c r="J115" s="40">
        <f>VLOOKUP(E115,'PD Term Structure'!$C$5:$D$14,2,TRUE)</f>
        <v>4</v>
      </c>
      <c r="K115" s="43">
        <f>VLOOKUP(J115,'Master rating scale'!$G$5:$H$14,2,FALSE)</f>
        <v>4</v>
      </c>
      <c r="L115" s="62">
        <f t="shared" si="9"/>
        <v>4.9732121164350281E-2</v>
      </c>
      <c r="N115" s="40">
        <f>VLOOKUP(F115,'PD Term Structure'!$C$5:$D$14,2,TRUE)</f>
        <v>4</v>
      </c>
      <c r="O115" s="43">
        <f>VLOOKUP(N115,'Master rating scale'!$G$5:$H$14,2,FALSE)</f>
        <v>4</v>
      </c>
      <c r="P115" s="62">
        <f t="shared" si="10"/>
        <v>4.9732121164350281E-2</v>
      </c>
      <c r="R115" s="40">
        <f>VLOOKUP(G115,'PD Term Structure'!$C$5:$D$14,2,TRUE)</f>
        <v>5</v>
      </c>
      <c r="S115" s="43">
        <f>VLOOKUP(R115,'Master rating scale'!$G$5:$H$14,2,FALSE)</f>
        <v>5</v>
      </c>
      <c r="T115" s="62">
        <f t="shared" si="11"/>
        <v>6.2165151455437849E-2</v>
      </c>
    </row>
    <row r="116" spans="1:20" ht="14">
      <c r="A116" s="36">
        <v>330832</v>
      </c>
      <c r="B116" s="81" t="s">
        <v>18</v>
      </c>
      <c r="C116" s="37" t="s">
        <v>28</v>
      </c>
      <c r="D116" s="39">
        <v>12244</v>
      </c>
      <c r="E116" s="38">
        <v>2.4570778000000001E-2</v>
      </c>
      <c r="F116" s="38">
        <f>INDEX('PD Term Structure'!$E$17:$N$26,MATCH($J116,'PD Term Structure'!$D$17:$D$26,0),MATCH(F$2,'PD Term Structure'!$E$16:$N$16,0))</f>
        <v>5.2108354430379748E-2</v>
      </c>
      <c r="G116" s="38">
        <f>INDEX('PD Term Structure'!$E$17:$N$26,MATCH($J116,'PD Term Structure'!$D$17:$D$26,0),MATCH(G$2,'PD Term Structure'!$E$16:$N$16,0))</f>
        <v>6.3676339047537805E-2</v>
      </c>
      <c r="H116" s="82">
        <f>VLOOKUP(B116,'LGD parameters'!$C$7:$E$11,2,FALSE)</f>
        <v>0.62956863668283192</v>
      </c>
      <c r="I116" s="82">
        <f>(NORMSDIST(-LN(H116)+(VLOOKUP(B116,LGD_para,3,FALSE)^2/2))/VLOOKUP(B116,LGD_para,3,FALSE)-(VLOOKUP(B116,LGD_para,3,FALSE))-H116*(NORMSDIST(-LN(H116)+(VLOOKUP(B116,LGD_para,3,FALSE)^2/2))/VLOOKUP(B116,LGD_para,3,FALSE)))/LOGNORMDIST(1,LN(H116),(VLOOKUP(B116,LGD_para,3,FALSE)))*'LGD parameters'!$D$11</f>
        <v>0.26714251488777335</v>
      </c>
      <c r="J116" s="40">
        <f>VLOOKUP(E116,'PD Term Structure'!$C$5:$D$14,2,TRUE)</f>
        <v>4</v>
      </c>
      <c r="K116" s="43">
        <f>VLOOKUP(J116,'Master rating scale'!$G$5:$H$14,2,FALSE)</f>
        <v>4</v>
      </c>
      <c r="L116" s="62">
        <f t="shared" si="9"/>
        <v>2.3647382195584654E-2</v>
      </c>
      <c r="N116" s="40">
        <f>VLOOKUP(F116,'PD Term Structure'!$C$5:$D$14,2,TRUE)</f>
        <v>4</v>
      </c>
      <c r="O116" s="43">
        <f>VLOOKUP(N116,'Master rating scale'!$G$5:$H$14,2,FALSE)</f>
        <v>4</v>
      </c>
      <c r="P116" s="62">
        <f t="shared" si="10"/>
        <v>2.3647382195584654E-2</v>
      </c>
      <c r="R116" s="40">
        <f>VLOOKUP(G116,'PD Term Structure'!$C$5:$D$14,2,TRUE)</f>
        <v>5</v>
      </c>
      <c r="S116" s="43">
        <f>VLOOKUP(R116,'Master rating scale'!$G$5:$H$14,2,FALSE)</f>
        <v>5</v>
      </c>
      <c r="T116" s="62">
        <f t="shared" si="11"/>
        <v>2.9559227744480818E-2</v>
      </c>
    </row>
    <row r="117" spans="1:20" ht="14">
      <c r="A117" s="36">
        <v>165710</v>
      </c>
      <c r="B117" s="81" t="s">
        <v>18</v>
      </c>
      <c r="C117" s="37" t="s">
        <v>28</v>
      </c>
      <c r="D117" s="39">
        <v>16674.501</v>
      </c>
      <c r="E117" s="38">
        <v>2.4570778000000001E-2</v>
      </c>
      <c r="F117" s="38">
        <f>INDEX('PD Term Structure'!$E$17:$N$26,MATCH($J117,'PD Term Structure'!$D$17:$D$26,0),MATCH(F$2,'PD Term Structure'!$E$16:$N$16,0))</f>
        <v>5.2108354430379748E-2</v>
      </c>
      <c r="G117" s="38">
        <f>INDEX('PD Term Structure'!$E$17:$N$26,MATCH($J117,'PD Term Structure'!$D$17:$D$26,0),MATCH(G$2,'PD Term Structure'!$E$16:$N$16,0))</f>
        <v>6.3676339047537805E-2</v>
      </c>
      <c r="H117" s="82">
        <f>VLOOKUP(B117,'LGD parameters'!$C$7:$E$11,2,FALSE)</f>
        <v>0.62956863668283192</v>
      </c>
      <c r="I117" s="82">
        <f>(NORMSDIST(-LN(H117)+(VLOOKUP(B117,LGD_para,3,FALSE)^2/2))/VLOOKUP(B117,LGD_para,3,FALSE)-(VLOOKUP(B117,LGD_para,3,FALSE))-H117*(NORMSDIST(-LN(H117)+(VLOOKUP(B117,LGD_para,3,FALSE)^2/2))/VLOOKUP(B117,LGD_para,3,FALSE)))/LOGNORMDIST(1,LN(H117),(VLOOKUP(B117,LGD_para,3,FALSE)))*'LGD parameters'!$D$11</f>
        <v>0.26714251488777335</v>
      </c>
      <c r="J117" s="40">
        <f>VLOOKUP(E117,'PD Term Structure'!$C$5:$D$14,2,TRUE)</f>
        <v>4</v>
      </c>
      <c r="K117" s="43">
        <f>VLOOKUP(J117,'Master rating scale'!$G$5:$H$14,2,FALSE)</f>
        <v>4</v>
      </c>
      <c r="L117" s="62">
        <f t="shared" si="9"/>
        <v>3.2204205983964271E-2</v>
      </c>
      <c r="N117" s="40">
        <f>VLOOKUP(F117,'PD Term Structure'!$C$5:$D$14,2,TRUE)</f>
        <v>4</v>
      </c>
      <c r="O117" s="43">
        <f>VLOOKUP(N117,'Master rating scale'!$G$5:$H$14,2,FALSE)</f>
        <v>4</v>
      </c>
      <c r="P117" s="62">
        <f t="shared" si="10"/>
        <v>3.2204205983964271E-2</v>
      </c>
      <c r="R117" s="40">
        <f>VLOOKUP(G117,'PD Term Structure'!$C$5:$D$14,2,TRUE)</f>
        <v>5</v>
      </c>
      <c r="S117" s="43">
        <f>VLOOKUP(R117,'Master rating scale'!$G$5:$H$14,2,FALSE)</f>
        <v>5</v>
      </c>
      <c r="T117" s="62">
        <f t="shared" si="11"/>
        <v>4.0255257479955342E-2</v>
      </c>
    </row>
    <row r="118" spans="1:20" ht="14">
      <c r="D118" s="61">
        <f>SUM(D4:D117)</f>
        <v>2071096.0560000001</v>
      </c>
      <c r="H118" s="63"/>
      <c r="L118" s="61">
        <f>SUM(L4:L117)</f>
        <v>3.6144390934033992</v>
      </c>
      <c r="P118" s="61">
        <f>SUM(P4:P117)</f>
        <v>4.1228154513949775</v>
      </c>
    </row>
  </sheetData>
  <mergeCells count="2">
    <mergeCell ref="A1:E1"/>
    <mergeCell ref="F1:U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4FD6-8FCD-4A39-A174-445C65740F58}">
  <sheetPr codeName="Sheet29">
    <tabColor theme="6"/>
  </sheetPr>
  <dimension ref="A1:O26"/>
  <sheetViews>
    <sheetView showGridLines="0" defaultGridColor="0" colorId="9" zoomScaleNormal="100" workbookViewId="0">
      <pane ySplit="2" topLeftCell="A3" activePane="bottomLeft" state="frozen"/>
      <selection pane="bottomLeft" activeCell="B5" sqref="B5"/>
    </sheetView>
  </sheetViews>
  <sheetFormatPr baseColWidth="10" defaultColWidth="8.83203125" defaultRowHeight="16"/>
  <cols>
    <col min="1" max="1" width="10.1640625" style="67" customWidth="1"/>
    <col min="2" max="2" width="9.1640625" customWidth="1"/>
    <col min="3" max="3" width="9" customWidth="1"/>
    <col min="4" max="4" width="8" customWidth="1"/>
    <col min="5" max="14" width="10.33203125" bestFit="1" customWidth="1"/>
  </cols>
  <sheetData>
    <row r="1" spans="2:15" s="2" customFormat="1" ht="32.25" customHeight="1"/>
    <row r="2" spans="2:15" s="1" customFormat="1"/>
    <row r="3" spans="2:15" ht="15.75" customHeight="1">
      <c r="B3" s="68"/>
    </row>
    <row r="4" spans="2:15" ht="38.25" customHeight="1">
      <c r="B4" s="137" t="s">
        <v>77</v>
      </c>
      <c r="C4" s="138"/>
      <c r="E4" s="85" t="s">
        <v>62</v>
      </c>
      <c r="F4" s="69"/>
      <c r="G4" s="69"/>
      <c r="H4" s="69"/>
      <c r="I4" s="69"/>
      <c r="J4" s="69"/>
      <c r="K4" s="69"/>
      <c r="L4" s="69"/>
      <c r="M4" s="69"/>
      <c r="N4" s="69"/>
    </row>
    <row r="5" spans="2:15" ht="15.75" customHeight="1">
      <c r="B5" s="70">
        <v>1</v>
      </c>
      <c r="C5" s="79">
        <v>1.0000000000000001E-5</v>
      </c>
      <c r="D5" s="43">
        <v>1</v>
      </c>
      <c r="E5" s="78">
        <v>0.42424242424242425</v>
      </c>
      <c r="F5" s="78">
        <v>0.36363636363636365</v>
      </c>
      <c r="G5" s="78">
        <v>0.12121212121212122</v>
      </c>
      <c r="H5" s="78">
        <v>9.0909090909090912E-2</v>
      </c>
      <c r="I5" s="78">
        <v>0</v>
      </c>
      <c r="J5" s="78">
        <v>0</v>
      </c>
      <c r="K5" s="78">
        <v>0</v>
      </c>
      <c r="L5" s="78">
        <v>0</v>
      </c>
      <c r="M5" s="78">
        <v>0</v>
      </c>
      <c r="N5" s="78">
        <v>0</v>
      </c>
      <c r="O5" s="71">
        <f>SUM(E5:N5)</f>
        <v>1</v>
      </c>
    </row>
    <row r="6" spans="2:15" ht="15.75" customHeight="1">
      <c r="B6" s="70">
        <v>2</v>
      </c>
      <c r="C6" s="79">
        <v>8.0000000000000004E-4</v>
      </c>
      <c r="D6" s="43">
        <v>2</v>
      </c>
      <c r="E6" s="78">
        <v>8.5271317829457363E-2</v>
      </c>
      <c r="F6" s="78">
        <v>0.38759689922480622</v>
      </c>
      <c r="G6" s="78">
        <v>0.27906976744186046</v>
      </c>
      <c r="H6" s="78">
        <v>8.5271317829457363E-2</v>
      </c>
      <c r="I6" s="78">
        <v>3.875968992248062E-2</v>
      </c>
      <c r="J6" s="78">
        <v>6.9767441860465115E-2</v>
      </c>
      <c r="K6" s="78">
        <v>7.7519379844961239E-3</v>
      </c>
      <c r="L6" s="78">
        <v>2.3255813953488372E-2</v>
      </c>
      <c r="M6" s="78">
        <v>2.3255813953488372E-2</v>
      </c>
      <c r="N6" s="78">
        <v>0</v>
      </c>
      <c r="O6" s="71">
        <f t="shared" ref="O6:O14" si="0">SUM(E6:N6)</f>
        <v>1</v>
      </c>
    </row>
    <row r="7" spans="2:15" ht="15.75" customHeight="1">
      <c r="B7" s="70">
        <v>3</v>
      </c>
      <c r="C7" s="79">
        <v>5.1999999999999998E-3</v>
      </c>
      <c r="D7" s="43">
        <v>3</v>
      </c>
      <c r="E7" s="78">
        <v>3.1645569620253167E-2</v>
      </c>
      <c r="F7" s="78">
        <v>0.21518987341772153</v>
      </c>
      <c r="G7" s="78">
        <v>0.29746835443037972</v>
      </c>
      <c r="H7" s="78">
        <v>0.25316455696202533</v>
      </c>
      <c r="I7" s="78">
        <v>7.5949367088607597E-2</v>
      </c>
      <c r="J7" s="78">
        <v>6.9620253164556958E-2</v>
      </c>
      <c r="K7" s="78">
        <v>6.3291139240506328E-3</v>
      </c>
      <c r="L7" s="78">
        <v>4.4303797468354431E-2</v>
      </c>
      <c r="M7" s="78">
        <v>6.3291139240506328E-3</v>
      </c>
      <c r="N7" s="78">
        <v>0</v>
      </c>
      <c r="O7" s="71">
        <f t="shared" si="0"/>
        <v>1</v>
      </c>
    </row>
    <row r="8" spans="2:15" ht="15.75" customHeight="1">
      <c r="B8" s="70">
        <v>4</v>
      </c>
      <c r="C8" s="79">
        <v>1.77E-2</v>
      </c>
      <c r="D8" s="43">
        <v>4</v>
      </c>
      <c r="E8" s="78">
        <v>1.2658227848101266E-2</v>
      </c>
      <c r="F8" s="78">
        <v>6.9620253164556958E-2</v>
      </c>
      <c r="G8" s="78">
        <v>0.16455696202531644</v>
      </c>
      <c r="H8" s="78">
        <v>0.36708860759493672</v>
      </c>
      <c r="I8" s="78">
        <v>0.18354430379746836</v>
      </c>
      <c r="J8" s="78">
        <v>6.9620253164556958E-2</v>
      </c>
      <c r="K8" s="78">
        <v>6.9620253164556958E-2</v>
      </c>
      <c r="L8" s="78">
        <v>1.8987341772151899E-2</v>
      </c>
      <c r="M8" s="78">
        <v>3.7974683544303799E-2</v>
      </c>
      <c r="N8" s="78">
        <v>6.3291139240506328E-3</v>
      </c>
      <c r="O8" s="71">
        <f t="shared" si="0"/>
        <v>1</v>
      </c>
    </row>
    <row r="9" spans="2:15" ht="15.75" customHeight="1">
      <c r="B9" s="70">
        <v>5</v>
      </c>
      <c r="C9" s="79">
        <v>5.6000000000000001E-2</v>
      </c>
      <c r="D9" s="43">
        <v>5</v>
      </c>
      <c r="E9" s="78">
        <v>1.282051282051282E-2</v>
      </c>
      <c r="F9" s="78">
        <v>6.4102564102564097E-2</v>
      </c>
      <c r="G9" s="78">
        <v>0.16666666666666666</v>
      </c>
      <c r="H9" s="78">
        <v>0.19230769230769232</v>
      </c>
      <c r="I9" s="78">
        <v>0.24358974358974358</v>
      </c>
      <c r="J9" s="78">
        <v>0.14102564102564102</v>
      </c>
      <c r="K9" s="78">
        <v>6.4102564102564097E-2</v>
      </c>
      <c r="L9" s="78">
        <v>6.4102564102564097E-2</v>
      </c>
      <c r="M9" s="78">
        <v>5.128205128205128E-2</v>
      </c>
      <c r="N9" s="78">
        <v>0</v>
      </c>
      <c r="O9" s="71">
        <f t="shared" si="0"/>
        <v>1</v>
      </c>
    </row>
    <row r="10" spans="2:15" ht="15.75" customHeight="1">
      <c r="B10" s="70">
        <v>6</v>
      </c>
      <c r="C10" s="79">
        <v>8.2000000000000003E-2</v>
      </c>
      <c r="D10" s="43">
        <v>6</v>
      </c>
      <c r="E10" s="78">
        <v>0</v>
      </c>
      <c r="F10" s="78">
        <v>2.8169014084507043E-2</v>
      </c>
      <c r="G10" s="78">
        <v>9.8591549295774641E-2</v>
      </c>
      <c r="H10" s="78">
        <v>0.23943661971830985</v>
      </c>
      <c r="I10" s="78">
        <v>9.8591549295774641E-2</v>
      </c>
      <c r="J10" s="78">
        <v>0.25352112676056338</v>
      </c>
      <c r="K10" s="78">
        <v>0.12676056338028169</v>
      </c>
      <c r="L10" s="78">
        <v>0.11267605633802817</v>
      </c>
      <c r="M10" s="78">
        <v>2.8169014084507043E-2</v>
      </c>
      <c r="N10" s="78">
        <v>1.4084507042253521E-2</v>
      </c>
      <c r="O10" s="71">
        <f t="shared" si="0"/>
        <v>0.99999999999999989</v>
      </c>
    </row>
    <row r="11" spans="2:15" ht="15.75" customHeight="1">
      <c r="B11" s="70">
        <v>7</v>
      </c>
      <c r="C11" s="79">
        <v>0.13600000000000001</v>
      </c>
      <c r="D11" s="43">
        <v>7</v>
      </c>
      <c r="E11" s="78">
        <v>0</v>
      </c>
      <c r="F11" s="78">
        <v>0.04</v>
      </c>
      <c r="G11" s="78">
        <v>0.16</v>
      </c>
      <c r="H11" s="78">
        <v>0.16</v>
      </c>
      <c r="I11" s="78">
        <v>0.08</v>
      </c>
      <c r="J11" s="78">
        <v>0.26</v>
      </c>
      <c r="K11" s="78">
        <v>0.18</v>
      </c>
      <c r="L11" s="78">
        <v>0.12</v>
      </c>
      <c r="M11" s="78">
        <v>0</v>
      </c>
      <c r="N11" s="78">
        <v>0</v>
      </c>
      <c r="O11" s="71">
        <f t="shared" si="0"/>
        <v>0.99999999999999989</v>
      </c>
    </row>
    <row r="12" spans="2:15" ht="15.75" customHeight="1">
      <c r="B12" s="70">
        <v>8</v>
      </c>
      <c r="C12" s="79">
        <v>0.2135</v>
      </c>
      <c r="D12" s="43">
        <v>8</v>
      </c>
      <c r="E12" s="78">
        <v>0</v>
      </c>
      <c r="F12" s="78">
        <v>2.2727272727272728E-2</v>
      </c>
      <c r="G12" s="78">
        <v>0</v>
      </c>
      <c r="H12" s="78">
        <v>0.15909090909090909</v>
      </c>
      <c r="I12" s="78">
        <v>9.0909090909090912E-2</v>
      </c>
      <c r="J12" s="78">
        <v>0.15909090909090909</v>
      </c>
      <c r="K12" s="78">
        <v>0.13636363636363635</v>
      </c>
      <c r="L12" s="78">
        <v>0.25</v>
      </c>
      <c r="M12" s="78">
        <v>0.13636363636363635</v>
      </c>
      <c r="N12" s="78">
        <v>4.5454545454545456E-2</v>
      </c>
      <c r="O12" s="71">
        <f t="shared" si="0"/>
        <v>0.99999999999999989</v>
      </c>
    </row>
    <row r="13" spans="2:15" ht="15.75" customHeight="1">
      <c r="B13" s="70">
        <v>9</v>
      </c>
      <c r="C13" s="79">
        <v>0.32</v>
      </c>
      <c r="D13" s="43">
        <v>9</v>
      </c>
      <c r="E13" s="78">
        <v>0</v>
      </c>
      <c r="F13" s="78">
        <v>4.3478260869565216E-2</v>
      </c>
      <c r="G13" s="78">
        <v>2.1739130434782608E-2</v>
      </c>
      <c r="H13" s="78">
        <v>8.6956521739130432E-2</v>
      </c>
      <c r="I13" s="78">
        <v>8.6956521739130432E-2</v>
      </c>
      <c r="J13" s="78">
        <v>6.5217391304347824E-2</v>
      </c>
      <c r="K13" s="78">
        <v>6.5217391304347824E-2</v>
      </c>
      <c r="L13" s="78">
        <v>0.15217391304347827</v>
      </c>
      <c r="M13" s="78">
        <v>0.39130434782608697</v>
      </c>
      <c r="N13" s="78">
        <v>8.6956521739130432E-2</v>
      </c>
      <c r="O13" s="71">
        <f t="shared" si="0"/>
        <v>1</v>
      </c>
    </row>
    <row r="14" spans="2:15" ht="15.75" customHeight="1">
      <c r="B14" s="70">
        <v>10</v>
      </c>
      <c r="C14" s="79">
        <v>0.48</v>
      </c>
      <c r="D14" s="43">
        <v>10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7.6923076923076927E-2</v>
      </c>
      <c r="M14" s="78">
        <v>0.38461538461538464</v>
      </c>
      <c r="N14" s="78">
        <v>0.53846153846153844</v>
      </c>
      <c r="O14" s="71">
        <f t="shared" si="0"/>
        <v>1</v>
      </c>
    </row>
    <row r="15" spans="2:15" ht="15.75" customHeight="1">
      <c r="C15" s="43"/>
      <c r="D15" s="43"/>
    </row>
    <row r="16" spans="2:15" ht="40">
      <c r="D16" s="83" t="s">
        <v>33</v>
      </c>
      <c r="E16" s="72">
        <f>AnchorYr</f>
        <v>2017</v>
      </c>
      <c r="F16" s="73">
        <f>AnchorYr+1</f>
        <v>2018</v>
      </c>
      <c r="G16" s="73">
        <f>AnchorYr+2</f>
        <v>2019</v>
      </c>
      <c r="H16" s="73">
        <f>AnchorYr+3</f>
        <v>2020</v>
      </c>
      <c r="I16" s="73">
        <f>AnchorYr+4</f>
        <v>2021</v>
      </c>
      <c r="J16" s="73">
        <f>AnchorYr+5</f>
        <v>2022</v>
      </c>
      <c r="K16" s="73">
        <f>AnchorYr+6</f>
        <v>2023</v>
      </c>
      <c r="L16" s="73">
        <f>AnchorYr+7</f>
        <v>2024</v>
      </c>
      <c r="M16" s="73">
        <f>AnchorYr+8</f>
        <v>2025</v>
      </c>
      <c r="N16" s="73">
        <f>AnchorYr+9</f>
        <v>2026</v>
      </c>
    </row>
    <row r="17" spans="4:14">
      <c r="D17" s="84">
        <v>1</v>
      </c>
      <c r="E17" s="78">
        <f>C5</f>
        <v>1.0000000000000001E-5</v>
      </c>
      <c r="F17" s="78">
        <f t="array" ref="F17:F26">MMULT(E5:N14,E17:E26)</f>
        <v>2.5345454545454547E-3</v>
      </c>
      <c r="G17" s="78">
        <f t="array" ref="G17:G26">MMULT(E5:N14,F17:F26)</f>
        <v>1.8222033815285081E-2</v>
      </c>
      <c r="H17" s="78">
        <f t="array" ref="H17:H26">MMULT(E5:N14,G17:G26)</f>
        <v>3.3934990881310856E-2</v>
      </c>
      <c r="I17" s="78">
        <f t="array" ref="I17:I26">MMULT(E5:N14,H17:H26)</f>
        <v>4.6644369672634092E-2</v>
      </c>
      <c r="J17" s="78">
        <f t="array" ref="J17:J26">MMULT(E5:N14,I17:I26)</f>
        <v>5.6099788794432601E-2</v>
      </c>
      <c r="K17" s="78">
        <f t="array" ref="K17:K26">MMULT(E5:N14,J17:J26)</f>
        <v>6.2876469351340197E-2</v>
      </c>
      <c r="L17" s="78">
        <f t="array" ref="L17:L26">MMULT(E5:N14,K17:K26)</f>
        <v>6.7646214499077692E-2</v>
      </c>
      <c r="M17" s="78">
        <f t="array" ref="M17:M26">MMULT(E5:N14,L17:L26)</f>
        <v>7.097185642422893E-2</v>
      </c>
      <c r="N17" s="78">
        <f t="array" ref="N17:N26">MMULT(E5:N14,M17:M26)</f>
        <v>7.327836375289469E-2</v>
      </c>
    </row>
    <row r="18" spans="4:14">
      <c r="D18" s="84">
        <v>2</v>
      </c>
      <c r="E18" s="78">
        <f t="shared" ref="E18:E26" si="1">C6</f>
        <v>8.0000000000000004E-4</v>
      </c>
      <c r="F18" s="78">
        <v>2.4624108527131781E-2</v>
      </c>
      <c r="G18" s="78">
        <v>4.0379208287343982E-2</v>
      </c>
      <c r="H18" s="78">
        <v>5.2000959508407281E-2</v>
      </c>
      <c r="I18" s="78">
        <v>6.0147791955774015E-2</v>
      </c>
      <c r="J18" s="78">
        <v>6.5800524127340887E-2</v>
      </c>
      <c r="K18" s="78">
        <v>6.9712239379840932E-2</v>
      </c>
      <c r="L18" s="78">
        <v>7.2415017534178588E-2</v>
      </c>
      <c r="M18" s="78">
        <v>7.4280121101804431E-2</v>
      </c>
      <c r="N18" s="78">
        <v>7.5565721519327944E-2</v>
      </c>
    </row>
    <row r="19" spans="4:14">
      <c r="D19" s="84">
        <v>3</v>
      </c>
      <c r="E19" s="78">
        <f t="shared" si="1"/>
        <v>5.1999999999999998E-3</v>
      </c>
      <c r="F19" s="78">
        <v>2.8507278481012657E-2</v>
      </c>
      <c r="G19" s="78">
        <v>4.7291677269631509E-2</v>
      </c>
      <c r="H19" s="78">
        <v>5.8024340614005167E-2</v>
      </c>
      <c r="I19" s="78">
        <v>6.4709008149858041E-2</v>
      </c>
      <c r="J19" s="78">
        <v>6.9091914137871399E-2</v>
      </c>
      <c r="K19" s="78">
        <v>7.2037543671610124E-2</v>
      </c>
      <c r="L19" s="78">
        <v>7.404054316798013E-2</v>
      </c>
      <c r="M19" s="78">
        <v>7.5409822847833499E-2</v>
      </c>
      <c r="N19" s="78">
        <v>7.6348018259935271E-2</v>
      </c>
    </row>
    <row r="20" spans="4:14">
      <c r="D20" s="84">
        <v>4</v>
      </c>
      <c r="E20" s="78">
        <f t="shared" si="1"/>
        <v>1.77E-2</v>
      </c>
      <c r="F20" s="78">
        <v>5.2108354430379748E-2</v>
      </c>
      <c r="G20" s="78">
        <v>6.3676339047537805E-2</v>
      </c>
      <c r="H20" s="78">
        <v>6.935515010055493E-2</v>
      </c>
      <c r="I20" s="78">
        <v>7.255410624355936E-2</v>
      </c>
      <c r="J20" s="78">
        <v>7.4517499797531389E-2</v>
      </c>
      <c r="K20" s="78">
        <v>7.578582010208991E-2</v>
      </c>
      <c r="L20" s="78">
        <v>7.6627291976801098E-2</v>
      </c>
      <c r="M20" s="78">
        <v>7.7193089764444264E-2</v>
      </c>
      <c r="N20" s="78">
        <v>7.7576170898071173E-2</v>
      </c>
    </row>
    <row r="21" spans="4:14">
      <c r="D21" s="84">
        <v>5</v>
      </c>
      <c r="E21" s="78">
        <f t="shared" si="1"/>
        <v>5.6000000000000001E-2</v>
      </c>
      <c r="F21" s="78">
        <v>6.8341153846153843E-2</v>
      </c>
      <c r="G21" s="78">
        <v>7.2008092485476807E-2</v>
      </c>
      <c r="H21" s="78">
        <v>7.4092727718888571E-2</v>
      </c>
      <c r="I21" s="78">
        <v>7.5483065402349295E-2</v>
      </c>
      <c r="J21" s="78">
        <v>7.6430039484048029E-2</v>
      </c>
      <c r="K21" s="78">
        <v>7.7070663647556575E-2</v>
      </c>
      <c r="L21" s="78">
        <v>7.7501763553068898E-2</v>
      </c>
      <c r="M21" s="78">
        <v>7.7791563259957924E-2</v>
      </c>
      <c r="N21" s="78">
        <v>7.7986646912632504E-2</v>
      </c>
    </row>
    <row r="22" spans="4:14">
      <c r="D22" s="84">
        <v>6</v>
      </c>
      <c r="E22" s="78">
        <f t="shared" si="1"/>
        <v>8.2000000000000003E-2</v>
      </c>
      <c r="F22" s="78">
        <v>8.8153521126760559E-2</v>
      </c>
      <c r="G22" s="78">
        <v>8.4807337383134257E-2</v>
      </c>
      <c r="H22" s="78">
        <v>8.272642932502236E-2</v>
      </c>
      <c r="I22" s="78">
        <v>8.1425873799452847E-2</v>
      </c>
      <c r="J22" s="78">
        <v>8.053541363156777E-2</v>
      </c>
      <c r="K22" s="78">
        <v>7.9904476722271703E-2</v>
      </c>
      <c r="L22" s="78">
        <v>7.9455130957197362E-2</v>
      </c>
      <c r="M22" s="78">
        <v>7.9136411105171445E-2</v>
      </c>
      <c r="N22" s="78">
        <v>7.8911679864029749E-2</v>
      </c>
    </row>
    <row r="23" spans="4:14">
      <c r="D23" s="84">
        <v>7</v>
      </c>
      <c r="E23" s="78">
        <f t="shared" si="1"/>
        <v>0.13600000000000001</v>
      </c>
      <c r="F23" s="78">
        <v>7.9596E-2</v>
      </c>
      <c r="G23" s="78">
        <v>7.5599407953012648E-2</v>
      </c>
      <c r="H23" s="78">
        <v>7.6106058549615691E-2</v>
      </c>
      <c r="I23" s="78">
        <v>7.6838982190007621E-2</v>
      </c>
      <c r="J23" s="78">
        <v>7.7383863390161525E-2</v>
      </c>
      <c r="K23" s="78">
        <v>7.7744787109208013E-2</v>
      </c>
      <c r="L23" s="78">
        <v>7.7976131893454287E-2</v>
      </c>
      <c r="M23" s="78">
        <v>7.8123584551488642E-2</v>
      </c>
      <c r="N23" s="78">
        <v>7.821798253739605E-2</v>
      </c>
    </row>
    <row r="24" spans="4:14">
      <c r="D24" s="84">
        <v>8</v>
      </c>
      <c r="E24" s="78">
        <f t="shared" si="1"/>
        <v>0.2135</v>
      </c>
      <c r="F24" s="78">
        <v>0.15834545454545454</v>
      </c>
      <c r="G24" s="78">
        <v>0.1276463254781626</v>
      </c>
      <c r="H24" s="78">
        <v>0.11035704095328323</v>
      </c>
      <c r="I24" s="78">
        <v>9.979553495613934E-2</v>
      </c>
      <c r="J24" s="78">
        <v>9.29379483440783E-2</v>
      </c>
      <c r="K24" s="78">
        <v>8.8341878293467013E-2</v>
      </c>
      <c r="L24" s="78">
        <v>8.5216261275149169E-2</v>
      </c>
      <c r="M24" s="78">
        <v>8.307728756625217E-2</v>
      </c>
      <c r="N24" s="78">
        <v>8.1609884348133391E-2</v>
      </c>
    </row>
    <row r="25" spans="4:14">
      <c r="D25" s="84">
        <v>9</v>
      </c>
      <c r="E25" s="78">
        <f t="shared" si="1"/>
        <v>0.32</v>
      </c>
      <c r="F25" s="78">
        <v>0.22021956521739133</v>
      </c>
      <c r="G25" s="78">
        <v>0.16797866525215377</v>
      </c>
      <c r="H25" s="78">
        <v>0.13725689668022098</v>
      </c>
      <c r="I25" s="78">
        <v>0.11789890263333595</v>
      </c>
      <c r="J25" s="78">
        <v>0.10519565387690508</v>
      </c>
      <c r="K25" s="78">
        <v>9.6674835341152635E-2</v>
      </c>
      <c r="L25" s="78">
        <v>9.0895569347623092E-2</v>
      </c>
      <c r="M25" s="78">
        <v>8.6954342269698393E-2</v>
      </c>
      <c r="N25" s="78">
        <v>8.4259488082683104E-2</v>
      </c>
    </row>
    <row r="26" spans="4:14">
      <c r="D26" s="84">
        <v>10</v>
      </c>
      <c r="E26" s="78">
        <f t="shared" si="1"/>
        <v>0.48</v>
      </c>
      <c r="F26" s="78">
        <v>0.39796153846153848</v>
      </c>
      <c r="G26" s="78">
        <v>0.31116723460486007</v>
      </c>
      <c r="H26" s="78">
        <v>0.24197771492099629</v>
      </c>
      <c r="I26" s="78">
        <v>0.1915758099077971</v>
      </c>
      <c r="J26" s="78">
        <v>0.15617851672903066</v>
      </c>
      <c r="K26" s="78">
        <v>0.13170506421783218</v>
      </c>
      <c r="L26" s="78">
        <v>0.1148962695787735</v>
      </c>
      <c r="M26" s="78">
        <v>0.10338215346651378</v>
      </c>
      <c r="N26" s="78">
        <v>9.5501851783103109E-2</v>
      </c>
    </row>
  </sheetData>
  <mergeCells count="1">
    <mergeCell ref="B4:C4"/>
  </mergeCells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66F7-2C4F-4286-9175-C62E8012338C}">
  <sheetPr codeName="Sheet19"/>
  <dimension ref="B4:H27"/>
  <sheetViews>
    <sheetView showGridLines="0" defaultGridColor="0" colorId="9" zoomScaleNormal="100" workbookViewId="0">
      <pane ySplit="1" topLeftCell="A2" activePane="bottomLeft" state="frozen"/>
      <selection pane="bottomLeft" activeCell="H19" sqref="H19"/>
    </sheetView>
  </sheetViews>
  <sheetFormatPr baseColWidth="10" defaultColWidth="8.83203125" defaultRowHeight="13"/>
  <sheetData>
    <row r="4" spans="2:8" ht="24">
      <c r="B4" s="45" t="s">
        <v>32</v>
      </c>
      <c r="C4" s="45" t="s">
        <v>33</v>
      </c>
      <c r="D4" s="45" t="s">
        <v>34</v>
      </c>
      <c r="E4" s="45" t="s">
        <v>35</v>
      </c>
      <c r="F4" s="45" t="s">
        <v>36</v>
      </c>
      <c r="G4" s="45" t="s">
        <v>32</v>
      </c>
      <c r="H4" s="45" t="s">
        <v>56</v>
      </c>
    </row>
    <row r="5" spans="2:8">
      <c r="B5" s="46">
        <v>1</v>
      </c>
      <c r="C5" s="47" t="s">
        <v>37</v>
      </c>
      <c r="D5" s="48">
        <v>0</v>
      </c>
      <c r="E5" s="48">
        <v>1E-4</v>
      </c>
      <c r="F5" s="48">
        <v>2.0000000000000001E-4</v>
      </c>
      <c r="G5" s="46">
        <v>1</v>
      </c>
      <c r="H5" s="46">
        <v>1</v>
      </c>
    </row>
    <row r="6" spans="2:8">
      <c r="B6" s="46">
        <v>2</v>
      </c>
      <c r="C6" s="47" t="s">
        <v>38</v>
      </c>
      <c r="D6" s="48">
        <v>2.0000000000000001E-4</v>
      </c>
      <c r="E6" s="48">
        <v>4.0000000000000002E-4</v>
      </c>
      <c r="F6" s="48">
        <v>5.0000000000000001E-4</v>
      </c>
      <c r="G6" s="46">
        <v>2</v>
      </c>
      <c r="H6" s="46">
        <v>2</v>
      </c>
    </row>
    <row r="7" spans="2:8">
      <c r="B7" s="46">
        <v>3</v>
      </c>
      <c r="C7" s="47" t="s">
        <v>39</v>
      </c>
      <c r="D7" s="48">
        <v>5.0000000000000001E-4</v>
      </c>
      <c r="E7" s="48">
        <v>6.9999999999999999E-4</v>
      </c>
      <c r="F7" s="48">
        <v>8.0000000000000004E-4</v>
      </c>
      <c r="G7" s="46">
        <v>3</v>
      </c>
      <c r="H7" s="46">
        <v>3</v>
      </c>
    </row>
    <row r="8" spans="2:8">
      <c r="B8" s="46">
        <v>4</v>
      </c>
      <c r="C8" s="47" t="s">
        <v>40</v>
      </c>
      <c r="D8" s="48">
        <v>8.0000000000000004E-4</v>
      </c>
      <c r="E8" s="48">
        <v>1.4E-3</v>
      </c>
      <c r="F8" s="48">
        <v>2E-3</v>
      </c>
      <c r="G8" s="46">
        <v>4</v>
      </c>
      <c r="H8" s="46">
        <v>4</v>
      </c>
    </row>
    <row r="9" spans="2:8">
      <c r="B9" s="46">
        <v>5</v>
      </c>
      <c r="C9" s="47" t="s">
        <v>41</v>
      </c>
      <c r="D9" s="48">
        <v>2E-3</v>
      </c>
      <c r="E9" s="48">
        <v>3.3999999999999998E-3</v>
      </c>
      <c r="F9" s="48">
        <v>4.7999999999999996E-3</v>
      </c>
      <c r="G9" s="46">
        <v>5</v>
      </c>
      <c r="H9" s="46">
        <v>5</v>
      </c>
    </row>
    <row r="10" spans="2:8">
      <c r="B10" s="46">
        <v>6</v>
      </c>
      <c r="C10" s="47" t="s">
        <v>42</v>
      </c>
      <c r="D10" s="48">
        <v>4.7999999999999996E-3</v>
      </c>
      <c r="E10" s="48">
        <v>8.2000000000000007E-3</v>
      </c>
      <c r="F10" s="48">
        <v>1.1599999999999999E-2</v>
      </c>
      <c r="G10" s="46">
        <v>6</v>
      </c>
      <c r="H10" s="46">
        <v>6</v>
      </c>
    </row>
    <row r="11" spans="2:8">
      <c r="B11" s="46">
        <v>7</v>
      </c>
      <c r="C11" s="47" t="s">
        <v>43</v>
      </c>
      <c r="D11" s="48">
        <v>1.1599999999999999E-2</v>
      </c>
      <c r="E11" s="48">
        <v>1.9900000000000001E-2</v>
      </c>
      <c r="F11" s="48">
        <v>2.81E-2</v>
      </c>
      <c r="G11" s="46">
        <v>7</v>
      </c>
      <c r="H11" s="46">
        <v>6</v>
      </c>
    </row>
    <row r="12" spans="2:8">
      <c r="B12" s="46">
        <v>8</v>
      </c>
      <c r="C12" s="47" t="s">
        <v>44</v>
      </c>
      <c r="D12" s="48">
        <v>2.81E-2</v>
      </c>
      <c r="E12" s="48">
        <v>4.8300000000000003E-2</v>
      </c>
      <c r="F12" s="48">
        <v>6.8500000000000005E-2</v>
      </c>
      <c r="G12" s="46">
        <v>8</v>
      </c>
      <c r="H12" s="46">
        <v>6</v>
      </c>
    </row>
    <row r="13" spans="2:8">
      <c r="B13" s="46">
        <v>9</v>
      </c>
      <c r="C13" s="47" t="s">
        <v>45</v>
      </c>
      <c r="D13" s="48">
        <v>6.8500000000000005E-2</v>
      </c>
      <c r="E13" s="48">
        <v>0.1176</v>
      </c>
      <c r="F13" s="48">
        <v>0.16669999999999999</v>
      </c>
      <c r="G13" s="46">
        <v>9</v>
      </c>
      <c r="H13" s="46">
        <v>6</v>
      </c>
    </row>
    <row r="14" spans="2:8">
      <c r="B14" s="46">
        <v>10</v>
      </c>
      <c r="C14" s="47" t="s">
        <v>46</v>
      </c>
      <c r="D14" s="48">
        <v>0.16669999999999999</v>
      </c>
      <c r="E14" s="48">
        <v>0.58330000000000004</v>
      </c>
      <c r="F14" s="48">
        <v>0.99990000000000001</v>
      </c>
      <c r="G14" s="46">
        <v>10</v>
      </c>
      <c r="H14" s="46">
        <v>6</v>
      </c>
    </row>
    <row r="15" spans="2:8">
      <c r="B15" s="74" t="s">
        <v>31</v>
      </c>
      <c r="C15" s="47"/>
      <c r="D15" s="48"/>
      <c r="E15" s="48"/>
      <c r="F15" s="48"/>
      <c r="G15" s="46"/>
      <c r="H15" s="46"/>
    </row>
    <row r="16" spans="2:8">
      <c r="B16" s="46"/>
      <c r="C16" s="47"/>
      <c r="D16" s="48"/>
      <c r="E16" s="48"/>
      <c r="F16" s="48"/>
      <c r="G16" s="46"/>
      <c r="H16" s="46"/>
    </row>
    <row r="17" spans="2:8">
      <c r="B17" s="75"/>
      <c r="C17" s="76"/>
      <c r="D17" s="77"/>
      <c r="E17" s="77"/>
      <c r="F17" s="77"/>
      <c r="G17" s="46"/>
      <c r="H17" s="46"/>
    </row>
    <row r="18" spans="2:8">
      <c r="B18" s="75"/>
      <c r="C18" s="76"/>
      <c r="D18" s="77"/>
      <c r="E18" s="77"/>
      <c r="F18" s="77"/>
      <c r="G18" s="46"/>
      <c r="H18" s="46"/>
    </row>
    <row r="19" spans="2:8">
      <c r="B19" s="75"/>
      <c r="C19" s="76"/>
      <c r="D19" s="77"/>
      <c r="E19" s="77"/>
      <c r="F19" s="77"/>
      <c r="G19" s="46"/>
      <c r="H19" s="46"/>
    </row>
    <row r="20" spans="2:8">
      <c r="B20" s="75"/>
      <c r="C20" s="76"/>
      <c r="D20" s="77"/>
      <c r="E20" s="77"/>
      <c r="F20" s="77"/>
      <c r="G20" s="46"/>
      <c r="H20" s="46"/>
    </row>
    <row r="21" spans="2:8">
      <c r="B21" s="75"/>
      <c r="C21" s="76"/>
      <c r="D21" s="77"/>
      <c r="E21" s="77"/>
      <c r="F21" s="77"/>
      <c r="G21" s="46"/>
      <c r="H21" s="46"/>
    </row>
    <row r="22" spans="2:8">
      <c r="B22" s="75"/>
      <c r="C22" s="76"/>
      <c r="D22" s="77"/>
      <c r="E22" s="77"/>
      <c r="F22" s="77"/>
      <c r="G22" s="46"/>
      <c r="H22" s="46"/>
    </row>
    <row r="23" spans="2:8">
      <c r="B23" s="75"/>
      <c r="C23" s="76"/>
      <c r="D23" s="77"/>
      <c r="E23" s="77"/>
      <c r="F23" s="77"/>
      <c r="G23" s="46"/>
      <c r="H23" s="46"/>
    </row>
    <row r="24" spans="2:8">
      <c r="B24" s="75"/>
      <c r="C24" s="76"/>
      <c r="D24" s="77"/>
      <c r="E24" s="77"/>
      <c r="F24" s="77"/>
      <c r="G24" s="46"/>
      <c r="H24" s="46"/>
    </row>
    <row r="25" spans="2:8">
      <c r="B25" s="75"/>
      <c r="C25" s="76"/>
      <c r="D25" s="76"/>
      <c r="E25" s="77"/>
      <c r="F25" s="76"/>
      <c r="G25" s="46"/>
      <c r="H25" s="46"/>
    </row>
    <row r="26" spans="2:8">
      <c r="B26" s="75"/>
      <c r="C26" s="76"/>
      <c r="D26" s="76"/>
      <c r="E26" s="77"/>
      <c r="F26" s="76"/>
      <c r="G26" s="46"/>
      <c r="H26" s="46"/>
    </row>
    <row r="27" spans="2:8">
      <c r="B27" s="75"/>
      <c r="C27" s="76"/>
      <c r="D27" s="76"/>
      <c r="E27" s="77"/>
      <c r="F27" s="76"/>
      <c r="G27" s="46"/>
      <c r="H27" s="46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A611-8EC7-4957-9D6C-7800226CE830}">
  <sheetPr codeName="Sheet23">
    <tabColor theme="6"/>
  </sheetPr>
  <dimension ref="C1:E11"/>
  <sheetViews>
    <sheetView showGridLines="0" defaultGridColor="0" colorId="9" zoomScale="80" zoomScaleNormal="80" workbookViewId="0">
      <pane ySplit="2" topLeftCell="A3" activePane="bottomLeft" state="frozen"/>
      <selection pane="bottomLeft" activeCell="C9" sqref="C9"/>
    </sheetView>
  </sheetViews>
  <sheetFormatPr baseColWidth="10" defaultColWidth="8.6640625" defaultRowHeight="13"/>
  <cols>
    <col min="1" max="1" width="8.6640625" style="6"/>
    <col min="2" max="2" width="4.6640625" style="6" bestFit="1" customWidth="1"/>
    <col min="3" max="3" width="39.1640625" style="6" customWidth="1"/>
    <col min="4" max="5" width="15.1640625" style="6" customWidth="1"/>
    <col min="6" max="6" width="15.5" style="6" customWidth="1"/>
    <col min="7" max="7" width="20" style="6" customWidth="1"/>
    <col min="8" max="16384" width="8.6640625" style="6"/>
  </cols>
  <sheetData>
    <row r="1" spans="3:5" s="4" customFormat="1" ht="32.25" customHeight="1">
      <c r="E1" s="4" t="s">
        <v>0</v>
      </c>
    </row>
    <row r="2" spans="3:5" s="5" customFormat="1" ht="24.75" customHeight="1">
      <c r="E2" s="5" t="s">
        <v>5</v>
      </c>
    </row>
    <row r="4" spans="3:5" ht="16">
      <c r="C4" s="7"/>
      <c r="D4" s="8"/>
      <c r="E4" s="8"/>
    </row>
    <row r="5" spans="3:5">
      <c r="C5" s="11" t="s">
        <v>1</v>
      </c>
      <c r="D5" s="13" t="s">
        <v>17</v>
      </c>
      <c r="E5" s="13" t="s">
        <v>16</v>
      </c>
    </row>
    <row r="6" spans="3:5">
      <c r="C6" s="10"/>
      <c r="D6" s="15"/>
      <c r="E6" s="15"/>
    </row>
    <row r="7" spans="3:5">
      <c r="C7" s="12" t="s">
        <v>8</v>
      </c>
      <c r="D7" s="31">
        <v>0.54009634155757602</v>
      </c>
      <c r="E7" s="31">
        <v>3.7654918081667876E-2</v>
      </c>
    </row>
    <row r="8" spans="3:5">
      <c r="C8" s="12" t="s">
        <v>18</v>
      </c>
      <c r="D8" s="31">
        <v>0.62956863668283192</v>
      </c>
      <c r="E8" s="31">
        <v>0.3</v>
      </c>
    </row>
    <row r="9" spans="3:5">
      <c r="C9" s="23" t="s">
        <v>19</v>
      </c>
      <c r="D9" s="32">
        <v>0.41974816177099206</v>
      </c>
      <c r="E9" s="32">
        <v>0.42</v>
      </c>
    </row>
    <row r="10" spans="3:5">
      <c r="C10" s="23" t="s">
        <v>66</v>
      </c>
      <c r="D10" s="32">
        <f>D9*0.7</f>
        <v>0.29382371323969442</v>
      </c>
      <c r="E10" s="32">
        <v>0.48</v>
      </c>
    </row>
    <row r="11" spans="3:5">
      <c r="C11" s="23" t="s">
        <v>63</v>
      </c>
      <c r="D11" s="32">
        <v>0.45</v>
      </c>
      <c r="E11" s="32">
        <v>0.23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>
    <tabColor theme="6"/>
  </sheetPr>
  <dimension ref="C1:H19"/>
  <sheetViews>
    <sheetView showGridLines="0" defaultGridColor="0" colorId="9" zoomScale="80" zoomScaleNormal="80" workbookViewId="0">
      <pane ySplit="2" topLeftCell="A3" activePane="bottomLeft" state="frozen"/>
      <selection pane="bottomLeft" activeCell="K15" sqref="K15"/>
    </sheetView>
  </sheetViews>
  <sheetFormatPr baseColWidth="10" defaultColWidth="8.6640625" defaultRowHeight="13"/>
  <cols>
    <col min="1" max="1" width="8.6640625" style="6"/>
    <col min="2" max="2" width="4.6640625" style="6" bestFit="1" customWidth="1"/>
    <col min="3" max="3" width="39.1640625" style="6" customWidth="1"/>
    <col min="4" max="6" width="15.1640625" style="6" customWidth="1"/>
    <col min="7" max="7" width="15.5" style="6" customWidth="1"/>
    <col min="8" max="8" width="20" style="6" customWidth="1"/>
    <col min="9" max="16384" width="8.6640625" style="6"/>
  </cols>
  <sheetData>
    <row r="1" spans="3:8" s="4" customFormat="1" ht="32.25" customHeight="1">
      <c r="E1" s="4" t="s">
        <v>0</v>
      </c>
    </row>
    <row r="2" spans="3:8" s="5" customFormat="1" ht="24.75" customHeight="1">
      <c r="E2" s="5" t="s">
        <v>5</v>
      </c>
    </row>
    <row r="4" spans="3:8" ht="16">
      <c r="C4" s="7"/>
      <c r="D4" s="8"/>
      <c r="E4" s="8"/>
      <c r="F4" s="9"/>
      <c r="G4" s="9"/>
      <c r="H4" s="9"/>
    </row>
    <row r="5" spans="3:8">
      <c r="C5" s="11" t="s">
        <v>1</v>
      </c>
      <c r="D5" s="13" t="s">
        <v>2</v>
      </c>
      <c r="E5" s="13" t="s">
        <v>3</v>
      </c>
      <c r="F5" s="14" t="s">
        <v>4</v>
      </c>
      <c r="G5" s="14" t="s">
        <v>7</v>
      </c>
      <c r="H5" s="14" t="s">
        <v>78</v>
      </c>
    </row>
    <row r="6" spans="3:8">
      <c r="C6" s="10"/>
      <c r="D6" s="15"/>
      <c r="E6" s="15"/>
      <c r="F6" s="16"/>
      <c r="G6" s="16"/>
      <c r="H6" s="16"/>
    </row>
    <row r="7" spans="3:8">
      <c r="C7" s="12" t="s">
        <v>8</v>
      </c>
      <c r="D7" s="17">
        <v>0.12</v>
      </c>
      <c r="E7" s="17">
        <v>0.24</v>
      </c>
      <c r="F7" s="18">
        <v>50</v>
      </c>
      <c r="G7" s="121">
        <v>0.8</v>
      </c>
      <c r="H7" s="125">
        <v>12.5</v>
      </c>
    </row>
    <row r="8" spans="3:8">
      <c r="C8" s="21" t="s">
        <v>18</v>
      </c>
      <c r="D8" s="17">
        <v>0.03</v>
      </c>
      <c r="E8" s="17">
        <v>0.16</v>
      </c>
      <c r="F8" s="18">
        <v>35</v>
      </c>
      <c r="G8" s="121">
        <v>1</v>
      </c>
      <c r="H8" s="125">
        <v>12.5</v>
      </c>
    </row>
    <row r="9" spans="3:8">
      <c r="C9" s="22" t="s">
        <v>70</v>
      </c>
      <c r="D9" s="19">
        <v>0.03</v>
      </c>
      <c r="E9" s="19">
        <v>0.16</v>
      </c>
      <c r="F9" s="20">
        <v>35</v>
      </c>
      <c r="G9" s="122">
        <v>0.8</v>
      </c>
      <c r="H9" s="125">
        <v>12.5</v>
      </c>
    </row>
    <row r="10" spans="3:8">
      <c r="C10" s="113" t="s">
        <v>6</v>
      </c>
      <c r="D10" s="114">
        <v>0.12</v>
      </c>
      <c r="E10" s="114">
        <v>0.24</v>
      </c>
      <c r="F10" s="115">
        <v>50</v>
      </c>
      <c r="G10" s="123">
        <v>1</v>
      </c>
      <c r="H10" s="125">
        <v>12.5</v>
      </c>
    </row>
    <row r="11" spans="3:8">
      <c r="C11" s="116" t="s">
        <v>74</v>
      </c>
      <c r="D11" s="114">
        <v>0.12</v>
      </c>
      <c r="E11" s="114">
        <v>0.3</v>
      </c>
      <c r="F11" s="115">
        <v>50</v>
      </c>
      <c r="G11" s="123">
        <v>1</v>
      </c>
      <c r="H11" s="125">
        <v>12.5</v>
      </c>
    </row>
    <row r="12" spans="3:8">
      <c r="C12" s="113" t="s">
        <v>75</v>
      </c>
      <c r="D12" s="114">
        <v>0.15</v>
      </c>
      <c r="E12" s="114">
        <v>0.15</v>
      </c>
      <c r="F12" s="115">
        <v>50</v>
      </c>
      <c r="G12" s="123">
        <v>0.8</v>
      </c>
      <c r="H12" s="125">
        <v>12.5</v>
      </c>
    </row>
    <row r="13" spans="3:8">
      <c r="C13" s="116" t="s">
        <v>76</v>
      </c>
      <c r="D13" s="114">
        <v>0.04</v>
      </c>
      <c r="E13" s="114">
        <v>0.04</v>
      </c>
      <c r="F13" s="115">
        <v>50</v>
      </c>
      <c r="G13" s="123">
        <v>0.8</v>
      </c>
      <c r="H13" s="125">
        <v>12.5</v>
      </c>
    </row>
    <row r="14" spans="3:8">
      <c r="C14" s="113" t="s">
        <v>14</v>
      </c>
      <c r="D14" s="114">
        <v>0.03</v>
      </c>
      <c r="E14" s="114">
        <v>0.16</v>
      </c>
      <c r="F14" s="115">
        <v>35</v>
      </c>
      <c r="G14" s="123">
        <v>0.8</v>
      </c>
      <c r="H14" s="125">
        <v>12.5</v>
      </c>
    </row>
    <row r="15" spans="3:8">
      <c r="C15" s="117" t="s">
        <v>13</v>
      </c>
      <c r="D15" s="118">
        <v>0.03</v>
      </c>
      <c r="E15" s="118">
        <v>0.16</v>
      </c>
      <c r="F15" s="119">
        <v>35</v>
      </c>
      <c r="G15" s="124">
        <v>0.8</v>
      </c>
      <c r="H15" s="125">
        <v>12.5</v>
      </c>
    </row>
    <row r="18" spans="3:6">
      <c r="C18" s="24" t="s">
        <v>15</v>
      </c>
      <c r="D18" s="25"/>
      <c r="E18" s="25"/>
      <c r="F18" s="26"/>
    </row>
    <row r="19" spans="3:6">
      <c r="C19" s="27" t="s">
        <v>12</v>
      </c>
      <c r="D19" s="28"/>
      <c r="E19" s="29">
        <v>1</v>
      </c>
      <c r="F19" s="3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DICO Output</vt:lpstr>
      <vt:lpstr>Data Res'l Mortgages Uninsured</vt:lpstr>
      <vt:lpstr>Data Commercial</vt:lpstr>
      <vt:lpstr>PD Term Structure</vt:lpstr>
      <vt:lpstr>Master rating scale</vt:lpstr>
      <vt:lpstr>LGD parameters</vt:lpstr>
      <vt:lpstr>Correlation</vt:lpstr>
      <vt:lpstr>AnchorYr</vt:lpstr>
      <vt:lpstr>correlation_tab</vt:lpstr>
      <vt:lpstr>credit_calibration</vt:lpstr>
      <vt:lpstr>Credit_cap_required_table</vt:lpstr>
      <vt:lpstr>LGD_para</vt:lpstr>
    </vt:vector>
  </TitlesOfParts>
  <Company>Mercer Oliver Wyman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Sohail_Farooq</dc:creator>
  <cp:lastModifiedBy>Microsoft Office User</cp:lastModifiedBy>
  <cp:lastPrinted>2011-11-02T12:30:16Z</cp:lastPrinted>
  <dcterms:created xsi:type="dcterms:W3CDTF">2003-11-24T21:17:14Z</dcterms:created>
  <dcterms:modified xsi:type="dcterms:W3CDTF">2019-02-12T13:43:23Z</dcterms:modified>
</cp:coreProperties>
</file>