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02536e0a13c427/Рабочий стол/DT/Sasha/"/>
    </mc:Choice>
  </mc:AlternateContent>
  <xr:revisionPtr revIDLastSave="0" documentId="8_{1D3B1EA8-569D-4A05-9206-ACE5057B19E3}" xr6:coauthVersionLast="47" xr6:coauthVersionMax="47" xr10:uidLastSave="{00000000-0000-0000-0000-000000000000}"/>
  <bookViews>
    <workbookView xWindow="-110" yWindow="-110" windowWidth="25820" windowHeight="15500" xr2:uid="{03193122-96F4-40FC-8F95-F1077C5E06A8}"/>
  </bookViews>
  <sheets>
    <sheet name="1.2.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3" i="1" l="1"/>
  <c r="J253" i="1"/>
  <c r="L252" i="1"/>
  <c r="L253" i="1" s="1"/>
  <c r="L251" i="1"/>
  <c r="L250" i="1"/>
  <c r="L249" i="1"/>
  <c r="L248" i="1"/>
  <c r="L247" i="1"/>
  <c r="K230" i="1"/>
  <c r="J230" i="1"/>
  <c r="L229" i="1"/>
  <c r="L230" i="1" s="1"/>
  <c r="K212" i="1"/>
  <c r="J212" i="1"/>
  <c r="L211" i="1"/>
  <c r="N211" i="1" s="1"/>
  <c r="J210" i="1"/>
  <c r="L210" i="1" s="1"/>
  <c r="L209" i="1"/>
  <c r="N209" i="1" s="1"/>
  <c r="L208" i="1"/>
  <c r="N208" i="1" s="1"/>
  <c r="L191" i="1"/>
  <c r="L190" i="1"/>
  <c r="L185" i="1" s="1"/>
  <c r="K190" i="1"/>
  <c r="J190" i="1"/>
  <c r="L189" i="1"/>
  <c r="L188" i="1"/>
  <c r="L187" i="1"/>
  <c r="L186" i="1"/>
  <c r="K166" i="1"/>
  <c r="J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66" i="1" s="1"/>
  <c r="K134" i="1"/>
  <c r="J134" i="1"/>
  <c r="L134" i="1" s="1"/>
  <c r="N134" i="1" s="1"/>
  <c r="I134" i="1"/>
  <c r="K133" i="1"/>
  <c r="K135" i="1" s="1"/>
  <c r="J133" i="1"/>
  <c r="L133" i="1" s="1"/>
  <c r="I133" i="1"/>
  <c r="L132" i="1"/>
  <c r="N132" i="1" s="1"/>
  <c r="K132" i="1"/>
  <c r="J132" i="1"/>
  <c r="I132" i="1"/>
  <c r="K114" i="1"/>
  <c r="J114" i="1"/>
  <c r="L114" i="1" s="1"/>
  <c r="N114" i="1" s="1"/>
  <c r="I114" i="1"/>
  <c r="K113" i="1"/>
  <c r="J113" i="1"/>
  <c r="L113" i="1" s="1"/>
  <c r="N113" i="1" s="1"/>
  <c r="I113" i="1"/>
  <c r="K112" i="1"/>
  <c r="J112" i="1"/>
  <c r="L112" i="1" s="1"/>
  <c r="N112" i="1" s="1"/>
  <c r="I112" i="1"/>
  <c r="K111" i="1"/>
  <c r="J111" i="1"/>
  <c r="L111" i="1" s="1"/>
  <c r="N111" i="1" s="1"/>
  <c r="I111" i="1"/>
  <c r="K110" i="1"/>
  <c r="J110" i="1"/>
  <c r="L110" i="1" s="1"/>
  <c r="N110" i="1" s="1"/>
  <c r="I110" i="1"/>
  <c r="K109" i="1"/>
  <c r="J109" i="1"/>
  <c r="L109" i="1" s="1"/>
  <c r="N109" i="1" s="1"/>
  <c r="I109" i="1"/>
  <c r="L108" i="1"/>
  <c r="N108" i="1" s="1"/>
  <c r="K108" i="1"/>
  <c r="J108" i="1"/>
  <c r="I108" i="1"/>
  <c r="K107" i="1"/>
  <c r="J107" i="1"/>
  <c r="L107" i="1" s="1"/>
  <c r="N107" i="1" s="1"/>
  <c r="I107" i="1"/>
  <c r="K106" i="1"/>
  <c r="J106" i="1"/>
  <c r="L106" i="1" s="1"/>
  <c r="N106" i="1" s="1"/>
  <c r="I106" i="1"/>
  <c r="K105" i="1"/>
  <c r="J105" i="1"/>
  <c r="L105" i="1" s="1"/>
  <c r="N105" i="1" s="1"/>
  <c r="I105" i="1"/>
  <c r="K104" i="1"/>
  <c r="L104" i="1" s="1"/>
  <c r="N104" i="1" s="1"/>
  <c r="J104" i="1"/>
  <c r="I104" i="1"/>
  <c r="K103" i="1"/>
  <c r="J103" i="1"/>
  <c r="L103" i="1" s="1"/>
  <c r="N103" i="1" s="1"/>
  <c r="I103" i="1"/>
  <c r="L102" i="1"/>
  <c r="N102" i="1" s="1"/>
  <c r="K102" i="1"/>
  <c r="J102" i="1"/>
  <c r="I102" i="1"/>
  <c r="L101" i="1"/>
  <c r="N101" i="1" s="1"/>
  <c r="K101" i="1"/>
  <c r="J101" i="1"/>
  <c r="I101" i="1"/>
  <c r="K100" i="1"/>
  <c r="J100" i="1"/>
  <c r="J98" i="1" s="1"/>
  <c r="I100" i="1"/>
  <c r="K99" i="1"/>
  <c r="K115" i="1" s="1"/>
  <c r="J99" i="1"/>
  <c r="J115" i="1" s="1"/>
  <c r="I99" i="1"/>
  <c r="R84" i="1"/>
  <c r="R83" i="1"/>
  <c r="R82" i="1"/>
  <c r="R81" i="1"/>
  <c r="Y80" i="1"/>
  <c r="R80" i="1"/>
  <c r="Q80" i="1"/>
  <c r="S80" i="1" s="1"/>
  <c r="K80" i="1"/>
  <c r="N80" i="1" s="1"/>
  <c r="J80" i="1"/>
  <c r="I80" i="1"/>
  <c r="R79" i="1"/>
  <c r="Y79" i="1" s="1"/>
  <c r="Q79" i="1"/>
  <c r="S79" i="1" s="1"/>
  <c r="N79" i="1"/>
  <c r="K79" i="1"/>
  <c r="J79" i="1"/>
  <c r="L79" i="1" s="1"/>
  <c r="I79" i="1"/>
  <c r="Q78" i="1"/>
  <c r="S78" i="1" s="1"/>
  <c r="K78" i="1"/>
  <c r="J78" i="1"/>
  <c r="N78" i="1" s="1"/>
  <c r="R78" i="1" s="1"/>
  <c r="Y78" i="1" s="1"/>
  <c r="I78" i="1"/>
  <c r="R77" i="1"/>
  <c r="Y77" i="1" s="1"/>
  <c r="Q77" i="1"/>
  <c r="S77" i="1" s="1"/>
  <c r="K77" i="1"/>
  <c r="J77" i="1"/>
  <c r="N77" i="1" s="1"/>
  <c r="I77" i="1"/>
  <c r="S76" i="1"/>
  <c r="Q76" i="1"/>
  <c r="K76" i="1"/>
  <c r="J76" i="1"/>
  <c r="P76" i="1" s="1"/>
  <c r="I76" i="1"/>
  <c r="Q75" i="1"/>
  <c r="S75" i="1" s="1"/>
  <c r="P75" i="1"/>
  <c r="R75" i="1" s="1"/>
  <c r="Y75" i="1" s="1"/>
  <c r="N75" i="1"/>
  <c r="L75" i="1"/>
  <c r="X75" i="1" s="1"/>
  <c r="K75" i="1"/>
  <c r="J75" i="1"/>
  <c r="I75" i="1"/>
  <c r="R74" i="1"/>
  <c r="Y74" i="1" s="1"/>
  <c r="Q74" i="1"/>
  <c r="S74" i="1" s="1"/>
  <c r="K74" i="1"/>
  <c r="J74" i="1"/>
  <c r="N74" i="1" s="1"/>
  <c r="I74" i="1"/>
  <c r="Q73" i="1"/>
  <c r="S73" i="1" s="1"/>
  <c r="K73" i="1"/>
  <c r="N73" i="1" s="1"/>
  <c r="R73" i="1" s="1"/>
  <c r="Y73" i="1" s="1"/>
  <c r="J73" i="1"/>
  <c r="I73" i="1"/>
  <c r="R72" i="1"/>
  <c r="Y72" i="1" s="1"/>
  <c r="Q72" i="1"/>
  <c r="S72" i="1" s="1"/>
  <c r="N72" i="1"/>
  <c r="K72" i="1"/>
  <c r="J72" i="1"/>
  <c r="L72" i="1" s="1"/>
  <c r="I72" i="1"/>
  <c r="R71" i="1"/>
  <c r="Y71" i="1" s="1"/>
  <c r="Q71" i="1"/>
  <c r="S71" i="1" s="1"/>
  <c r="K71" i="1"/>
  <c r="J71" i="1"/>
  <c r="L71" i="1" s="1"/>
  <c r="I71" i="1"/>
  <c r="Y70" i="1"/>
  <c r="R70" i="1"/>
  <c r="Q70" i="1"/>
  <c r="S70" i="1" s="1"/>
  <c r="K70" i="1"/>
  <c r="J70" i="1"/>
  <c r="N70" i="1" s="1"/>
  <c r="I70" i="1"/>
  <c r="R69" i="1"/>
  <c r="Y69" i="1" s="1"/>
  <c r="Q69" i="1"/>
  <c r="S69" i="1" s="1"/>
  <c r="K69" i="1"/>
  <c r="J69" i="1"/>
  <c r="N69" i="1" s="1"/>
  <c r="I69" i="1"/>
  <c r="R68" i="1"/>
  <c r="Y68" i="1" s="1"/>
  <c r="Q68" i="1"/>
  <c r="S68" i="1" s="1"/>
  <c r="K68" i="1"/>
  <c r="K67" i="1" s="1"/>
  <c r="J68" i="1"/>
  <c r="J67" i="1" s="1"/>
  <c r="I68" i="1"/>
  <c r="K48" i="1"/>
  <c r="J48" i="1"/>
  <c r="L48" i="1" s="1"/>
  <c r="I48" i="1"/>
  <c r="K47" i="1"/>
  <c r="J47" i="1"/>
  <c r="L47" i="1" s="1"/>
  <c r="I47" i="1"/>
  <c r="K46" i="1"/>
  <c r="J46" i="1"/>
  <c r="L46" i="1" s="1"/>
  <c r="I46" i="1"/>
  <c r="K45" i="1"/>
  <c r="J45" i="1"/>
  <c r="L45" i="1" s="1"/>
  <c r="I45" i="1"/>
  <c r="K44" i="1"/>
  <c r="J44" i="1"/>
  <c r="L44" i="1" s="1"/>
  <c r="I44" i="1"/>
  <c r="K43" i="1"/>
  <c r="J43" i="1"/>
  <c r="L43" i="1" s="1"/>
  <c r="I43" i="1"/>
  <c r="K42" i="1"/>
  <c r="J42" i="1"/>
  <c r="L42" i="1" s="1"/>
  <c r="I42" i="1"/>
  <c r="K41" i="1"/>
  <c r="J41" i="1"/>
  <c r="L41" i="1" s="1"/>
  <c r="I41" i="1"/>
  <c r="K40" i="1"/>
  <c r="J40" i="1"/>
  <c r="L40" i="1" s="1"/>
  <c r="I40" i="1"/>
  <c r="K39" i="1"/>
  <c r="J39" i="1"/>
  <c r="L39" i="1" s="1"/>
  <c r="I39" i="1"/>
  <c r="K38" i="1"/>
  <c r="J38" i="1"/>
  <c r="L38" i="1" s="1"/>
  <c r="I38" i="1"/>
  <c r="K37" i="1"/>
  <c r="J37" i="1"/>
  <c r="L37" i="1" s="1"/>
  <c r="I37" i="1"/>
  <c r="K36" i="1"/>
  <c r="K35" i="1" s="1"/>
  <c r="J36" i="1"/>
  <c r="J35" i="1" s="1"/>
  <c r="I36" i="1"/>
  <c r="K18" i="1"/>
  <c r="J18" i="1"/>
  <c r="L18" i="1" s="1"/>
  <c r="I18" i="1"/>
  <c r="K17" i="1"/>
  <c r="K19" i="1" s="1"/>
  <c r="G17" i="1"/>
  <c r="J17" i="1" s="1"/>
  <c r="K16" i="1"/>
  <c r="J16" i="1"/>
  <c r="L16" i="1" s="1"/>
  <c r="I16" i="1"/>
  <c r="K15" i="1"/>
  <c r="J15" i="1"/>
  <c r="L15" i="1" s="1"/>
  <c r="I15" i="1"/>
  <c r="K14" i="1"/>
  <c r="K13" i="1" s="1"/>
  <c r="J14" i="1"/>
  <c r="I14" i="1"/>
  <c r="N210" i="1" l="1"/>
  <c r="L212" i="1"/>
  <c r="X71" i="1"/>
  <c r="T71" i="1"/>
  <c r="N212" i="1"/>
  <c r="J19" i="1"/>
  <c r="L17" i="1"/>
  <c r="X72" i="1"/>
  <c r="T72" i="1"/>
  <c r="L151" i="1"/>
  <c r="D147" i="1" s="1"/>
  <c r="L167" i="1"/>
  <c r="L168" i="1" s="1"/>
  <c r="L169" i="1" s="1"/>
  <c r="L231" i="1"/>
  <c r="L228" i="1"/>
  <c r="L232" i="1"/>
  <c r="X79" i="1"/>
  <c r="T79" i="1"/>
  <c r="J13" i="1"/>
  <c r="L254" i="1"/>
  <c r="L255" i="1" s="1"/>
  <c r="L246" i="1"/>
  <c r="L131" i="1"/>
  <c r="N133" i="1"/>
  <c r="N135" i="1" s="1"/>
  <c r="L99" i="1"/>
  <c r="J81" i="1"/>
  <c r="L192" i="1"/>
  <c r="L78" i="1"/>
  <c r="L14" i="1"/>
  <c r="N71" i="1"/>
  <c r="L74" i="1"/>
  <c r="K49" i="1"/>
  <c r="T75" i="1"/>
  <c r="L100" i="1"/>
  <c r="N100" i="1" s="1"/>
  <c r="L36" i="1"/>
  <c r="L68" i="1"/>
  <c r="P81" i="1"/>
  <c r="L77" i="1"/>
  <c r="J131" i="1"/>
  <c r="L70" i="1"/>
  <c r="K131" i="1"/>
  <c r="L73" i="1"/>
  <c r="L80" i="1"/>
  <c r="J135" i="1"/>
  <c r="K81" i="1"/>
  <c r="N68" i="1"/>
  <c r="J49" i="1"/>
  <c r="L76" i="1"/>
  <c r="K98" i="1"/>
  <c r="L135" i="1"/>
  <c r="N76" i="1"/>
  <c r="R76" i="1" s="1"/>
  <c r="Y76" i="1" s="1"/>
  <c r="I17" i="1"/>
  <c r="R67" i="1"/>
  <c r="L69" i="1"/>
  <c r="N136" i="1" l="1"/>
  <c r="N137" i="1"/>
  <c r="L256" i="1"/>
  <c r="D242" i="1"/>
  <c r="L13" i="1"/>
  <c r="L19" i="1"/>
  <c r="L193" i="1"/>
  <c r="D181" i="1"/>
  <c r="T69" i="1"/>
  <c r="X69" i="1"/>
  <c r="N213" i="1"/>
  <c r="N214" i="1" s="1"/>
  <c r="N81" i="1"/>
  <c r="X78" i="1"/>
  <c r="T78" i="1"/>
  <c r="W78" i="1" s="1"/>
  <c r="X70" i="1"/>
  <c r="T70" i="1"/>
  <c r="X77" i="1"/>
  <c r="T77" i="1"/>
  <c r="P82" i="1"/>
  <c r="P83" i="1"/>
  <c r="L207" i="1"/>
  <c r="L213" i="1"/>
  <c r="L214" i="1" s="1"/>
  <c r="T76" i="1"/>
  <c r="X76" i="1"/>
  <c r="D224" i="1"/>
  <c r="L233" i="1"/>
  <c r="X74" i="1"/>
  <c r="T74" i="1"/>
  <c r="L67" i="1"/>
  <c r="T67" i="1" s="1"/>
  <c r="X68" i="1"/>
  <c r="T68" i="1"/>
  <c r="L81" i="1"/>
  <c r="T80" i="1"/>
  <c r="X80" i="1"/>
  <c r="T73" i="1"/>
  <c r="X73" i="1"/>
  <c r="N99" i="1"/>
  <c r="N115" i="1" s="1"/>
  <c r="L98" i="1"/>
  <c r="L115" i="1"/>
  <c r="L35" i="1"/>
  <c r="L49" i="1"/>
  <c r="L136" i="1"/>
  <c r="L137" i="1" s="1"/>
  <c r="L138" i="1" l="1"/>
  <c r="D127" i="1"/>
  <c r="L215" i="1"/>
  <c r="D203" i="1"/>
  <c r="X81" i="1"/>
  <c r="N82" i="1"/>
  <c r="N83" i="1" s="1"/>
  <c r="L50" i="1"/>
  <c r="L51" i="1" s="1"/>
  <c r="L116" i="1"/>
  <c r="L117" i="1" s="1"/>
  <c r="N116" i="1"/>
  <c r="N117" i="1" s="1"/>
  <c r="L20" i="1"/>
  <c r="L21" i="1" s="1"/>
  <c r="L82" i="1"/>
  <c r="T82" i="1" s="1"/>
  <c r="T81" i="1"/>
  <c r="L22" i="1" l="1"/>
  <c r="D9" i="1"/>
  <c r="L52" i="1"/>
  <c r="D31" i="1"/>
  <c r="D94" i="1"/>
  <c r="L118" i="1"/>
  <c r="X82" i="1"/>
  <c r="X83" i="1" s="1"/>
  <c r="X84" i="1" s="1"/>
  <c r="L83" i="1"/>
  <c r="D63" i="1" l="1"/>
  <c r="L84" i="1"/>
  <c r="T84" i="1" s="1"/>
  <c r="T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Косолапенкова Ольга Игоревна</author>
  </authors>
  <commentList>
    <comment ref="V78" authorId="0" shapeId="0" xr:uid="{5FF84C73-26CB-4E11-A9FB-DD28CF0A733E}">
      <text>
        <r>
          <rPr>
            <b/>
            <sz val="9"/>
            <color indexed="81"/>
            <rFont val="Tahoma"/>
            <family val="2"/>
            <charset val="204"/>
          </rPr>
          <t>Косолапенкова Ольга Игоревна:</t>
        </r>
        <r>
          <rPr>
            <sz val="9"/>
            <color indexed="81"/>
            <rFont val="Tahoma"/>
            <family val="2"/>
            <charset val="204"/>
          </rPr>
          <t xml:space="preserve">
Замена производителя и состава кровельной системы </t>
        </r>
      </text>
    </comment>
  </commentList>
</comments>
</file>

<file path=xl/sharedStrings.xml><?xml version="1.0" encoding="utf-8"?>
<sst xmlns="http://schemas.openxmlformats.org/spreadsheetml/2006/main" count="568" uniqueCount="199">
  <si>
    <t>ЛОКАЛЬНЫЙ СМЕТНЫЙ РАСЧЕТ № 2-13-1</t>
  </si>
  <si>
    <t>(локальная смета)</t>
  </si>
  <si>
    <t xml:space="preserve">на </t>
  </si>
  <si>
    <t>Цех разделки и обвалки (поз. 1.2.4 по ГП)Конструкции  ниже  отм. 0.000 (1 очередь)</t>
  </si>
  <si>
    <t>(наименование работ и затрат, наименование объекта)</t>
  </si>
  <si>
    <t>Основание: 06/1307/2017 -1.2.4-КЖ1</t>
  </si>
  <si>
    <t>Сметная стоимость _____________________________</t>
  </si>
  <si>
    <t>руб.</t>
  </si>
  <si>
    <t>Составлен(а) в текущих  ценах по состоянию на 14.08.2019 г.</t>
  </si>
  <si>
    <t>№ пп</t>
  </si>
  <si>
    <t>№ по сметному расчёт</t>
  </si>
  <si>
    <t>Наименование видов работ</t>
  </si>
  <si>
    <t>Разделение по блокам</t>
  </si>
  <si>
    <t>ед. изм</t>
  </si>
  <si>
    <t>кол-во</t>
  </si>
  <si>
    <t>ед. цена за материал, руб., вкл.НДС</t>
  </si>
  <si>
    <t>ед. цена за работу, руб., вкл.НДС</t>
  </si>
  <si>
    <t>ед. цена (мат.+ раб.) руб., вкл.НДС</t>
  </si>
  <si>
    <t>стоимость материалов, всего, руб., вкл.НДС</t>
  </si>
  <si>
    <t>стоиомсть работ, всего, руб., вкл.НДС</t>
  </si>
  <si>
    <t>стоимость, всего, руб., вкл.НДС</t>
  </si>
  <si>
    <t>2-13-1</t>
  </si>
  <si>
    <t>Конструкции  ниже  отм. 0.000 (1 очередь)</t>
  </si>
  <si>
    <t>2-13-1.1</t>
  </si>
  <si>
    <t xml:space="preserve"> обратная засыпка грунта с уплотнением (насыпь)</t>
  </si>
  <si>
    <t>1 блок</t>
  </si>
  <si>
    <t>компл.</t>
  </si>
  <si>
    <t>2-13-1.2</t>
  </si>
  <si>
    <t>песчаная подушка</t>
  </si>
  <si>
    <t>2-13-1.3</t>
  </si>
  <si>
    <t>устройство подбетонки, бетон В 7.5</t>
  </si>
  <si>
    <t>2-13-1.4</t>
  </si>
  <si>
    <t xml:space="preserve"> устройство  ж/б фундаментов (в том числе гидроизоляция, АКЗ), полов (в том числе ДШ), цоколей (в том числе утепление), приямков, каналов и пр.</t>
  </si>
  <si>
    <t>2-13-1.5</t>
  </si>
  <si>
    <t>устройство ж/б ростверков / фундаментных балок, фундаментов под оборудование, полов (в том числе гидроизоляция, АКЗ) и пр.</t>
  </si>
  <si>
    <t>ИТОГО по смете</t>
  </si>
  <si>
    <t>Временные здания и сооружения 1,37503655%</t>
  </si>
  <si>
    <t>ИТОГО</t>
  </si>
  <si>
    <t>в т.ч. НДС 20%</t>
  </si>
  <si>
    <t>ЛОКАЛЬНЫЙ СМЕТНЫЙ РАСЧЕТ № 2-13-2</t>
  </si>
  <si>
    <t>Цех разделки и обвалки (поз. 1.2.4 по ГП) Конструкции  выше  отм. 0.000 (2 очередь)</t>
  </si>
  <si>
    <t>Основание:</t>
  </si>
  <si>
    <t>2-13-2</t>
  </si>
  <si>
    <t>Конструкции выше отм. 0.000 (2 очередь)</t>
  </si>
  <si>
    <t>2-13-2.1</t>
  </si>
  <si>
    <t>устройство ж/б каркаса, колонны, ДЖ</t>
  </si>
  <si>
    <t>2-13-2.2</t>
  </si>
  <si>
    <t>устройство ж/б каркаса, плиты, Рм</t>
  </si>
  <si>
    <t>2-13-2.3</t>
  </si>
  <si>
    <t>устройство монолитных лестниц (в том числе м.п. ограждения  из нержавеющей стали АР.И)</t>
  </si>
  <si>
    <t>2-13-2.4</t>
  </si>
  <si>
    <t>ограждение</t>
  </si>
  <si>
    <t>2-13-2.5</t>
  </si>
  <si>
    <t xml:space="preserve"> -монтаж наружных стен  (утеплитель минвата)</t>
  </si>
  <si>
    <t>2-13-2.6</t>
  </si>
  <si>
    <t>сендвич панель 100мм, блоки СКЦ</t>
  </si>
  <si>
    <t>2-13-2.7</t>
  </si>
  <si>
    <t xml:space="preserve"> -монтаж внутренних перегородок  </t>
  </si>
  <si>
    <t>2-13-2.8</t>
  </si>
  <si>
    <t>сендвич панель 50мм</t>
  </si>
  <si>
    <t>2-13-2.9</t>
  </si>
  <si>
    <t>сендвич панель 100мм</t>
  </si>
  <si>
    <t>2-13-2.10</t>
  </si>
  <si>
    <t xml:space="preserve"> -монтаж кровли </t>
  </si>
  <si>
    <t>2-13-2.11</t>
  </si>
  <si>
    <t>Кровельная ПВХ мембрана LOGICROOF V-RP, армированная полиэтиленовой пленкой для систем смеханическим креплением (или аналог)    
Минераловатный утеплитель "ROCKWOOL ROOF BATTS B" (или аналог) - 100 мм     Уклонообразующий слой - плиты теплоизоляционные - min 20 мм     Минераловатный утеплитель "ROCKWOOL ROOF (или аналог) BATTS B" - 50 мм     Пленка пароизоляционная    
Профилированный лист Н75-0,8-750 ГОСТ 24045-2016. А также пешеходные дорожки, деформационные швы, водосточные системы, перемычки, примыкания</t>
  </si>
  <si>
    <t>2-13-2.12</t>
  </si>
  <si>
    <t xml:space="preserve"> Кровельная ПВХ мембрана LOGICROOF V-RP, армированная полиэтиленовой пленкой для систем с механическим креплением (или аналог)     
Минераловатный утеплитель "ROCKWOOL ROOF BATTS B" - 100 мм     Минераловатный утеплитель (или аналог) "ROCKWOOL ROOF BATTS B" (или аналог) - 50 мм     Уклонообразующий слой - плиты теплоизоляционные - min 20 мм     Пленка пароизоляционная ГОСТ 10354-82     
Железобетонная плита (см. раздел КЖ) - 250 мм.  А также пешеходные дорожки, деформационные швы, водосточные системы, перемычки, примыкания</t>
  </si>
  <si>
    <t>2-13-2.13</t>
  </si>
  <si>
    <t>Кровельная ПВХ мембрана LOGICROOF V-RP
армированная полиэтиленовой пленкой для систем
с механическим креплением (или аналог)
- Минераловатный утеплитель
"ROCKWOOL ROOF BATTS B"                                          - 100 мм                                 Уклонообразующий слой - плиты
теплоизоляционные                                                    -20-190мм
- Минераловатный утеплитель
"ROCKWOOL ROOF BATTS B"                                            - 50 мм
- Пленка пароизоляционная ГОСТ 10354-82 .  А также пешеходные дорожки, деформационные швы, водосточные системы, перемычки, примыкания</t>
  </si>
  <si>
    <t>СоЭ</t>
  </si>
  <si>
    <t>выполнено</t>
  </si>
  <si>
    <t>остаток</t>
  </si>
  <si>
    <t>снижение стоим.</t>
  </si>
  <si>
    <t>остаток с учетом удорож/удешевл</t>
  </si>
  <si>
    <t xml:space="preserve">сумма всего для ДС </t>
  </si>
  <si>
    <t>объем</t>
  </si>
  <si>
    <t>стоимость</t>
  </si>
  <si>
    <t>ЛОКАЛЬНЫЙ СМЕТНЫЙ РАСЧЕТ № 2-13-3</t>
  </si>
  <si>
    <t>Цех разделки и обвалки (поз. 1.2.4 по ГП) Архитектурные решения (2 очередь)</t>
  </si>
  <si>
    <t>Основание:  06/1307/2017 -1.2.4 АР</t>
  </si>
  <si>
    <t>2-13-3</t>
  </si>
  <si>
    <t>Архитектурные решения (2 очередь)</t>
  </si>
  <si>
    <t>2-13-3.1</t>
  </si>
  <si>
    <t>устройство пола</t>
  </si>
  <si>
    <t>2-13-3.2</t>
  </si>
  <si>
    <t>1.Полиуретан-цементное покрытие Ucrete UD 200 - 9 мм -    2.Железобетонная плита из бетона марки В25 (по уклону в местах расположения трапов) с двойным армированием 010, ячейка 200х200 - 200 мм
3.Гидроизоляция
4.Бетонная подготовка В15 - 100 мм 
5.Гидроизоляция-П/Э пленка 200 мкр в 2 слоя 
6.Основание - уплотненный крупнозернистый или среднезернистый песок (коэф. уплотн. 0,92) - 100 мм</t>
  </si>
  <si>
    <t>2-13-3.3</t>
  </si>
  <si>
    <t xml:space="preserve">Полиуретан-цементное покрытие
Ucrete UD 200  - 6 мм
- Железобетонная плита из бетона марки В25 (по
уклону в местах расположения трапов) с двойным
армированием Ø10, ячейка 200х200 - 200 мм
- Гидроизоляция
- Бетонная подготовка В15 - 100 мм
- Гидроизоляция-П/Э пленка 200 мкр в 2 слоя
- Основание - уплотненный крупнозернистый
или среднезернистый песок
(коэф. уплотн. 0,92) - 100 м  </t>
  </si>
  <si>
    <t>2-13-3.4</t>
  </si>
  <si>
    <t>Полиуретан-цементное покрытие
Ucrete DP 30 с высокой шероховатостью - 6 мм
- Железобетонная плита из бетона марки В25 (по
уклону в местах расположения трапов) с двойным
армированием Ø10, ячейка 200х200 - 200 мм
- Гидроизоляция
- Бетонная подготовка В15 - 100 мм
- Гидроизоляция-П/Э пленка 200 мкр в 2 слоя
- Основание - уплотненный крупнозернистый
или среднезернистый песок
(коэф. уплотн. 0,92) - 100 мм</t>
  </si>
  <si>
    <t>2-13-3.5</t>
  </si>
  <si>
    <t xml:space="preserve">Эпоксидное покрытие MasterTop 1273 - 2 мм </t>
  </si>
  <si>
    <t>2-13-3.6</t>
  </si>
  <si>
    <t>Наливное антистатическое полиуретановое
покрытие ESP 017 (или аналог) - 2 мм  ESP 8102AS</t>
  </si>
  <si>
    <t>2-13-3.7</t>
  </si>
  <si>
    <t>Эпоксидное покрытие MasterTop 1273 - 2 мм
- Стяжка цементно-песчаная В25 W6, армированная
∅8ВР5, ячейка 100 x 100 - 100 мм
- Полиэтиленовая плёнка 60 мкр
- Керамзит - 645 мм</t>
  </si>
  <si>
    <t>2-13-3.8</t>
  </si>
  <si>
    <t>Шлифовка бетона</t>
  </si>
  <si>
    <t>2-13-3.9</t>
  </si>
  <si>
    <t>Монтаж подвесного потолка</t>
  </si>
  <si>
    <t>2-13-3.10</t>
  </si>
  <si>
    <t>потолочная сендвич панель 100мм</t>
  </si>
  <si>
    <t>2-13-3.11</t>
  </si>
  <si>
    <t>Профилированный лист ГОСТ
24045-2016</t>
  </si>
  <si>
    <t>2-13-3.12</t>
  </si>
  <si>
    <t>отделка стен и перегородок штукатурка, грунтовка, шпатлевка,водоэмульсионная окраска</t>
  </si>
  <si>
    <t>2-13-3.13</t>
  </si>
  <si>
    <t>отделка колонн штукатурка, грунтовка, шпатлевка,водоэмульсионная окраска</t>
  </si>
  <si>
    <t>2-13-3.14</t>
  </si>
  <si>
    <t>известковая окраска водными растворами внутри помещений по штукатурке за 2раза. (грунтовка, шпатлевка, водоэмульсионная окраска потолка)</t>
  </si>
  <si>
    <t>2-13-3.15</t>
  </si>
  <si>
    <t>Алюминиевая витражная система с
двойным стеклопакетом</t>
  </si>
  <si>
    <t>2-13-3.16</t>
  </si>
  <si>
    <t>Монтаж дверей и ворот</t>
  </si>
  <si>
    <t>ЛОКАЛЬНЫЙ СМЕТНЫЙ РАСЧЕТ № 2-13-4</t>
  </si>
  <si>
    <t>Цех разделки и обвалкт (поз. 1.2.4 по ГП) Металлоконструкции (2 очередь)</t>
  </si>
  <si>
    <t>Основание: 06/1307/2017 -1.2.4-КМ</t>
  </si>
  <si>
    <t>2-13-4</t>
  </si>
  <si>
    <t>Металлоконструкции (2 очередь)</t>
  </si>
  <si>
    <t>2-13-4.1</t>
  </si>
  <si>
    <t>устройство металлического  каркаса (в том числе огрунтовка и покраска)</t>
  </si>
  <si>
    <t>2-13-4.2</t>
  </si>
  <si>
    <t xml:space="preserve">Из них  горячего цинкования </t>
  </si>
  <si>
    <t>2-13-4.3</t>
  </si>
  <si>
    <t>Огнезащита</t>
  </si>
  <si>
    <t>ЛОКАЛЬНЫЙ СМЕТНЫЙ РАСЧЕТ № 2-13-5</t>
  </si>
  <si>
    <t>Цех разделки и обвалки (поз. 1.2.4 по ГП) Водоснабжение и канализация (2 очередь)</t>
  </si>
  <si>
    <t>Основание:  06/1307/2017 -1.2.4-ВК</t>
  </si>
  <si>
    <t>№ по сметному расчету</t>
  </si>
  <si>
    <r>
      <t xml:space="preserve">ед. цена за </t>
    </r>
    <r>
      <rPr>
        <b/>
        <u/>
        <sz val="9"/>
        <rFont val="Times New Roman"/>
        <family val="1"/>
        <charset val="204"/>
      </rPr>
      <t>материал</t>
    </r>
    <r>
      <rPr>
        <sz val="9"/>
        <rFont val="Times New Roman"/>
        <family val="1"/>
        <charset val="204"/>
      </rPr>
      <t>, руб., вкл.НДС</t>
    </r>
  </si>
  <si>
    <r>
      <t xml:space="preserve">ед. цена за </t>
    </r>
    <r>
      <rPr>
        <b/>
        <u/>
        <sz val="9"/>
        <rFont val="Times New Roman"/>
        <family val="1"/>
        <charset val="204"/>
      </rPr>
      <t>работу</t>
    </r>
    <r>
      <rPr>
        <sz val="9"/>
        <rFont val="Times New Roman"/>
        <family val="1"/>
        <charset val="204"/>
      </rPr>
      <t>, руб., вкл.НДС</t>
    </r>
  </si>
  <si>
    <r>
      <t xml:space="preserve">стоимость </t>
    </r>
    <r>
      <rPr>
        <b/>
        <u/>
        <sz val="9"/>
        <rFont val="Times New Roman"/>
        <family val="1"/>
        <charset val="204"/>
      </rPr>
      <t>материалов</t>
    </r>
    <r>
      <rPr>
        <sz val="9"/>
        <rFont val="Times New Roman"/>
        <family val="1"/>
        <charset val="204"/>
      </rPr>
      <t>, всего, руб., вкл.НДС</t>
    </r>
  </si>
  <si>
    <r>
      <t xml:space="preserve">стоиомсть </t>
    </r>
    <r>
      <rPr>
        <b/>
        <u/>
        <sz val="9"/>
        <rFont val="Times New Roman"/>
        <family val="1"/>
        <charset val="204"/>
      </rPr>
      <t>работ</t>
    </r>
    <r>
      <rPr>
        <sz val="9"/>
        <rFont val="Times New Roman"/>
        <family val="1"/>
        <charset val="204"/>
      </rPr>
      <t>, всего, руб., вкл.НДС</t>
    </r>
  </si>
  <si>
    <t>2-13-5</t>
  </si>
  <si>
    <t>2 блок</t>
  </si>
  <si>
    <t>2-13-5.1</t>
  </si>
  <si>
    <t>Водопровод хозяйственно-питьевой, производственный (В1)</t>
  </si>
  <si>
    <t>2-13-5.2</t>
  </si>
  <si>
    <t>Трубопровод горячей воды, подающий (Т3)</t>
  </si>
  <si>
    <t>2-13-5.3</t>
  </si>
  <si>
    <t>Трубопровод горячей воды, обратный (Т4)</t>
  </si>
  <si>
    <t>2-13-5.4</t>
  </si>
  <si>
    <t>Трубопровод сжатого воздуха (А0)</t>
  </si>
  <si>
    <t>2-13-5.5</t>
  </si>
  <si>
    <t>Производственный водопровод для пенной мойки (В3)</t>
  </si>
  <si>
    <t>2-13-5.6</t>
  </si>
  <si>
    <t>Трубопровод пены (П)</t>
  </si>
  <si>
    <t>2-13-5.7</t>
  </si>
  <si>
    <t>Трубопровод дезинфекции (Д)</t>
  </si>
  <si>
    <t>2-13-5.8</t>
  </si>
  <si>
    <t>Канализация хозяйственно-бытовая (К1)</t>
  </si>
  <si>
    <t>2-13-5.9</t>
  </si>
  <si>
    <t>Канализация производственная, самотечная (К3)</t>
  </si>
  <si>
    <t>2-13-5.10</t>
  </si>
  <si>
    <t>Канализация незагрязненных сточных вод (К13) (подключение к К3)</t>
  </si>
  <si>
    <t>2-13-5.11</t>
  </si>
  <si>
    <t>Канализация производственная (условно-чистый сток) (К3.1)</t>
  </si>
  <si>
    <t>2-13-5.12</t>
  </si>
  <si>
    <t>Канализация незагрязненных сточных вод (К13) (подключение к К3.1)</t>
  </si>
  <si>
    <t>2-13-5.13</t>
  </si>
  <si>
    <t>Канализация незагрязненных сточных вод (К13) (подключение к К1)</t>
  </si>
  <si>
    <t>2-13-5.14</t>
  </si>
  <si>
    <t>Канализация дождевая (К2) (к схеме с выпуском К2-5)</t>
  </si>
  <si>
    <t>в т.ч.НДС 20%</t>
  </si>
  <si>
    <t>ЛОКАЛЬНЫЙ СМЕТНЫЙ РАСЧЕТ № 2-13-6</t>
  </si>
  <si>
    <t>Цех разделки и обвалки (поз. 1.2.4 по ГП)Отопление и вентиляция (2 очередь)</t>
  </si>
  <si>
    <t>2-13-6</t>
  </si>
  <si>
    <t>2-13-6.1</t>
  </si>
  <si>
    <t>Отопление</t>
  </si>
  <si>
    <t>2-13-6.2</t>
  </si>
  <si>
    <t>Теплоснабжение</t>
  </si>
  <si>
    <t>2-13-6.3</t>
  </si>
  <si>
    <t>Вентиляция</t>
  </si>
  <si>
    <t>2-13-6.4</t>
  </si>
  <si>
    <t>Кондиционирование</t>
  </si>
  <si>
    <t>ЛОКАЛЬНЫЙ СМЕТНЫЙ РАСЧЕТ № 2-13-7</t>
  </si>
  <si>
    <t>Цех разделки и обвалки (поз. 1.2.4 по ГП)Пожарная сигнализация (2 очередь)</t>
  </si>
  <si>
    <t>Основание:  06/1307/2017 -1.2.4-ПС</t>
  </si>
  <si>
    <t>2-13-7</t>
  </si>
  <si>
    <t>2-13-7.1</t>
  </si>
  <si>
    <t>Автоматическая система пожарной сигнализации</t>
  </si>
  <si>
    <t>ЛОКАЛЬНЫЙ СМЕТНЫЙ РАСЧЕТ № 2-13-8</t>
  </si>
  <si>
    <t>Цех разделки и обвалки (поз. 1.2.4 по ГП) Электромонтажные работы (2 очередь)</t>
  </si>
  <si>
    <t>Основание:  06/1307/2017 -2.13.8-ЭМО</t>
  </si>
  <si>
    <t>Сметная стоимость __________________________</t>
  </si>
  <si>
    <t>2-13-8</t>
  </si>
  <si>
    <t>2-13-8.1</t>
  </si>
  <si>
    <t>Электрощитовое оборудование</t>
  </si>
  <si>
    <t>2-13-8.2</t>
  </si>
  <si>
    <t>Кабельная продукция</t>
  </si>
  <si>
    <t>2-13-8.3</t>
  </si>
  <si>
    <t>Светотехническое оборудование</t>
  </si>
  <si>
    <t>2-13-8.4</t>
  </si>
  <si>
    <t>Электроустановочные изделия и материалы</t>
  </si>
  <si>
    <t>2-13-8.5</t>
  </si>
  <si>
    <t>Лотковая продукция</t>
  </si>
  <si>
    <t>2-13-8.6</t>
  </si>
  <si>
    <t>Электромонтажные изделия и материалы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</si>
</sst>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.00_р_._-;\-* #,##0.00_р_._-;_-* &quot;-&quot;??_р_._-;_-@_-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9"/>
      <name val="Arial"/>
      <family val="2"/>
      <charset val="204"/>
    </font>
    <font>
      <b/>
      <sz val="14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u/>
      <sz val="9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84">
    <xf numFmtId="0" fontId="0" fillId="0" borderId="0" xfId="0"/>
    <xf numFmtId="0" fontId="2" fillId="0" borderId="0" xfId="0" applyFont="1" applyAlignment="1">
      <alignment horizontal="center" vertical="top" wrapText="1"/>
    </xf>
    <xf numFmtId="49" fontId="3" fillId="0" borderId="0" xfId="0" applyNumberFormat="1" applyFont="1"/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49" fontId="6" fillId="0" borderId="0" xfId="0" applyNumberFormat="1" applyFont="1"/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right" vertical="top" wrapText="1"/>
    </xf>
    <xf numFmtId="49" fontId="7" fillId="0" borderId="1" xfId="0" applyNumberFormat="1" applyFont="1" applyBorder="1" applyAlignment="1">
      <alignment horizontal="left"/>
    </xf>
    <xf numFmtId="49" fontId="6" fillId="0" borderId="2" xfId="0" applyNumberFormat="1" applyFont="1" applyBorder="1"/>
    <xf numFmtId="0" fontId="6" fillId="0" borderId="2" xfId="0" applyFont="1" applyBorder="1" applyAlignment="1">
      <alignment horizontal="right" vertical="top"/>
    </xf>
    <xf numFmtId="0" fontId="8" fillId="0" borderId="2" xfId="0" applyFont="1" applyBorder="1" applyAlignment="1">
      <alignment horizontal="center" vertical="top"/>
    </xf>
    <xf numFmtId="0" fontId="6" fillId="0" borderId="0" xfId="0" applyFont="1"/>
    <xf numFmtId="49" fontId="6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4" fontId="7" fillId="0" borderId="0" xfId="0" applyNumberFormat="1" applyFont="1" applyAlignment="1">
      <alignment horizontal="center" vertical="top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9" fillId="0" borderId="3" xfId="0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left" vertical="center" wrapText="1"/>
    </xf>
    <xf numFmtId="49" fontId="9" fillId="0" borderId="3" xfId="0" applyNumberFormat="1" applyFont="1" applyBorder="1" applyAlignment="1">
      <alignment vertical="center" wrapText="1"/>
    </xf>
    <xf numFmtId="164" fontId="11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left" vertical="center" wrapText="1"/>
    </xf>
    <xf numFmtId="2" fontId="9" fillId="0" borderId="3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49" fontId="3" fillId="2" borderId="0" xfId="0" applyNumberFormat="1" applyFont="1" applyFill="1"/>
    <xf numFmtId="0" fontId="3" fillId="2" borderId="0" xfId="0" applyFont="1" applyFill="1" applyAlignment="1">
      <alignment horizontal="right" vertical="top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horizontal="center" vertical="top"/>
    </xf>
    <xf numFmtId="0" fontId="0" fillId="2" borderId="0" xfId="0" applyFill="1"/>
    <xf numFmtId="0" fontId="6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 vertical="top" wrapText="1"/>
    </xf>
    <xf numFmtId="49" fontId="6" fillId="2" borderId="0" xfId="0" applyNumberFormat="1" applyFont="1" applyFill="1"/>
    <xf numFmtId="0" fontId="6" fillId="2" borderId="0" xfId="0" applyFont="1" applyFill="1" applyAlignment="1">
      <alignment horizontal="right" vertical="top"/>
    </xf>
    <xf numFmtId="0" fontId="6" fillId="2" borderId="0" xfId="0" applyFont="1" applyFill="1" applyAlignment="1">
      <alignment horizontal="right" vertical="top" wrapText="1"/>
    </xf>
    <xf numFmtId="49" fontId="7" fillId="2" borderId="1" xfId="0" applyNumberFormat="1" applyFont="1" applyFill="1" applyBorder="1" applyAlignment="1">
      <alignment horizontal="left"/>
    </xf>
    <xf numFmtId="49" fontId="6" fillId="2" borderId="2" xfId="0" applyNumberFormat="1" applyFont="1" applyFill="1" applyBorder="1"/>
    <xf numFmtId="0" fontId="6" fillId="2" borderId="2" xfId="0" applyFont="1" applyFill="1" applyBorder="1" applyAlignment="1">
      <alignment horizontal="right" vertical="top"/>
    </xf>
    <xf numFmtId="0" fontId="8" fillId="2" borderId="2" xfId="0" applyFont="1" applyFill="1" applyBorder="1" applyAlignment="1">
      <alignment horizontal="center" vertical="top"/>
    </xf>
    <xf numFmtId="0" fontId="6" fillId="2" borderId="0" xfId="0" applyFont="1" applyFill="1"/>
    <xf numFmtId="49" fontId="6" fillId="2" borderId="0" xfId="0" applyNumberFormat="1" applyFont="1" applyFill="1" applyAlignment="1">
      <alignment horizontal="right" vertical="top"/>
    </xf>
    <xf numFmtId="0" fontId="2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top" wrapText="1"/>
    </xf>
    <xf numFmtId="4" fontId="7" fillId="2" borderId="0" xfId="0" applyNumberFormat="1" applyFont="1" applyFill="1" applyAlignment="1">
      <alignment horizontal="center" vertical="top"/>
    </xf>
    <xf numFmtId="49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9" fillId="2" borderId="3" xfId="0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 wrapText="1"/>
    </xf>
    <xf numFmtId="49" fontId="10" fillId="2" borderId="3" xfId="0" applyNumberFormat="1" applyFont="1" applyFill="1" applyBorder="1" applyAlignment="1">
      <alignment horizontal="center" vertical="center" wrapText="1"/>
    </xf>
    <xf numFmtId="49" fontId="10" fillId="2" borderId="3" xfId="0" applyNumberFormat="1" applyFont="1" applyFill="1" applyBorder="1" applyAlignment="1">
      <alignment horizontal="left" vertical="center" wrapText="1"/>
    </xf>
    <xf numFmtId="49" fontId="9" fillId="2" borderId="3" xfId="0" applyNumberFormat="1" applyFont="1" applyFill="1" applyBorder="1" applyAlignment="1">
      <alignment vertical="center" wrapText="1"/>
    </xf>
    <xf numFmtId="164" fontId="11" fillId="2" borderId="3" xfId="0" applyNumberFormat="1" applyFont="1" applyFill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left" vertical="center" wrapText="1"/>
    </xf>
    <xf numFmtId="2" fontId="9" fillId="2" borderId="3" xfId="0" applyNumberFormat="1" applyFont="1" applyFill="1" applyBorder="1" applyAlignment="1">
      <alignment horizontal="center" vertical="center" wrapText="1"/>
    </xf>
    <xf numFmtId="164" fontId="9" fillId="2" borderId="3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left" vertical="center"/>
    </xf>
    <xf numFmtId="164" fontId="9" fillId="2" borderId="3" xfId="0" applyNumberFormat="1" applyFont="1" applyFill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vertical="top"/>
    </xf>
    <xf numFmtId="0" fontId="12" fillId="4" borderId="0" xfId="0" applyFont="1" applyFill="1" applyAlignment="1">
      <alignment horizontal="center" vertical="center"/>
    </xf>
    <xf numFmtId="49" fontId="7" fillId="3" borderId="1" xfId="0" applyNumberFormat="1" applyFont="1" applyFill="1" applyBorder="1" applyAlignment="1">
      <alignment horizontal="left"/>
    </xf>
    <xf numFmtId="4" fontId="7" fillId="3" borderId="0" xfId="0" applyNumberFormat="1" applyFont="1" applyFill="1" applyAlignment="1">
      <alignment horizontal="center" vertical="top"/>
    </xf>
    <xf numFmtId="14" fontId="0" fillId="5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3" xfId="0" applyBorder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9" fontId="10" fillId="3" borderId="3" xfId="0" applyNumberFormat="1" applyFont="1" applyFill="1" applyBorder="1" applyAlignment="1">
      <alignment horizontal="center" vertical="center" wrapText="1"/>
    </xf>
    <xf numFmtId="49" fontId="10" fillId="3" borderId="3" xfId="0" applyNumberFormat="1" applyFont="1" applyFill="1" applyBorder="1" applyAlignment="1">
      <alignment horizontal="left" vertical="center" wrapText="1"/>
    </xf>
    <xf numFmtId="0" fontId="9" fillId="0" borderId="3" xfId="0" applyFont="1" applyBorder="1"/>
    <xf numFmtId="0" fontId="9" fillId="0" borderId="5" xfId="0" applyFont="1" applyBorder="1"/>
    <xf numFmtId="164" fontId="0" fillId="0" borderId="3" xfId="0" applyNumberFormat="1" applyBorder="1"/>
    <xf numFmtId="164" fontId="9" fillId="0" borderId="3" xfId="0" applyNumberFormat="1" applyFont="1" applyBorder="1"/>
    <xf numFmtId="2" fontId="9" fillId="0" borderId="5" xfId="0" applyNumberFormat="1" applyFont="1" applyBorder="1"/>
    <xf numFmtId="164" fontId="9" fillId="0" borderId="8" xfId="0" applyNumberFormat="1" applyFont="1" applyBorder="1"/>
    <xf numFmtId="164" fontId="0" fillId="0" borderId="0" xfId="0" applyNumberFormat="1"/>
    <xf numFmtId="49" fontId="9" fillId="6" borderId="3" xfId="0" applyNumberFormat="1" applyFont="1" applyFill="1" applyBorder="1" applyAlignment="1">
      <alignment horizontal="center" vertical="center" wrapText="1"/>
    </xf>
    <xf numFmtId="49" fontId="9" fillId="6" borderId="3" xfId="0" applyNumberFormat="1" applyFont="1" applyFill="1" applyBorder="1" applyAlignment="1">
      <alignment horizontal="left" vertical="center" wrapText="1"/>
    </xf>
    <xf numFmtId="2" fontId="9" fillId="6" borderId="3" xfId="0" applyNumberFormat="1" applyFont="1" applyFill="1" applyBorder="1" applyAlignment="1">
      <alignment horizontal="center" vertical="center" wrapText="1"/>
    </xf>
    <xf numFmtId="164" fontId="9" fillId="6" borderId="3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vertical="center"/>
    </xf>
    <xf numFmtId="164" fontId="9" fillId="0" borderId="3" xfId="0" applyNumberFormat="1" applyFont="1" applyBorder="1" applyAlignment="1">
      <alignment vertical="center"/>
    </xf>
    <xf numFmtId="2" fontId="9" fillId="6" borderId="5" xfId="0" applyNumberFormat="1" applyFont="1" applyFill="1" applyBorder="1" applyAlignment="1">
      <alignment vertical="center"/>
    </xf>
    <xf numFmtId="164" fontId="9" fillId="6" borderId="8" xfId="0" applyNumberFormat="1" applyFont="1" applyFill="1" applyBorder="1" applyAlignment="1">
      <alignment vertical="center"/>
    </xf>
    <xf numFmtId="0" fontId="0" fillId="6" borderId="0" xfId="0" applyFill="1" applyAlignment="1">
      <alignment vertical="center"/>
    </xf>
    <xf numFmtId="165" fontId="0" fillId="6" borderId="0" xfId="1" applyFont="1" applyFill="1" applyAlignment="1">
      <alignment vertical="center"/>
    </xf>
    <xf numFmtId="165" fontId="0" fillId="6" borderId="0" xfId="0" applyNumberFormat="1" applyFill="1" applyAlignment="1">
      <alignment vertical="center"/>
    </xf>
    <xf numFmtId="164" fontId="0" fillId="6" borderId="0" xfId="0" applyNumberFormat="1" applyFill="1" applyAlignment="1">
      <alignment vertical="center"/>
    </xf>
    <xf numFmtId="165" fontId="13" fillId="0" borderId="3" xfId="1" applyFont="1" applyBorder="1"/>
    <xf numFmtId="164" fontId="10" fillId="0" borderId="3" xfId="0" applyNumberFormat="1" applyFont="1" applyBorder="1"/>
    <xf numFmtId="164" fontId="10" fillId="0" borderId="8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5" fontId="0" fillId="0" borderId="0" xfId="0" applyNumberFormat="1"/>
    <xf numFmtId="49" fontId="6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right" vertical="top"/>
    </xf>
    <xf numFmtId="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right"/>
    </xf>
    <xf numFmtId="0" fontId="2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/>
    </xf>
    <xf numFmtId="4" fontId="16" fillId="0" borderId="3" xfId="0" applyNumberFormat="1" applyFont="1" applyBorder="1" applyAlignment="1">
      <alignment horizontal="center" vertical="center"/>
    </xf>
    <xf numFmtId="4" fontId="16" fillId="0" borderId="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top" wrapText="1"/>
    </xf>
    <xf numFmtId="4" fontId="16" fillId="0" borderId="3" xfId="0" applyNumberFormat="1" applyFont="1" applyBorder="1" applyAlignment="1">
      <alignment horizontal="center" vertical="center" wrapText="1"/>
    </xf>
    <xf numFmtId="4" fontId="16" fillId="0" borderId="4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49" fontId="6" fillId="2" borderId="0" xfId="0" applyNumberFormat="1" applyFont="1" applyFill="1" applyAlignment="1">
      <alignment horizontal="left"/>
    </xf>
    <xf numFmtId="0" fontId="6" fillId="2" borderId="1" xfId="0" applyFont="1" applyFill="1" applyBorder="1" applyAlignment="1">
      <alignment horizontal="right" vertical="top"/>
    </xf>
    <xf numFmtId="4" fontId="6" fillId="2" borderId="0" xfId="0" applyNumberFormat="1" applyFont="1" applyFill="1" applyAlignment="1">
      <alignment horizontal="left" vertical="top" wrapText="1"/>
    </xf>
    <xf numFmtId="0" fontId="6" fillId="2" borderId="0" xfId="0" applyFont="1" applyFill="1" applyAlignment="1">
      <alignment horizontal="right"/>
    </xf>
    <xf numFmtId="0" fontId="2" fillId="2" borderId="3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left" vertical="center" wrapText="1"/>
    </xf>
    <xf numFmtId="0" fontId="15" fillId="2" borderId="3" xfId="0" applyFont="1" applyFill="1" applyBorder="1" applyAlignment="1">
      <alignment horizontal="center" vertical="center" wrapText="1"/>
    </xf>
    <xf numFmtId="4" fontId="2" fillId="2" borderId="3" xfId="0" applyNumberFormat="1" applyFont="1" applyFill="1" applyBorder="1" applyAlignment="1">
      <alignment horizontal="center" vertical="center"/>
    </xf>
    <xf numFmtId="4" fontId="16" fillId="2" borderId="3" xfId="0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16" fillId="2" borderId="3" xfId="0" applyFont="1" applyFill="1" applyBorder="1" applyAlignment="1">
      <alignment horizontal="left" vertical="top" wrapText="1"/>
    </xf>
    <xf numFmtId="4" fontId="16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center" vertical="center"/>
    </xf>
    <xf numFmtId="4" fontId="6" fillId="0" borderId="0" xfId="0" applyNumberFormat="1" applyFont="1" applyAlignment="1">
      <alignment horizontal="left" vertical="top" wrapText="1"/>
    </xf>
    <xf numFmtId="0" fontId="15" fillId="0" borderId="3" xfId="0" applyFont="1" applyBorder="1" applyAlignment="1">
      <alignment horizontal="left" vertical="top"/>
    </xf>
    <xf numFmtId="0" fontId="17" fillId="0" borderId="3" xfId="0" applyFont="1" applyBorder="1" applyAlignment="1">
      <alignment horizontal="center" vertical="center"/>
    </xf>
    <xf numFmtId="0" fontId="15" fillId="6" borderId="3" xfId="0" applyFont="1" applyFill="1" applyBorder="1" applyAlignment="1">
      <alignment horizontal="left" vertical="top"/>
    </xf>
    <xf numFmtId="0" fontId="17" fillId="6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4" fontId="2" fillId="6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6652-68D0-4295-AE0E-03A6DCFBA7E0}">
  <dimension ref="A2:Y256"/>
  <sheetViews>
    <sheetView tabSelected="1" topLeftCell="A110" zoomScale="80" zoomScaleNormal="80" workbookViewId="0">
      <pane xSplit="12" topLeftCell="M1" activePane="topRight" state="frozen"/>
      <selection pane="topRight" activeCell="F209" sqref="F209"/>
    </sheetView>
  </sheetViews>
  <sheetFormatPr defaultRowHeight="14.5" outlineLevelRow="1" outlineLevelCol="1" x14ac:dyDescent="0.35"/>
  <cols>
    <col min="3" max="3" width="28.08984375" customWidth="1"/>
    <col min="4" max="4" width="13.36328125" customWidth="1"/>
    <col min="7" max="9" width="18.453125" hidden="1" customWidth="1" outlineLevel="1"/>
    <col min="10" max="10" width="18.453125" customWidth="1" collapsed="1"/>
    <col min="11" max="12" width="18.453125" customWidth="1"/>
    <col min="14" max="14" width="17.453125" customWidth="1"/>
    <col min="16" max="16" width="20.08984375" customWidth="1"/>
    <col min="17" max="17" width="25.453125" customWidth="1"/>
    <col min="18" max="18" width="25.1796875" customWidth="1"/>
    <col min="19" max="19" width="18.6328125" customWidth="1"/>
    <col min="20" max="20" width="19.54296875" customWidth="1"/>
    <col min="22" max="22" width="13.54296875" customWidth="1"/>
    <col min="25" max="25" width="22" customWidth="1"/>
  </cols>
  <sheetData>
    <row r="2" spans="1:12" ht="15" x14ac:dyDescent="0.35">
      <c r="A2" s="1"/>
      <c r="B2" s="2"/>
      <c r="C2" s="3"/>
      <c r="D2" s="3"/>
      <c r="E2" s="4" t="s">
        <v>0</v>
      </c>
      <c r="F2" s="4"/>
      <c r="G2" s="4"/>
      <c r="H2" s="4"/>
      <c r="I2" s="4"/>
      <c r="J2" s="5"/>
      <c r="K2" s="3"/>
      <c r="L2" s="3"/>
    </row>
    <row r="3" spans="1:12" x14ac:dyDescent="0.35">
      <c r="A3" s="1"/>
      <c r="B3" s="2"/>
      <c r="C3" s="3"/>
      <c r="D3" s="3"/>
      <c r="E3" s="3"/>
      <c r="F3" s="3"/>
      <c r="G3" s="6" t="s">
        <v>1</v>
      </c>
      <c r="H3" s="7"/>
      <c r="I3" s="8"/>
      <c r="J3" s="8"/>
      <c r="K3" s="3"/>
      <c r="L3" s="3"/>
    </row>
    <row r="4" spans="1:12" x14ac:dyDescent="0.35">
      <c r="A4" s="9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35">
      <c r="A5" s="12" t="s">
        <v>2</v>
      </c>
      <c r="B5" s="13" t="s">
        <v>3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35">
      <c r="A6" s="9"/>
      <c r="B6" s="14"/>
      <c r="C6" s="15"/>
      <c r="D6" s="15"/>
      <c r="E6" s="15"/>
      <c r="F6" s="15"/>
      <c r="G6" s="16" t="s">
        <v>4</v>
      </c>
      <c r="H6" s="12"/>
      <c r="I6" s="16"/>
      <c r="J6" s="16"/>
      <c r="K6" s="15"/>
      <c r="L6" s="11"/>
    </row>
    <row r="7" spans="1:12" x14ac:dyDescent="0.35">
      <c r="A7" s="17"/>
      <c r="B7" s="18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x14ac:dyDescent="0.35">
      <c r="A8" s="19"/>
      <c r="B8" s="20" t="s">
        <v>5</v>
      </c>
      <c r="C8" s="21"/>
      <c r="D8" s="21"/>
      <c r="E8" s="21"/>
      <c r="F8" s="21"/>
      <c r="G8" s="11"/>
      <c r="H8" s="11"/>
      <c r="I8" s="20"/>
      <c r="J8" s="20"/>
      <c r="K8" s="20"/>
      <c r="L8" s="11"/>
    </row>
    <row r="9" spans="1:12" x14ac:dyDescent="0.35">
      <c r="A9" s="6"/>
      <c r="B9" s="20" t="s">
        <v>6</v>
      </c>
      <c r="C9" s="21"/>
      <c r="D9" s="22">
        <f>L21</f>
        <v>22623345</v>
      </c>
      <c r="E9" s="22"/>
      <c r="F9" s="21" t="s">
        <v>7</v>
      </c>
      <c r="G9" s="23"/>
      <c r="H9" s="24"/>
      <c r="I9" s="20"/>
      <c r="J9" s="11"/>
      <c r="K9" s="20"/>
      <c r="L9" s="11"/>
    </row>
    <row r="10" spans="1:12" x14ac:dyDescent="0.35">
      <c r="A10" s="19"/>
      <c r="B10" s="17" t="s">
        <v>8</v>
      </c>
      <c r="C10" s="21"/>
      <c r="D10" s="21"/>
      <c r="E10" s="21"/>
      <c r="F10" s="21"/>
      <c r="G10" s="11"/>
      <c r="H10" s="11"/>
      <c r="I10" s="11"/>
      <c r="J10" s="11"/>
      <c r="K10" s="11"/>
      <c r="L10" s="11"/>
    </row>
    <row r="11" spans="1:12" ht="37.5" x14ac:dyDescent="0.35">
      <c r="A11" s="25" t="s">
        <v>9</v>
      </c>
      <c r="B11" s="26" t="s">
        <v>10</v>
      </c>
      <c r="C11" s="26" t="s">
        <v>11</v>
      </c>
      <c r="D11" s="26" t="s">
        <v>12</v>
      </c>
      <c r="E11" s="26" t="s">
        <v>13</v>
      </c>
      <c r="F11" s="26" t="s">
        <v>14</v>
      </c>
      <c r="G11" s="26" t="s">
        <v>15</v>
      </c>
      <c r="H11" s="26" t="s">
        <v>16</v>
      </c>
      <c r="I11" s="26" t="s">
        <v>17</v>
      </c>
      <c r="J11" s="26" t="s">
        <v>18</v>
      </c>
      <c r="K11" s="26" t="s">
        <v>19</v>
      </c>
      <c r="L11" s="26" t="s">
        <v>20</v>
      </c>
    </row>
    <row r="12" spans="1:12" x14ac:dyDescent="0.35">
      <c r="A12" s="25">
        <v>1</v>
      </c>
      <c r="B12" s="25">
        <v>2</v>
      </c>
      <c r="C12" s="25">
        <v>3</v>
      </c>
      <c r="D12" s="25">
        <v>4</v>
      </c>
      <c r="E12" s="25">
        <v>5</v>
      </c>
      <c r="F12" s="25">
        <v>6</v>
      </c>
      <c r="G12" s="25">
        <v>7</v>
      </c>
      <c r="H12" s="25">
        <v>8</v>
      </c>
      <c r="I12" s="25">
        <v>9</v>
      </c>
      <c r="J12" s="25">
        <v>10</v>
      </c>
      <c r="K12" s="25">
        <v>11</v>
      </c>
      <c r="L12" s="25">
        <v>12</v>
      </c>
    </row>
    <row r="13" spans="1:12" ht="26" x14ac:dyDescent="0.35">
      <c r="A13" s="27"/>
      <c r="B13" s="28" t="s">
        <v>21</v>
      </c>
      <c r="C13" s="29" t="s">
        <v>22</v>
      </c>
      <c r="D13" s="30"/>
      <c r="E13" s="30"/>
      <c r="F13" s="30"/>
      <c r="G13" s="31"/>
      <c r="H13" s="31"/>
      <c r="I13" s="31"/>
      <c r="J13" s="32">
        <f>SUM(J14:J18)</f>
        <v>12050901.99</v>
      </c>
      <c r="K13" s="32">
        <f>SUM(K14:K18)</f>
        <v>10265583.18</v>
      </c>
      <c r="L13" s="32">
        <f>SUM(L14:L18)</f>
        <v>22316485.170000002</v>
      </c>
    </row>
    <row r="14" spans="1:12" ht="25" x14ac:dyDescent="0.35">
      <c r="A14" s="27"/>
      <c r="B14" s="26" t="s">
        <v>23</v>
      </c>
      <c r="C14" s="33" t="s">
        <v>24</v>
      </c>
      <c r="D14" s="26" t="s">
        <v>25</v>
      </c>
      <c r="E14" s="26" t="s">
        <v>26</v>
      </c>
      <c r="F14" s="34">
        <v>1</v>
      </c>
      <c r="G14" s="35"/>
      <c r="H14" s="35">
        <v>934056.17</v>
      </c>
      <c r="I14" s="35">
        <f>SUM(G14:H14)</f>
        <v>934056.17</v>
      </c>
      <c r="J14" s="35">
        <f>G14*F14</f>
        <v>0</v>
      </c>
      <c r="K14" s="35">
        <f>H14*F14</f>
        <v>934056.17</v>
      </c>
      <c r="L14" s="35">
        <f>SUM(J14:K14)</f>
        <v>934056.17</v>
      </c>
    </row>
    <row r="15" spans="1:12" x14ac:dyDescent="0.35">
      <c r="A15" s="26"/>
      <c r="B15" s="26" t="s">
        <v>27</v>
      </c>
      <c r="C15" s="33" t="s">
        <v>28</v>
      </c>
      <c r="D15" s="26" t="s">
        <v>25</v>
      </c>
      <c r="E15" s="26" t="s">
        <v>26</v>
      </c>
      <c r="F15" s="34">
        <v>1</v>
      </c>
      <c r="G15" s="35">
        <v>242980.86</v>
      </c>
      <c r="H15" s="35">
        <v>204168.32000000001</v>
      </c>
      <c r="I15" s="35">
        <f>SUM(G15:H15)</f>
        <v>447149.18</v>
      </c>
      <c r="J15" s="35">
        <f>G15*F15</f>
        <v>242980.86</v>
      </c>
      <c r="K15" s="35">
        <f>H15*F15</f>
        <v>204168.32000000001</v>
      </c>
      <c r="L15" s="35">
        <f>SUM(J15:K15)</f>
        <v>447149.18</v>
      </c>
    </row>
    <row r="16" spans="1:12" ht="25" x14ac:dyDescent="0.35">
      <c r="A16" s="26"/>
      <c r="B16" s="26" t="s">
        <v>29</v>
      </c>
      <c r="C16" s="33" t="s">
        <v>30</v>
      </c>
      <c r="D16" s="26" t="s">
        <v>25</v>
      </c>
      <c r="E16" s="26" t="s">
        <v>26</v>
      </c>
      <c r="F16" s="34">
        <v>1</v>
      </c>
      <c r="G16" s="35">
        <v>1887887.6</v>
      </c>
      <c r="H16" s="35">
        <v>1586325.87</v>
      </c>
      <c r="I16" s="35">
        <f>SUM(G16:H16)</f>
        <v>3474213.47</v>
      </c>
      <c r="J16" s="35">
        <f>G16*F16</f>
        <v>1887887.6</v>
      </c>
      <c r="K16" s="35">
        <f>H16*F16</f>
        <v>1586325.87</v>
      </c>
      <c r="L16" s="35">
        <f>SUM(J16:K16)</f>
        <v>3474213.47</v>
      </c>
    </row>
    <row r="17" spans="1:12" ht="75" x14ac:dyDescent="0.35">
      <c r="A17" s="26"/>
      <c r="B17" s="26" t="s">
        <v>31</v>
      </c>
      <c r="C17" s="33" t="s">
        <v>32</v>
      </c>
      <c r="D17" s="26" t="s">
        <v>25</v>
      </c>
      <c r="E17" s="26" t="s">
        <v>26</v>
      </c>
      <c r="F17" s="34">
        <v>1</v>
      </c>
      <c r="G17" s="35">
        <f>7907620.85+1111620.94</f>
        <v>9019241.7899999991</v>
      </c>
      <c r="H17" s="35">
        <v>6784129.0499999998</v>
      </c>
      <c r="I17" s="35">
        <f>SUM(G17:H17)</f>
        <v>15803370.84</v>
      </c>
      <c r="J17" s="35">
        <f>G17*F17</f>
        <v>9019241.7899999991</v>
      </c>
      <c r="K17" s="35">
        <f>H17*F17</f>
        <v>6784129.0499999998</v>
      </c>
      <c r="L17" s="35">
        <f>SUM(J17:K17)</f>
        <v>15803370.84</v>
      </c>
    </row>
    <row r="18" spans="1:12" ht="75" x14ac:dyDescent="0.35">
      <c r="A18" s="26"/>
      <c r="B18" s="26" t="s">
        <v>33</v>
      </c>
      <c r="C18" s="33" t="s">
        <v>34</v>
      </c>
      <c r="D18" s="26" t="s">
        <v>25</v>
      </c>
      <c r="E18" s="26" t="s">
        <v>26</v>
      </c>
      <c r="F18" s="34">
        <v>1</v>
      </c>
      <c r="G18" s="35">
        <v>900791.74</v>
      </c>
      <c r="H18" s="35">
        <v>756903.77</v>
      </c>
      <c r="I18" s="35">
        <f>SUM(G18:H18)</f>
        <v>1657695.51</v>
      </c>
      <c r="J18" s="35">
        <f>G18*F18</f>
        <v>900791.74</v>
      </c>
      <c r="K18" s="35">
        <f>H18*F18</f>
        <v>756903.77</v>
      </c>
      <c r="L18" s="35">
        <f>SUM(J18:K18)</f>
        <v>1657695.51</v>
      </c>
    </row>
    <row r="19" spans="1:12" x14ac:dyDescent="0.35">
      <c r="A19" s="36"/>
      <c r="B19" s="37"/>
      <c r="C19" s="38" t="s">
        <v>35</v>
      </c>
      <c r="D19" s="37"/>
      <c r="E19" s="37"/>
      <c r="F19" s="37"/>
      <c r="G19" s="39"/>
      <c r="H19" s="39"/>
      <c r="I19" s="39"/>
      <c r="J19" s="40">
        <f>SUM(J17:J18)</f>
        <v>9920033.5299999993</v>
      </c>
      <c r="K19" s="40">
        <f>SUM(K17:K18)</f>
        <v>7541032.8200000003</v>
      </c>
      <c r="L19" s="40">
        <f>SUM(L14:L18)</f>
        <v>22316485.170000002</v>
      </c>
    </row>
    <row r="20" spans="1:12" x14ac:dyDescent="0.35">
      <c r="A20" s="36"/>
      <c r="B20" s="37"/>
      <c r="C20" s="38" t="s">
        <v>36</v>
      </c>
      <c r="D20" s="37"/>
      <c r="E20" s="37"/>
      <c r="F20" s="37"/>
      <c r="G20" s="39"/>
      <c r="H20" s="39"/>
      <c r="I20" s="39"/>
      <c r="J20" s="40"/>
      <c r="K20" s="40"/>
      <c r="L20" s="40">
        <f>ROUND(L19*0.01375036551451,2)</f>
        <v>306859.83</v>
      </c>
    </row>
    <row r="21" spans="1:12" x14ac:dyDescent="0.35">
      <c r="A21" s="36"/>
      <c r="B21" s="37"/>
      <c r="C21" s="38" t="s">
        <v>37</v>
      </c>
      <c r="D21" s="37"/>
      <c r="E21" s="37"/>
      <c r="F21" s="37"/>
      <c r="G21" s="39"/>
      <c r="H21" s="39"/>
      <c r="I21" s="39"/>
      <c r="J21" s="40"/>
      <c r="K21" s="40"/>
      <c r="L21" s="40">
        <f>L19+L20</f>
        <v>22623345</v>
      </c>
    </row>
    <row r="22" spans="1:12" x14ac:dyDescent="0.35">
      <c r="A22" s="36"/>
      <c r="B22" s="37"/>
      <c r="C22" s="38" t="s">
        <v>38</v>
      </c>
      <c r="D22" s="37"/>
      <c r="E22" s="37"/>
      <c r="F22" s="37"/>
      <c r="G22" s="39"/>
      <c r="H22" s="39"/>
      <c r="I22" s="39"/>
      <c r="J22" s="40"/>
      <c r="K22" s="40"/>
      <c r="L22" s="40">
        <f>ROUND(L21*20/120,2)</f>
        <v>3770557.5</v>
      </c>
    </row>
    <row r="24" spans="1:12" s="46" customFormat="1" ht="15" hidden="1" outlineLevel="1" x14ac:dyDescent="0.35">
      <c r="A24" s="41"/>
      <c r="B24" s="42"/>
      <c r="C24" s="43"/>
      <c r="D24" s="43"/>
      <c r="E24" s="44" t="s">
        <v>39</v>
      </c>
      <c r="F24" s="44"/>
      <c r="G24" s="44"/>
      <c r="H24" s="44"/>
      <c r="I24" s="44"/>
      <c r="J24" s="45"/>
      <c r="K24" s="43"/>
      <c r="L24" s="43"/>
    </row>
    <row r="25" spans="1:12" s="46" customFormat="1" hidden="1" outlineLevel="1" x14ac:dyDescent="0.35">
      <c r="A25" s="41"/>
      <c r="B25" s="42"/>
      <c r="C25" s="43"/>
      <c r="D25" s="43"/>
      <c r="E25" s="43"/>
      <c r="F25" s="43"/>
      <c r="G25" s="47" t="s">
        <v>1</v>
      </c>
      <c r="H25" s="48"/>
      <c r="I25" s="49"/>
      <c r="J25" s="49"/>
      <c r="K25" s="43"/>
      <c r="L25" s="43"/>
    </row>
    <row r="26" spans="1:12" s="46" customFormat="1" hidden="1" outlineLevel="1" x14ac:dyDescent="0.35">
      <c r="A26" s="50"/>
      <c r="B26" s="51"/>
      <c r="C26" s="52"/>
      <c r="D26" s="52"/>
      <c r="E26" s="52"/>
      <c r="F26" s="52"/>
      <c r="G26" s="52"/>
      <c r="H26" s="52"/>
      <c r="I26" s="52"/>
      <c r="J26" s="52"/>
      <c r="K26" s="52"/>
      <c r="L26" s="52"/>
    </row>
    <row r="27" spans="1:12" s="46" customFormat="1" hidden="1" outlineLevel="1" x14ac:dyDescent="0.35">
      <c r="A27" s="53" t="s">
        <v>2</v>
      </c>
      <c r="B27" s="54" t="s">
        <v>40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spans="1:12" s="46" customFormat="1" hidden="1" outlineLevel="1" x14ac:dyDescent="0.35">
      <c r="A28" s="50"/>
      <c r="B28" s="55"/>
      <c r="C28" s="56"/>
      <c r="D28" s="56"/>
      <c r="E28" s="56"/>
      <c r="F28" s="56"/>
      <c r="G28" s="57" t="s">
        <v>4</v>
      </c>
      <c r="H28" s="53"/>
      <c r="I28" s="57"/>
      <c r="J28" s="57"/>
      <c r="K28" s="56"/>
      <c r="L28" s="52"/>
    </row>
    <row r="29" spans="1:12" s="46" customFormat="1" hidden="1" outlineLevel="1" x14ac:dyDescent="0.35">
      <c r="A29" s="58"/>
      <c r="B29" s="59"/>
      <c r="C29" s="52"/>
      <c r="D29" s="52"/>
      <c r="E29" s="52"/>
      <c r="F29" s="52"/>
      <c r="G29" s="52"/>
      <c r="H29" s="52"/>
      <c r="I29" s="52"/>
      <c r="J29" s="52"/>
      <c r="K29" s="52"/>
      <c r="L29" s="52"/>
    </row>
    <row r="30" spans="1:12" s="46" customFormat="1" hidden="1" outlineLevel="1" x14ac:dyDescent="0.35">
      <c r="A30" s="60"/>
      <c r="B30" s="61" t="s">
        <v>41</v>
      </c>
      <c r="C30" s="62"/>
      <c r="D30" s="62"/>
      <c r="E30" s="62"/>
      <c r="F30" s="62"/>
      <c r="G30" s="52"/>
      <c r="H30" s="52"/>
      <c r="I30" s="61"/>
      <c r="J30" s="61"/>
      <c r="K30" s="61"/>
      <c r="L30" s="52"/>
    </row>
    <row r="31" spans="1:12" s="46" customFormat="1" hidden="1" outlineLevel="1" x14ac:dyDescent="0.35">
      <c r="A31" s="47"/>
      <c r="B31" s="61" t="s">
        <v>6</v>
      </c>
      <c r="C31" s="62"/>
      <c r="D31" s="63">
        <f>L51</f>
        <v>49931182.670000002</v>
      </c>
      <c r="E31" s="63"/>
      <c r="F31" s="62" t="s">
        <v>7</v>
      </c>
      <c r="G31" s="64"/>
      <c r="H31" s="65"/>
      <c r="I31" s="61"/>
      <c r="J31" s="52"/>
      <c r="K31" s="61"/>
      <c r="L31" s="52"/>
    </row>
    <row r="32" spans="1:12" s="46" customFormat="1" ht="15.75" hidden="1" customHeight="1" outlineLevel="1" x14ac:dyDescent="0.35">
      <c r="A32" s="60"/>
      <c r="B32" s="58" t="s">
        <v>8</v>
      </c>
      <c r="C32" s="62"/>
      <c r="D32" s="62"/>
      <c r="E32" s="62"/>
      <c r="F32" s="62"/>
      <c r="G32" s="52"/>
      <c r="H32" s="52"/>
      <c r="I32" s="52"/>
      <c r="J32" s="52"/>
      <c r="K32" s="52"/>
      <c r="L32" s="52"/>
    </row>
    <row r="33" spans="1:12" s="46" customFormat="1" ht="60" hidden="1" customHeight="1" outlineLevel="1" x14ac:dyDescent="0.35">
      <c r="A33" s="66" t="s">
        <v>9</v>
      </c>
      <c r="B33" s="67" t="s">
        <v>10</v>
      </c>
      <c r="C33" s="67" t="s">
        <v>11</v>
      </c>
      <c r="D33" s="67" t="s">
        <v>12</v>
      </c>
      <c r="E33" s="67" t="s">
        <v>13</v>
      </c>
      <c r="F33" s="67" t="s">
        <v>14</v>
      </c>
      <c r="G33" s="67" t="s">
        <v>15</v>
      </c>
      <c r="H33" s="67" t="s">
        <v>16</v>
      </c>
      <c r="I33" s="67" t="s">
        <v>17</v>
      </c>
      <c r="J33" s="67" t="s">
        <v>18</v>
      </c>
      <c r="K33" s="67" t="s">
        <v>19</v>
      </c>
      <c r="L33" s="67" t="s">
        <v>20</v>
      </c>
    </row>
    <row r="34" spans="1:12" s="46" customFormat="1" hidden="1" outlineLevel="1" x14ac:dyDescent="0.35">
      <c r="A34" s="66">
        <v>1</v>
      </c>
      <c r="B34" s="66">
        <v>2</v>
      </c>
      <c r="C34" s="66">
        <v>3</v>
      </c>
      <c r="D34" s="66">
        <v>4</v>
      </c>
      <c r="E34" s="66">
        <v>5</v>
      </c>
      <c r="F34" s="66">
        <v>6</v>
      </c>
      <c r="G34" s="66">
        <v>7</v>
      </c>
      <c r="H34" s="66">
        <v>8</v>
      </c>
      <c r="I34" s="66">
        <v>9</v>
      </c>
      <c r="J34" s="66">
        <v>10</v>
      </c>
      <c r="K34" s="66">
        <v>11</v>
      </c>
      <c r="L34" s="66">
        <v>12</v>
      </c>
    </row>
    <row r="35" spans="1:12" s="46" customFormat="1" ht="26" hidden="1" outlineLevel="1" x14ac:dyDescent="0.35">
      <c r="A35" s="68"/>
      <c r="B35" s="69" t="s">
        <v>42</v>
      </c>
      <c r="C35" s="70" t="s">
        <v>43</v>
      </c>
      <c r="D35" s="71"/>
      <c r="E35" s="71"/>
      <c r="F35" s="71"/>
      <c r="G35" s="72"/>
      <c r="H35" s="72"/>
      <c r="I35" s="72"/>
      <c r="J35" s="73">
        <f>SUM(J36:J48)</f>
        <v>37925520.879999995</v>
      </c>
      <c r="K35" s="73">
        <f>SUM(K36:K48)</f>
        <v>11328402.340000002</v>
      </c>
      <c r="L35" s="73">
        <f>SUM(L36:L48)</f>
        <v>49253923.219999999</v>
      </c>
    </row>
    <row r="36" spans="1:12" s="46" customFormat="1" ht="25" hidden="1" outlineLevel="1" x14ac:dyDescent="0.35">
      <c r="A36" s="68"/>
      <c r="B36" s="67" t="s">
        <v>44</v>
      </c>
      <c r="C36" s="74" t="s">
        <v>45</v>
      </c>
      <c r="D36" s="67" t="s">
        <v>25</v>
      </c>
      <c r="E36" s="67" t="s">
        <v>26</v>
      </c>
      <c r="F36" s="75">
        <v>1</v>
      </c>
      <c r="G36" s="76">
        <v>4065293.33</v>
      </c>
      <c r="H36" s="76">
        <v>1223925.1599999999</v>
      </c>
      <c r="I36" s="76">
        <f>SUM(G36:H36)</f>
        <v>5289218.49</v>
      </c>
      <c r="J36" s="76">
        <f t="shared" ref="J36:J48" si="0">G36*F36</f>
        <v>4065293.33</v>
      </c>
      <c r="K36" s="76">
        <f t="shared" ref="K36:K48" si="1">H36*F36</f>
        <v>1223925.1599999999</v>
      </c>
      <c r="L36" s="76">
        <f t="shared" ref="L36:L48" si="2">SUM(J36:K36)</f>
        <v>5289218.49</v>
      </c>
    </row>
    <row r="37" spans="1:12" s="46" customFormat="1" ht="25" hidden="1" outlineLevel="1" x14ac:dyDescent="0.35">
      <c r="A37" s="67"/>
      <c r="B37" s="67" t="s">
        <v>46</v>
      </c>
      <c r="C37" s="74" t="s">
        <v>47</v>
      </c>
      <c r="D37" s="67" t="s">
        <v>25</v>
      </c>
      <c r="E37" s="67" t="s">
        <v>26</v>
      </c>
      <c r="F37" s="75">
        <v>1</v>
      </c>
      <c r="G37" s="76">
        <v>6313836.4000000004</v>
      </c>
      <c r="H37" s="76">
        <v>1900886.99</v>
      </c>
      <c r="I37" s="76">
        <f t="shared" ref="I37:I48" si="3">SUM(G37:H37)</f>
        <v>8214723.3900000006</v>
      </c>
      <c r="J37" s="76">
        <f t="shared" si="0"/>
        <v>6313836.4000000004</v>
      </c>
      <c r="K37" s="76">
        <f t="shared" si="1"/>
        <v>1900886.99</v>
      </c>
      <c r="L37" s="76">
        <f t="shared" si="2"/>
        <v>8214723.3900000006</v>
      </c>
    </row>
    <row r="38" spans="1:12" s="46" customFormat="1" ht="37.5" hidden="1" outlineLevel="1" x14ac:dyDescent="0.35">
      <c r="A38" s="67"/>
      <c r="B38" s="67" t="s">
        <v>48</v>
      </c>
      <c r="C38" s="74" t="s">
        <v>49</v>
      </c>
      <c r="D38" s="67" t="s">
        <v>25</v>
      </c>
      <c r="E38" s="67" t="s">
        <v>26</v>
      </c>
      <c r="F38" s="75">
        <v>1</v>
      </c>
      <c r="G38" s="76">
        <v>458834.43</v>
      </c>
      <c r="H38" s="76">
        <v>138139.85</v>
      </c>
      <c r="I38" s="76">
        <f t="shared" si="3"/>
        <v>596974.28</v>
      </c>
      <c r="J38" s="76">
        <f t="shared" si="0"/>
        <v>458834.43</v>
      </c>
      <c r="K38" s="76">
        <f t="shared" si="1"/>
        <v>138139.85</v>
      </c>
      <c r="L38" s="76">
        <f t="shared" si="2"/>
        <v>596974.28</v>
      </c>
    </row>
    <row r="39" spans="1:12" s="46" customFormat="1" hidden="1" outlineLevel="1" x14ac:dyDescent="0.35">
      <c r="A39" s="67"/>
      <c r="B39" s="67" t="s">
        <v>50</v>
      </c>
      <c r="C39" s="74" t="s">
        <v>51</v>
      </c>
      <c r="D39" s="67" t="s">
        <v>25</v>
      </c>
      <c r="E39" s="67" t="s">
        <v>26</v>
      </c>
      <c r="F39" s="75">
        <v>1</v>
      </c>
      <c r="G39" s="76">
        <v>342232.16</v>
      </c>
      <c r="H39" s="76">
        <v>103034.77</v>
      </c>
      <c r="I39" s="76">
        <f t="shared" si="3"/>
        <v>445266.93</v>
      </c>
      <c r="J39" s="76">
        <f t="shared" si="0"/>
        <v>342232.16</v>
      </c>
      <c r="K39" s="76">
        <f t="shared" si="1"/>
        <v>103034.77</v>
      </c>
      <c r="L39" s="76">
        <f t="shared" si="2"/>
        <v>445266.93</v>
      </c>
    </row>
    <row r="40" spans="1:12" s="46" customFormat="1" ht="25" hidden="1" outlineLevel="1" x14ac:dyDescent="0.35">
      <c r="A40" s="67"/>
      <c r="B40" s="67" t="s">
        <v>52</v>
      </c>
      <c r="C40" s="74" t="s">
        <v>53</v>
      </c>
      <c r="D40" s="67" t="s">
        <v>25</v>
      </c>
      <c r="E40" s="67" t="s">
        <v>26</v>
      </c>
      <c r="F40" s="75">
        <v>1</v>
      </c>
      <c r="G40" s="76">
        <v>0</v>
      </c>
      <c r="H40" s="76">
        <v>0</v>
      </c>
      <c r="I40" s="76">
        <f t="shared" si="3"/>
        <v>0</v>
      </c>
      <c r="J40" s="76">
        <f t="shared" si="0"/>
        <v>0</v>
      </c>
      <c r="K40" s="76">
        <f t="shared" si="1"/>
        <v>0</v>
      </c>
      <c r="L40" s="76">
        <f t="shared" si="2"/>
        <v>0</v>
      </c>
    </row>
    <row r="41" spans="1:12" s="46" customFormat="1" ht="25" hidden="1" outlineLevel="1" x14ac:dyDescent="0.35">
      <c r="A41" s="67"/>
      <c r="B41" s="67" t="s">
        <v>54</v>
      </c>
      <c r="C41" s="74" t="s">
        <v>55</v>
      </c>
      <c r="D41" s="67" t="s">
        <v>25</v>
      </c>
      <c r="E41" s="67" t="s">
        <v>26</v>
      </c>
      <c r="F41" s="75">
        <v>1</v>
      </c>
      <c r="G41" s="76">
        <v>1965103.12</v>
      </c>
      <c r="H41" s="76">
        <v>591627.46</v>
      </c>
      <c r="I41" s="76">
        <f t="shared" si="3"/>
        <v>2556730.58</v>
      </c>
      <c r="J41" s="76">
        <f t="shared" si="0"/>
        <v>1965103.12</v>
      </c>
      <c r="K41" s="76">
        <f t="shared" si="1"/>
        <v>591627.46</v>
      </c>
      <c r="L41" s="76">
        <f t="shared" si="2"/>
        <v>2556730.58</v>
      </c>
    </row>
    <row r="42" spans="1:12" s="46" customFormat="1" ht="25" hidden="1" outlineLevel="1" x14ac:dyDescent="0.35">
      <c r="A42" s="67"/>
      <c r="B42" s="67" t="s">
        <v>56</v>
      </c>
      <c r="C42" s="74" t="s">
        <v>57</v>
      </c>
      <c r="D42" s="67" t="s">
        <v>25</v>
      </c>
      <c r="E42" s="67" t="s">
        <v>26</v>
      </c>
      <c r="F42" s="75">
        <v>1</v>
      </c>
      <c r="G42" s="76">
        <v>0</v>
      </c>
      <c r="H42" s="76">
        <v>0</v>
      </c>
      <c r="I42" s="76">
        <f t="shared" si="3"/>
        <v>0</v>
      </c>
      <c r="J42" s="76">
        <f t="shared" si="0"/>
        <v>0</v>
      </c>
      <c r="K42" s="76">
        <f t="shared" si="1"/>
        <v>0</v>
      </c>
      <c r="L42" s="76">
        <f t="shared" si="2"/>
        <v>0</v>
      </c>
    </row>
    <row r="43" spans="1:12" s="46" customFormat="1" hidden="1" outlineLevel="1" x14ac:dyDescent="0.35">
      <c r="A43" s="67"/>
      <c r="B43" s="67" t="s">
        <v>58</v>
      </c>
      <c r="C43" s="74" t="s">
        <v>59</v>
      </c>
      <c r="D43" s="67" t="s">
        <v>25</v>
      </c>
      <c r="E43" s="67" t="s">
        <v>26</v>
      </c>
      <c r="F43" s="75">
        <v>1</v>
      </c>
      <c r="G43" s="76">
        <v>2961702.3</v>
      </c>
      <c r="H43" s="76">
        <v>891670.46</v>
      </c>
      <c r="I43" s="76">
        <f t="shared" si="3"/>
        <v>3853372.76</v>
      </c>
      <c r="J43" s="76">
        <f t="shared" si="0"/>
        <v>2961702.3</v>
      </c>
      <c r="K43" s="76">
        <f t="shared" si="1"/>
        <v>891670.46</v>
      </c>
      <c r="L43" s="76">
        <f t="shared" si="2"/>
        <v>3853372.76</v>
      </c>
    </row>
    <row r="44" spans="1:12" s="46" customFormat="1" hidden="1" outlineLevel="1" x14ac:dyDescent="0.35">
      <c r="A44" s="67"/>
      <c r="B44" s="67" t="s">
        <v>60</v>
      </c>
      <c r="C44" s="74" t="s">
        <v>61</v>
      </c>
      <c r="D44" s="67" t="s">
        <v>25</v>
      </c>
      <c r="E44" s="67" t="s">
        <v>26</v>
      </c>
      <c r="F44" s="75">
        <v>1</v>
      </c>
      <c r="G44" s="76">
        <v>6690405.2599999998</v>
      </c>
      <c r="H44" s="76">
        <v>2014259.4</v>
      </c>
      <c r="I44" s="76">
        <f t="shared" si="3"/>
        <v>8704664.6600000001</v>
      </c>
      <c r="J44" s="76">
        <f t="shared" si="0"/>
        <v>6690405.2599999998</v>
      </c>
      <c r="K44" s="76">
        <f t="shared" si="1"/>
        <v>2014259.4</v>
      </c>
      <c r="L44" s="76">
        <f t="shared" si="2"/>
        <v>8704664.6600000001</v>
      </c>
    </row>
    <row r="45" spans="1:12" s="46" customFormat="1" hidden="1" outlineLevel="1" x14ac:dyDescent="0.35">
      <c r="A45" s="67"/>
      <c r="B45" s="67" t="s">
        <v>62</v>
      </c>
      <c r="C45" s="74" t="s">
        <v>63</v>
      </c>
      <c r="D45" s="67" t="s">
        <v>25</v>
      </c>
      <c r="E45" s="67" t="s">
        <v>26</v>
      </c>
      <c r="F45" s="75">
        <v>1</v>
      </c>
      <c r="G45" s="76">
        <v>0</v>
      </c>
      <c r="H45" s="76">
        <v>0</v>
      </c>
      <c r="I45" s="76">
        <f t="shared" si="3"/>
        <v>0</v>
      </c>
      <c r="J45" s="76">
        <f t="shared" si="0"/>
        <v>0</v>
      </c>
      <c r="K45" s="76">
        <f t="shared" si="1"/>
        <v>0</v>
      </c>
      <c r="L45" s="76">
        <f t="shared" si="2"/>
        <v>0</v>
      </c>
    </row>
    <row r="46" spans="1:12" s="46" customFormat="1" ht="275" hidden="1" outlineLevel="1" x14ac:dyDescent="0.35">
      <c r="A46" s="67"/>
      <c r="B46" s="67" t="s">
        <v>64</v>
      </c>
      <c r="C46" s="74" t="s">
        <v>65</v>
      </c>
      <c r="D46" s="67" t="s">
        <v>25</v>
      </c>
      <c r="E46" s="67" t="s">
        <v>26</v>
      </c>
      <c r="F46" s="75">
        <v>1</v>
      </c>
      <c r="G46" s="76">
        <v>14154484.229999999</v>
      </c>
      <c r="H46" s="76">
        <v>4171730.62</v>
      </c>
      <c r="I46" s="76">
        <f t="shared" si="3"/>
        <v>18326214.849999998</v>
      </c>
      <c r="J46" s="76">
        <f t="shared" si="0"/>
        <v>14154484.229999999</v>
      </c>
      <c r="K46" s="76">
        <f t="shared" si="1"/>
        <v>4171730.62</v>
      </c>
      <c r="L46" s="76">
        <f t="shared" si="2"/>
        <v>18326214.849999998</v>
      </c>
    </row>
    <row r="47" spans="1:12" s="46" customFormat="1" ht="287.5" hidden="1" outlineLevel="1" x14ac:dyDescent="0.35">
      <c r="A47" s="67"/>
      <c r="B47" s="67" t="s">
        <v>66</v>
      </c>
      <c r="C47" s="74" t="s">
        <v>67</v>
      </c>
      <c r="D47" s="67" t="s">
        <v>25</v>
      </c>
      <c r="E47" s="67" t="s">
        <v>26</v>
      </c>
      <c r="F47" s="75">
        <v>1</v>
      </c>
      <c r="G47" s="76">
        <v>43823.26</v>
      </c>
      <c r="H47" s="76">
        <v>13193.73</v>
      </c>
      <c r="I47" s="76">
        <f t="shared" si="3"/>
        <v>57016.990000000005</v>
      </c>
      <c r="J47" s="76">
        <f t="shared" si="0"/>
        <v>43823.26</v>
      </c>
      <c r="K47" s="76">
        <f t="shared" si="1"/>
        <v>13193.73</v>
      </c>
      <c r="L47" s="76">
        <f t="shared" si="2"/>
        <v>57016.990000000005</v>
      </c>
    </row>
    <row r="48" spans="1:12" s="46" customFormat="1" ht="275" hidden="1" outlineLevel="1" x14ac:dyDescent="0.35">
      <c r="A48" s="67"/>
      <c r="B48" s="67" t="s">
        <v>68</v>
      </c>
      <c r="C48" s="74" t="s">
        <v>69</v>
      </c>
      <c r="D48" s="67" t="s">
        <v>25</v>
      </c>
      <c r="E48" s="67" t="s">
        <v>26</v>
      </c>
      <c r="F48" s="75">
        <v>1</v>
      </c>
      <c r="G48" s="76">
        <v>929806.39</v>
      </c>
      <c r="H48" s="76">
        <v>279933.90000000002</v>
      </c>
      <c r="I48" s="76">
        <f t="shared" si="3"/>
        <v>1209740.29</v>
      </c>
      <c r="J48" s="76">
        <f t="shared" si="0"/>
        <v>929806.39</v>
      </c>
      <c r="K48" s="76">
        <f t="shared" si="1"/>
        <v>279933.90000000002</v>
      </c>
      <c r="L48" s="76">
        <f t="shared" si="2"/>
        <v>1209740.29</v>
      </c>
    </row>
    <row r="49" spans="1:12" s="46" customFormat="1" hidden="1" outlineLevel="1" x14ac:dyDescent="0.35">
      <c r="A49" s="77"/>
      <c r="B49" s="78"/>
      <c r="C49" s="79" t="s">
        <v>35</v>
      </c>
      <c r="D49" s="78"/>
      <c r="E49" s="78"/>
      <c r="F49" s="78"/>
      <c r="G49" s="80"/>
      <c r="H49" s="80"/>
      <c r="I49" s="80"/>
      <c r="J49" s="81">
        <f>SUM(J36:J48)</f>
        <v>37925520.879999995</v>
      </c>
      <c r="K49" s="81">
        <f>SUM(K36:K48)</f>
        <v>11328402.340000002</v>
      </c>
      <c r="L49" s="81">
        <f>SUM(L36:L48)</f>
        <v>49253923.219999999</v>
      </c>
    </row>
    <row r="50" spans="1:12" s="46" customFormat="1" hidden="1" outlineLevel="1" x14ac:dyDescent="0.35">
      <c r="A50" s="77"/>
      <c r="B50" s="78"/>
      <c r="C50" s="79" t="s">
        <v>36</v>
      </c>
      <c r="D50" s="78"/>
      <c r="E50" s="78"/>
      <c r="F50" s="78"/>
      <c r="G50" s="80"/>
      <c r="H50" s="80"/>
      <c r="I50" s="80"/>
      <c r="J50" s="81"/>
      <c r="K50" s="81"/>
      <c r="L50" s="81">
        <f>ROUND(L49*0.01375036551451,2)</f>
        <v>677259.45</v>
      </c>
    </row>
    <row r="51" spans="1:12" s="46" customFormat="1" hidden="1" outlineLevel="1" x14ac:dyDescent="0.35">
      <c r="A51" s="77"/>
      <c r="B51" s="78"/>
      <c r="C51" s="79" t="s">
        <v>37</v>
      </c>
      <c r="D51" s="78"/>
      <c r="E51" s="78"/>
      <c r="F51" s="78"/>
      <c r="G51" s="80"/>
      <c r="H51" s="80"/>
      <c r="I51" s="80"/>
      <c r="J51" s="81"/>
      <c r="K51" s="81"/>
      <c r="L51" s="81">
        <f>ROUND(L49+L50,2)</f>
        <v>49931182.670000002</v>
      </c>
    </row>
    <row r="52" spans="1:12" s="46" customFormat="1" hidden="1" outlineLevel="1" x14ac:dyDescent="0.35">
      <c r="A52" s="77"/>
      <c r="B52" s="78"/>
      <c r="C52" s="79" t="s">
        <v>38</v>
      </c>
      <c r="D52" s="78"/>
      <c r="E52" s="78"/>
      <c r="F52" s="78"/>
      <c r="G52" s="80"/>
      <c r="H52" s="80"/>
      <c r="I52" s="80"/>
      <c r="J52" s="81"/>
      <c r="K52" s="81"/>
      <c r="L52" s="81">
        <f>ROUND(L51*20/120,2)</f>
        <v>8321863.7800000003</v>
      </c>
    </row>
    <row r="53" spans="1:12" collapsed="1" x14ac:dyDescent="0.35"/>
    <row r="56" spans="1:12" ht="15" x14ac:dyDescent="0.35">
      <c r="A56" s="1"/>
      <c r="B56" s="2"/>
      <c r="C56" s="3"/>
      <c r="D56" s="3"/>
      <c r="E56" s="82" t="s">
        <v>39</v>
      </c>
      <c r="F56" s="82"/>
      <c r="G56" s="82"/>
      <c r="H56" s="82"/>
      <c r="I56" s="82"/>
      <c r="J56" s="5"/>
      <c r="K56" s="3"/>
      <c r="L56" s="3"/>
    </row>
    <row r="57" spans="1:12" ht="17.5" x14ac:dyDescent="0.35">
      <c r="A57" s="1"/>
      <c r="B57" s="2"/>
      <c r="C57" s="3"/>
      <c r="D57" s="3"/>
      <c r="E57" s="3"/>
      <c r="F57" s="3"/>
      <c r="G57" s="6" t="s">
        <v>1</v>
      </c>
      <c r="H57" s="7"/>
      <c r="I57" s="8"/>
      <c r="J57" s="8"/>
      <c r="K57" s="83" t="s">
        <v>70</v>
      </c>
      <c r="L57" s="3"/>
    </row>
    <row r="58" spans="1:12" x14ac:dyDescent="0.35">
      <c r="A58" s="9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</row>
    <row r="59" spans="1:12" x14ac:dyDescent="0.35">
      <c r="A59" s="12" t="s">
        <v>2</v>
      </c>
      <c r="B59" s="84" t="s">
        <v>40</v>
      </c>
      <c r="C59" s="84"/>
      <c r="D59" s="84"/>
      <c r="E59" s="84"/>
      <c r="F59" s="84"/>
      <c r="G59" s="84"/>
      <c r="H59" s="84"/>
      <c r="I59" s="84"/>
      <c r="J59" s="84"/>
      <c r="K59" s="84"/>
      <c r="L59" s="84"/>
    </row>
    <row r="60" spans="1:12" x14ac:dyDescent="0.35">
      <c r="A60" s="9"/>
      <c r="B60" s="14"/>
      <c r="C60" s="15"/>
      <c r="D60" s="15"/>
      <c r="E60" s="15"/>
      <c r="F60" s="15"/>
      <c r="G60" s="16" t="s">
        <v>4</v>
      </c>
      <c r="H60" s="12"/>
      <c r="I60" s="16"/>
      <c r="J60" s="16"/>
      <c r="K60" s="15"/>
      <c r="L60" s="11"/>
    </row>
    <row r="61" spans="1:12" x14ac:dyDescent="0.35">
      <c r="A61" s="17"/>
      <c r="B61" s="18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spans="1:12" x14ac:dyDescent="0.35">
      <c r="A62" s="19"/>
      <c r="B62" s="20" t="s">
        <v>41</v>
      </c>
      <c r="C62" s="21"/>
      <c r="D62" s="21"/>
      <c r="E62" s="21"/>
      <c r="F62" s="21"/>
      <c r="G62" s="11"/>
      <c r="H62" s="11"/>
      <c r="I62" s="20"/>
      <c r="J62" s="20"/>
      <c r="K62" s="20"/>
      <c r="L62" s="11"/>
    </row>
    <row r="63" spans="1:12" x14ac:dyDescent="0.35">
      <c r="A63" s="6"/>
      <c r="B63" s="20" t="s">
        <v>6</v>
      </c>
      <c r="C63" s="21"/>
      <c r="D63" s="85">
        <f>L83</f>
        <v>49668575.32</v>
      </c>
      <c r="E63" s="85"/>
      <c r="F63" s="21" t="s">
        <v>7</v>
      </c>
      <c r="G63" s="23"/>
      <c r="H63" s="24"/>
      <c r="I63" s="20"/>
      <c r="J63" s="11"/>
      <c r="K63" s="20"/>
      <c r="L63" s="11"/>
    </row>
    <row r="64" spans="1:12" ht="15" thickBot="1" x14ac:dyDescent="0.4">
      <c r="A64" s="19"/>
      <c r="B64" s="17" t="s">
        <v>8</v>
      </c>
      <c r="C64" s="21"/>
      <c r="D64" s="21"/>
      <c r="E64" s="21"/>
      <c r="F64" s="21"/>
      <c r="G64" s="11"/>
      <c r="H64" s="11"/>
      <c r="I64" s="11"/>
      <c r="J64" s="11"/>
      <c r="K64" s="11"/>
      <c r="L64" s="11"/>
    </row>
    <row r="65" spans="1:25" ht="58" x14ac:dyDescent="0.35">
      <c r="A65" s="25" t="s">
        <v>9</v>
      </c>
      <c r="B65" s="26" t="s">
        <v>10</v>
      </c>
      <c r="C65" s="26" t="s">
        <v>11</v>
      </c>
      <c r="D65" s="26" t="s">
        <v>12</v>
      </c>
      <c r="E65" s="26" t="s">
        <v>13</v>
      </c>
      <c r="F65" s="26" t="s">
        <v>14</v>
      </c>
      <c r="G65" s="26" t="s">
        <v>15</v>
      </c>
      <c r="H65" s="26" t="s">
        <v>16</v>
      </c>
      <c r="I65" s="26" t="s">
        <v>17</v>
      </c>
      <c r="J65" s="26" t="s">
        <v>18</v>
      </c>
      <c r="K65" s="26" t="s">
        <v>19</v>
      </c>
      <c r="L65" s="26" t="s">
        <v>20</v>
      </c>
      <c r="M65" s="86">
        <v>44479</v>
      </c>
      <c r="N65" s="87"/>
      <c r="O65" s="88">
        <v>44503</v>
      </c>
      <c r="P65" s="89"/>
      <c r="Q65" s="90" t="s">
        <v>71</v>
      </c>
      <c r="R65" s="90"/>
      <c r="S65" s="91" t="s">
        <v>72</v>
      </c>
      <c r="T65" s="92"/>
      <c r="V65" s="93" t="s">
        <v>73</v>
      </c>
      <c r="W65" s="93" t="s">
        <v>74</v>
      </c>
      <c r="X65" s="93" t="s">
        <v>75</v>
      </c>
    </row>
    <row r="66" spans="1:25" x14ac:dyDescent="0.35">
      <c r="A66" s="25">
        <v>1</v>
      </c>
      <c r="B66" s="25">
        <v>2</v>
      </c>
      <c r="C66" s="25">
        <v>3</v>
      </c>
      <c r="D66" s="25">
        <v>4</v>
      </c>
      <c r="E66" s="25">
        <v>5</v>
      </c>
      <c r="F66" s="25">
        <v>6</v>
      </c>
      <c r="G66" s="25">
        <v>7</v>
      </c>
      <c r="H66" s="25">
        <v>8</v>
      </c>
      <c r="I66" s="25">
        <v>9</v>
      </c>
      <c r="J66" s="25">
        <v>10</v>
      </c>
      <c r="K66" s="25">
        <v>11</v>
      </c>
      <c r="L66" s="25">
        <v>12</v>
      </c>
      <c r="M66" s="94"/>
      <c r="N66" s="94"/>
      <c r="O66" s="94"/>
      <c r="P66" s="94"/>
      <c r="Q66" s="95" t="s">
        <v>76</v>
      </c>
      <c r="R66" s="95" t="s">
        <v>77</v>
      </c>
      <c r="S66" s="96" t="s">
        <v>76</v>
      </c>
      <c r="T66" s="97" t="s">
        <v>77</v>
      </c>
    </row>
    <row r="67" spans="1:25" ht="26" x14ac:dyDescent="0.35">
      <c r="A67" s="27"/>
      <c r="B67" s="98" t="s">
        <v>42</v>
      </c>
      <c r="C67" s="99" t="s">
        <v>43</v>
      </c>
      <c r="D67" s="30"/>
      <c r="E67" s="30"/>
      <c r="F67" s="30"/>
      <c r="G67" s="31"/>
      <c r="H67" s="31"/>
      <c r="I67" s="31"/>
      <c r="J67" s="32">
        <f>SUM(J68:J80)</f>
        <v>37666475.5</v>
      </c>
      <c r="K67" s="32">
        <f>SUM(K68:K80)</f>
        <v>11328402.340000002</v>
      </c>
      <c r="L67" s="32">
        <f>SUM(L68:L80)</f>
        <v>48994877.840000004</v>
      </c>
      <c r="M67" s="94"/>
      <c r="N67" s="94"/>
      <c r="O67" s="94"/>
      <c r="P67" s="94"/>
      <c r="Q67" s="100"/>
      <c r="R67" s="32" t="e">
        <f>SUM(R68:R80)</f>
        <v>#REF!</v>
      </c>
      <c r="S67" s="101"/>
      <c r="T67" s="32" t="e">
        <f t="shared" ref="T67:T84" si="4">L67-R67</f>
        <v>#REF!</v>
      </c>
    </row>
    <row r="68" spans="1:25" ht="25" x14ac:dyDescent="0.35">
      <c r="A68" s="27"/>
      <c r="B68" s="26" t="s">
        <v>44</v>
      </c>
      <c r="C68" s="33" t="s">
        <v>45</v>
      </c>
      <c r="D68" s="26" t="s">
        <v>25</v>
      </c>
      <c r="E68" s="26" t="s">
        <v>26</v>
      </c>
      <c r="F68" s="34">
        <v>1</v>
      </c>
      <c r="G68" s="35">
        <v>4065293.33</v>
      </c>
      <c r="H68" s="35">
        <v>1223925.1599999999</v>
      </c>
      <c r="I68" s="35">
        <f>SUM(G68:H68)</f>
        <v>5289218.49</v>
      </c>
      <c r="J68" s="35">
        <f t="shared" ref="J68:J80" si="5">G68*F68</f>
        <v>4065293.33</v>
      </c>
      <c r="K68" s="35">
        <f t="shared" ref="K68:K80" si="6">H68*F68</f>
        <v>1223925.1599999999</v>
      </c>
      <c r="L68" s="35">
        <f t="shared" ref="L68:L80" si="7">SUM(J68:K68)</f>
        <v>5289218.49</v>
      </c>
      <c r="M68" s="94">
        <v>1</v>
      </c>
      <c r="N68" s="102">
        <f t="shared" ref="N68:N80" si="8">ROUND(M68*J68,2)+ROUND(K68*M68,2)</f>
        <v>5289218.49</v>
      </c>
      <c r="O68" s="94"/>
      <c r="P68" s="94"/>
      <c r="Q68" s="103" t="e">
        <f>#REF!+#REF!+#REF!+#REF!+#REF!+#REF!+#REF!+#REF!+#REF!+#REF!+#REF!</f>
        <v>#REF!</v>
      </c>
      <c r="R68" s="103" t="e">
        <f>#REF!+#REF!+#REF!+#REF!+#REF!+#REF!+#REF!+#REF!+#REF!+#REF!+#REF!</f>
        <v>#REF!</v>
      </c>
      <c r="S68" s="104" t="e">
        <f t="shared" ref="S68:S80" si="9">F68-Q68</f>
        <v>#REF!</v>
      </c>
      <c r="T68" s="105" t="e">
        <f t="shared" si="4"/>
        <v>#REF!</v>
      </c>
      <c r="X68" s="106">
        <f t="shared" ref="X68:X77" si="10">L68</f>
        <v>5289218.49</v>
      </c>
      <c r="Y68" s="106" t="e">
        <f>R68*1.0137503655</f>
        <v>#REF!</v>
      </c>
    </row>
    <row r="69" spans="1:25" ht="25" x14ac:dyDescent="0.35">
      <c r="A69" s="26"/>
      <c r="B69" s="26" t="s">
        <v>46</v>
      </c>
      <c r="C69" s="33" t="s">
        <v>47</v>
      </c>
      <c r="D69" s="26" t="s">
        <v>25</v>
      </c>
      <c r="E69" s="26" t="s">
        <v>26</v>
      </c>
      <c r="F69" s="34">
        <v>1</v>
      </c>
      <c r="G69" s="35">
        <v>6313836.4000000004</v>
      </c>
      <c r="H69" s="35">
        <v>1900886.99</v>
      </c>
      <c r="I69" s="35">
        <f t="shared" ref="I69:I80" si="11">SUM(G69:H69)</f>
        <v>8214723.3900000006</v>
      </c>
      <c r="J69" s="35">
        <f t="shared" si="5"/>
        <v>6313836.4000000004</v>
      </c>
      <c r="K69" s="35">
        <f t="shared" si="6"/>
        <v>1900886.99</v>
      </c>
      <c r="L69" s="35">
        <f t="shared" si="7"/>
        <v>8214723.3900000006</v>
      </c>
      <c r="M69" s="94">
        <v>0.97</v>
      </c>
      <c r="N69" s="102">
        <f t="shared" si="8"/>
        <v>7968281.6899999995</v>
      </c>
      <c r="O69" s="94"/>
      <c r="P69" s="94"/>
      <c r="Q69" s="103" t="e">
        <f>#REF!+#REF!+#REF!+#REF!+#REF!+#REF!+#REF!+#REF!+#REF!+#REF!</f>
        <v>#REF!</v>
      </c>
      <c r="R69" s="103" t="e">
        <f>#REF!+#REF!+#REF!+#REF!+#REF!+#REF!+#REF!+#REF!+#REF!+#REF!</f>
        <v>#REF!</v>
      </c>
      <c r="S69" s="104" t="e">
        <f t="shared" si="9"/>
        <v>#REF!</v>
      </c>
      <c r="T69" s="105" t="e">
        <f t="shared" si="4"/>
        <v>#REF!</v>
      </c>
      <c r="X69" s="106">
        <f t="shared" si="10"/>
        <v>8214723.3900000006</v>
      </c>
      <c r="Y69" s="106" t="e">
        <f t="shared" ref="Y69:Y80" si="12">R69*1.0137503655</f>
        <v>#REF!</v>
      </c>
    </row>
    <row r="70" spans="1:25" ht="37.5" x14ac:dyDescent="0.35">
      <c r="A70" s="26"/>
      <c r="B70" s="26" t="s">
        <v>48</v>
      </c>
      <c r="C70" s="33" t="s">
        <v>49</v>
      </c>
      <c r="D70" s="26" t="s">
        <v>25</v>
      </c>
      <c r="E70" s="26" t="s">
        <v>26</v>
      </c>
      <c r="F70" s="34">
        <v>1</v>
      </c>
      <c r="G70" s="35">
        <v>458834.43</v>
      </c>
      <c r="H70" s="35">
        <v>138139.85</v>
      </c>
      <c r="I70" s="35">
        <f t="shared" si="11"/>
        <v>596974.28</v>
      </c>
      <c r="J70" s="35">
        <f t="shared" si="5"/>
        <v>458834.43</v>
      </c>
      <c r="K70" s="35">
        <f t="shared" si="6"/>
        <v>138139.85</v>
      </c>
      <c r="L70" s="35">
        <f t="shared" si="7"/>
        <v>596974.28</v>
      </c>
      <c r="M70" s="94">
        <v>1</v>
      </c>
      <c r="N70" s="102">
        <f t="shared" si="8"/>
        <v>596974.28</v>
      </c>
      <c r="O70" s="94"/>
      <c r="P70" s="94"/>
      <c r="Q70" s="103" t="e">
        <f>#REF!+#REF!+#REF!+#REF!+#REF!+#REF!+#REF!+#REF!+#REF!+#REF!+#REF!</f>
        <v>#REF!</v>
      </c>
      <c r="R70" s="103" t="e">
        <f>#REF!+#REF!+#REF!+#REF!+#REF!+#REF!+#REF!+#REF!+#REF!+#REF!+#REF!</f>
        <v>#REF!</v>
      </c>
      <c r="S70" s="104" t="e">
        <f t="shared" si="9"/>
        <v>#REF!</v>
      </c>
      <c r="T70" s="105" t="e">
        <f t="shared" si="4"/>
        <v>#REF!</v>
      </c>
      <c r="X70" s="106">
        <f t="shared" si="10"/>
        <v>596974.28</v>
      </c>
      <c r="Y70" s="106" t="e">
        <f t="shared" si="12"/>
        <v>#REF!</v>
      </c>
    </row>
    <row r="71" spans="1:25" x14ac:dyDescent="0.35">
      <c r="A71" s="26"/>
      <c r="B71" s="26" t="s">
        <v>50</v>
      </c>
      <c r="C71" s="33" t="s">
        <v>51</v>
      </c>
      <c r="D71" s="26" t="s">
        <v>25</v>
      </c>
      <c r="E71" s="26" t="s">
        <v>26</v>
      </c>
      <c r="F71" s="34">
        <v>1</v>
      </c>
      <c r="G71" s="35">
        <v>342232.16</v>
      </c>
      <c r="H71" s="35">
        <v>103034.77</v>
      </c>
      <c r="I71" s="35">
        <f t="shared" si="11"/>
        <v>445266.93</v>
      </c>
      <c r="J71" s="35">
        <f t="shared" si="5"/>
        <v>342232.16</v>
      </c>
      <c r="K71" s="35">
        <f t="shared" si="6"/>
        <v>103034.77</v>
      </c>
      <c r="L71" s="35">
        <f t="shared" si="7"/>
        <v>445266.93</v>
      </c>
      <c r="M71" s="94">
        <v>0</v>
      </c>
      <c r="N71" s="102">
        <f t="shared" si="8"/>
        <v>0</v>
      </c>
      <c r="O71" s="94"/>
      <c r="P71" s="94"/>
      <c r="Q71" s="103" t="e">
        <f>#REF!+#REF!+#REF!+#REF!+#REF!+#REF!+#REF!+#REF!+#REF!+#REF!</f>
        <v>#REF!</v>
      </c>
      <c r="R71" s="103" t="e">
        <f>#REF!+#REF!+#REF!+#REF!+#REF!+#REF!+#REF!+#REF!+#REF!+#REF!</f>
        <v>#REF!</v>
      </c>
      <c r="S71" s="104" t="e">
        <f t="shared" si="9"/>
        <v>#REF!</v>
      </c>
      <c r="T71" s="105" t="e">
        <f t="shared" si="4"/>
        <v>#REF!</v>
      </c>
      <c r="X71" s="106">
        <f t="shared" si="10"/>
        <v>445266.93</v>
      </c>
      <c r="Y71" s="106" t="e">
        <f t="shared" si="12"/>
        <v>#REF!</v>
      </c>
    </row>
    <row r="72" spans="1:25" ht="25" x14ac:dyDescent="0.35">
      <c r="A72" s="26"/>
      <c r="B72" s="26" t="s">
        <v>52</v>
      </c>
      <c r="C72" s="33" t="s">
        <v>53</v>
      </c>
      <c r="D72" s="26" t="s">
        <v>25</v>
      </c>
      <c r="E72" s="26" t="s">
        <v>26</v>
      </c>
      <c r="F72" s="34">
        <v>1</v>
      </c>
      <c r="G72" s="35">
        <v>0</v>
      </c>
      <c r="H72" s="35">
        <v>0</v>
      </c>
      <c r="I72" s="35">
        <f t="shared" si="11"/>
        <v>0</v>
      </c>
      <c r="J72" s="35">
        <f t="shared" si="5"/>
        <v>0</v>
      </c>
      <c r="K72" s="35">
        <f t="shared" si="6"/>
        <v>0</v>
      </c>
      <c r="L72" s="35">
        <f t="shared" si="7"/>
        <v>0</v>
      </c>
      <c r="M72" s="94"/>
      <c r="N72" s="102">
        <f t="shared" si="8"/>
        <v>0</v>
      </c>
      <c r="O72" s="94"/>
      <c r="P72" s="94"/>
      <c r="Q72" s="103" t="e">
        <f>#REF!+#REF!+#REF!+#REF!+#REF!+#REF!+#REF!+#REF!+#REF!+#REF!</f>
        <v>#REF!</v>
      </c>
      <c r="R72" s="103" t="e">
        <f>#REF!+#REF!+#REF!+#REF!+#REF!+#REF!+#REF!+#REF!+#REF!+#REF!</f>
        <v>#REF!</v>
      </c>
      <c r="S72" s="104" t="e">
        <f t="shared" si="9"/>
        <v>#REF!</v>
      </c>
      <c r="T72" s="105" t="e">
        <f t="shared" si="4"/>
        <v>#REF!</v>
      </c>
      <c r="X72" s="106">
        <f t="shared" si="10"/>
        <v>0</v>
      </c>
      <c r="Y72" s="106" t="e">
        <f t="shared" si="12"/>
        <v>#REF!</v>
      </c>
    </row>
    <row r="73" spans="1:25" ht="42.75" customHeight="1" x14ac:dyDescent="0.35">
      <c r="A73" s="26"/>
      <c r="B73" s="26" t="s">
        <v>54</v>
      </c>
      <c r="C73" s="33" t="s">
        <v>55</v>
      </c>
      <c r="D73" s="26" t="s">
        <v>25</v>
      </c>
      <c r="E73" s="26" t="s">
        <v>26</v>
      </c>
      <c r="F73" s="34">
        <v>1</v>
      </c>
      <c r="G73" s="35">
        <v>1965103.12</v>
      </c>
      <c r="H73" s="35">
        <v>591627.46</v>
      </c>
      <c r="I73" s="35">
        <f t="shared" si="11"/>
        <v>2556730.58</v>
      </c>
      <c r="J73" s="35">
        <f t="shared" si="5"/>
        <v>1965103.12</v>
      </c>
      <c r="K73" s="35">
        <f t="shared" si="6"/>
        <v>591627.46</v>
      </c>
      <c r="L73" s="35">
        <f t="shared" si="7"/>
        <v>2556730.58</v>
      </c>
      <c r="M73" s="94">
        <v>1</v>
      </c>
      <c r="N73" s="102">
        <f t="shared" si="8"/>
        <v>2556730.58</v>
      </c>
      <c r="O73" s="94"/>
      <c r="P73" s="94"/>
      <c r="Q73" s="103" t="e">
        <f>#REF!+#REF!+#REF!+#REF!+#REF!+#REF!+#REF!+#REF!+#REF!+#REF!+#REF!+M73</f>
        <v>#REF!</v>
      </c>
      <c r="R73" s="103" t="e">
        <f>#REF!+#REF!+#REF!+#REF!+#REF!+#REF!+#REF!+#REF!+#REF!+#REF!+#REF!+N73</f>
        <v>#REF!</v>
      </c>
      <c r="S73" s="104" t="e">
        <f t="shared" si="9"/>
        <v>#REF!</v>
      </c>
      <c r="T73" s="105" t="e">
        <f t="shared" si="4"/>
        <v>#REF!</v>
      </c>
      <c r="X73" s="106">
        <f t="shared" si="10"/>
        <v>2556730.58</v>
      </c>
      <c r="Y73" s="106" t="e">
        <f t="shared" si="12"/>
        <v>#REF!</v>
      </c>
    </row>
    <row r="74" spans="1:25" ht="25" x14ac:dyDescent="0.35">
      <c r="A74" s="26"/>
      <c r="B74" s="26" t="s">
        <v>56</v>
      </c>
      <c r="C74" s="33" t="s">
        <v>57</v>
      </c>
      <c r="D74" s="26" t="s">
        <v>25</v>
      </c>
      <c r="E74" s="26" t="s">
        <v>26</v>
      </c>
      <c r="F74" s="34">
        <v>1</v>
      </c>
      <c r="G74" s="35">
        <v>0</v>
      </c>
      <c r="H74" s="35">
        <v>0</v>
      </c>
      <c r="I74" s="35">
        <f t="shared" si="11"/>
        <v>0</v>
      </c>
      <c r="J74" s="35">
        <f t="shared" si="5"/>
        <v>0</v>
      </c>
      <c r="K74" s="35">
        <f t="shared" si="6"/>
        <v>0</v>
      </c>
      <c r="L74" s="35">
        <f t="shared" si="7"/>
        <v>0</v>
      </c>
      <c r="M74" s="94"/>
      <c r="N74" s="102">
        <f t="shared" si="8"/>
        <v>0</v>
      </c>
      <c r="O74" s="94"/>
      <c r="P74" s="94"/>
      <c r="Q74" s="103" t="e">
        <f>#REF!+#REF!+#REF!+#REF!+#REF!+#REF!+#REF!+#REF!+#REF!+#REF!</f>
        <v>#REF!</v>
      </c>
      <c r="R74" s="103" t="e">
        <f>#REF!+#REF!+#REF!+#REF!+#REF!+#REF!+#REF!+#REF!+#REF!+#REF!</f>
        <v>#REF!</v>
      </c>
      <c r="S74" s="104" t="e">
        <f t="shared" si="9"/>
        <v>#REF!</v>
      </c>
      <c r="T74" s="105" t="e">
        <f t="shared" si="4"/>
        <v>#REF!</v>
      </c>
      <c r="X74" s="106">
        <f t="shared" si="10"/>
        <v>0</v>
      </c>
      <c r="Y74" s="106" t="e">
        <f t="shared" si="12"/>
        <v>#REF!</v>
      </c>
    </row>
    <row r="75" spans="1:25" x14ac:dyDescent="0.35">
      <c r="A75" s="26"/>
      <c r="B75" s="26" t="s">
        <v>58</v>
      </c>
      <c r="C75" s="33" t="s">
        <v>59</v>
      </c>
      <c r="D75" s="26" t="s">
        <v>25</v>
      </c>
      <c r="E75" s="26" t="s">
        <v>26</v>
      </c>
      <c r="F75" s="34">
        <v>1</v>
      </c>
      <c r="G75" s="35">
        <v>2961702.3</v>
      </c>
      <c r="H75" s="35">
        <v>891670.46</v>
      </c>
      <c r="I75" s="35">
        <f t="shared" si="11"/>
        <v>3853372.76</v>
      </c>
      <c r="J75" s="35">
        <f t="shared" si="5"/>
        <v>2961702.3</v>
      </c>
      <c r="K75" s="35">
        <f t="shared" si="6"/>
        <v>891670.46</v>
      </c>
      <c r="L75" s="35">
        <f t="shared" si="7"/>
        <v>3853372.76</v>
      </c>
      <c r="M75" s="94">
        <v>0.95</v>
      </c>
      <c r="N75" s="102">
        <f t="shared" si="8"/>
        <v>3660704.13</v>
      </c>
      <c r="O75" s="94">
        <v>0.7</v>
      </c>
      <c r="P75" s="102">
        <f>ROUND(O75*J75,2)+ROUND(K75*O75,2)</f>
        <v>2697360.93</v>
      </c>
      <c r="Q75" s="103" t="e">
        <f>#REF!+#REF!+#REF!+#REF!+#REF!+#REF!+#REF!+#REF!+#REF!+#REF!+#REF!+O75</f>
        <v>#REF!</v>
      </c>
      <c r="R75" s="103" t="e">
        <f>#REF!+#REF!+#REF!+#REF!+#REF!+#REF!+#REF!+#REF!+#REF!+#REF!+#REF!+P75</f>
        <v>#REF!</v>
      </c>
      <c r="S75" s="104" t="e">
        <f t="shared" si="9"/>
        <v>#REF!</v>
      </c>
      <c r="T75" s="105" t="e">
        <f t="shared" si="4"/>
        <v>#REF!</v>
      </c>
      <c r="X75" s="106">
        <f t="shared" si="10"/>
        <v>3853372.76</v>
      </c>
      <c r="Y75" s="106" t="e">
        <f t="shared" si="12"/>
        <v>#REF!</v>
      </c>
    </row>
    <row r="76" spans="1:25" x14ac:dyDescent="0.35">
      <c r="A76" s="26"/>
      <c r="B76" s="26" t="s">
        <v>60</v>
      </c>
      <c r="C76" s="33" t="s">
        <v>61</v>
      </c>
      <c r="D76" s="26" t="s">
        <v>25</v>
      </c>
      <c r="E76" s="26" t="s">
        <v>26</v>
      </c>
      <c r="F76" s="34">
        <v>1</v>
      </c>
      <c r="G76" s="35">
        <v>6690405.2599999998</v>
      </c>
      <c r="H76" s="35">
        <v>2014259.4</v>
      </c>
      <c r="I76" s="35">
        <f t="shared" si="11"/>
        <v>8704664.6600000001</v>
      </c>
      <c r="J76" s="35">
        <f t="shared" si="5"/>
        <v>6690405.2599999998</v>
      </c>
      <c r="K76" s="35">
        <f t="shared" si="6"/>
        <v>2014259.4</v>
      </c>
      <c r="L76" s="35">
        <f t="shared" si="7"/>
        <v>8704664.6600000001</v>
      </c>
      <c r="M76" s="94">
        <v>0.65</v>
      </c>
      <c r="N76" s="102">
        <f t="shared" si="8"/>
        <v>5658032.0300000003</v>
      </c>
      <c r="O76" s="94">
        <v>0.1</v>
      </c>
      <c r="P76" s="102">
        <f>ROUND(O76*J76,2)+ROUND(K76*O76,2)</f>
        <v>870466.47</v>
      </c>
      <c r="Q76" s="103" t="e">
        <f>#REF!+#REF!+#REF!+#REF!+#REF!+#REF!+#REF!+#REF!+#REF!+#REF!+#REF!+#REF!+#REF!+M76+O76</f>
        <v>#REF!</v>
      </c>
      <c r="R76" s="103" t="e">
        <f>#REF!+#REF!+#REF!+#REF!+#REF!+#REF!+#REF!+#REF!+#REF!+#REF!+#REF!+#REF!+#REF!+N76+P76</f>
        <v>#REF!</v>
      </c>
      <c r="S76" s="104" t="e">
        <f t="shared" si="9"/>
        <v>#REF!</v>
      </c>
      <c r="T76" s="105" t="e">
        <f t="shared" si="4"/>
        <v>#REF!</v>
      </c>
      <c r="X76" s="106">
        <f t="shared" si="10"/>
        <v>8704664.6600000001</v>
      </c>
      <c r="Y76" s="106" t="e">
        <f t="shared" si="12"/>
        <v>#REF!</v>
      </c>
    </row>
    <row r="77" spans="1:25" ht="33.75" customHeight="1" x14ac:dyDescent="0.35">
      <c r="A77" s="26"/>
      <c r="B77" s="26" t="s">
        <v>62</v>
      </c>
      <c r="C77" s="33" t="s">
        <v>63</v>
      </c>
      <c r="D77" s="26" t="s">
        <v>25</v>
      </c>
      <c r="E77" s="26" t="s">
        <v>26</v>
      </c>
      <c r="F77" s="34">
        <v>1</v>
      </c>
      <c r="G77" s="35">
        <v>0</v>
      </c>
      <c r="H77" s="35">
        <v>0</v>
      </c>
      <c r="I77" s="35">
        <f t="shared" si="11"/>
        <v>0</v>
      </c>
      <c r="J77" s="35">
        <f t="shared" si="5"/>
        <v>0</v>
      </c>
      <c r="K77" s="35">
        <f t="shared" si="6"/>
        <v>0</v>
      </c>
      <c r="L77" s="35">
        <f t="shared" si="7"/>
        <v>0</v>
      </c>
      <c r="M77" s="94">
        <v>0</v>
      </c>
      <c r="N77" s="102">
        <f t="shared" si="8"/>
        <v>0</v>
      </c>
      <c r="O77" s="94"/>
      <c r="P77" s="94"/>
      <c r="Q77" s="103" t="e">
        <f>#REF!+#REF!+#REF!+#REF!+#REF!+#REF!+#REF!+#REF!+#REF!+#REF!</f>
        <v>#REF!</v>
      </c>
      <c r="R77" s="103" t="e">
        <f>#REF!+#REF!+#REF!+#REF!+#REF!+#REF!+#REF!+#REF!+#REF!+#REF!</f>
        <v>#REF!</v>
      </c>
      <c r="S77" s="104" t="e">
        <f t="shared" si="9"/>
        <v>#REF!</v>
      </c>
      <c r="T77" s="105" t="e">
        <f t="shared" si="4"/>
        <v>#REF!</v>
      </c>
      <c r="X77" s="106">
        <f t="shared" si="10"/>
        <v>0</v>
      </c>
      <c r="Y77" s="106" t="e">
        <f t="shared" si="12"/>
        <v>#REF!</v>
      </c>
    </row>
    <row r="78" spans="1:25" s="115" customFormat="1" ht="275" x14ac:dyDescent="0.35">
      <c r="A78" s="107"/>
      <c r="B78" s="107" t="s">
        <v>64</v>
      </c>
      <c r="C78" s="108" t="s">
        <v>65</v>
      </c>
      <c r="D78" s="107" t="s">
        <v>25</v>
      </c>
      <c r="E78" s="107" t="s">
        <v>26</v>
      </c>
      <c r="F78" s="109">
        <v>1</v>
      </c>
      <c r="G78" s="110">
        <v>14154484.229999999</v>
      </c>
      <c r="H78" s="110">
        <v>4171730.62</v>
      </c>
      <c r="I78" s="110">
        <f t="shared" si="11"/>
        <v>18326214.849999998</v>
      </c>
      <c r="J78" s="110">
        <f>37666475.5-23771036.65</f>
        <v>13895438.850000001</v>
      </c>
      <c r="K78" s="110">
        <f t="shared" si="6"/>
        <v>4171730.62</v>
      </c>
      <c r="L78" s="110">
        <f t="shared" si="7"/>
        <v>18067169.470000003</v>
      </c>
      <c r="M78" s="111">
        <v>0.98</v>
      </c>
      <c r="N78" s="102">
        <f t="shared" si="8"/>
        <v>17705826.079999998</v>
      </c>
      <c r="O78" s="111"/>
      <c r="P78" s="111"/>
      <c r="Q78" s="112" t="e">
        <f>#REF!+#REF!+#REF!+#REF!+#REF!+#REF!+#REF!+#REF!+#REF!+#REF!+#REF!+#REF!+#REF!+#REF!+#REF!+#REF!+M78</f>
        <v>#REF!</v>
      </c>
      <c r="R78" s="112" t="e">
        <f>#REF!+#REF!+#REF!+#REF!+#REF!+#REF!+#REF!+#REF!+#REF!+#REF!+#REF!+#REF!+#REF!+#REF!+#REF!+#REF!+N78</f>
        <v>#REF!</v>
      </c>
      <c r="S78" s="113" t="e">
        <f t="shared" si="9"/>
        <v>#REF!</v>
      </c>
      <c r="T78" s="114" t="e">
        <f t="shared" si="4"/>
        <v>#REF!</v>
      </c>
      <c r="V78" s="116">
        <v>262607.34999999998</v>
      </c>
      <c r="W78" s="117" t="e">
        <f>T78-V78</f>
        <v>#REF!</v>
      </c>
      <c r="X78" s="118">
        <f>L78-V78</f>
        <v>17804562.120000001</v>
      </c>
      <c r="Y78" s="106" t="e">
        <f t="shared" si="12"/>
        <v>#REF!</v>
      </c>
    </row>
    <row r="79" spans="1:25" ht="287.5" x14ac:dyDescent="0.35">
      <c r="A79" s="26"/>
      <c r="B79" s="26" t="s">
        <v>66</v>
      </c>
      <c r="C79" s="33" t="s">
        <v>67</v>
      </c>
      <c r="D79" s="26" t="s">
        <v>25</v>
      </c>
      <c r="E79" s="26" t="s">
        <v>26</v>
      </c>
      <c r="F79" s="34">
        <v>1</v>
      </c>
      <c r="G79" s="35">
        <v>43823.26</v>
      </c>
      <c r="H79" s="35">
        <v>13193.73</v>
      </c>
      <c r="I79" s="35">
        <f t="shared" si="11"/>
        <v>57016.990000000005</v>
      </c>
      <c r="J79" s="35">
        <f t="shared" si="5"/>
        <v>43823.26</v>
      </c>
      <c r="K79" s="35">
        <f t="shared" si="6"/>
        <v>13193.73</v>
      </c>
      <c r="L79" s="35">
        <f>SUM(J79:K79)</f>
        <v>57016.990000000005</v>
      </c>
      <c r="M79" s="94">
        <v>1</v>
      </c>
      <c r="N79" s="102">
        <f t="shared" si="8"/>
        <v>57016.990000000005</v>
      </c>
      <c r="O79" s="94"/>
      <c r="P79" s="94"/>
      <c r="Q79" s="103" t="e">
        <f>#REF!+#REF!+#REF!+#REF!+#REF!+#REF!+#REF!+#REF!+#REF!+#REF!+#REF!+#REF!+#REF!</f>
        <v>#REF!</v>
      </c>
      <c r="R79" s="103" t="e">
        <f>#REF!+#REF!+#REF!+#REF!+#REF!+#REF!+#REF!+#REF!+#REF!+#REF!+#REF!+#REF!+#REF!</f>
        <v>#REF!</v>
      </c>
      <c r="S79" s="104" t="e">
        <f t="shared" si="9"/>
        <v>#REF!</v>
      </c>
      <c r="T79" s="105" t="e">
        <f t="shared" si="4"/>
        <v>#REF!</v>
      </c>
      <c r="X79" s="106">
        <f>L79</f>
        <v>57016.990000000005</v>
      </c>
      <c r="Y79" s="106" t="e">
        <f t="shared" si="12"/>
        <v>#REF!</v>
      </c>
    </row>
    <row r="80" spans="1:25" ht="275" x14ac:dyDescent="0.35">
      <c r="A80" s="26"/>
      <c r="B80" s="26" t="s">
        <v>68</v>
      </c>
      <c r="C80" s="33" t="s">
        <v>69</v>
      </c>
      <c r="D80" s="26" t="s">
        <v>25</v>
      </c>
      <c r="E80" s="26" t="s">
        <v>26</v>
      </c>
      <c r="F80" s="34">
        <v>1</v>
      </c>
      <c r="G80" s="35">
        <v>929806.39</v>
      </c>
      <c r="H80" s="35">
        <v>279933.90000000002</v>
      </c>
      <c r="I80" s="35">
        <f t="shared" si="11"/>
        <v>1209740.29</v>
      </c>
      <c r="J80" s="35">
        <f t="shared" si="5"/>
        <v>929806.39</v>
      </c>
      <c r="K80" s="35">
        <f t="shared" si="6"/>
        <v>279933.90000000002</v>
      </c>
      <c r="L80" s="35">
        <f t="shared" si="7"/>
        <v>1209740.29</v>
      </c>
      <c r="M80" s="94">
        <v>0.95</v>
      </c>
      <c r="N80" s="102">
        <f t="shared" si="8"/>
        <v>1149253.28</v>
      </c>
      <c r="O80" s="94"/>
      <c r="P80" s="94"/>
      <c r="Q80" s="103" t="e">
        <f>#REF!+#REF!+#REF!+#REF!+#REF!+#REF!+#REF!+#REF!+#REF!+#REF!+#REF!+#REF!+#REF!+#REF!+#REF!</f>
        <v>#REF!</v>
      </c>
      <c r="R80" s="103" t="e">
        <f>#REF!+#REF!+#REF!+#REF!+#REF!+#REF!+#REF!+#REF!+#REF!+#REF!+#REF!+#REF!+#REF!+#REF!+#REF!</f>
        <v>#REF!</v>
      </c>
      <c r="S80" s="104" t="e">
        <f t="shared" si="9"/>
        <v>#REF!</v>
      </c>
      <c r="T80" s="105" t="e">
        <f t="shared" si="4"/>
        <v>#REF!</v>
      </c>
      <c r="X80" s="106">
        <f>L80</f>
        <v>1209740.29</v>
      </c>
      <c r="Y80" s="106" t="e">
        <f t="shared" si="12"/>
        <v>#REF!</v>
      </c>
    </row>
    <row r="81" spans="1:24" x14ac:dyDescent="0.35">
      <c r="A81" s="36"/>
      <c r="B81" s="37"/>
      <c r="C81" s="38" t="s">
        <v>35</v>
      </c>
      <c r="D81" s="37"/>
      <c r="E81" s="37"/>
      <c r="F81" s="37"/>
      <c r="G81" s="39"/>
      <c r="H81" s="39"/>
      <c r="I81" s="39"/>
      <c r="J81" s="40">
        <f>SUM(J68:J80)</f>
        <v>37666475.5</v>
      </c>
      <c r="K81" s="40">
        <f>SUM(K68:K80)</f>
        <v>11328402.340000002</v>
      </c>
      <c r="L81" s="40">
        <f>SUM(L68:L80)</f>
        <v>48994877.840000004</v>
      </c>
      <c r="M81" s="94"/>
      <c r="N81" s="119">
        <f>SUM(N68:N80)</f>
        <v>44642037.550000004</v>
      </c>
      <c r="O81" s="94"/>
      <c r="P81" s="119">
        <f>SUM(P68:P80)</f>
        <v>3567827.4000000004</v>
      </c>
      <c r="Q81" s="100"/>
      <c r="R81" s="120" t="e">
        <f>#REF!+#REF!+#REF!+#REF!+#REF!+#REF!+#REF!+#REF!+#REF!+#REF!</f>
        <v>#REF!</v>
      </c>
      <c r="S81" s="104"/>
      <c r="T81" s="121" t="e">
        <f t="shared" si="4"/>
        <v>#REF!</v>
      </c>
      <c r="X81" s="40">
        <f>SUM(X68:X80)</f>
        <v>48732270.490000002</v>
      </c>
    </row>
    <row r="82" spans="1:24" x14ac:dyDescent="0.35">
      <c r="A82" s="36"/>
      <c r="B82" s="37"/>
      <c r="C82" s="38" t="s">
        <v>36</v>
      </c>
      <c r="D82" s="37"/>
      <c r="E82" s="37"/>
      <c r="F82" s="37"/>
      <c r="G82" s="39"/>
      <c r="H82" s="39"/>
      <c r="I82" s="39"/>
      <c r="J82" s="40"/>
      <c r="K82" s="40"/>
      <c r="L82" s="40">
        <f>ROUND(L81*0.01375036551451,2)</f>
        <v>673697.48</v>
      </c>
      <c r="M82" s="94"/>
      <c r="N82" s="119">
        <f>ROUND(N81*0.01375036551451,2)</f>
        <v>613844.32999999996</v>
      </c>
      <c r="O82" s="94"/>
      <c r="P82" s="119">
        <f>ROUND(P81*0.01375036551451,2)</f>
        <v>49058.93</v>
      </c>
      <c r="Q82" s="100"/>
      <c r="R82" s="120" t="e">
        <f>#REF!+#REF!+#REF!+#REF!+#REF!+#REF!+#REF!+#REF!+#REF!+#REF!</f>
        <v>#REF!</v>
      </c>
      <c r="S82" s="104"/>
      <c r="T82" s="121" t="e">
        <f t="shared" si="4"/>
        <v>#REF!</v>
      </c>
      <c r="X82" s="40">
        <f>ROUND(X81*0.01375036551451,2)</f>
        <v>670086.53</v>
      </c>
    </row>
    <row r="83" spans="1:24" x14ac:dyDescent="0.35">
      <c r="A83" s="36"/>
      <c r="B83" s="37"/>
      <c r="C83" s="38" t="s">
        <v>37</v>
      </c>
      <c r="D83" s="37"/>
      <c r="E83" s="37"/>
      <c r="F83" s="37"/>
      <c r="G83" s="39"/>
      <c r="H83" s="39"/>
      <c r="I83" s="39"/>
      <c r="J83" s="40"/>
      <c r="K83" s="40"/>
      <c r="L83" s="40">
        <f>ROUND(L81+L82,2)</f>
        <v>49668575.32</v>
      </c>
      <c r="M83" s="94"/>
      <c r="N83" s="119">
        <f>ROUND(N81+N82,2)</f>
        <v>45255881.880000003</v>
      </c>
      <c r="O83" s="94"/>
      <c r="P83" s="119">
        <f>ROUND(P81+P82,2)</f>
        <v>3616886.33</v>
      </c>
      <c r="Q83" s="100"/>
      <c r="R83" s="120" t="e">
        <f>#REF!+#REF!+#REF!+#REF!+#REF!+#REF!+#REF!+#REF!+#REF!+#REF!</f>
        <v>#REF!</v>
      </c>
      <c r="S83" s="104"/>
      <c r="T83" s="121" t="e">
        <f t="shared" si="4"/>
        <v>#REF!</v>
      </c>
      <c r="X83" s="40">
        <f>ROUND(X81+X82,2)</f>
        <v>49402357.020000003</v>
      </c>
    </row>
    <row r="84" spans="1:24" ht="15" thickBot="1" x14ac:dyDescent="0.4">
      <c r="A84" s="36"/>
      <c r="B84" s="37"/>
      <c r="C84" s="38" t="s">
        <v>38</v>
      </c>
      <c r="D84" s="37"/>
      <c r="E84" s="37"/>
      <c r="F84" s="37"/>
      <c r="G84" s="39"/>
      <c r="H84" s="39"/>
      <c r="I84" s="39"/>
      <c r="J84" s="40"/>
      <c r="K84" s="40"/>
      <c r="L84" s="40">
        <f>ROUND(L83*20/120,2)</f>
        <v>8278095.8899999997</v>
      </c>
      <c r="M84" s="94"/>
      <c r="N84" s="94"/>
      <c r="O84" s="94"/>
      <c r="P84" s="94"/>
      <c r="Q84" s="100"/>
      <c r="R84" s="120" t="e">
        <f>#REF!+#REF!+#REF!+#REF!+#REF!+#REF!+#REF!+#REF!+#REF!+#REF!</f>
        <v>#REF!</v>
      </c>
      <c r="S84" s="104"/>
      <c r="T84" s="122" t="e">
        <f t="shared" si="4"/>
        <v>#REF!</v>
      </c>
      <c r="X84" s="40">
        <f>ROUND(X83*20/120,2)</f>
        <v>8233726.1699999999</v>
      </c>
    </row>
    <row r="87" spans="1:24" ht="15" x14ac:dyDescent="0.35">
      <c r="A87" s="4" t="s">
        <v>78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24" x14ac:dyDescent="0.35">
      <c r="A88" s="1"/>
      <c r="B88" s="2"/>
      <c r="C88" s="3"/>
      <c r="D88" s="3"/>
      <c r="E88" s="3"/>
      <c r="F88" s="3"/>
      <c r="G88" s="6" t="s">
        <v>1</v>
      </c>
      <c r="H88" s="7"/>
      <c r="I88" s="8"/>
      <c r="J88" s="8"/>
      <c r="K88" s="3"/>
      <c r="L88" s="3"/>
    </row>
    <row r="89" spans="1:24" x14ac:dyDescent="0.35">
      <c r="A89" s="9"/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spans="1:24" x14ac:dyDescent="0.35">
      <c r="A90" s="12" t="s">
        <v>2</v>
      </c>
      <c r="B90" s="13" t="s">
        <v>79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 spans="1:24" x14ac:dyDescent="0.35">
      <c r="A91" s="9"/>
      <c r="B91" s="14"/>
      <c r="C91" s="15"/>
      <c r="D91" s="15"/>
      <c r="E91" s="15"/>
      <c r="F91" s="15"/>
      <c r="G91" s="16" t="s">
        <v>4</v>
      </c>
      <c r="H91" s="12"/>
      <c r="I91" s="16"/>
      <c r="J91" s="16"/>
      <c r="K91" s="15"/>
      <c r="L91" s="11"/>
    </row>
    <row r="92" spans="1:24" x14ac:dyDescent="0.35">
      <c r="A92" s="17"/>
      <c r="B92" s="18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spans="1:24" x14ac:dyDescent="0.35">
      <c r="A93" s="19"/>
      <c r="B93" s="20" t="s">
        <v>80</v>
      </c>
      <c r="C93" s="21"/>
      <c r="D93" s="21"/>
      <c r="E93" s="21"/>
      <c r="F93" s="21"/>
      <c r="G93" s="11"/>
      <c r="H93" s="11"/>
      <c r="I93" s="20"/>
      <c r="J93" s="20"/>
      <c r="K93" s="20"/>
      <c r="L93" s="11"/>
    </row>
    <row r="94" spans="1:24" x14ac:dyDescent="0.35">
      <c r="A94" s="6"/>
      <c r="B94" s="20" t="s">
        <v>6</v>
      </c>
      <c r="C94" s="21"/>
      <c r="D94" s="22">
        <f>L117</f>
        <v>66581950.549999997</v>
      </c>
      <c r="E94" s="22"/>
      <c r="F94" s="21" t="s">
        <v>7</v>
      </c>
      <c r="G94" s="23"/>
      <c r="H94" s="24"/>
      <c r="I94" s="20"/>
      <c r="J94" s="11"/>
      <c r="K94" s="20"/>
      <c r="L94" s="11"/>
    </row>
    <row r="95" spans="1:24" x14ac:dyDescent="0.35">
      <c r="A95" s="19"/>
      <c r="B95" s="17" t="s">
        <v>8</v>
      </c>
      <c r="C95" s="21"/>
      <c r="D95" s="21"/>
      <c r="E95" s="21"/>
      <c r="F95" s="21"/>
      <c r="G95" s="11"/>
      <c r="H95" s="11"/>
      <c r="I95" s="11"/>
      <c r="J95" s="11"/>
      <c r="K95" s="11"/>
      <c r="L95" s="11"/>
    </row>
    <row r="96" spans="1:24" ht="37.5" x14ac:dyDescent="0.35">
      <c r="A96" s="25" t="s">
        <v>9</v>
      </c>
      <c r="B96" s="26" t="s">
        <v>10</v>
      </c>
      <c r="C96" s="26" t="s">
        <v>11</v>
      </c>
      <c r="D96" s="26" t="s">
        <v>12</v>
      </c>
      <c r="E96" s="26" t="s">
        <v>13</v>
      </c>
      <c r="F96" s="26" t="s">
        <v>14</v>
      </c>
      <c r="G96" s="26" t="s">
        <v>15</v>
      </c>
      <c r="H96" s="26" t="s">
        <v>16</v>
      </c>
      <c r="I96" s="26" t="s">
        <v>17</v>
      </c>
      <c r="J96" s="26" t="s">
        <v>18</v>
      </c>
      <c r="K96" s="26" t="s">
        <v>19</v>
      </c>
      <c r="L96" s="26" t="s">
        <v>20</v>
      </c>
    </row>
    <row r="97" spans="1:14" x14ac:dyDescent="0.35">
      <c r="A97" s="25">
        <v>1</v>
      </c>
      <c r="B97" s="25">
        <v>2</v>
      </c>
      <c r="C97" s="25">
        <v>3</v>
      </c>
      <c r="D97" s="25">
        <v>4</v>
      </c>
      <c r="E97" s="25">
        <v>5</v>
      </c>
      <c r="F97" s="25">
        <v>6</v>
      </c>
      <c r="G97" s="25">
        <v>7</v>
      </c>
      <c r="H97" s="25">
        <v>8</v>
      </c>
      <c r="I97" s="25">
        <v>9</v>
      </c>
      <c r="J97" s="25">
        <v>10</v>
      </c>
      <c r="K97" s="25">
        <v>11</v>
      </c>
      <c r="L97" s="25">
        <v>12</v>
      </c>
    </row>
    <row r="98" spans="1:14" ht="26" x14ac:dyDescent="0.35">
      <c r="A98" s="27"/>
      <c r="B98" s="28" t="s">
        <v>81</v>
      </c>
      <c r="C98" s="29" t="s">
        <v>82</v>
      </c>
      <c r="D98" s="30"/>
      <c r="E98" s="30"/>
      <c r="F98" s="30"/>
      <c r="G98" s="31"/>
      <c r="H98" s="31"/>
      <c r="I98" s="31"/>
      <c r="J98" s="32">
        <f>SUM(J99:J114)</f>
        <v>48602343.420000002</v>
      </c>
      <c r="K98" s="32">
        <f>SUM(K99:K114)</f>
        <v>17076499.039999999</v>
      </c>
      <c r="L98" s="32">
        <f>SUM(L99:L114)</f>
        <v>65678842.460000001</v>
      </c>
    </row>
    <row r="99" spans="1:14" x14ac:dyDescent="0.35">
      <c r="A99" s="26"/>
      <c r="B99" s="26" t="s">
        <v>83</v>
      </c>
      <c r="C99" s="33" t="s">
        <v>84</v>
      </c>
      <c r="D99" s="26" t="s">
        <v>25</v>
      </c>
      <c r="E99" s="26" t="s">
        <v>26</v>
      </c>
      <c r="F99" s="34">
        <v>1</v>
      </c>
      <c r="G99" s="35"/>
      <c r="H99" s="35"/>
      <c r="I99" s="35">
        <f t="shared" ref="I99:I114" si="13">SUM(G99:H99)</f>
        <v>0</v>
      </c>
      <c r="J99" s="35">
        <f>G99*F99</f>
        <v>0</v>
      </c>
      <c r="K99" s="35">
        <f>H99*F99</f>
        <v>0</v>
      </c>
      <c r="L99" s="35">
        <f>SUM(J99:K99)</f>
        <v>0</v>
      </c>
      <c r="M99">
        <v>0</v>
      </c>
      <c r="N99" s="106">
        <f>L99*M99</f>
        <v>0</v>
      </c>
    </row>
    <row r="100" spans="1:14" ht="237.75" customHeight="1" x14ac:dyDescent="0.35">
      <c r="A100" s="26"/>
      <c r="B100" s="26" t="s">
        <v>85</v>
      </c>
      <c r="C100" s="33" t="s">
        <v>86</v>
      </c>
      <c r="D100" s="26" t="s">
        <v>25</v>
      </c>
      <c r="E100" s="26" t="s">
        <v>26</v>
      </c>
      <c r="F100" s="34">
        <v>1</v>
      </c>
      <c r="G100" s="35">
        <v>6504418.0800000001</v>
      </c>
      <c r="H100" s="35">
        <v>2285336.08</v>
      </c>
      <c r="I100" s="35">
        <f t="shared" si="13"/>
        <v>8789754.1600000001</v>
      </c>
      <c r="J100" s="35">
        <f t="shared" ref="J100:J114" si="14">G100*F100</f>
        <v>6504418.0800000001</v>
      </c>
      <c r="K100" s="35">
        <f t="shared" ref="K100:K114" si="15">H100*F100</f>
        <v>2285336.08</v>
      </c>
      <c r="L100" s="35">
        <f t="shared" ref="L100:L114" si="16">SUM(J100:K100)</f>
        <v>8789754.1600000001</v>
      </c>
      <c r="M100">
        <v>0.87</v>
      </c>
      <c r="N100" s="106">
        <f t="shared" ref="N100:N114" si="17">L100*M100</f>
        <v>7647086.1192000005</v>
      </c>
    </row>
    <row r="101" spans="1:14" ht="225" x14ac:dyDescent="0.35">
      <c r="A101" s="26"/>
      <c r="B101" s="26" t="s">
        <v>87</v>
      </c>
      <c r="C101" s="33" t="s">
        <v>88</v>
      </c>
      <c r="D101" s="26" t="s">
        <v>25</v>
      </c>
      <c r="E101" s="26" t="s">
        <v>26</v>
      </c>
      <c r="F101" s="34">
        <v>1</v>
      </c>
      <c r="G101" s="35">
        <v>2676441.19</v>
      </c>
      <c r="H101" s="35">
        <v>940371.23</v>
      </c>
      <c r="I101" s="35">
        <f t="shared" si="13"/>
        <v>3616812.42</v>
      </c>
      <c r="J101" s="35">
        <f t="shared" si="14"/>
        <v>2676441.19</v>
      </c>
      <c r="K101" s="35">
        <f t="shared" si="15"/>
        <v>940371.23</v>
      </c>
      <c r="L101" s="35">
        <f t="shared" si="16"/>
        <v>3616812.42</v>
      </c>
      <c r="M101">
        <v>0.87</v>
      </c>
      <c r="N101" s="106">
        <f t="shared" si="17"/>
        <v>3146626.8054</v>
      </c>
    </row>
    <row r="102" spans="1:14" ht="237.5" x14ac:dyDescent="0.35">
      <c r="A102" s="26"/>
      <c r="B102" s="26" t="s">
        <v>89</v>
      </c>
      <c r="C102" s="33" t="s">
        <v>90</v>
      </c>
      <c r="D102" s="26" t="s">
        <v>25</v>
      </c>
      <c r="E102" s="26" t="s">
        <v>26</v>
      </c>
      <c r="F102" s="34">
        <v>1</v>
      </c>
      <c r="G102" s="35">
        <v>19656562.5</v>
      </c>
      <c r="H102" s="35">
        <v>6906359.7999999998</v>
      </c>
      <c r="I102" s="35">
        <f t="shared" si="13"/>
        <v>26562922.300000001</v>
      </c>
      <c r="J102" s="35">
        <f t="shared" si="14"/>
        <v>19656562.5</v>
      </c>
      <c r="K102" s="35">
        <f t="shared" si="15"/>
        <v>6906359.7999999998</v>
      </c>
      <c r="L102" s="35">
        <f t="shared" si="16"/>
        <v>26562922.300000001</v>
      </c>
      <c r="M102">
        <v>0.86799999999999999</v>
      </c>
      <c r="N102" s="106">
        <f t="shared" si="17"/>
        <v>23056616.556400001</v>
      </c>
    </row>
    <row r="103" spans="1:14" ht="25" x14ac:dyDescent="0.35">
      <c r="A103" s="26"/>
      <c r="B103" s="26" t="s">
        <v>91</v>
      </c>
      <c r="C103" s="33" t="s">
        <v>92</v>
      </c>
      <c r="D103" s="26" t="s">
        <v>25</v>
      </c>
      <c r="E103" s="26" t="s">
        <v>26</v>
      </c>
      <c r="F103" s="34">
        <v>1</v>
      </c>
      <c r="G103" s="35">
        <v>290341.88</v>
      </c>
      <c r="H103" s="35">
        <v>102012.01</v>
      </c>
      <c r="I103" s="35">
        <f t="shared" si="13"/>
        <v>392353.89</v>
      </c>
      <c r="J103" s="35">
        <f t="shared" si="14"/>
        <v>290341.88</v>
      </c>
      <c r="K103" s="35">
        <f t="shared" si="15"/>
        <v>102012.01</v>
      </c>
      <c r="L103" s="35">
        <f t="shared" si="16"/>
        <v>392353.89</v>
      </c>
      <c r="M103">
        <v>0</v>
      </c>
      <c r="N103" s="106">
        <f t="shared" si="17"/>
        <v>0</v>
      </c>
    </row>
    <row r="104" spans="1:14" ht="50" x14ac:dyDescent="0.35">
      <c r="A104" s="26"/>
      <c r="B104" s="26" t="s">
        <v>93</v>
      </c>
      <c r="C104" s="33" t="s">
        <v>94</v>
      </c>
      <c r="D104" s="26" t="s">
        <v>25</v>
      </c>
      <c r="E104" s="26" t="s">
        <v>26</v>
      </c>
      <c r="F104" s="34">
        <v>1</v>
      </c>
      <c r="G104" s="35">
        <v>281095.08</v>
      </c>
      <c r="H104" s="35">
        <v>98763.14</v>
      </c>
      <c r="I104" s="35">
        <f t="shared" si="13"/>
        <v>379858.22000000003</v>
      </c>
      <c r="J104" s="35">
        <f t="shared" si="14"/>
        <v>281095.08</v>
      </c>
      <c r="K104" s="35">
        <f t="shared" si="15"/>
        <v>98763.14</v>
      </c>
      <c r="L104" s="35">
        <f t="shared" si="16"/>
        <v>379858.22000000003</v>
      </c>
      <c r="M104">
        <v>0.92500000000000004</v>
      </c>
      <c r="N104" s="106">
        <f t="shared" si="17"/>
        <v>351368.85350000003</v>
      </c>
    </row>
    <row r="105" spans="1:14" ht="112.5" x14ac:dyDescent="0.35">
      <c r="A105" s="26"/>
      <c r="B105" s="26" t="s">
        <v>95</v>
      </c>
      <c r="C105" s="33" t="s">
        <v>96</v>
      </c>
      <c r="D105" s="26" t="s">
        <v>25</v>
      </c>
      <c r="E105" s="26" t="s">
        <v>26</v>
      </c>
      <c r="F105" s="34">
        <v>1</v>
      </c>
      <c r="G105" s="35">
        <v>79276.12</v>
      </c>
      <c r="H105" s="35">
        <v>27853.77</v>
      </c>
      <c r="I105" s="35">
        <f t="shared" si="13"/>
        <v>107129.89</v>
      </c>
      <c r="J105" s="35">
        <f t="shared" si="14"/>
        <v>79276.12</v>
      </c>
      <c r="K105" s="35">
        <f t="shared" si="15"/>
        <v>27853.77</v>
      </c>
      <c r="L105" s="35">
        <f t="shared" si="16"/>
        <v>107129.89</v>
      </c>
      <c r="M105">
        <v>0.6</v>
      </c>
      <c r="N105" s="106">
        <f t="shared" si="17"/>
        <v>64277.933999999994</v>
      </c>
    </row>
    <row r="106" spans="1:14" x14ac:dyDescent="0.35">
      <c r="A106" s="26"/>
      <c r="B106" s="26" t="s">
        <v>97</v>
      </c>
      <c r="C106" s="33" t="s">
        <v>98</v>
      </c>
      <c r="D106" s="26" t="s">
        <v>25</v>
      </c>
      <c r="E106" s="26" t="s">
        <v>26</v>
      </c>
      <c r="F106" s="34">
        <v>1</v>
      </c>
      <c r="G106" s="35">
        <v>173488.51</v>
      </c>
      <c r="H106" s="35">
        <v>60955.42</v>
      </c>
      <c r="I106" s="35">
        <f t="shared" si="13"/>
        <v>234443.93</v>
      </c>
      <c r="J106" s="35">
        <f t="shared" si="14"/>
        <v>173488.51</v>
      </c>
      <c r="K106" s="35">
        <f t="shared" si="15"/>
        <v>60955.42</v>
      </c>
      <c r="L106" s="35">
        <f t="shared" si="16"/>
        <v>234443.93</v>
      </c>
      <c r="M106">
        <v>1</v>
      </c>
      <c r="N106" s="106">
        <f t="shared" si="17"/>
        <v>234443.93</v>
      </c>
    </row>
    <row r="107" spans="1:14" x14ac:dyDescent="0.35">
      <c r="A107" s="26"/>
      <c r="B107" s="26" t="s">
        <v>99</v>
      </c>
      <c r="C107" s="33" t="s">
        <v>100</v>
      </c>
      <c r="D107" s="26" t="s">
        <v>25</v>
      </c>
      <c r="E107" s="26" t="s">
        <v>26</v>
      </c>
      <c r="F107" s="34">
        <v>1</v>
      </c>
      <c r="G107" s="35">
        <v>0</v>
      </c>
      <c r="H107" s="35">
        <v>0</v>
      </c>
      <c r="I107" s="35">
        <f t="shared" si="13"/>
        <v>0</v>
      </c>
      <c r="J107" s="35">
        <f t="shared" si="14"/>
        <v>0</v>
      </c>
      <c r="K107" s="35">
        <f t="shared" si="15"/>
        <v>0</v>
      </c>
      <c r="L107" s="35">
        <f t="shared" si="16"/>
        <v>0</v>
      </c>
      <c r="N107" s="106">
        <f t="shared" si="17"/>
        <v>0</v>
      </c>
    </row>
    <row r="108" spans="1:14" ht="25" x14ac:dyDescent="0.35">
      <c r="A108" s="26"/>
      <c r="B108" s="26" t="s">
        <v>101</v>
      </c>
      <c r="C108" s="33" t="s">
        <v>102</v>
      </c>
      <c r="D108" s="26" t="s">
        <v>25</v>
      </c>
      <c r="E108" s="26" t="s">
        <v>26</v>
      </c>
      <c r="F108" s="34">
        <v>1</v>
      </c>
      <c r="G108" s="35">
        <v>11406977.17</v>
      </c>
      <c r="H108" s="35">
        <v>4007856.84</v>
      </c>
      <c r="I108" s="35">
        <f t="shared" si="13"/>
        <v>15414834.01</v>
      </c>
      <c r="J108" s="35">
        <f t="shared" si="14"/>
        <v>11406977.17</v>
      </c>
      <c r="K108" s="35">
        <f t="shared" si="15"/>
        <v>4007856.84</v>
      </c>
      <c r="L108" s="35">
        <f t="shared" si="16"/>
        <v>15414834.01</v>
      </c>
      <c r="M108">
        <v>0.99</v>
      </c>
      <c r="N108" s="106">
        <f t="shared" si="17"/>
        <v>15260685.6699</v>
      </c>
    </row>
    <row r="109" spans="1:14" ht="44.25" customHeight="1" x14ac:dyDescent="0.35">
      <c r="A109" s="26"/>
      <c r="B109" s="26" t="s">
        <v>103</v>
      </c>
      <c r="C109" s="33" t="s">
        <v>104</v>
      </c>
      <c r="D109" s="26" t="s">
        <v>25</v>
      </c>
      <c r="E109" s="26" t="s">
        <v>26</v>
      </c>
      <c r="F109" s="34">
        <v>1</v>
      </c>
      <c r="G109" s="35">
        <v>2656954.77</v>
      </c>
      <c r="H109" s="35">
        <v>933524.65</v>
      </c>
      <c r="I109" s="35">
        <f t="shared" si="13"/>
        <v>3590479.42</v>
      </c>
      <c r="J109" s="35">
        <f t="shared" si="14"/>
        <v>2656954.77</v>
      </c>
      <c r="K109" s="35">
        <f t="shared" si="15"/>
        <v>933524.65</v>
      </c>
      <c r="L109" s="35">
        <f t="shared" si="16"/>
        <v>3590479.42</v>
      </c>
      <c r="M109">
        <v>1</v>
      </c>
      <c r="N109" s="106">
        <f t="shared" si="17"/>
        <v>3590479.42</v>
      </c>
    </row>
    <row r="110" spans="1:14" ht="50" x14ac:dyDescent="0.35">
      <c r="A110" s="26"/>
      <c r="B110" s="26" t="s">
        <v>105</v>
      </c>
      <c r="C110" s="33" t="s">
        <v>106</v>
      </c>
      <c r="D110" s="26" t="s">
        <v>25</v>
      </c>
      <c r="E110" s="26" t="s">
        <v>26</v>
      </c>
      <c r="F110" s="34">
        <v>1</v>
      </c>
      <c r="G110" s="35">
        <v>803611.92</v>
      </c>
      <c r="H110" s="35">
        <v>282350.13</v>
      </c>
      <c r="I110" s="35">
        <f t="shared" si="13"/>
        <v>1085962.05</v>
      </c>
      <c r="J110" s="35">
        <f t="shared" si="14"/>
        <v>803611.92</v>
      </c>
      <c r="K110" s="35">
        <f t="shared" si="15"/>
        <v>282350.13</v>
      </c>
      <c r="L110" s="35">
        <f t="shared" si="16"/>
        <v>1085962.05</v>
      </c>
      <c r="M110">
        <v>0.8</v>
      </c>
      <c r="N110" s="106">
        <f t="shared" si="17"/>
        <v>868769.64000000013</v>
      </c>
    </row>
    <row r="111" spans="1:14" ht="50" x14ac:dyDescent="0.35">
      <c r="A111" s="26"/>
      <c r="B111" s="26" t="s">
        <v>107</v>
      </c>
      <c r="C111" s="33" t="s">
        <v>108</v>
      </c>
      <c r="D111" s="26" t="s">
        <v>25</v>
      </c>
      <c r="E111" s="26" t="s">
        <v>26</v>
      </c>
      <c r="F111" s="34">
        <v>1</v>
      </c>
      <c r="G111" s="35">
        <v>285589.83</v>
      </c>
      <c r="H111" s="35">
        <v>100342.37</v>
      </c>
      <c r="I111" s="35">
        <f t="shared" si="13"/>
        <v>385932.2</v>
      </c>
      <c r="J111" s="35">
        <f t="shared" si="14"/>
        <v>285589.83</v>
      </c>
      <c r="K111" s="35">
        <f t="shared" si="15"/>
        <v>100342.37</v>
      </c>
      <c r="L111" s="35">
        <f t="shared" si="16"/>
        <v>385932.2</v>
      </c>
      <c r="M111">
        <v>0.8</v>
      </c>
      <c r="N111" s="106">
        <f t="shared" si="17"/>
        <v>308745.76</v>
      </c>
    </row>
    <row r="112" spans="1:14" ht="75" x14ac:dyDescent="0.35">
      <c r="A112" s="26"/>
      <c r="B112" s="26" t="s">
        <v>109</v>
      </c>
      <c r="C112" s="33" t="s">
        <v>110</v>
      </c>
      <c r="D112" s="26" t="s">
        <v>25</v>
      </c>
      <c r="E112" s="26" t="s">
        <v>26</v>
      </c>
      <c r="F112" s="34">
        <v>1</v>
      </c>
      <c r="G112" s="35">
        <v>839844.8</v>
      </c>
      <c r="H112" s="35">
        <v>295080.61</v>
      </c>
      <c r="I112" s="35">
        <f t="shared" si="13"/>
        <v>1134925.4100000001</v>
      </c>
      <c r="J112" s="35">
        <f t="shared" si="14"/>
        <v>839844.8</v>
      </c>
      <c r="K112" s="35">
        <f t="shared" si="15"/>
        <v>295080.61</v>
      </c>
      <c r="L112" s="35">
        <f t="shared" si="16"/>
        <v>1134925.4100000001</v>
      </c>
      <c r="M112">
        <v>0.7</v>
      </c>
      <c r="N112" s="106">
        <f t="shared" si="17"/>
        <v>794447.78700000001</v>
      </c>
    </row>
    <row r="113" spans="1:14" ht="55.5" customHeight="1" x14ac:dyDescent="0.35">
      <c r="A113" s="26"/>
      <c r="B113" s="26" t="s">
        <v>111</v>
      </c>
      <c r="C113" s="33" t="s">
        <v>112</v>
      </c>
      <c r="D113" s="26" t="s">
        <v>25</v>
      </c>
      <c r="E113" s="26" t="s">
        <v>26</v>
      </c>
      <c r="F113" s="34">
        <v>1</v>
      </c>
      <c r="G113" s="35">
        <v>1052716.79</v>
      </c>
      <c r="H113" s="35">
        <v>369873.47</v>
      </c>
      <c r="I113" s="35">
        <f t="shared" si="13"/>
        <v>1422590.26</v>
      </c>
      <c r="J113" s="35">
        <f t="shared" si="14"/>
        <v>1052716.79</v>
      </c>
      <c r="K113" s="35">
        <f t="shared" si="15"/>
        <v>369873.47</v>
      </c>
      <c r="L113" s="35">
        <f t="shared" si="16"/>
        <v>1422590.26</v>
      </c>
      <c r="M113">
        <v>1</v>
      </c>
      <c r="N113" s="106">
        <f t="shared" si="17"/>
        <v>1422590.26</v>
      </c>
    </row>
    <row r="114" spans="1:14" ht="45.75" customHeight="1" x14ac:dyDescent="0.35">
      <c r="A114" s="26"/>
      <c r="B114" s="26" t="s">
        <v>113</v>
      </c>
      <c r="C114" s="33" t="s">
        <v>114</v>
      </c>
      <c r="D114" s="26" t="s">
        <v>25</v>
      </c>
      <c r="E114" s="26" t="s">
        <v>26</v>
      </c>
      <c r="F114" s="34">
        <v>1</v>
      </c>
      <c r="G114" s="35">
        <v>1895024.7799999998</v>
      </c>
      <c r="H114" s="35">
        <v>665819.52</v>
      </c>
      <c r="I114" s="35">
        <f t="shared" si="13"/>
        <v>2560844.2999999998</v>
      </c>
      <c r="J114" s="35">
        <f t="shared" si="14"/>
        <v>1895024.7799999998</v>
      </c>
      <c r="K114" s="35">
        <f t="shared" si="15"/>
        <v>665819.52</v>
      </c>
      <c r="L114" s="123">
        <f t="shared" si="16"/>
        <v>2560844.2999999998</v>
      </c>
      <c r="M114">
        <v>0.4</v>
      </c>
      <c r="N114" s="106">
        <f t="shared" si="17"/>
        <v>1024337.72</v>
      </c>
    </row>
    <row r="115" spans="1:14" x14ac:dyDescent="0.35">
      <c r="A115" s="36"/>
      <c r="B115" s="37"/>
      <c r="C115" s="38" t="s">
        <v>35</v>
      </c>
      <c r="D115" s="37"/>
      <c r="E115" s="37"/>
      <c r="F115" s="37"/>
      <c r="G115" s="39"/>
      <c r="H115" s="39"/>
      <c r="I115" s="39"/>
      <c r="J115" s="40">
        <f>SUM(J99:J114)</f>
        <v>48602343.420000002</v>
      </c>
      <c r="K115" s="40">
        <f>SUM(K99:K114)</f>
        <v>17076499.039999999</v>
      </c>
      <c r="L115" s="124">
        <f>SUM(L99:L114)</f>
        <v>65678842.460000001</v>
      </c>
      <c r="N115" s="124">
        <f>SUM(N99:N114)</f>
        <v>57770476.455400005</v>
      </c>
    </row>
    <row r="116" spans="1:14" x14ac:dyDescent="0.35">
      <c r="A116" s="36"/>
      <c r="B116" s="37"/>
      <c r="C116" s="38" t="s">
        <v>36</v>
      </c>
      <c r="D116" s="37"/>
      <c r="E116" s="37"/>
      <c r="F116" s="37"/>
      <c r="G116" s="39"/>
      <c r="H116" s="39"/>
      <c r="I116" s="39"/>
      <c r="J116" s="40"/>
      <c r="K116" s="40"/>
      <c r="L116" s="124">
        <f>ROUND(L115*0.01375036551451,2)</f>
        <v>903108.09</v>
      </c>
      <c r="N116" s="124">
        <f>ROUND(N115*0.01375036551451,2)</f>
        <v>794365.17</v>
      </c>
    </row>
    <row r="117" spans="1:14" x14ac:dyDescent="0.35">
      <c r="A117" s="36"/>
      <c r="B117" s="37"/>
      <c r="C117" s="38" t="s">
        <v>37</v>
      </c>
      <c r="D117" s="37"/>
      <c r="E117" s="37"/>
      <c r="F117" s="37"/>
      <c r="G117" s="39"/>
      <c r="H117" s="39"/>
      <c r="I117" s="39"/>
      <c r="J117" s="40"/>
      <c r="K117" s="40"/>
      <c r="L117" s="124">
        <f>ROUND(L115+L116,2)</f>
        <v>66581950.549999997</v>
      </c>
      <c r="N117" s="124">
        <f>ROUND(N115+N116,2)</f>
        <v>58564841.630000003</v>
      </c>
    </row>
    <row r="118" spans="1:14" x14ac:dyDescent="0.35">
      <c r="A118" s="36"/>
      <c r="B118" s="37"/>
      <c r="C118" s="38" t="s">
        <v>38</v>
      </c>
      <c r="D118" s="37"/>
      <c r="E118" s="37"/>
      <c r="F118" s="37"/>
      <c r="G118" s="39"/>
      <c r="H118" s="39"/>
      <c r="I118" s="39"/>
      <c r="J118" s="40"/>
      <c r="K118" s="40"/>
      <c r="L118" s="124">
        <f>ROUND(L117*20/120,2)</f>
        <v>11096991.76</v>
      </c>
    </row>
    <row r="120" spans="1:14" ht="15" x14ac:dyDescent="0.35">
      <c r="A120" s="1"/>
      <c r="B120" s="2"/>
      <c r="C120" s="3"/>
      <c r="D120" s="3"/>
      <c r="E120" s="4" t="s">
        <v>115</v>
      </c>
      <c r="F120" s="4"/>
      <c r="G120" s="4"/>
      <c r="H120" s="4"/>
      <c r="I120" s="4"/>
      <c r="J120" s="5"/>
      <c r="K120" s="3"/>
      <c r="L120" s="3"/>
    </row>
    <row r="121" spans="1:14" x14ac:dyDescent="0.35">
      <c r="A121" s="1"/>
      <c r="B121" s="2"/>
      <c r="C121" s="3"/>
      <c r="D121" s="3"/>
      <c r="E121" s="3"/>
      <c r="F121" s="3"/>
      <c r="G121" s="6" t="s">
        <v>1</v>
      </c>
      <c r="H121" s="7"/>
      <c r="I121" s="8"/>
      <c r="J121" s="8"/>
      <c r="K121" s="3"/>
      <c r="L121" s="3"/>
    </row>
    <row r="122" spans="1:14" x14ac:dyDescent="0.35">
      <c r="A122" s="9"/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spans="1:14" x14ac:dyDescent="0.35">
      <c r="A123" s="12" t="s">
        <v>2</v>
      </c>
      <c r="B123" s="13" t="s">
        <v>116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4" x14ac:dyDescent="0.35">
      <c r="A124" s="9"/>
      <c r="B124" s="14"/>
      <c r="C124" s="15"/>
      <c r="D124" s="15"/>
      <c r="E124" s="15"/>
      <c r="F124" s="15"/>
      <c r="G124" s="16" t="s">
        <v>4</v>
      </c>
      <c r="H124" s="12"/>
      <c r="I124" s="16"/>
      <c r="J124" s="16"/>
      <c r="K124" s="15"/>
      <c r="L124" s="11"/>
    </row>
    <row r="125" spans="1:14" x14ac:dyDescent="0.35">
      <c r="A125" s="17"/>
      <c r="B125" s="18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spans="1:14" x14ac:dyDescent="0.35">
      <c r="A126" s="19"/>
      <c r="B126" s="20" t="s">
        <v>117</v>
      </c>
      <c r="C126" s="21"/>
      <c r="D126" s="21"/>
      <c r="E126" s="21"/>
      <c r="F126" s="21"/>
      <c r="G126" s="11"/>
      <c r="H126" s="11"/>
      <c r="I126" s="20"/>
      <c r="J126" s="20"/>
      <c r="K126" s="20"/>
      <c r="L126" s="11"/>
    </row>
    <row r="127" spans="1:14" x14ac:dyDescent="0.35">
      <c r="A127" s="6"/>
      <c r="B127" s="20" t="s">
        <v>6</v>
      </c>
      <c r="C127" s="21"/>
      <c r="D127" s="22">
        <f>L137</f>
        <v>92177597.275602415</v>
      </c>
      <c r="E127" s="22"/>
      <c r="F127" s="21" t="s">
        <v>7</v>
      </c>
      <c r="G127" s="23"/>
      <c r="H127" s="24"/>
      <c r="I127" s="20"/>
      <c r="J127" s="11"/>
      <c r="K127" s="20"/>
      <c r="L127" s="11"/>
    </row>
    <row r="128" spans="1:14" x14ac:dyDescent="0.35">
      <c r="A128" s="19"/>
      <c r="B128" s="17" t="s">
        <v>8</v>
      </c>
      <c r="C128" s="21"/>
      <c r="D128" s="21"/>
      <c r="E128" s="21"/>
      <c r="F128" s="21"/>
      <c r="G128" s="11"/>
      <c r="H128" s="11"/>
      <c r="I128" s="11"/>
      <c r="J128" s="11"/>
      <c r="K128" s="11"/>
      <c r="L128" s="11"/>
    </row>
    <row r="129" spans="1:14" ht="37.5" x14ac:dyDescent="0.35">
      <c r="A129" s="25" t="s">
        <v>9</v>
      </c>
      <c r="B129" s="26" t="s">
        <v>10</v>
      </c>
      <c r="C129" s="26" t="s">
        <v>11</v>
      </c>
      <c r="D129" s="26" t="s">
        <v>12</v>
      </c>
      <c r="E129" s="26" t="s">
        <v>13</v>
      </c>
      <c r="F129" s="26" t="s">
        <v>14</v>
      </c>
      <c r="G129" s="26" t="s">
        <v>15</v>
      </c>
      <c r="H129" s="26" t="s">
        <v>16</v>
      </c>
      <c r="I129" s="26" t="s">
        <v>17</v>
      </c>
      <c r="J129" s="26" t="s">
        <v>18</v>
      </c>
      <c r="K129" s="26" t="s">
        <v>19</v>
      </c>
      <c r="L129" s="26" t="s">
        <v>20</v>
      </c>
    </row>
    <row r="130" spans="1:14" x14ac:dyDescent="0.35">
      <c r="A130" s="25">
        <v>1</v>
      </c>
      <c r="B130" s="25">
        <v>2</v>
      </c>
      <c r="C130" s="25">
        <v>3</v>
      </c>
      <c r="D130" s="25">
        <v>4</v>
      </c>
      <c r="E130" s="25">
        <v>5</v>
      </c>
      <c r="F130" s="25">
        <v>6</v>
      </c>
      <c r="G130" s="25">
        <v>7</v>
      </c>
      <c r="H130" s="25">
        <v>8</v>
      </c>
      <c r="I130" s="25">
        <v>9</v>
      </c>
      <c r="J130" s="25">
        <v>10</v>
      </c>
      <c r="K130" s="25">
        <v>11</v>
      </c>
      <c r="L130" s="25">
        <v>12</v>
      </c>
    </row>
    <row r="131" spans="1:14" ht="26" x14ac:dyDescent="0.35">
      <c r="A131" s="27"/>
      <c r="B131" s="28" t="s">
        <v>118</v>
      </c>
      <c r="C131" s="29" t="s">
        <v>119</v>
      </c>
      <c r="D131" s="30"/>
      <c r="E131" s="30"/>
      <c r="F131" s="30"/>
      <c r="G131" s="31"/>
      <c r="H131" s="31"/>
      <c r="I131" s="31"/>
      <c r="J131" s="32">
        <f>SUM(J132:J134)</f>
        <v>62739846.299999997</v>
      </c>
      <c r="K131" s="32">
        <f>SUM(K132:K134)</f>
        <v>28187467.18</v>
      </c>
      <c r="L131" s="32">
        <f>SUM(L132:L134)</f>
        <v>90927313.479999989</v>
      </c>
    </row>
    <row r="132" spans="1:14" ht="37.5" x14ac:dyDescent="0.35">
      <c r="A132" s="26"/>
      <c r="B132" s="26" t="s">
        <v>120</v>
      </c>
      <c r="C132" s="33" t="s">
        <v>121</v>
      </c>
      <c r="D132" s="26" t="s">
        <v>25</v>
      </c>
      <c r="E132" s="26" t="s">
        <v>26</v>
      </c>
      <c r="F132" s="34">
        <v>1</v>
      </c>
      <c r="G132" s="35">
        <v>48145312.259999998</v>
      </c>
      <c r="H132" s="35">
        <v>21630502.609999999</v>
      </c>
      <c r="I132" s="35">
        <f>SUM(G132:H132)</f>
        <v>69775814.870000005</v>
      </c>
      <c r="J132" s="35">
        <f>G132*F132</f>
        <v>48145312.259999998</v>
      </c>
      <c r="K132" s="35">
        <f>H132*F132</f>
        <v>21630502.609999999</v>
      </c>
      <c r="L132" s="35">
        <f>SUM(J132:K132)</f>
        <v>69775814.870000005</v>
      </c>
      <c r="M132">
        <v>0.97499999999999998</v>
      </c>
      <c r="N132" s="106">
        <f>M132*L132</f>
        <v>68031419.498250008</v>
      </c>
    </row>
    <row r="133" spans="1:14" x14ac:dyDescent="0.35">
      <c r="A133" s="26"/>
      <c r="B133" s="26" t="s">
        <v>122</v>
      </c>
      <c r="C133" s="33" t="s">
        <v>123</v>
      </c>
      <c r="D133" s="26" t="s">
        <v>25</v>
      </c>
      <c r="E133" s="26" t="s">
        <v>26</v>
      </c>
      <c r="F133" s="34">
        <v>1</v>
      </c>
      <c r="G133" s="35">
        <v>5673623.3499999996</v>
      </c>
      <c r="H133" s="35">
        <v>2549019.19</v>
      </c>
      <c r="I133" s="35">
        <f>SUM(G133:H133)</f>
        <v>8222642.5399999991</v>
      </c>
      <c r="J133" s="35">
        <f>G133*F133</f>
        <v>5673623.3499999996</v>
      </c>
      <c r="K133" s="35">
        <f>H133*F133</f>
        <v>2549019.19</v>
      </c>
      <c r="L133" s="35">
        <f>SUM(J133:K133)</f>
        <v>8222642.5399999991</v>
      </c>
      <c r="M133">
        <v>0.95</v>
      </c>
      <c r="N133" s="106">
        <f t="shared" ref="N133:N134" si="18">M133*L133</f>
        <v>7811510.4129999988</v>
      </c>
    </row>
    <row r="134" spans="1:14" x14ac:dyDescent="0.35">
      <c r="A134" s="26"/>
      <c r="B134" s="26" t="s">
        <v>124</v>
      </c>
      <c r="C134" s="33" t="s">
        <v>125</v>
      </c>
      <c r="D134" s="26" t="s">
        <v>25</v>
      </c>
      <c r="E134" s="26" t="s">
        <v>26</v>
      </c>
      <c r="F134" s="34">
        <v>1</v>
      </c>
      <c r="G134" s="35">
        <v>8920910.6899999995</v>
      </c>
      <c r="H134" s="35">
        <v>4007945.38</v>
      </c>
      <c r="I134" s="35">
        <f>SUM(G134:H134)</f>
        <v>12928856.07</v>
      </c>
      <c r="J134" s="35">
        <f>G134*F134</f>
        <v>8920910.6899999995</v>
      </c>
      <c r="K134" s="35">
        <f>H134*F134</f>
        <v>4007945.38</v>
      </c>
      <c r="L134" s="35">
        <f>SUM(J134:K134)</f>
        <v>12928856.07</v>
      </c>
      <c r="M134">
        <v>1</v>
      </c>
      <c r="N134" s="106">
        <f t="shared" si="18"/>
        <v>12928856.07</v>
      </c>
    </row>
    <row r="135" spans="1:14" x14ac:dyDescent="0.35">
      <c r="A135" s="36"/>
      <c r="B135" s="37"/>
      <c r="C135" s="38" t="s">
        <v>35</v>
      </c>
      <c r="D135" s="37"/>
      <c r="E135" s="37"/>
      <c r="F135" s="37"/>
      <c r="G135" s="39"/>
      <c r="H135" s="39"/>
      <c r="I135" s="39"/>
      <c r="J135" s="40">
        <f>SUM(J132:J134)</f>
        <v>62739846.299999997</v>
      </c>
      <c r="K135" s="40">
        <f>SUM(K132:K134)</f>
        <v>28187467.18</v>
      </c>
      <c r="L135" s="40">
        <f>SUM(L132:L134)</f>
        <v>90927313.479999989</v>
      </c>
      <c r="N135" s="40">
        <f>SUM(N132:N134)</f>
        <v>88771785.981250018</v>
      </c>
    </row>
    <row r="136" spans="1:14" x14ac:dyDescent="0.35">
      <c r="A136" s="36"/>
      <c r="B136" s="37"/>
      <c r="C136" s="38" t="s">
        <v>36</v>
      </c>
      <c r="D136" s="37"/>
      <c r="E136" s="37"/>
      <c r="F136" s="37"/>
      <c r="G136" s="39"/>
      <c r="H136" s="39"/>
      <c r="I136" s="39"/>
      <c r="J136" s="40"/>
      <c r="K136" s="40"/>
      <c r="L136" s="40">
        <f>L135*0.01375036551451</f>
        <v>1250283.795602432</v>
      </c>
      <c r="N136" s="40">
        <f>N135*0.01375036551451</f>
        <v>1220644.5046180424</v>
      </c>
    </row>
    <row r="137" spans="1:14" x14ac:dyDescent="0.35">
      <c r="A137" s="36"/>
      <c r="B137" s="37"/>
      <c r="C137" s="38" t="s">
        <v>37</v>
      </c>
      <c r="D137" s="37"/>
      <c r="E137" s="37"/>
      <c r="F137" s="37"/>
      <c r="G137" s="39"/>
      <c r="H137" s="39"/>
      <c r="I137" s="39"/>
      <c r="J137" s="40"/>
      <c r="K137" s="40"/>
      <c r="L137" s="40">
        <f>L135+L136</f>
        <v>92177597.275602415</v>
      </c>
      <c r="N137" s="40">
        <f>N135+N136</f>
        <v>89992430.485868067</v>
      </c>
    </row>
    <row r="138" spans="1:14" x14ac:dyDescent="0.35">
      <c r="A138" s="36"/>
      <c r="B138" s="37"/>
      <c r="C138" s="38" t="s">
        <v>38</v>
      </c>
      <c r="D138" s="37"/>
      <c r="E138" s="37"/>
      <c r="F138" s="37"/>
      <c r="G138" s="39"/>
      <c r="H138" s="39"/>
      <c r="I138" s="39"/>
      <c r="J138" s="40"/>
      <c r="K138" s="40"/>
      <c r="L138" s="40">
        <f>L137*20/120</f>
        <v>15362932.879267069</v>
      </c>
    </row>
    <row r="140" spans="1:14" ht="15" x14ac:dyDescent="0.35">
      <c r="A140" s="1"/>
      <c r="B140" s="2"/>
      <c r="C140" s="3"/>
      <c r="D140" s="4" t="s">
        <v>126</v>
      </c>
      <c r="E140" s="4"/>
      <c r="F140" s="4"/>
      <c r="G140" s="4"/>
      <c r="H140" s="4"/>
      <c r="I140" s="3"/>
      <c r="J140" s="3"/>
      <c r="K140" s="3"/>
    </row>
    <row r="141" spans="1:14" x14ac:dyDescent="0.35">
      <c r="A141" s="1"/>
      <c r="B141" s="2"/>
      <c r="C141" s="3"/>
      <c r="D141" s="125" t="s">
        <v>1</v>
      </c>
      <c r="E141" s="125"/>
      <c r="F141" s="125"/>
      <c r="G141" s="125"/>
      <c r="H141" s="125"/>
      <c r="I141" s="3"/>
      <c r="J141" s="3"/>
      <c r="K141" s="3"/>
      <c r="L141" s="126"/>
    </row>
    <row r="142" spans="1:14" x14ac:dyDescent="0.35">
      <c r="A142" s="9"/>
      <c r="B142" s="10"/>
      <c r="C142" s="11"/>
      <c r="D142" s="11"/>
      <c r="E142" s="11"/>
      <c r="F142" s="11"/>
      <c r="G142" s="11"/>
      <c r="H142" s="11"/>
      <c r="I142" s="11"/>
      <c r="J142" s="11"/>
      <c r="K142" s="3"/>
    </row>
    <row r="143" spans="1:14" x14ac:dyDescent="0.35">
      <c r="A143" s="12" t="s">
        <v>2</v>
      </c>
      <c r="B143" s="127" t="s">
        <v>127</v>
      </c>
      <c r="C143" s="11"/>
      <c r="D143" s="11"/>
      <c r="E143" s="11"/>
      <c r="F143" s="128"/>
      <c r="G143" s="11"/>
      <c r="H143" s="11"/>
      <c r="I143" s="11"/>
      <c r="J143" s="128"/>
      <c r="K143" s="3"/>
    </row>
    <row r="144" spans="1:14" x14ac:dyDescent="0.35">
      <c r="A144" s="9"/>
      <c r="B144" s="14"/>
      <c r="C144" s="15"/>
      <c r="D144" s="15"/>
      <c r="E144" s="15"/>
      <c r="F144" s="12"/>
      <c r="G144" s="16"/>
      <c r="H144" s="16"/>
      <c r="I144" s="15"/>
      <c r="J144" s="11"/>
      <c r="K144" s="3"/>
    </row>
    <row r="145" spans="1:12" x14ac:dyDescent="0.35">
      <c r="A145" s="17"/>
      <c r="B145" s="18"/>
      <c r="C145" s="11"/>
      <c r="D145" s="11"/>
      <c r="E145" s="11"/>
      <c r="F145" s="11"/>
      <c r="G145" s="11"/>
      <c r="H145" s="11"/>
      <c r="I145" s="11"/>
      <c r="J145" s="11"/>
      <c r="K145" s="3"/>
    </row>
    <row r="146" spans="1:12" x14ac:dyDescent="0.35">
      <c r="A146" s="19"/>
      <c r="B146" s="20" t="s">
        <v>128</v>
      </c>
      <c r="C146" s="21"/>
      <c r="D146" s="21"/>
      <c r="E146" s="21"/>
      <c r="F146" s="11"/>
      <c r="G146" s="20"/>
      <c r="H146" s="20"/>
      <c r="I146" s="20"/>
      <c r="J146" s="11"/>
      <c r="K146" s="20"/>
    </row>
    <row r="147" spans="1:12" x14ac:dyDescent="0.35">
      <c r="A147" s="6"/>
      <c r="B147" s="20" t="s">
        <v>6</v>
      </c>
      <c r="C147" s="21"/>
      <c r="D147" s="129">
        <f>L151</f>
        <v>10845321.24</v>
      </c>
      <c r="E147" s="21" t="s">
        <v>7</v>
      </c>
      <c r="F147" s="130"/>
      <c r="G147" s="20"/>
      <c r="H147" s="11"/>
      <c r="I147" s="20"/>
      <c r="J147" s="11"/>
      <c r="K147" s="11"/>
    </row>
    <row r="148" spans="1:12" x14ac:dyDescent="0.35">
      <c r="A148" s="19"/>
      <c r="B148" s="17" t="s">
        <v>8</v>
      </c>
      <c r="C148" s="21"/>
      <c r="D148" s="21"/>
      <c r="E148" s="21"/>
      <c r="F148" s="11"/>
      <c r="G148" s="11"/>
      <c r="H148" s="11"/>
      <c r="I148" s="11"/>
      <c r="J148" s="11"/>
      <c r="K148" s="3"/>
    </row>
    <row r="149" spans="1:12" ht="34.5" x14ac:dyDescent="0.35">
      <c r="A149" s="131" t="s">
        <v>9</v>
      </c>
      <c r="B149" s="132" t="s">
        <v>129</v>
      </c>
      <c r="C149" s="132" t="s">
        <v>11</v>
      </c>
      <c r="D149" s="132" t="s">
        <v>12</v>
      </c>
      <c r="E149" s="132" t="s">
        <v>13</v>
      </c>
      <c r="G149" s="132" t="s">
        <v>130</v>
      </c>
      <c r="H149" s="132" t="s">
        <v>131</v>
      </c>
      <c r="I149" s="132" t="s">
        <v>17</v>
      </c>
      <c r="J149" s="132" t="s">
        <v>132</v>
      </c>
      <c r="K149" s="132" t="s">
        <v>133</v>
      </c>
      <c r="L149" s="133" t="s">
        <v>20</v>
      </c>
    </row>
    <row r="150" spans="1:12" x14ac:dyDescent="0.35">
      <c r="A150" s="134">
        <v>1</v>
      </c>
      <c r="B150" s="134">
        <v>2</v>
      </c>
      <c r="C150" s="134">
        <v>3</v>
      </c>
      <c r="D150" s="134">
        <v>4</v>
      </c>
      <c r="E150" s="134">
        <v>5</v>
      </c>
      <c r="G150" s="134">
        <v>6</v>
      </c>
      <c r="H150" s="134">
        <v>7</v>
      </c>
      <c r="I150" s="134">
        <v>8</v>
      </c>
      <c r="J150" s="134">
        <v>9</v>
      </c>
      <c r="K150" s="134">
        <v>10</v>
      </c>
      <c r="L150" s="135">
        <v>11</v>
      </c>
    </row>
    <row r="151" spans="1:12" ht="34.5" x14ac:dyDescent="0.35">
      <c r="A151" s="134"/>
      <c r="B151" s="136" t="s">
        <v>134</v>
      </c>
      <c r="C151" s="137" t="s">
        <v>127</v>
      </c>
      <c r="D151" s="131" t="s">
        <v>135</v>
      </c>
      <c r="E151" s="138" t="s">
        <v>26</v>
      </c>
      <c r="G151" s="131"/>
      <c r="H151" s="134"/>
      <c r="I151" s="139"/>
      <c r="J151" s="140"/>
      <c r="K151" s="140"/>
      <c r="L151" s="141">
        <f>L166</f>
        <v>10845321.24</v>
      </c>
    </row>
    <row r="152" spans="1:12" ht="23" x14ac:dyDescent="0.35">
      <c r="A152" s="134"/>
      <c r="B152" s="136" t="s">
        <v>136</v>
      </c>
      <c r="C152" s="137" t="s">
        <v>137</v>
      </c>
      <c r="D152" s="131"/>
      <c r="E152" s="138" t="s">
        <v>26</v>
      </c>
      <c r="F152" s="34">
        <v>1</v>
      </c>
      <c r="G152" s="131"/>
      <c r="H152" s="134"/>
      <c r="I152" s="139"/>
      <c r="J152" s="139">
        <v>739504.42</v>
      </c>
      <c r="K152" s="139">
        <v>425409.56</v>
      </c>
      <c r="L152" s="142">
        <f t="shared" ref="L152:L164" si="19">J152+K152</f>
        <v>1164913.98</v>
      </c>
    </row>
    <row r="153" spans="1:12" ht="23" x14ac:dyDescent="0.35">
      <c r="A153" s="134"/>
      <c r="B153" s="136" t="s">
        <v>138</v>
      </c>
      <c r="C153" s="137" t="s">
        <v>139</v>
      </c>
      <c r="D153" s="131"/>
      <c r="E153" s="138" t="s">
        <v>26</v>
      </c>
      <c r="F153" s="34">
        <v>1</v>
      </c>
      <c r="G153" s="131"/>
      <c r="H153" s="134"/>
      <c r="I153" s="139"/>
      <c r="J153" s="139">
        <v>443702.652</v>
      </c>
      <c r="K153" s="139">
        <v>255245.73599999998</v>
      </c>
      <c r="L153" s="142">
        <f t="shared" si="19"/>
        <v>698948.38800000004</v>
      </c>
    </row>
    <row r="154" spans="1:12" ht="23" x14ac:dyDescent="0.35">
      <c r="A154" s="134"/>
      <c r="B154" s="136" t="s">
        <v>140</v>
      </c>
      <c r="C154" s="137" t="s">
        <v>141</v>
      </c>
      <c r="D154" s="131"/>
      <c r="E154" s="138" t="s">
        <v>26</v>
      </c>
      <c r="F154" s="34">
        <v>1</v>
      </c>
      <c r="G154" s="131"/>
      <c r="H154" s="134"/>
      <c r="I154" s="139"/>
      <c r="J154" s="139">
        <v>295801.76800000004</v>
      </c>
      <c r="K154" s="139">
        <v>170163.82400000002</v>
      </c>
      <c r="L154" s="142">
        <f t="shared" si="19"/>
        <v>465965.59200000006</v>
      </c>
    </row>
    <row r="155" spans="1:12" x14ac:dyDescent="0.35">
      <c r="A155" s="134"/>
      <c r="B155" s="136" t="s">
        <v>142</v>
      </c>
      <c r="C155" s="137" t="s">
        <v>143</v>
      </c>
      <c r="D155" s="134"/>
      <c r="E155" s="138" t="s">
        <v>26</v>
      </c>
      <c r="F155" s="34">
        <v>1</v>
      </c>
      <c r="G155" s="131"/>
      <c r="H155" s="134"/>
      <c r="I155" s="139"/>
      <c r="J155" s="139">
        <v>237463.10000000003</v>
      </c>
      <c r="K155" s="139">
        <v>113535.32</v>
      </c>
      <c r="L155" s="142">
        <f t="shared" si="19"/>
        <v>350998.42000000004</v>
      </c>
    </row>
    <row r="156" spans="1:12" ht="23" x14ac:dyDescent="0.35">
      <c r="A156" s="134"/>
      <c r="B156" s="136" t="s">
        <v>144</v>
      </c>
      <c r="C156" s="137" t="s">
        <v>145</v>
      </c>
      <c r="D156" s="134"/>
      <c r="E156" s="138" t="s">
        <v>26</v>
      </c>
      <c r="F156" s="34">
        <v>1</v>
      </c>
      <c r="G156" s="131"/>
      <c r="H156" s="134"/>
      <c r="I156" s="139"/>
      <c r="J156" s="139">
        <v>921799.87000000023</v>
      </c>
      <c r="K156" s="139">
        <v>387692.33999999997</v>
      </c>
      <c r="L156" s="142">
        <f t="shared" si="19"/>
        <v>1309492.2100000002</v>
      </c>
    </row>
    <row r="157" spans="1:12" x14ac:dyDescent="0.35">
      <c r="A157" s="134"/>
      <c r="B157" s="136" t="s">
        <v>146</v>
      </c>
      <c r="C157" s="137" t="s">
        <v>147</v>
      </c>
      <c r="D157" s="134"/>
      <c r="E157" s="138" t="s">
        <v>26</v>
      </c>
      <c r="F157" s="34">
        <v>1</v>
      </c>
      <c r="G157" s="131"/>
      <c r="H157" s="134"/>
      <c r="I157" s="139"/>
      <c r="J157" s="139">
        <v>2234215.3599999994</v>
      </c>
      <c r="K157" s="139">
        <v>693343.35000000021</v>
      </c>
      <c r="L157" s="142">
        <f t="shared" si="19"/>
        <v>2927558.7099999995</v>
      </c>
    </row>
    <row r="158" spans="1:12" x14ac:dyDescent="0.35">
      <c r="A158" s="134"/>
      <c r="B158" s="136" t="s">
        <v>148</v>
      </c>
      <c r="C158" s="137" t="s">
        <v>149</v>
      </c>
      <c r="D158" s="134"/>
      <c r="E158" s="138" t="s">
        <v>26</v>
      </c>
      <c r="F158" s="34">
        <v>1</v>
      </c>
      <c r="G158" s="131"/>
      <c r="H158" s="134"/>
      <c r="I158" s="139"/>
      <c r="J158" s="139">
        <v>90464.320000000007</v>
      </c>
      <c r="K158" s="139">
        <v>95451.389999999985</v>
      </c>
      <c r="L158" s="142">
        <f t="shared" si="19"/>
        <v>185915.71</v>
      </c>
    </row>
    <row r="159" spans="1:12" ht="23" x14ac:dyDescent="0.35">
      <c r="A159" s="134"/>
      <c r="B159" s="136" t="s">
        <v>150</v>
      </c>
      <c r="C159" s="137" t="s">
        <v>151</v>
      </c>
      <c r="D159" s="134"/>
      <c r="E159" s="138" t="s">
        <v>26</v>
      </c>
      <c r="F159" s="34">
        <v>1</v>
      </c>
      <c r="G159" s="131"/>
      <c r="H159" s="134"/>
      <c r="I159" s="139"/>
      <c r="J159" s="139">
        <v>331378.48960000003</v>
      </c>
      <c r="K159" s="139">
        <v>196308.97600000002</v>
      </c>
      <c r="L159" s="142">
        <f t="shared" si="19"/>
        <v>527687.4656</v>
      </c>
    </row>
    <row r="160" spans="1:12" ht="23" x14ac:dyDescent="0.35">
      <c r="A160" s="134"/>
      <c r="B160" s="136" t="s">
        <v>152</v>
      </c>
      <c r="C160" s="137" t="s">
        <v>153</v>
      </c>
      <c r="D160" s="134"/>
      <c r="E160" s="138" t="s">
        <v>26</v>
      </c>
      <c r="F160" s="34">
        <v>1</v>
      </c>
      <c r="G160" s="131"/>
      <c r="H160" s="134"/>
      <c r="I160" s="139"/>
      <c r="J160" s="139">
        <v>310667.33399999997</v>
      </c>
      <c r="K160" s="139">
        <v>184039.66500000001</v>
      </c>
      <c r="L160" s="142">
        <f t="shared" si="19"/>
        <v>494706.99899999995</v>
      </c>
    </row>
    <row r="161" spans="1:12" ht="23" x14ac:dyDescent="0.35">
      <c r="A161" s="134"/>
      <c r="B161" s="136" t="s">
        <v>154</v>
      </c>
      <c r="C161" s="137" t="s">
        <v>155</v>
      </c>
      <c r="D161" s="134"/>
      <c r="E161" s="138" t="s">
        <v>26</v>
      </c>
      <c r="F161" s="34">
        <v>1</v>
      </c>
      <c r="G161" s="131"/>
      <c r="H161" s="134"/>
      <c r="I161" s="139"/>
      <c r="J161" s="139">
        <v>134622.51140000002</v>
      </c>
      <c r="K161" s="139">
        <v>79750.521500000003</v>
      </c>
      <c r="L161" s="142">
        <f t="shared" si="19"/>
        <v>214373.03290000002</v>
      </c>
    </row>
    <row r="162" spans="1:12" ht="23" x14ac:dyDescent="0.35">
      <c r="A162" s="134"/>
      <c r="B162" s="136" t="s">
        <v>156</v>
      </c>
      <c r="C162" s="137" t="s">
        <v>157</v>
      </c>
      <c r="D162" s="134"/>
      <c r="E162" s="138" t="s">
        <v>26</v>
      </c>
      <c r="F162" s="34">
        <v>1</v>
      </c>
      <c r="G162" s="131"/>
      <c r="H162" s="134"/>
      <c r="I162" s="139"/>
      <c r="J162" s="139">
        <v>124266.9336</v>
      </c>
      <c r="K162" s="139">
        <v>73615.866000000009</v>
      </c>
      <c r="L162" s="142">
        <f t="shared" si="19"/>
        <v>197882.79960000003</v>
      </c>
    </row>
    <row r="163" spans="1:12" ht="23" x14ac:dyDescent="0.35">
      <c r="A163" s="134"/>
      <c r="B163" s="136" t="s">
        <v>158</v>
      </c>
      <c r="C163" s="137" t="s">
        <v>159</v>
      </c>
      <c r="D163" s="134"/>
      <c r="E163" s="138" t="s">
        <v>26</v>
      </c>
      <c r="F163" s="34">
        <v>1</v>
      </c>
      <c r="G163" s="131"/>
      <c r="H163" s="134"/>
      <c r="I163" s="139"/>
      <c r="J163" s="139">
        <v>51777.889000000003</v>
      </c>
      <c r="K163" s="139">
        <v>30673.277500000004</v>
      </c>
      <c r="L163" s="142">
        <f t="shared" si="19"/>
        <v>82451.166500000007</v>
      </c>
    </row>
    <row r="164" spans="1:12" ht="23" x14ac:dyDescent="0.35">
      <c r="A164" s="134"/>
      <c r="B164" s="136" t="s">
        <v>160</v>
      </c>
      <c r="C164" s="137" t="s">
        <v>161</v>
      </c>
      <c r="D164" s="134"/>
      <c r="E164" s="138" t="s">
        <v>26</v>
      </c>
      <c r="F164" s="34">
        <v>1</v>
      </c>
      <c r="G164" s="131"/>
      <c r="H164" s="134"/>
      <c r="I164" s="139"/>
      <c r="J164" s="139">
        <v>82844.622400000007</v>
      </c>
      <c r="K164" s="139">
        <v>49077.244000000006</v>
      </c>
      <c r="L164" s="142">
        <f t="shared" si="19"/>
        <v>131921.8664</v>
      </c>
    </row>
    <row r="165" spans="1:12" ht="23" x14ac:dyDescent="0.35">
      <c r="A165" s="134"/>
      <c r="B165" s="136" t="s">
        <v>162</v>
      </c>
      <c r="C165" s="137" t="s">
        <v>163</v>
      </c>
      <c r="D165" s="134"/>
      <c r="E165" s="138" t="s">
        <v>26</v>
      </c>
      <c r="F165" s="34">
        <v>1</v>
      </c>
      <c r="G165" s="131"/>
      <c r="H165" s="134"/>
      <c r="I165" s="139"/>
      <c r="J165" s="139">
        <v>1173276.5500000003</v>
      </c>
      <c r="K165" s="139">
        <v>919228.35000000009</v>
      </c>
      <c r="L165" s="142">
        <f>J165+K165</f>
        <v>2092504.9000000004</v>
      </c>
    </row>
    <row r="166" spans="1:12" x14ac:dyDescent="0.35">
      <c r="A166" s="143"/>
      <c r="B166" s="144"/>
      <c r="C166" s="145" t="s">
        <v>35</v>
      </c>
      <c r="D166" s="146"/>
      <c r="E166" s="146"/>
      <c r="G166" s="147"/>
      <c r="H166" s="147"/>
      <c r="I166" s="147"/>
      <c r="J166" s="147">
        <f>SUM(J152:J165)</f>
        <v>7171785.8200000003</v>
      </c>
      <c r="K166" s="147">
        <f>SUM(K152:K165)</f>
        <v>3673535.42</v>
      </c>
      <c r="L166" s="148">
        <f>ROUND(SUM(L152:L165),2)</f>
        <v>10845321.24</v>
      </c>
    </row>
    <row r="167" spans="1:12" ht="23" x14ac:dyDescent="0.35">
      <c r="A167" s="143"/>
      <c r="B167" s="144"/>
      <c r="C167" s="145" t="s">
        <v>36</v>
      </c>
      <c r="D167" s="146"/>
      <c r="E167" s="146"/>
      <c r="G167" s="147"/>
      <c r="H167" s="147"/>
      <c r="I167" s="147"/>
      <c r="J167" s="147"/>
      <c r="K167" s="147"/>
      <c r="L167" s="148">
        <f>ROUND(L166*0.01375036551451, 2)</f>
        <v>149127.13</v>
      </c>
    </row>
    <row r="168" spans="1:12" x14ac:dyDescent="0.35">
      <c r="A168" s="143"/>
      <c r="B168" s="144"/>
      <c r="C168" s="145" t="s">
        <v>37</v>
      </c>
      <c r="D168" s="146"/>
      <c r="E168" s="146"/>
      <c r="G168" s="147"/>
      <c r="H168" s="147"/>
      <c r="I168" s="147"/>
      <c r="J168" s="147"/>
      <c r="K168" s="147"/>
      <c r="L168" s="148">
        <f>ROUND(L166+L167,2)</f>
        <v>10994448.369999999</v>
      </c>
    </row>
    <row r="169" spans="1:12" x14ac:dyDescent="0.35">
      <c r="A169" s="143"/>
      <c r="B169" s="144"/>
      <c r="C169" s="145" t="s">
        <v>164</v>
      </c>
      <c r="D169" s="146"/>
      <c r="E169" s="146"/>
      <c r="G169" s="147"/>
      <c r="H169" s="147"/>
      <c r="I169" s="147"/>
      <c r="J169" s="147"/>
      <c r="K169" s="147"/>
      <c r="L169" s="148">
        <f>ROUND(L168*20/120, 2)</f>
        <v>1832408.06</v>
      </c>
    </row>
    <row r="174" spans="1:12" s="46" customFormat="1" ht="15" hidden="1" outlineLevel="1" x14ac:dyDescent="0.35">
      <c r="A174" s="41"/>
      <c r="B174" s="42"/>
      <c r="C174" s="43"/>
      <c r="D174" s="149" t="s">
        <v>165</v>
      </c>
      <c r="E174" s="149"/>
      <c r="F174" s="149"/>
      <c r="G174" s="149"/>
      <c r="H174" s="149"/>
      <c r="I174" s="43"/>
      <c r="J174" s="43"/>
      <c r="K174" s="43"/>
    </row>
    <row r="175" spans="1:12" s="46" customFormat="1" hidden="1" outlineLevel="1" x14ac:dyDescent="0.35">
      <c r="A175" s="41"/>
      <c r="B175" s="42"/>
      <c r="C175" s="43"/>
      <c r="D175" s="150" t="s">
        <v>1</v>
      </c>
      <c r="E175" s="150"/>
      <c r="F175" s="150"/>
      <c r="G175" s="150"/>
      <c r="H175" s="150"/>
      <c r="I175" s="43"/>
      <c r="J175" s="43"/>
      <c r="K175" s="43"/>
    </row>
    <row r="176" spans="1:12" s="46" customFormat="1" hidden="1" outlineLevel="1" x14ac:dyDescent="0.35">
      <c r="A176" s="50"/>
      <c r="B176" s="51"/>
      <c r="C176" s="52"/>
      <c r="D176" s="52"/>
      <c r="E176" s="52"/>
      <c r="F176" s="52"/>
      <c r="G176" s="52"/>
      <c r="H176" s="52"/>
      <c r="I176" s="52"/>
      <c r="J176" s="52"/>
      <c r="K176" s="43"/>
    </row>
    <row r="177" spans="1:12" s="46" customFormat="1" hidden="1" outlineLevel="1" x14ac:dyDescent="0.35">
      <c r="A177" s="53" t="s">
        <v>2</v>
      </c>
      <c r="B177" s="151" t="s">
        <v>166</v>
      </c>
      <c r="C177" s="52"/>
      <c r="D177" s="52"/>
      <c r="E177" s="52"/>
      <c r="F177" s="152"/>
      <c r="G177" s="52"/>
      <c r="H177" s="52"/>
      <c r="I177" s="52"/>
      <c r="J177" s="152"/>
      <c r="K177" s="43"/>
    </row>
    <row r="178" spans="1:12" s="46" customFormat="1" hidden="1" outlineLevel="1" x14ac:dyDescent="0.35">
      <c r="A178" s="50"/>
      <c r="B178" s="55"/>
      <c r="C178" s="56"/>
      <c r="D178" s="56"/>
      <c r="E178" s="56"/>
      <c r="F178" s="53"/>
      <c r="G178" s="57"/>
      <c r="H178" s="57"/>
      <c r="I178" s="56"/>
      <c r="J178" s="52"/>
      <c r="K178" s="43"/>
    </row>
    <row r="179" spans="1:12" s="46" customFormat="1" hidden="1" outlineLevel="1" x14ac:dyDescent="0.35">
      <c r="A179" s="58"/>
      <c r="B179" s="59"/>
      <c r="C179" s="52"/>
      <c r="D179" s="52"/>
      <c r="E179" s="52"/>
      <c r="F179" s="52"/>
      <c r="G179" s="52"/>
      <c r="H179" s="52"/>
      <c r="I179" s="52"/>
      <c r="J179" s="52"/>
      <c r="K179" s="43"/>
    </row>
    <row r="180" spans="1:12" s="46" customFormat="1" hidden="1" outlineLevel="1" x14ac:dyDescent="0.35">
      <c r="A180" s="60"/>
      <c r="B180" s="61" t="s">
        <v>128</v>
      </c>
      <c r="C180" s="62"/>
      <c r="D180" s="62"/>
      <c r="E180" s="62"/>
      <c r="F180" s="52"/>
      <c r="G180" s="61"/>
      <c r="H180" s="61"/>
      <c r="I180" s="61"/>
      <c r="J180" s="52"/>
      <c r="K180" s="61"/>
    </row>
    <row r="181" spans="1:12" s="46" customFormat="1" hidden="1" outlineLevel="1" x14ac:dyDescent="0.35">
      <c r="A181" s="47"/>
      <c r="B181" s="61" t="s">
        <v>6</v>
      </c>
      <c r="C181" s="62"/>
      <c r="D181" s="153">
        <f>L192</f>
        <v>7850673.2599999988</v>
      </c>
      <c r="E181" s="62" t="s">
        <v>7</v>
      </c>
      <c r="F181" s="154"/>
      <c r="G181" s="61"/>
      <c r="H181" s="52"/>
      <c r="I181" s="61"/>
      <c r="J181" s="52"/>
      <c r="K181" s="52"/>
    </row>
    <row r="182" spans="1:12" s="46" customFormat="1" hidden="1" outlineLevel="1" x14ac:dyDescent="0.35">
      <c r="A182" s="60"/>
      <c r="B182" s="58" t="s">
        <v>8</v>
      </c>
      <c r="C182" s="62"/>
      <c r="D182" s="62"/>
      <c r="E182" s="62"/>
      <c r="F182" s="52"/>
      <c r="G182" s="52"/>
      <c r="H182" s="52"/>
      <c r="I182" s="52"/>
      <c r="J182" s="52"/>
      <c r="K182" s="43"/>
    </row>
    <row r="183" spans="1:12" s="46" customFormat="1" ht="36" hidden="1" customHeight="1" outlineLevel="1" x14ac:dyDescent="0.35">
      <c r="A183" s="155" t="s">
        <v>9</v>
      </c>
      <c r="B183" s="156" t="s">
        <v>129</v>
      </c>
      <c r="C183" s="156" t="s">
        <v>11</v>
      </c>
      <c r="D183" s="156" t="s">
        <v>12</v>
      </c>
      <c r="E183" s="156" t="s">
        <v>13</v>
      </c>
      <c r="G183" s="156" t="s">
        <v>130</v>
      </c>
      <c r="H183" s="156" t="s">
        <v>131</v>
      </c>
      <c r="I183" s="156" t="s">
        <v>17</v>
      </c>
      <c r="J183" s="156" t="s">
        <v>132</v>
      </c>
      <c r="K183" s="156" t="s">
        <v>133</v>
      </c>
      <c r="L183" s="156" t="s">
        <v>20</v>
      </c>
    </row>
    <row r="184" spans="1:12" s="46" customFormat="1" hidden="1" outlineLevel="1" x14ac:dyDescent="0.35">
      <c r="A184" s="157">
        <v>1</v>
      </c>
      <c r="B184" s="158">
        <v>2</v>
      </c>
      <c r="C184" s="157">
        <v>3</v>
      </c>
      <c r="D184" s="158">
        <v>4</v>
      </c>
      <c r="E184" s="157">
        <v>5</v>
      </c>
      <c r="G184" s="158">
        <v>6</v>
      </c>
      <c r="H184" s="157">
        <v>7</v>
      </c>
      <c r="I184" s="158">
        <v>8</v>
      </c>
      <c r="J184" s="157">
        <v>9</v>
      </c>
      <c r="K184" s="158">
        <v>10</v>
      </c>
      <c r="L184" s="157">
        <v>11</v>
      </c>
    </row>
    <row r="185" spans="1:12" s="46" customFormat="1" ht="34.5" hidden="1" outlineLevel="1" x14ac:dyDescent="0.35">
      <c r="A185" s="157"/>
      <c r="B185" s="158" t="s">
        <v>167</v>
      </c>
      <c r="C185" s="159" t="s">
        <v>166</v>
      </c>
      <c r="D185" s="155" t="s">
        <v>135</v>
      </c>
      <c r="E185" s="160" t="s">
        <v>26</v>
      </c>
      <c r="G185" s="155"/>
      <c r="H185" s="157"/>
      <c r="I185" s="161"/>
      <c r="J185" s="162"/>
      <c r="K185" s="162"/>
      <c r="L185" s="162">
        <f>L190</f>
        <v>7744187.8499999987</v>
      </c>
    </row>
    <row r="186" spans="1:12" s="46" customFormat="1" hidden="1" outlineLevel="1" x14ac:dyDescent="0.35">
      <c r="A186" s="157"/>
      <c r="B186" s="158" t="s">
        <v>168</v>
      </c>
      <c r="C186" s="163" t="s">
        <v>169</v>
      </c>
      <c r="D186" s="164"/>
      <c r="E186" s="160" t="s">
        <v>26</v>
      </c>
      <c r="F186" s="75">
        <v>1</v>
      </c>
      <c r="G186" s="155"/>
      <c r="H186" s="157"/>
      <c r="I186" s="161"/>
      <c r="J186" s="161">
        <v>269301.43000000005</v>
      </c>
      <c r="K186" s="161">
        <v>212450.21000000002</v>
      </c>
      <c r="L186" s="161">
        <f>K186+J186</f>
        <v>481751.64000000007</v>
      </c>
    </row>
    <row r="187" spans="1:12" s="46" customFormat="1" hidden="1" outlineLevel="1" x14ac:dyDescent="0.35">
      <c r="A187" s="157"/>
      <c r="B187" s="158" t="s">
        <v>170</v>
      </c>
      <c r="C187" s="163" t="s">
        <v>171</v>
      </c>
      <c r="D187" s="164"/>
      <c r="E187" s="160" t="s">
        <v>26</v>
      </c>
      <c r="F187" s="75">
        <v>1</v>
      </c>
      <c r="G187" s="155"/>
      <c r="H187" s="157"/>
      <c r="I187" s="161"/>
      <c r="J187" s="161">
        <v>126882.57000000004</v>
      </c>
      <c r="K187" s="161">
        <v>112766.31000000001</v>
      </c>
      <c r="L187" s="161">
        <f>K187+J187</f>
        <v>239648.88000000006</v>
      </c>
    </row>
    <row r="188" spans="1:12" s="46" customFormat="1" hidden="1" outlineLevel="1" x14ac:dyDescent="0.35">
      <c r="A188" s="157"/>
      <c r="B188" s="158" t="s">
        <v>172</v>
      </c>
      <c r="C188" s="163" t="s">
        <v>173</v>
      </c>
      <c r="D188" s="164"/>
      <c r="E188" s="160" t="s">
        <v>26</v>
      </c>
      <c r="F188" s="75">
        <v>1</v>
      </c>
      <c r="G188" s="155"/>
      <c r="H188" s="157"/>
      <c r="I188" s="161"/>
      <c r="J188" s="161">
        <v>3893586.3499999996</v>
      </c>
      <c r="K188" s="161">
        <v>1120288.42</v>
      </c>
      <c r="L188" s="161">
        <f>K188+J188</f>
        <v>5013874.7699999996</v>
      </c>
    </row>
    <row r="189" spans="1:12" s="46" customFormat="1" hidden="1" outlineLevel="1" x14ac:dyDescent="0.35">
      <c r="A189" s="157"/>
      <c r="B189" s="158" t="s">
        <v>174</v>
      </c>
      <c r="C189" s="163" t="s">
        <v>175</v>
      </c>
      <c r="D189" s="164"/>
      <c r="E189" s="160" t="s">
        <v>26</v>
      </c>
      <c r="F189" s="75">
        <v>1</v>
      </c>
      <c r="G189" s="155"/>
      <c r="H189" s="157"/>
      <c r="I189" s="161"/>
      <c r="J189" s="161">
        <v>1679952.0599999996</v>
      </c>
      <c r="K189" s="161">
        <v>328960.50000000006</v>
      </c>
      <c r="L189" s="161">
        <f>K189+J189</f>
        <v>2008912.5599999996</v>
      </c>
    </row>
    <row r="190" spans="1:12" s="46" customFormat="1" hidden="1" outlineLevel="1" x14ac:dyDescent="0.35">
      <c r="A190" s="165"/>
      <c r="B190" s="166"/>
      <c r="C190" s="167" t="s">
        <v>35</v>
      </c>
      <c r="D190" s="168"/>
      <c r="E190" s="168"/>
      <c r="G190" s="169"/>
      <c r="H190" s="169"/>
      <c r="I190" s="169"/>
      <c r="J190" s="169">
        <f>J189+J188+J187+J186</f>
        <v>5969722.4099999992</v>
      </c>
      <c r="K190" s="169">
        <f>K189+K188+K187+K186</f>
        <v>1774465.44</v>
      </c>
      <c r="L190" s="169">
        <f>L189+L188+L187+L186</f>
        <v>7744187.8499999987</v>
      </c>
    </row>
    <row r="191" spans="1:12" s="46" customFormat="1" ht="23" hidden="1" outlineLevel="1" x14ac:dyDescent="0.35">
      <c r="A191" s="165"/>
      <c r="B191" s="166"/>
      <c r="C191" s="170" t="s">
        <v>36</v>
      </c>
      <c r="D191" s="168"/>
      <c r="E191" s="168"/>
      <c r="G191" s="169"/>
      <c r="H191" s="169"/>
      <c r="I191" s="169"/>
      <c r="J191" s="169"/>
      <c r="K191" s="169"/>
      <c r="L191" s="169">
        <f>ROUND(L190*0.01375036551451, 2)</f>
        <v>106485.41</v>
      </c>
    </row>
    <row r="192" spans="1:12" s="46" customFormat="1" hidden="1" outlineLevel="1" x14ac:dyDescent="0.35">
      <c r="A192" s="165"/>
      <c r="B192" s="166"/>
      <c r="C192" s="170" t="s">
        <v>37</v>
      </c>
      <c r="D192" s="168"/>
      <c r="E192" s="168"/>
      <c r="G192" s="169"/>
      <c r="H192" s="169"/>
      <c r="I192" s="169"/>
      <c r="J192" s="169"/>
      <c r="K192" s="169"/>
      <c r="L192" s="169">
        <f>L190+L191</f>
        <v>7850673.2599999988</v>
      </c>
    </row>
    <row r="193" spans="1:14" s="46" customFormat="1" hidden="1" outlineLevel="1" x14ac:dyDescent="0.35">
      <c r="A193" s="165"/>
      <c r="B193" s="166"/>
      <c r="C193" s="170" t="s">
        <v>164</v>
      </c>
      <c r="D193" s="168"/>
      <c r="E193" s="168"/>
      <c r="G193" s="169"/>
      <c r="H193" s="169"/>
      <c r="I193" s="169"/>
      <c r="J193" s="169"/>
      <c r="K193" s="169"/>
      <c r="L193" s="169">
        <f>ROUND(L192*20/120, 2)</f>
        <v>1308445.54</v>
      </c>
    </row>
    <row r="194" spans="1:14" collapsed="1" x14ac:dyDescent="0.35"/>
    <row r="196" spans="1:14" ht="15" x14ac:dyDescent="0.35">
      <c r="A196" s="1"/>
      <c r="B196" s="2"/>
      <c r="C196" s="3"/>
      <c r="D196" s="4" t="s">
        <v>165</v>
      </c>
      <c r="E196" s="4"/>
      <c r="F196" s="4"/>
      <c r="G196" s="4"/>
      <c r="H196" s="4"/>
      <c r="I196" s="3"/>
      <c r="J196" s="3"/>
      <c r="K196" s="3"/>
    </row>
    <row r="197" spans="1:14" ht="15" x14ac:dyDescent="0.35">
      <c r="A197" s="1"/>
      <c r="B197" s="2"/>
      <c r="C197" s="3"/>
      <c r="D197" s="125" t="s">
        <v>1</v>
      </c>
      <c r="E197" s="125"/>
      <c r="F197" s="125"/>
      <c r="G197" s="125"/>
      <c r="H197" s="125"/>
      <c r="I197" s="3"/>
      <c r="J197" s="171" t="s">
        <v>70</v>
      </c>
      <c r="K197" s="3"/>
    </row>
    <row r="198" spans="1:14" x14ac:dyDescent="0.35">
      <c r="A198" s="9"/>
      <c r="B198" s="10"/>
      <c r="C198" s="11"/>
      <c r="D198" s="11"/>
      <c r="E198" s="11"/>
      <c r="F198" s="11"/>
      <c r="G198" s="11"/>
      <c r="H198" s="11"/>
      <c r="I198" s="11"/>
      <c r="J198" s="11"/>
      <c r="K198" s="3"/>
    </row>
    <row r="199" spans="1:14" x14ac:dyDescent="0.35">
      <c r="A199" s="12" t="s">
        <v>2</v>
      </c>
      <c r="B199" s="127" t="s">
        <v>166</v>
      </c>
      <c r="C199" s="11"/>
      <c r="D199" s="11"/>
      <c r="E199" s="11"/>
      <c r="F199" s="128"/>
      <c r="G199" s="11"/>
      <c r="H199" s="11"/>
      <c r="I199" s="11"/>
      <c r="J199" s="128"/>
      <c r="K199" s="3"/>
    </row>
    <row r="200" spans="1:14" x14ac:dyDescent="0.35">
      <c r="A200" s="9"/>
      <c r="B200" s="14"/>
      <c r="C200" s="15"/>
      <c r="D200" s="15"/>
      <c r="E200" s="15"/>
      <c r="F200" s="12"/>
      <c r="G200" s="16"/>
      <c r="H200" s="16"/>
      <c r="I200" s="15"/>
      <c r="J200" s="11"/>
      <c r="K200" s="3"/>
    </row>
    <row r="201" spans="1:14" x14ac:dyDescent="0.35">
      <c r="A201" s="17"/>
      <c r="B201" s="18"/>
      <c r="C201" s="11"/>
      <c r="D201" s="11"/>
      <c r="E201" s="11"/>
      <c r="F201" s="11"/>
      <c r="G201" s="11"/>
      <c r="H201" s="11"/>
      <c r="I201" s="11"/>
      <c r="J201" s="11"/>
      <c r="K201" s="3"/>
    </row>
    <row r="202" spans="1:14" x14ac:dyDescent="0.35">
      <c r="A202" s="19"/>
      <c r="B202" s="20" t="s">
        <v>128</v>
      </c>
      <c r="C202" s="21"/>
      <c r="D202" s="21"/>
      <c r="E202" s="21"/>
      <c r="F202" s="11"/>
      <c r="G202" s="20"/>
      <c r="H202" s="20"/>
      <c r="I202" s="20"/>
      <c r="J202" s="11"/>
      <c r="K202" s="20"/>
    </row>
    <row r="203" spans="1:14" x14ac:dyDescent="0.35">
      <c r="A203" s="6"/>
      <c r="B203" s="20" t="s">
        <v>6</v>
      </c>
      <c r="C203" s="21"/>
      <c r="D203" s="172">
        <f>L214</f>
        <v>6326753.9899999993</v>
      </c>
      <c r="E203" s="21" t="s">
        <v>7</v>
      </c>
      <c r="F203" s="130"/>
      <c r="G203" s="20"/>
      <c r="H203" s="11"/>
      <c r="I203" s="20"/>
      <c r="J203" s="11"/>
      <c r="K203" s="11"/>
    </row>
    <row r="204" spans="1:14" x14ac:dyDescent="0.35">
      <c r="A204" s="19"/>
      <c r="B204" s="17" t="s">
        <v>8</v>
      </c>
      <c r="C204" s="21"/>
      <c r="D204" s="21"/>
      <c r="E204" s="21"/>
      <c r="F204" s="11"/>
      <c r="G204" s="11"/>
      <c r="H204" s="11"/>
      <c r="I204" s="11"/>
      <c r="J204" s="11"/>
      <c r="K204" s="3"/>
    </row>
    <row r="205" spans="1:14" ht="34.5" x14ac:dyDescent="0.35">
      <c r="A205" s="131" t="s">
        <v>9</v>
      </c>
      <c r="B205" s="132" t="s">
        <v>129</v>
      </c>
      <c r="C205" s="132" t="s">
        <v>11</v>
      </c>
      <c r="D205" s="132" t="s">
        <v>12</v>
      </c>
      <c r="E205" s="132" t="s">
        <v>13</v>
      </c>
      <c r="G205" s="132" t="s">
        <v>130</v>
      </c>
      <c r="H205" s="132" t="s">
        <v>131</v>
      </c>
      <c r="I205" s="132" t="s">
        <v>17</v>
      </c>
      <c r="J205" s="132" t="s">
        <v>132</v>
      </c>
      <c r="K205" s="132" t="s">
        <v>133</v>
      </c>
      <c r="L205" s="132" t="s">
        <v>20</v>
      </c>
    </row>
    <row r="206" spans="1:14" x14ac:dyDescent="0.35">
      <c r="A206" s="134">
        <v>1</v>
      </c>
      <c r="B206" s="136">
        <v>2</v>
      </c>
      <c r="C206" s="134">
        <v>3</v>
      </c>
      <c r="D206" s="136">
        <v>4</v>
      </c>
      <c r="E206" s="134">
        <v>5</v>
      </c>
      <c r="G206" s="136">
        <v>6</v>
      </c>
      <c r="H206" s="134">
        <v>7</v>
      </c>
      <c r="I206" s="136">
        <v>8</v>
      </c>
      <c r="J206" s="134">
        <v>9</v>
      </c>
      <c r="K206" s="136">
        <v>10</v>
      </c>
      <c r="L206" s="134">
        <v>11</v>
      </c>
    </row>
    <row r="207" spans="1:14" ht="34.5" x14ac:dyDescent="0.35">
      <c r="A207" s="134"/>
      <c r="B207" s="136" t="s">
        <v>167</v>
      </c>
      <c r="C207" s="137" t="s">
        <v>166</v>
      </c>
      <c r="D207" s="131" t="s">
        <v>135</v>
      </c>
      <c r="E207" s="138" t="s">
        <v>26</v>
      </c>
      <c r="G207" s="131"/>
      <c r="H207" s="134"/>
      <c r="I207" s="139"/>
      <c r="J207" s="140"/>
      <c r="K207" s="140"/>
      <c r="L207" s="140">
        <f>L212</f>
        <v>6240938.7999999989</v>
      </c>
    </row>
    <row r="208" spans="1:14" x14ac:dyDescent="0.35">
      <c r="A208" s="134"/>
      <c r="B208" s="136" t="s">
        <v>168</v>
      </c>
      <c r="C208" s="173" t="s">
        <v>169</v>
      </c>
      <c r="D208" s="174"/>
      <c r="E208" s="138" t="s">
        <v>26</v>
      </c>
      <c r="F208" s="34">
        <v>1</v>
      </c>
      <c r="G208" s="131"/>
      <c r="H208" s="134"/>
      <c r="I208" s="139"/>
      <c r="J208" s="139">
        <v>269301.43000000005</v>
      </c>
      <c r="K208" s="139">
        <v>212450.21000000002</v>
      </c>
      <c r="L208" s="139">
        <f>K208+J208</f>
        <v>481751.64000000007</v>
      </c>
      <c r="M208">
        <v>1</v>
      </c>
      <c r="N208">
        <f>M208*L208</f>
        <v>481751.64000000007</v>
      </c>
    </row>
    <row r="209" spans="1:14" x14ac:dyDescent="0.35">
      <c r="A209" s="134"/>
      <c r="B209" s="136" t="s">
        <v>170</v>
      </c>
      <c r="C209" s="173" t="s">
        <v>171</v>
      </c>
      <c r="D209" s="174"/>
      <c r="E209" s="138" t="s">
        <v>26</v>
      </c>
      <c r="F209" s="34">
        <v>1</v>
      </c>
      <c r="G209" s="131"/>
      <c r="H209" s="134"/>
      <c r="I209" s="139"/>
      <c r="J209" s="139">
        <v>126882.57000000004</v>
      </c>
      <c r="K209" s="139">
        <v>112766.31000000001</v>
      </c>
      <c r="L209" s="139">
        <f>K209+J209</f>
        <v>239648.88000000006</v>
      </c>
      <c r="M209">
        <v>1</v>
      </c>
      <c r="N209">
        <f t="shared" ref="N209:N211" si="20">M209*L209</f>
        <v>239648.88000000006</v>
      </c>
    </row>
    <row r="210" spans="1:14" x14ac:dyDescent="0.35">
      <c r="A210" s="134"/>
      <c r="B210" s="136" t="s">
        <v>172</v>
      </c>
      <c r="C210" s="175" t="s">
        <v>173</v>
      </c>
      <c r="D210" s="176"/>
      <c r="E210" s="177" t="s">
        <v>26</v>
      </c>
      <c r="F210" s="109">
        <v>1</v>
      </c>
      <c r="G210" s="178"/>
      <c r="H210" s="179"/>
      <c r="I210" s="180"/>
      <c r="J210" s="180">
        <f>4466473.36-2076136.06</f>
        <v>2390337.3000000003</v>
      </c>
      <c r="K210" s="180">
        <v>1120288.42</v>
      </c>
      <c r="L210" s="180">
        <f>K210+J210</f>
        <v>3510625.72</v>
      </c>
      <c r="M210">
        <v>0.9</v>
      </c>
      <c r="N210">
        <f t="shared" si="20"/>
        <v>3159563.148</v>
      </c>
    </row>
    <row r="211" spans="1:14" x14ac:dyDescent="0.35">
      <c r="A211" s="134"/>
      <c r="B211" s="136" t="s">
        <v>174</v>
      </c>
      <c r="C211" s="173" t="s">
        <v>175</v>
      </c>
      <c r="D211" s="174"/>
      <c r="E211" s="138" t="s">
        <v>26</v>
      </c>
      <c r="F211" s="34">
        <v>1</v>
      </c>
      <c r="G211" s="131"/>
      <c r="H211" s="134"/>
      <c r="I211" s="139"/>
      <c r="J211" s="139">
        <v>1679952.0599999996</v>
      </c>
      <c r="K211" s="139">
        <v>328960.50000000006</v>
      </c>
      <c r="L211" s="139">
        <f>K211+J211</f>
        <v>2008912.5599999996</v>
      </c>
      <c r="M211">
        <v>0.85</v>
      </c>
      <c r="N211">
        <f t="shared" si="20"/>
        <v>1707575.6759999995</v>
      </c>
    </row>
    <row r="212" spans="1:14" x14ac:dyDescent="0.35">
      <c r="A212" s="143"/>
      <c r="B212" s="144"/>
      <c r="C212" s="181" t="s">
        <v>35</v>
      </c>
      <c r="D212" s="146"/>
      <c r="E212" s="146"/>
      <c r="G212" s="147"/>
      <c r="H212" s="147"/>
      <c r="I212" s="147"/>
      <c r="J212" s="147">
        <f>J211+J210+J209+J208</f>
        <v>4466473.3599999994</v>
      </c>
      <c r="K212" s="147">
        <f>K211+K210+K209+K208</f>
        <v>1774465.44</v>
      </c>
      <c r="L212" s="147">
        <f>L211+L210+L209+L208</f>
        <v>6240938.7999999989</v>
      </c>
      <c r="N212" s="147">
        <f>N211+N210+N209+N208</f>
        <v>5588539.3439999986</v>
      </c>
    </row>
    <row r="213" spans="1:14" ht="23" x14ac:dyDescent="0.35">
      <c r="A213" s="143"/>
      <c r="B213" s="144"/>
      <c r="C213" s="145" t="s">
        <v>36</v>
      </c>
      <c r="D213" s="146"/>
      <c r="E213" s="146"/>
      <c r="G213" s="147"/>
      <c r="H213" s="147"/>
      <c r="I213" s="147"/>
      <c r="J213" s="147"/>
      <c r="K213" s="147"/>
      <c r="L213" s="147">
        <f>ROUND(L212*0.01375036551451, 2)</f>
        <v>85815.19</v>
      </c>
      <c r="N213" s="147">
        <f>ROUND(N212*0.01375036551451, 2)</f>
        <v>76844.460000000006</v>
      </c>
    </row>
    <row r="214" spans="1:14" x14ac:dyDescent="0.35">
      <c r="A214" s="143"/>
      <c r="B214" s="144"/>
      <c r="C214" s="145" t="s">
        <v>37</v>
      </c>
      <c r="D214" s="146"/>
      <c r="E214" s="146"/>
      <c r="G214" s="147"/>
      <c r="H214" s="147"/>
      <c r="I214" s="147"/>
      <c r="J214" s="147"/>
      <c r="K214" s="147"/>
      <c r="L214" s="147">
        <f>L212+L213</f>
        <v>6326753.9899999993</v>
      </c>
      <c r="N214" s="147">
        <f>N212+N213</f>
        <v>5665383.8039999986</v>
      </c>
    </row>
    <row r="215" spans="1:14" x14ac:dyDescent="0.35">
      <c r="A215" s="143"/>
      <c r="B215" s="144"/>
      <c r="C215" s="145" t="s">
        <v>164</v>
      </c>
      <c r="D215" s="146"/>
      <c r="E215" s="146"/>
      <c r="G215" s="147"/>
      <c r="H215" s="147"/>
      <c r="I215" s="147"/>
      <c r="J215" s="147"/>
      <c r="K215" s="147"/>
      <c r="L215" s="147">
        <f>ROUND(L214*20/120, 2)</f>
        <v>1054459</v>
      </c>
    </row>
    <row r="217" spans="1:14" ht="15" x14ac:dyDescent="0.35">
      <c r="A217" s="1"/>
      <c r="B217" s="2"/>
      <c r="C217" s="3"/>
      <c r="D217" s="4" t="s">
        <v>176</v>
      </c>
      <c r="E217" s="4"/>
      <c r="F217" s="4"/>
      <c r="G217" s="4"/>
      <c r="H217" s="4"/>
      <c r="I217" s="3"/>
      <c r="J217" s="3"/>
      <c r="K217" s="3"/>
    </row>
    <row r="218" spans="1:14" x14ac:dyDescent="0.35">
      <c r="A218" s="1"/>
      <c r="B218" s="2"/>
      <c r="C218" s="3"/>
      <c r="D218" s="125" t="s">
        <v>1</v>
      </c>
      <c r="E218" s="125"/>
      <c r="F218" s="125"/>
      <c r="G218" s="125"/>
      <c r="H218" s="125"/>
      <c r="I218" s="3"/>
      <c r="J218" s="3"/>
      <c r="K218" s="3"/>
    </row>
    <row r="219" spans="1:14" x14ac:dyDescent="0.35">
      <c r="A219" s="9"/>
      <c r="B219" s="10"/>
      <c r="C219" s="11"/>
      <c r="D219" s="11"/>
      <c r="E219" s="11"/>
      <c r="F219" s="11"/>
      <c r="G219" s="11"/>
      <c r="H219" s="11"/>
      <c r="I219" s="11"/>
      <c r="J219" s="11"/>
      <c r="K219" s="3"/>
    </row>
    <row r="220" spans="1:14" x14ac:dyDescent="0.35">
      <c r="A220" s="12" t="s">
        <v>2</v>
      </c>
      <c r="B220" s="127" t="s">
        <v>177</v>
      </c>
      <c r="C220" s="11"/>
      <c r="D220" s="11"/>
      <c r="E220" s="11"/>
      <c r="F220" s="128"/>
      <c r="G220" s="11"/>
      <c r="H220" s="11"/>
      <c r="I220" s="11"/>
      <c r="J220" s="128"/>
      <c r="K220" s="3"/>
    </row>
    <row r="221" spans="1:14" x14ac:dyDescent="0.35">
      <c r="A221" s="9"/>
      <c r="B221" s="14"/>
      <c r="C221" s="15"/>
      <c r="D221" s="15"/>
      <c r="E221" s="15"/>
      <c r="F221" s="12"/>
      <c r="G221" s="16"/>
      <c r="H221" s="16"/>
      <c r="I221" s="15"/>
      <c r="J221" s="11"/>
      <c r="K221" s="3"/>
    </row>
    <row r="222" spans="1:14" x14ac:dyDescent="0.35">
      <c r="A222" s="17"/>
      <c r="B222" s="18"/>
      <c r="C222" s="11"/>
      <c r="D222" s="11"/>
      <c r="E222" s="11"/>
      <c r="F222" s="11"/>
      <c r="G222" s="11"/>
      <c r="H222" s="11"/>
      <c r="I222" s="11"/>
      <c r="J222" s="11"/>
      <c r="K222" s="3"/>
    </row>
    <row r="223" spans="1:14" x14ac:dyDescent="0.35">
      <c r="A223" s="19"/>
      <c r="B223" s="20" t="s">
        <v>178</v>
      </c>
      <c r="C223" s="21"/>
      <c r="D223" s="21"/>
      <c r="E223" s="21"/>
      <c r="F223" s="11"/>
      <c r="G223" s="20"/>
      <c r="H223" s="20"/>
      <c r="I223" s="20"/>
      <c r="J223" s="11"/>
      <c r="K223" s="20"/>
    </row>
    <row r="224" spans="1:14" x14ac:dyDescent="0.35">
      <c r="A224" s="6"/>
      <c r="B224" s="20" t="s">
        <v>6</v>
      </c>
      <c r="C224" s="21"/>
      <c r="D224" s="172">
        <f>L232</f>
        <v>2115294.6900000004</v>
      </c>
      <c r="E224" s="21" t="s">
        <v>7</v>
      </c>
      <c r="F224" s="130"/>
      <c r="G224" s="20"/>
      <c r="H224" s="11"/>
      <c r="I224" s="20"/>
      <c r="J224" s="11"/>
      <c r="K224" s="11"/>
    </row>
    <row r="225" spans="1:12" x14ac:dyDescent="0.35">
      <c r="A225" s="19"/>
      <c r="B225" s="17" t="s">
        <v>8</v>
      </c>
      <c r="C225" s="21"/>
      <c r="D225" s="21"/>
      <c r="E225" s="21"/>
      <c r="F225" s="11"/>
      <c r="G225" s="11"/>
      <c r="H225" s="11"/>
      <c r="I225" s="11"/>
      <c r="J225" s="11"/>
      <c r="K225" s="3"/>
    </row>
    <row r="226" spans="1:12" ht="34.5" x14ac:dyDescent="0.35">
      <c r="A226" s="131" t="s">
        <v>9</v>
      </c>
      <c r="B226" s="132" t="s">
        <v>129</v>
      </c>
      <c r="C226" s="132" t="s">
        <v>11</v>
      </c>
      <c r="D226" s="132" t="s">
        <v>12</v>
      </c>
      <c r="E226" s="132" t="s">
        <v>13</v>
      </c>
      <c r="G226" s="132" t="s">
        <v>130</v>
      </c>
      <c r="H226" s="132" t="s">
        <v>131</v>
      </c>
      <c r="I226" s="132" t="s">
        <v>17</v>
      </c>
      <c r="J226" s="132" t="s">
        <v>132</v>
      </c>
      <c r="K226" s="132" t="s">
        <v>133</v>
      </c>
      <c r="L226" s="132" t="s">
        <v>20</v>
      </c>
    </row>
    <row r="227" spans="1:12" x14ac:dyDescent="0.35">
      <c r="A227" s="134">
        <v>1</v>
      </c>
      <c r="B227" s="134">
        <v>2</v>
      </c>
      <c r="C227" s="134">
        <v>3</v>
      </c>
      <c r="D227" s="134">
        <v>4</v>
      </c>
      <c r="E227" s="134">
        <v>5</v>
      </c>
      <c r="G227" s="134">
        <v>6</v>
      </c>
      <c r="H227" s="134">
        <v>7</v>
      </c>
      <c r="I227" s="134">
        <v>8</v>
      </c>
      <c r="J227" s="134">
        <v>9</v>
      </c>
      <c r="K227" s="134">
        <v>10</v>
      </c>
      <c r="L227" s="134">
        <v>11</v>
      </c>
    </row>
    <row r="228" spans="1:12" ht="34.5" x14ac:dyDescent="0.35">
      <c r="A228" s="134"/>
      <c r="B228" s="136" t="s">
        <v>179</v>
      </c>
      <c r="C228" s="137" t="s">
        <v>177</v>
      </c>
      <c r="D228" s="131" t="s">
        <v>135</v>
      </c>
      <c r="E228" s="138" t="s">
        <v>26</v>
      </c>
      <c r="G228" s="131"/>
      <c r="H228" s="134"/>
      <c r="I228" s="139"/>
      <c r="J228" s="140"/>
      <c r="K228" s="140"/>
      <c r="L228" s="140">
        <f>L230</f>
        <v>2086603.1300000004</v>
      </c>
    </row>
    <row r="229" spans="1:12" ht="23" x14ac:dyDescent="0.35">
      <c r="A229" s="134"/>
      <c r="B229" s="136" t="s">
        <v>180</v>
      </c>
      <c r="C229" s="137" t="s">
        <v>181</v>
      </c>
      <c r="D229" s="182"/>
      <c r="E229" s="138" t="s">
        <v>26</v>
      </c>
      <c r="F229" s="34">
        <v>1</v>
      </c>
      <c r="G229" s="131"/>
      <c r="H229" s="134"/>
      <c r="I229" s="139"/>
      <c r="J229" s="139">
        <v>1192890.7600000002</v>
      </c>
      <c r="K229" s="139">
        <v>893712.37</v>
      </c>
      <c r="L229" s="139">
        <f>J229+K229</f>
        <v>2086603.1300000004</v>
      </c>
    </row>
    <row r="230" spans="1:12" x14ac:dyDescent="0.35">
      <c r="A230" s="143"/>
      <c r="B230" s="144"/>
      <c r="C230" s="181" t="s">
        <v>35</v>
      </c>
      <c r="D230" s="146"/>
      <c r="E230" s="146"/>
      <c r="G230" s="147"/>
      <c r="H230" s="147"/>
      <c r="I230" s="147"/>
      <c r="J230" s="147">
        <f>J229</f>
        <v>1192890.7600000002</v>
      </c>
      <c r="K230" s="147">
        <f>K229</f>
        <v>893712.37</v>
      </c>
      <c r="L230" s="147">
        <f>L229</f>
        <v>2086603.1300000004</v>
      </c>
    </row>
    <row r="231" spans="1:12" ht="23" x14ac:dyDescent="0.35">
      <c r="A231" s="143"/>
      <c r="B231" s="144"/>
      <c r="C231" s="145" t="s">
        <v>36</v>
      </c>
      <c r="D231" s="146"/>
      <c r="E231" s="146"/>
      <c r="G231" s="147"/>
      <c r="H231" s="147"/>
      <c r="I231" s="147"/>
      <c r="J231" s="147"/>
      <c r="K231" s="147"/>
      <c r="L231" s="147">
        <f>ROUND(L230*0.01375036551451, 2)</f>
        <v>28691.56</v>
      </c>
    </row>
    <row r="232" spans="1:12" x14ac:dyDescent="0.35">
      <c r="A232" s="143"/>
      <c r="B232" s="144"/>
      <c r="C232" s="145" t="s">
        <v>37</v>
      </c>
      <c r="D232" s="146"/>
      <c r="E232" s="146"/>
      <c r="G232" s="147"/>
      <c r="H232" s="147"/>
      <c r="I232" s="147"/>
      <c r="J232" s="147"/>
      <c r="K232" s="147"/>
      <c r="L232" s="147">
        <f>L230+L231</f>
        <v>2115294.6900000004</v>
      </c>
    </row>
    <row r="233" spans="1:12" x14ac:dyDescent="0.35">
      <c r="A233" s="143"/>
      <c r="B233" s="144"/>
      <c r="C233" s="145" t="s">
        <v>164</v>
      </c>
      <c r="D233" s="146"/>
      <c r="E233" s="146"/>
      <c r="G233" s="147"/>
      <c r="H233" s="147"/>
      <c r="I233" s="147"/>
      <c r="J233" s="147"/>
      <c r="K233" s="147"/>
      <c r="L233" s="147">
        <f>ROUND(L232*20/120, 2)</f>
        <v>352549.12</v>
      </c>
    </row>
    <row r="235" spans="1:12" ht="15" x14ac:dyDescent="0.35">
      <c r="A235" s="1"/>
      <c r="B235" s="2"/>
      <c r="C235" s="3"/>
      <c r="D235" s="4" t="s">
        <v>182</v>
      </c>
      <c r="E235" s="4"/>
      <c r="F235" s="4"/>
      <c r="G235" s="4"/>
      <c r="H235" s="4"/>
      <c r="I235" s="3"/>
      <c r="J235" s="3"/>
      <c r="K235" s="3"/>
    </row>
    <row r="236" spans="1:12" x14ac:dyDescent="0.35">
      <c r="A236" s="1"/>
      <c r="B236" s="2"/>
      <c r="C236" s="3"/>
      <c r="D236" s="125" t="s">
        <v>1</v>
      </c>
      <c r="E236" s="125"/>
      <c r="F236" s="125"/>
      <c r="G236" s="125"/>
      <c r="H236" s="125"/>
      <c r="I236" s="3"/>
      <c r="J236" s="3"/>
      <c r="K236" s="3"/>
    </row>
    <row r="237" spans="1:12" x14ac:dyDescent="0.35">
      <c r="A237" s="9"/>
      <c r="B237" s="10"/>
      <c r="C237" s="11"/>
      <c r="D237" s="11"/>
      <c r="E237" s="11"/>
      <c r="F237" s="11"/>
      <c r="G237" s="11"/>
      <c r="H237" s="11"/>
      <c r="I237" s="11"/>
      <c r="J237" s="11"/>
      <c r="K237" s="3"/>
    </row>
    <row r="238" spans="1:12" x14ac:dyDescent="0.35">
      <c r="A238" s="12" t="s">
        <v>2</v>
      </c>
      <c r="B238" s="127" t="s">
        <v>183</v>
      </c>
      <c r="C238" s="11"/>
      <c r="D238" s="11"/>
      <c r="E238" s="11"/>
      <c r="F238" s="128"/>
      <c r="G238" s="11"/>
      <c r="H238" s="11"/>
      <c r="I238" s="11"/>
      <c r="J238" s="128"/>
      <c r="K238" s="3"/>
    </row>
    <row r="239" spans="1:12" x14ac:dyDescent="0.35">
      <c r="A239" s="9"/>
      <c r="B239" s="14"/>
      <c r="C239" s="15"/>
      <c r="D239" s="15"/>
      <c r="E239" s="15"/>
      <c r="F239" s="12"/>
      <c r="G239" s="16"/>
      <c r="H239" s="16"/>
      <c r="I239" s="15"/>
      <c r="J239" s="11"/>
      <c r="K239" s="3"/>
    </row>
    <row r="240" spans="1:12" x14ac:dyDescent="0.35">
      <c r="A240" s="17"/>
      <c r="B240" s="18"/>
      <c r="C240" s="11"/>
      <c r="D240" s="11"/>
      <c r="E240" s="11"/>
      <c r="F240" s="11"/>
      <c r="G240" s="11"/>
      <c r="H240" s="11"/>
      <c r="I240" s="11"/>
      <c r="J240" s="11"/>
      <c r="K240" s="3"/>
    </row>
    <row r="241" spans="1:12" x14ac:dyDescent="0.35">
      <c r="A241" s="19"/>
      <c r="B241" s="20" t="s">
        <v>184</v>
      </c>
      <c r="C241" s="21"/>
      <c r="D241" s="21"/>
      <c r="E241" s="21"/>
      <c r="F241" s="11"/>
      <c r="G241" s="20"/>
      <c r="H241" s="20"/>
      <c r="I241" s="20"/>
      <c r="J241" s="11"/>
      <c r="K241" s="20"/>
    </row>
    <row r="242" spans="1:12" x14ac:dyDescent="0.35">
      <c r="A242" s="6"/>
      <c r="B242" s="20" t="s">
        <v>185</v>
      </c>
      <c r="C242" s="21"/>
      <c r="D242" s="172">
        <f>L255</f>
        <v>40545579.460000001</v>
      </c>
      <c r="E242" s="21" t="s">
        <v>7</v>
      </c>
      <c r="F242" s="130"/>
      <c r="G242" s="20"/>
      <c r="H242" s="11"/>
      <c r="I242" s="20"/>
      <c r="J242" s="11"/>
      <c r="K242" s="11"/>
    </row>
    <row r="243" spans="1:12" x14ac:dyDescent="0.35">
      <c r="A243" s="19"/>
      <c r="B243" s="17" t="s">
        <v>8</v>
      </c>
      <c r="C243" s="21"/>
      <c r="D243" s="21"/>
      <c r="E243" s="21"/>
      <c r="F243" s="11"/>
      <c r="G243" s="11"/>
      <c r="H243" s="11"/>
      <c r="I243" s="11"/>
      <c r="J243" s="11"/>
      <c r="K243" s="3"/>
    </row>
    <row r="244" spans="1:12" ht="34.5" x14ac:dyDescent="0.35">
      <c r="A244" s="131" t="s">
        <v>9</v>
      </c>
      <c r="B244" s="132" t="s">
        <v>129</v>
      </c>
      <c r="C244" s="132" t="s">
        <v>11</v>
      </c>
      <c r="D244" s="132" t="s">
        <v>12</v>
      </c>
      <c r="E244" s="132" t="s">
        <v>13</v>
      </c>
      <c r="G244" s="132" t="s">
        <v>130</v>
      </c>
      <c r="H244" s="132" t="s">
        <v>131</v>
      </c>
      <c r="I244" s="132" t="s">
        <v>17</v>
      </c>
      <c r="J244" s="132" t="s">
        <v>132</v>
      </c>
      <c r="K244" s="132" t="s">
        <v>133</v>
      </c>
      <c r="L244" s="132" t="s">
        <v>20</v>
      </c>
    </row>
    <row r="245" spans="1:12" x14ac:dyDescent="0.35">
      <c r="A245" s="134">
        <v>1</v>
      </c>
      <c r="B245" s="134">
        <v>2</v>
      </c>
      <c r="C245" s="134">
        <v>3</v>
      </c>
      <c r="D245" s="134">
        <v>4</v>
      </c>
      <c r="E245" s="134">
        <v>5</v>
      </c>
      <c r="G245" s="134">
        <v>6</v>
      </c>
      <c r="H245" s="134">
        <v>7</v>
      </c>
      <c r="I245" s="134">
        <v>8</v>
      </c>
      <c r="J245" s="134">
        <v>9</v>
      </c>
      <c r="K245" s="134">
        <v>10</v>
      </c>
      <c r="L245" s="134">
        <v>11</v>
      </c>
    </row>
    <row r="246" spans="1:12" ht="34.5" x14ac:dyDescent="0.35">
      <c r="A246" s="134"/>
      <c r="B246" s="136" t="s">
        <v>186</v>
      </c>
      <c r="C246" s="137" t="s">
        <v>183</v>
      </c>
      <c r="D246" s="131" t="s">
        <v>135</v>
      </c>
      <c r="E246" s="182" t="s">
        <v>26</v>
      </c>
      <c r="G246" s="131"/>
      <c r="H246" s="134"/>
      <c r="I246" s="139"/>
      <c r="J246" s="140"/>
      <c r="K246" s="140"/>
      <c r="L246" s="140">
        <f>L253</f>
        <v>39995625</v>
      </c>
    </row>
    <row r="247" spans="1:12" x14ac:dyDescent="0.35">
      <c r="A247" s="134"/>
      <c r="B247" s="136" t="s">
        <v>187</v>
      </c>
      <c r="C247" s="137" t="s">
        <v>188</v>
      </c>
      <c r="D247" s="131"/>
      <c r="E247" s="182" t="s">
        <v>26</v>
      </c>
      <c r="F247" s="34">
        <v>1</v>
      </c>
      <c r="G247" s="131"/>
      <c r="H247" s="134"/>
      <c r="I247" s="139"/>
      <c r="J247" s="139">
        <v>3360052.5000000005</v>
      </c>
      <c r="K247" s="139">
        <v>646906.67999999993</v>
      </c>
      <c r="L247" s="139">
        <f t="shared" ref="L247:L252" si="21">J247+K247</f>
        <v>4006959.1800000006</v>
      </c>
    </row>
    <row r="248" spans="1:12" x14ac:dyDescent="0.35">
      <c r="A248" s="134"/>
      <c r="B248" s="136" t="s">
        <v>189</v>
      </c>
      <c r="C248" s="137" t="s">
        <v>190</v>
      </c>
      <c r="D248" s="138"/>
      <c r="E248" s="182" t="s">
        <v>26</v>
      </c>
      <c r="F248" s="34">
        <v>1</v>
      </c>
      <c r="G248" s="131"/>
      <c r="H248" s="134"/>
      <c r="I248" s="139"/>
      <c r="J248" s="139">
        <v>6368615.6100000022</v>
      </c>
      <c r="K248" s="139">
        <v>3824132.8800000004</v>
      </c>
      <c r="L248" s="139">
        <f t="shared" si="21"/>
        <v>10192748.490000002</v>
      </c>
    </row>
    <row r="249" spans="1:12" x14ac:dyDescent="0.35">
      <c r="A249" s="134"/>
      <c r="B249" s="136" t="s">
        <v>191</v>
      </c>
      <c r="C249" s="137" t="s">
        <v>192</v>
      </c>
      <c r="D249" s="134"/>
      <c r="E249" s="182" t="s">
        <v>26</v>
      </c>
      <c r="F249" s="34">
        <v>1</v>
      </c>
      <c r="G249" s="131"/>
      <c r="H249" s="134"/>
      <c r="I249" s="139"/>
      <c r="J249" s="139">
        <v>4039096.25</v>
      </c>
      <c r="K249" s="139">
        <v>656982.88</v>
      </c>
      <c r="L249" s="139">
        <f t="shared" si="21"/>
        <v>4696079.13</v>
      </c>
    </row>
    <row r="250" spans="1:12" ht="23" x14ac:dyDescent="0.35">
      <c r="A250" s="134"/>
      <c r="B250" s="136" t="s">
        <v>193</v>
      </c>
      <c r="C250" s="137" t="s">
        <v>194</v>
      </c>
      <c r="D250" s="134"/>
      <c r="E250" s="182" t="s">
        <v>26</v>
      </c>
      <c r="F250" s="34">
        <v>1</v>
      </c>
      <c r="G250" s="131"/>
      <c r="H250" s="134"/>
      <c r="I250" s="139"/>
      <c r="J250" s="139">
        <v>26457.71</v>
      </c>
      <c r="K250" s="139">
        <v>38638.070000000007</v>
      </c>
      <c r="L250" s="139">
        <f t="shared" si="21"/>
        <v>65095.780000000006</v>
      </c>
    </row>
    <row r="251" spans="1:12" x14ac:dyDescent="0.35">
      <c r="A251" s="134"/>
      <c r="B251" s="136" t="s">
        <v>195</v>
      </c>
      <c r="C251" s="137" t="s">
        <v>196</v>
      </c>
      <c r="D251" s="134"/>
      <c r="E251" s="182" t="s">
        <v>26</v>
      </c>
      <c r="F251" s="34">
        <v>1</v>
      </c>
      <c r="G251" s="131"/>
      <c r="H251" s="134"/>
      <c r="I251" s="139"/>
      <c r="J251" s="139">
        <v>8614298.1699999981</v>
      </c>
      <c r="K251" s="139">
        <v>3307023.6199999996</v>
      </c>
      <c r="L251" s="139">
        <f t="shared" si="21"/>
        <v>11921321.789999997</v>
      </c>
    </row>
    <row r="252" spans="1:12" ht="23" x14ac:dyDescent="0.35">
      <c r="A252" s="134"/>
      <c r="B252" s="136" t="s">
        <v>197</v>
      </c>
      <c r="C252" s="137" t="s">
        <v>198</v>
      </c>
      <c r="D252" s="183"/>
      <c r="E252" s="182" t="s">
        <v>26</v>
      </c>
      <c r="F252" s="34">
        <v>1</v>
      </c>
      <c r="G252" s="131"/>
      <c r="H252" s="134"/>
      <c r="I252" s="139"/>
      <c r="J252" s="139">
        <v>6832848.1600000001</v>
      </c>
      <c r="K252" s="139">
        <v>2280572.4700000002</v>
      </c>
      <c r="L252" s="139">
        <f t="shared" si="21"/>
        <v>9113420.6300000008</v>
      </c>
    </row>
    <row r="253" spans="1:12" x14ac:dyDescent="0.35">
      <c r="A253" s="143"/>
      <c r="B253" s="144"/>
      <c r="C253" s="145" t="s">
        <v>35</v>
      </c>
      <c r="D253" s="146"/>
      <c r="E253" s="146"/>
      <c r="G253" s="147"/>
      <c r="H253" s="147"/>
      <c r="I253" s="147"/>
      <c r="J253" s="147">
        <f>J252+J251+J250+J249+J248+J247</f>
        <v>29241368.400000002</v>
      </c>
      <c r="K253" s="147">
        <f>K252+K251+K250+K249+K248+K247</f>
        <v>10754256.6</v>
      </c>
      <c r="L253" s="147">
        <f>L252+L251+L250+L249+L248+L247</f>
        <v>39995625</v>
      </c>
    </row>
    <row r="254" spans="1:12" ht="23" x14ac:dyDescent="0.35">
      <c r="A254" s="143"/>
      <c r="B254" s="144"/>
      <c r="C254" s="145" t="s">
        <v>36</v>
      </c>
      <c r="D254" s="146"/>
      <c r="E254" s="146"/>
      <c r="G254" s="147"/>
      <c r="H254" s="147"/>
      <c r="I254" s="147"/>
      <c r="J254" s="147"/>
      <c r="K254" s="147"/>
      <c r="L254" s="147">
        <f>ROUND(L253*0.01375036551451, 2)</f>
        <v>549954.46</v>
      </c>
    </row>
    <row r="255" spans="1:12" x14ac:dyDescent="0.35">
      <c r="A255" s="143"/>
      <c r="B255" s="144"/>
      <c r="C255" s="145" t="s">
        <v>37</v>
      </c>
      <c r="D255" s="146"/>
      <c r="E255" s="146"/>
      <c r="G255" s="147"/>
      <c r="H255" s="147"/>
      <c r="I255" s="147"/>
      <c r="J255" s="147"/>
      <c r="K255" s="147"/>
      <c r="L255" s="147">
        <f>L253+L254</f>
        <v>40545579.460000001</v>
      </c>
    </row>
    <row r="256" spans="1:12" x14ac:dyDescent="0.35">
      <c r="A256" s="143"/>
      <c r="B256" s="144"/>
      <c r="C256" s="145" t="s">
        <v>164</v>
      </c>
      <c r="D256" s="146"/>
      <c r="E256" s="146"/>
      <c r="G256" s="147"/>
      <c r="H256" s="147"/>
      <c r="I256" s="147"/>
      <c r="J256" s="147"/>
      <c r="K256" s="147"/>
      <c r="L256" s="147">
        <f>ROUND(L255*20/120, 2)</f>
        <v>6757596.5800000001</v>
      </c>
    </row>
  </sheetData>
  <mergeCells count="31">
    <mergeCell ref="D196:H196"/>
    <mergeCell ref="D197:H197"/>
    <mergeCell ref="D217:H217"/>
    <mergeCell ref="D218:H218"/>
    <mergeCell ref="D235:H235"/>
    <mergeCell ref="D236:H236"/>
    <mergeCell ref="D127:E127"/>
    <mergeCell ref="G127:H127"/>
    <mergeCell ref="D140:H140"/>
    <mergeCell ref="D141:H141"/>
    <mergeCell ref="D174:H174"/>
    <mergeCell ref="D175:H175"/>
    <mergeCell ref="A87:L87"/>
    <mergeCell ref="B90:L90"/>
    <mergeCell ref="D94:E94"/>
    <mergeCell ref="G94:H94"/>
    <mergeCell ref="E120:I120"/>
    <mergeCell ref="B123:L123"/>
    <mergeCell ref="B59:L59"/>
    <mergeCell ref="D63:E63"/>
    <mergeCell ref="G63:H63"/>
    <mergeCell ref="M65:N65"/>
    <mergeCell ref="O65:P65"/>
    <mergeCell ref="Q65:R65"/>
    <mergeCell ref="E2:I2"/>
    <mergeCell ref="B5:L5"/>
    <mergeCell ref="D9:E9"/>
    <mergeCell ref="G9:H9"/>
    <mergeCell ref="B27:L27"/>
    <mergeCell ref="D31:E31"/>
    <mergeCell ref="G31:H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</dc:creator>
  <cp:lastModifiedBy>Михаил С</cp:lastModifiedBy>
  <dcterms:created xsi:type="dcterms:W3CDTF">2023-04-03T17:04:17Z</dcterms:created>
  <dcterms:modified xsi:type="dcterms:W3CDTF">2023-04-03T17:04:32Z</dcterms:modified>
</cp:coreProperties>
</file>