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Meu Drive\Triênio 2024-2026\1. Prestação de conta mensal\2025\12 - DEZEMBRO\RELATÓRIOS\"/>
    </mc:Choice>
  </mc:AlternateContent>
  <xr:revisionPtr revIDLastSave="0" documentId="13_ncr:1_{055CA6EE-FD5A-4DA7-82A7-229D5C0C49B7}" xr6:coauthVersionLast="47" xr6:coauthVersionMax="47" xr10:uidLastSave="{00000000-0000-0000-0000-000000000000}"/>
  <bookViews>
    <workbookView xWindow="-108" yWindow="-108" windowWidth="23256" windowHeight="12456" tabRatio="723" firstSheet="1" activeTab="34" xr2:uid="{00000000-000D-0000-FFFF-FFFF00000000}"/>
  </bookViews>
  <sheets>
    <sheet name="Entenda a planilha" sheetId="1" state="hidden" r:id="rId1"/>
    <sheet name="Caixa" sheetId="2" r:id="rId2"/>
    <sheet name="Distrib. Valores" sheetId="3" r:id="rId3"/>
    <sheet name="Dinheiro" sheetId="4" r:id="rId4"/>
    <sheet name="Mov. entre Contas" sheetId="5" r:id="rId5"/>
    <sheet name="2023-DEZ-RECEITAS" sheetId="6" state="hidden" r:id="rId6"/>
    <sheet name="2023-DEZ-DESPESAS" sheetId="7" state="hidden" r:id="rId7"/>
    <sheet name="JAN-Receitas" sheetId="8" state="hidden" r:id="rId8"/>
    <sheet name="JAN-Despesas" sheetId="9" state="hidden" r:id="rId9"/>
    <sheet name="FEV-Receitas" sheetId="10" state="hidden" r:id="rId10"/>
    <sheet name="FEV-Despesas" sheetId="11" state="hidden" r:id="rId11"/>
    <sheet name="MAR-Receitas" sheetId="12" state="hidden" r:id="rId12"/>
    <sheet name="MAR-Despesas" sheetId="13" state="hidden" r:id="rId13"/>
    <sheet name="ABR-Receitas" sheetId="14" state="hidden" r:id="rId14"/>
    <sheet name="ABR-Despesas" sheetId="15" state="hidden" r:id="rId15"/>
    <sheet name="MAI-Receitas" sheetId="16" state="hidden" r:id="rId16"/>
    <sheet name="MAI-Despesas" sheetId="17" state="hidden" r:id="rId17"/>
    <sheet name="2024-ORÇAMENTO" sheetId="18" state="hidden" r:id="rId18"/>
    <sheet name="JUN-Receitas" sheetId="19" state="hidden" r:id="rId19"/>
    <sheet name="JUN-Despesas" sheetId="20" state="hidden" r:id="rId20"/>
    <sheet name="JUL-Receitas" sheetId="21" state="hidden" r:id="rId21"/>
    <sheet name="JUL-Despesas" sheetId="22" state="hidden" r:id="rId22"/>
    <sheet name="AGO-Receitas" sheetId="23" state="hidden" r:id="rId23"/>
    <sheet name="AGO-Despesas" sheetId="24" state="hidden" r:id="rId24"/>
    <sheet name="SET-Receitas" sheetId="25" state="hidden" r:id="rId25"/>
    <sheet name="SET-Despesas" sheetId="26" state="hidden" r:id="rId26"/>
    <sheet name="OUT-Receitas" sheetId="27" state="hidden" r:id="rId27"/>
    <sheet name="OUT-Despesas" sheetId="28" state="hidden" r:id="rId28"/>
    <sheet name="NOV-Receitas" sheetId="29" state="hidden" r:id="rId29"/>
    <sheet name="NOV-Despesas" sheetId="30" state="hidden" r:id="rId30"/>
    <sheet name="DEZ-Receitas" sheetId="31" r:id="rId31"/>
    <sheet name="DEZ-Despesas" sheetId="32" r:id="rId32"/>
    <sheet name="2024-Realizado anual" sheetId="34" state="hidden" r:id="rId33"/>
    <sheet name="SUC" sheetId="36" r:id="rId34"/>
    <sheet name="Reunião de Diretoria" sheetId="39" r:id="rId35"/>
    <sheet name="Plano de contas DG" sheetId="37" state="hidden" r:id="rId36"/>
  </sheets>
  <externalReferences>
    <externalReference r:id="rId37"/>
  </externalReferences>
  <definedNames>
    <definedName name="_xlnm._FilterDatabase" localSheetId="6" hidden="1">'2023-DEZ-DESPESAS'!$C$5:$F$243</definedName>
    <definedName name="_xlnm._FilterDatabase" localSheetId="5" hidden="1">'2023-DEZ-RECEITAS'!$C$5:$F$177</definedName>
    <definedName name="_xlnm._FilterDatabase" localSheetId="14" hidden="1">'ABR-Despesas'!$C$5:$F$320</definedName>
    <definedName name="_xlnm._FilterDatabase" localSheetId="13" hidden="1">'ABR-Receitas'!$C$5:$F$191</definedName>
    <definedName name="_xlnm._FilterDatabase" localSheetId="23" hidden="1">'AGO-Despesas'!$C$5:$F$346</definedName>
    <definedName name="_xlnm._FilterDatabase" localSheetId="22" hidden="1">'AGO-Receitas'!$C$5:$F$195</definedName>
    <definedName name="_xlnm._FilterDatabase" localSheetId="31" hidden="1">'DEZ-Despesas'!$C$5:$F$85</definedName>
    <definedName name="_xlnm._FilterDatabase" localSheetId="30" hidden="1">'DEZ-Receitas'!$C$5:$F$25</definedName>
    <definedName name="_xlnm._FilterDatabase" localSheetId="10" hidden="1">'FEV-Despesas'!$C$5:$F$288</definedName>
    <definedName name="_xlnm._FilterDatabase" localSheetId="9" hidden="1">'FEV-Receitas'!$C$5:$F$180</definedName>
    <definedName name="_xlnm._FilterDatabase" localSheetId="8" hidden="1">'JAN-Despesas'!$C$5:$F$282</definedName>
    <definedName name="_xlnm._FilterDatabase" localSheetId="7" hidden="1">'JAN-Receitas'!$C$5:$F$179</definedName>
    <definedName name="_xlnm._FilterDatabase" localSheetId="21" hidden="1">'JUL-Despesas'!$C$5:$F$344</definedName>
    <definedName name="_xlnm._FilterDatabase" localSheetId="20" hidden="1">'JUL-Receitas'!$C$5:$F$195</definedName>
    <definedName name="_xlnm._FilterDatabase" localSheetId="19" hidden="1">'JUN-Despesas'!$C$5:$F$328</definedName>
    <definedName name="_xlnm._FilterDatabase" localSheetId="18" hidden="1">'JUN-Receitas'!$C$5:$F$193</definedName>
    <definedName name="_xlnm._FilterDatabase" localSheetId="16" hidden="1">'MAI-Despesas'!$C$5:$F$334</definedName>
    <definedName name="_xlnm._FilterDatabase" localSheetId="15" hidden="1">'MAI-Receitas'!$C$5:$F$190</definedName>
    <definedName name="_xlnm._FilterDatabase" localSheetId="12" hidden="1">'MAR-Despesas'!$C$5:$F$289</definedName>
    <definedName name="_xlnm._FilterDatabase" localSheetId="11" hidden="1">'MAR-Receitas'!$C$5:$F$186</definedName>
    <definedName name="_xlnm._FilterDatabase" localSheetId="29" hidden="1">'NOV-Despesas'!$C$5:$F$351</definedName>
    <definedName name="_xlnm._FilterDatabase" localSheetId="28" hidden="1">'NOV-Receitas'!$C$5:$F$194</definedName>
    <definedName name="_xlnm._FilterDatabase" localSheetId="27" hidden="1">'OUT-Despesas'!$C$5:$F$350</definedName>
    <definedName name="_xlnm._FilterDatabase" localSheetId="26" hidden="1">'OUT-Receitas'!$C$5:$F$196</definedName>
    <definedName name="_xlnm._FilterDatabase" localSheetId="25" hidden="1">'SET-Despesas'!$C$5:$F$346</definedName>
    <definedName name="_xlnm._FilterDatabase" localSheetId="24" hidden="1">'SET-Receitas'!$C$5:$F$195</definedName>
    <definedName name="_xlnm._FilterDatabase" localSheetId="33" hidden="1">SUC!$A$1:$I$102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JprShSh175XA99WnsznODcsn6oG8+BaqozztCHZFG2k="/>
    </ext>
  </extLst>
</workbook>
</file>

<file path=xl/calcChain.xml><?xml version="1.0" encoding="utf-8"?>
<calcChain xmlns="http://schemas.openxmlformats.org/spreadsheetml/2006/main">
  <c r="T72" i="39" l="1"/>
  <c r="T63" i="39"/>
  <c r="I71" i="39"/>
  <c r="I73" i="39"/>
  <c r="T73" i="39"/>
  <c r="T70" i="39"/>
  <c r="T69" i="39"/>
  <c r="I72" i="39"/>
  <c r="I74" i="39"/>
  <c r="T71" i="39"/>
  <c r="T58" i="39"/>
  <c r="T62" i="39"/>
  <c r="T61" i="39"/>
  <c r="T60" i="39"/>
  <c r="T59" i="39"/>
  <c r="I70" i="39"/>
  <c r="I69" i="39"/>
  <c r="I67" i="39"/>
  <c r="I66" i="39"/>
  <c r="I65" i="39"/>
  <c r="I64" i="39"/>
  <c r="I63" i="39"/>
  <c r="T67" i="39"/>
  <c r="T66" i="39"/>
  <c r="T65" i="39"/>
  <c r="T64" i="39"/>
  <c r="I60" i="39"/>
  <c r="I61" i="39"/>
  <c r="I59" i="39"/>
  <c r="I58" i="39"/>
  <c r="L77" i="39"/>
  <c r="L52" i="39"/>
  <c r="T47" i="39"/>
  <c r="T46" i="39" s="1"/>
  <c r="T45" i="39"/>
  <c r="T44" i="39"/>
  <c r="T43" i="39"/>
  <c r="T41" i="39"/>
  <c r="T40" i="39"/>
  <c r="T39" i="39"/>
  <c r="T38" i="39" s="1"/>
  <c r="T92" i="39"/>
  <c r="T93" i="39"/>
  <c r="T94" i="39"/>
  <c r="T95" i="39"/>
  <c r="T91" i="39"/>
  <c r="T85" i="39"/>
  <c r="T84" i="39"/>
  <c r="I92" i="39"/>
  <c r="I91" i="39"/>
  <c r="I49" i="39"/>
  <c r="I48" i="39" s="1"/>
  <c r="I47" i="39"/>
  <c r="I46" i="39"/>
  <c r="I45" i="39"/>
  <c r="I44" i="39"/>
  <c r="I43" i="39"/>
  <c r="I42" i="39"/>
  <c r="I41" i="39"/>
  <c r="I40" i="39"/>
  <c r="I39" i="39"/>
  <c r="I86" i="39"/>
  <c r="I85" i="39"/>
  <c r="I84" i="39"/>
  <c r="A2" i="36" a="1"/>
  <c r="A2" i="36" s="1"/>
  <c r="T68" i="39" l="1"/>
  <c r="T57" i="39"/>
  <c r="I68" i="39"/>
  <c r="I87" i="39"/>
  <c r="I88" i="39" s="1"/>
  <c r="I57" i="39"/>
  <c r="T42" i="39"/>
  <c r="I38" i="39"/>
  <c r="C145" i="37"/>
  <c r="C144" i="37"/>
  <c r="C143" i="37"/>
  <c r="C142" i="37"/>
  <c r="C140" i="37"/>
  <c r="C139" i="37"/>
  <c r="C138" i="37"/>
  <c r="C137" i="37"/>
  <c r="C136" i="37"/>
  <c r="C135" i="37"/>
  <c r="C134" i="37"/>
  <c r="C132" i="37"/>
  <c r="C131" i="37"/>
  <c r="C130" i="37"/>
  <c r="C129" i="37"/>
  <c r="C128" i="37"/>
  <c r="C127" i="37"/>
  <c r="C125" i="37"/>
  <c r="C124" i="37"/>
  <c r="C123" i="37"/>
  <c r="C122" i="37"/>
  <c r="C121" i="37"/>
  <c r="C120" i="37"/>
  <c r="C119" i="37"/>
  <c r="C117" i="37"/>
  <c r="C116" i="37"/>
  <c r="C115" i="37"/>
  <c r="C114" i="37"/>
  <c r="C113" i="37"/>
  <c r="C112" i="37"/>
  <c r="C111" i="37"/>
  <c r="C110" i="37"/>
  <c r="C109" i="37"/>
  <c r="C108" i="37"/>
  <c r="C107" i="37"/>
  <c r="C106" i="37"/>
  <c r="C105" i="37"/>
  <c r="C104" i="37"/>
  <c r="C103" i="37"/>
  <c r="C102" i="37"/>
  <c r="C101" i="37"/>
  <c r="C100" i="37"/>
  <c r="C99" i="37"/>
  <c r="C98" i="37"/>
  <c r="C97" i="37"/>
  <c r="C96" i="37"/>
  <c r="C95" i="37"/>
  <c r="C94" i="37"/>
  <c r="C93" i="37"/>
  <c r="C92" i="37"/>
  <c r="C91" i="37"/>
  <c r="C90" i="37"/>
  <c r="C89" i="37"/>
  <c r="C88" i="37"/>
  <c r="C87" i="37"/>
  <c r="C86" i="37"/>
  <c r="C85" i="37"/>
  <c r="C84" i="37"/>
  <c r="C83" i="37"/>
  <c r="C82" i="37"/>
  <c r="C81" i="37"/>
  <c r="C80" i="37"/>
  <c r="C79" i="37"/>
  <c r="C77" i="37"/>
  <c r="C76" i="37"/>
  <c r="C75" i="37"/>
  <c r="C74" i="37"/>
  <c r="C73" i="37"/>
  <c r="C72" i="37"/>
  <c r="C71" i="37"/>
  <c r="C70" i="37"/>
  <c r="C69" i="37"/>
  <c r="C68" i="37"/>
  <c r="C67" i="37"/>
  <c r="C66" i="37"/>
  <c r="C64" i="37"/>
  <c r="C63" i="37"/>
  <c r="C62" i="37"/>
  <c r="C61" i="37"/>
  <c r="C60" i="37"/>
  <c r="C59" i="37"/>
  <c r="C58" i="37"/>
  <c r="C57" i="37"/>
  <c r="C56" i="37"/>
  <c r="C55" i="37"/>
  <c r="C54" i="37"/>
  <c r="C53" i="37"/>
  <c r="C52" i="37"/>
  <c r="C51" i="37"/>
  <c r="C50" i="37"/>
  <c r="C49" i="37"/>
  <c r="C48" i="37"/>
  <c r="C47" i="37"/>
  <c r="C46" i="37"/>
  <c r="C45" i="37"/>
  <c r="C44" i="37"/>
  <c r="C43" i="37"/>
  <c r="C38" i="37"/>
  <c r="C36" i="37"/>
  <c r="C35" i="37"/>
  <c r="C33" i="37"/>
  <c r="C32" i="37"/>
  <c r="C31" i="37"/>
  <c r="C29" i="37"/>
  <c r="C28" i="37"/>
  <c r="C27" i="37"/>
  <c r="C26" i="37"/>
  <c r="C25" i="37"/>
  <c r="C24" i="37"/>
  <c r="C22" i="37"/>
  <c r="C21" i="37"/>
  <c r="C20" i="37"/>
  <c r="C19" i="37"/>
  <c r="C18" i="37"/>
  <c r="C17" i="37"/>
  <c r="C16" i="37"/>
  <c r="C15" i="37"/>
  <c r="C13" i="37"/>
  <c r="C12" i="37"/>
  <c r="C11" i="37"/>
  <c r="C10" i="37"/>
  <c r="C9" i="37"/>
  <c r="C8" i="37"/>
  <c r="C7" i="37"/>
  <c r="C6" i="37"/>
  <c r="C5" i="37"/>
  <c r="O121" i="34"/>
  <c r="N121" i="34"/>
  <c r="M121" i="34"/>
  <c r="L121" i="34"/>
  <c r="K121" i="34"/>
  <c r="J121" i="34"/>
  <c r="N120" i="34"/>
  <c r="M120" i="34"/>
  <c r="L120" i="34"/>
  <c r="K120" i="34"/>
  <c r="J120" i="34"/>
  <c r="I120" i="34"/>
  <c r="G120" i="34"/>
  <c r="F120" i="34"/>
  <c r="E120" i="34"/>
  <c r="D120" i="34"/>
  <c r="N119" i="34"/>
  <c r="M119" i="34"/>
  <c r="L119" i="34"/>
  <c r="K119" i="34"/>
  <c r="J119" i="34"/>
  <c r="I119" i="34"/>
  <c r="G119" i="34"/>
  <c r="F119" i="34"/>
  <c r="E119" i="34"/>
  <c r="E116" i="34" s="1"/>
  <c r="D119" i="34"/>
  <c r="N118" i="34"/>
  <c r="M118" i="34"/>
  <c r="L118" i="34"/>
  <c r="K118" i="34"/>
  <c r="J118" i="34"/>
  <c r="I118" i="34"/>
  <c r="G118" i="34"/>
  <c r="F118" i="34"/>
  <c r="E118" i="34"/>
  <c r="D118" i="34"/>
  <c r="N117" i="34"/>
  <c r="M117" i="34"/>
  <c r="L117" i="34"/>
  <c r="K117" i="34"/>
  <c r="J117" i="34"/>
  <c r="I117" i="34"/>
  <c r="G117" i="34"/>
  <c r="F117" i="34"/>
  <c r="E117" i="34"/>
  <c r="D117" i="34"/>
  <c r="O116" i="34"/>
  <c r="N115" i="34"/>
  <c r="M115" i="34"/>
  <c r="L115" i="34"/>
  <c r="K115" i="34"/>
  <c r="J115" i="34"/>
  <c r="I115" i="34"/>
  <c r="G115" i="34"/>
  <c r="F115" i="34"/>
  <c r="E115" i="34"/>
  <c r="D115" i="34"/>
  <c r="N114" i="34"/>
  <c r="M114" i="34"/>
  <c r="L114" i="34"/>
  <c r="K114" i="34"/>
  <c r="J114" i="34"/>
  <c r="I114" i="34"/>
  <c r="G114" i="34"/>
  <c r="F114" i="34"/>
  <c r="E114" i="34"/>
  <c r="D114" i="34"/>
  <c r="N113" i="34"/>
  <c r="M113" i="34"/>
  <c r="L113" i="34"/>
  <c r="K113" i="34"/>
  <c r="J113" i="34"/>
  <c r="I113" i="34"/>
  <c r="G113" i="34"/>
  <c r="F113" i="34"/>
  <c r="E113" i="34"/>
  <c r="D113" i="34"/>
  <c r="N112" i="34"/>
  <c r="M112" i="34"/>
  <c r="L112" i="34"/>
  <c r="K112" i="34"/>
  <c r="J112" i="34"/>
  <c r="I112" i="34"/>
  <c r="G112" i="34"/>
  <c r="F112" i="34"/>
  <c r="E112" i="34"/>
  <c r="D112" i="34"/>
  <c r="N111" i="34"/>
  <c r="M111" i="34"/>
  <c r="L111" i="34"/>
  <c r="K111" i="34"/>
  <c r="J111" i="34"/>
  <c r="I111" i="34"/>
  <c r="G111" i="34"/>
  <c r="F111" i="34"/>
  <c r="E111" i="34"/>
  <c r="D111" i="34"/>
  <c r="N110" i="34"/>
  <c r="M110" i="34"/>
  <c r="L110" i="34"/>
  <c r="K110" i="34"/>
  <c r="J110" i="34"/>
  <c r="I110" i="34"/>
  <c r="G110" i="34"/>
  <c r="F110" i="34"/>
  <c r="E110" i="34"/>
  <c r="D110" i="34"/>
  <c r="N109" i="34"/>
  <c r="M109" i="34"/>
  <c r="L109" i="34"/>
  <c r="K109" i="34"/>
  <c r="J109" i="34"/>
  <c r="I109" i="34"/>
  <c r="G109" i="34"/>
  <c r="F109" i="34"/>
  <c r="E109" i="34"/>
  <c r="D109" i="34"/>
  <c r="N108" i="34"/>
  <c r="M108" i="34"/>
  <c r="L108" i="34"/>
  <c r="K108" i="34"/>
  <c r="J108" i="34"/>
  <c r="I108" i="34"/>
  <c r="G108" i="34"/>
  <c r="F108" i="34"/>
  <c r="E108" i="34"/>
  <c r="D108" i="34"/>
  <c r="N107" i="34"/>
  <c r="M107" i="34"/>
  <c r="L107" i="34"/>
  <c r="K107" i="34"/>
  <c r="J107" i="34"/>
  <c r="I107" i="34"/>
  <c r="G107" i="34"/>
  <c r="F107" i="34"/>
  <c r="E107" i="34"/>
  <c r="D107" i="34"/>
  <c r="N106" i="34"/>
  <c r="M106" i="34"/>
  <c r="L106" i="34"/>
  <c r="K106" i="34"/>
  <c r="J106" i="34"/>
  <c r="I106" i="34"/>
  <c r="G106" i="34"/>
  <c r="F106" i="34"/>
  <c r="E106" i="34"/>
  <c r="D106" i="34"/>
  <c r="N105" i="34"/>
  <c r="M105" i="34"/>
  <c r="L105" i="34"/>
  <c r="K105" i="34"/>
  <c r="J105" i="34"/>
  <c r="I105" i="34"/>
  <c r="G105" i="34"/>
  <c r="F105" i="34"/>
  <c r="E105" i="34"/>
  <c r="D105" i="34"/>
  <c r="O104" i="34"/>
  <c r="N103" i="34"/>
  <c r="M103" i="34"/>
  <c r="L103" i="34"/>
  <c r="K103" i="34"/>
  <c r="J103" i="34"/>
  <c r="I103" i="34"/>
  <c r="G103" i="34"/>
  <c r="F103" i="34"/>
  <c r="E103" i="34"/>
  <c r="D103" i="34"/>
  <c r="N102" i="34"/>
  <c r="M102" i="34"/>
  <c r="L102" i="34"/>
  <c r="K102" i="34"/>
  <c r="J102" i="34"/>
  <c r="I102" i="34"/>
  <c r="G102" i="34"/>
  <c r="F102" i="34"/>
  <c r="E102" i="34"/>
  <c r="D102" i="34"/>
  <c r="N101" i="34"/>
  <c r="N100" i="34" s="1"/>
  <c r="M101" i="34"/>
  <c r="L101" i="34"/>
  <c r="K101" i="34"/>
  <c r="J101" i="34"/>
  <c r="I101" i="34"/>
  <c r="G101" i="34"/>
  <c r="F101" i="34"/>
  <c r="E101" i="34"/>
  <c r="D101" i="34"/>
  <c r="O100" i="34"/>
  <c r="N99" i="34"/>
  <c r="M99" i="34"/>
  <c r="J99" i="34"/>
  <c r="I99" i="34"/>
  <c r="G99" i="34"/>
  <c r="F99" i="34"/>
  <c r="E99" i="34"/>
  <c r="N98" i="34"/>
  <c r="M98" i="34"/>
  <c r="J98" i="34"/>
  <c r="I98" i="34"/>
  <c r="G98" i="34"/>
  <c r="F98" i="34"/>
  <c r="E98" i="34"/>
  <c r="N97" i="34"/>
  <c r="M97" i="34"/>
  <c r="J97" i="34"/>
  <c r="I97" i="34"/>
  <c r="G97" i="34"/>
  <c r="F97" i="34"/>
  <c r="E97" i="34"/>
  <c r="O96" i="34"/>
  <c r="L96" i="34"/>
  <c r="K96" i="34"/>
  <c r="D96" i="34"/>
  <c r="N95" i="34"/>
  <c r="M95" i="34"/>
  <c r="L95" i="34"/>
  <c r="K95" i="34"/>
  <c r="J95" i="34"/>
  <c r="I95" i="34"/>
  <c r="F95" i="34"/>
  <c r="E95" i="34"/>
  <c r="D95" i="34"/>
  <c r="F94" i="34"/>
  <c r="D94" i="34"/>
  <c r="N93" i="34"/>
  <c r="M93" i="34"/>
  <c r="L93" i="34"/>
  <c r="K93" i="34"/>
  <c r="J93" i="34"/>
  <c r="I93" i="34"/>
  <c r="H93" i="34"/>
  <c r="G93" i="34"/>
  <c r="F93" i="34"/>
  <c r="E93" i="34"/>
  <c r="D93" i="34"/>
  <c r="N92" i="34"/>
  <c r="M92" i="34"/>
  <c r="L92" i="34"/>
  <c r="K92" i="34"/>
  <c r="J92" i="34"/>
  <c r="I92" i="34"/>
  <c r="H92" i="34"/>
  <c r="G92" i="34"/>
  <c r="F92" i="34"/>
  <c r="E92" i="34"/>
  <c r="D92" i="34"/>
  <c r="N91" i="34"/>
  <c r="M91" i="34"/>
  <c r="L91" i="34"/>
  <c r="K91" i="34"/>
  <c r="J91" i="34"/>
  <c r="I91" i="34"/>
  <c r="H91" i="34"/>
  <c r="G91" i="34"/>
  <c r="F91" i="34"/>
  <c r="E91" i="34"/>
  <c r="D91" i="34"/>
  <c r="N90" i="34"/>
  <c r="M90" i="34"/>
  <c r="L90" i="34"/>
  <c r="K90" i="34"/>
  <c r="J90" i="34"/>
  <c r="I90" i="34"/>
  <c r="H90" i="34"/>
  <c r="G90" i="34"/>
  <c r="F90" i="34"/>
  <c r="E90" i="34"/>
  <c r="D90" i="34"/>
  <c r="O89" i="34"/>
  <c r="H89" i="34"/>
  <c r="H88" i="34"/>
  <c r="G88" i="34"/>
  <c r="F88" i="34"/>
  <c r="E88" i="34"/>
  <c r="D88" i="34"/>
  <c r="H87" i="34"/>
  <c r="G87" i="34"/>
  <c r="C87" i="34" s="1"/>
  <c r="F87" i="34"/>
  <c r="E87" i="34"/>
  <c r="D87" i="34"/>
  <c r="H86" i="34"/>
  <c r="G86" i="34"/>
  <c r="F86" i="34"/>
  <c r="E86" i="34"/>
  <c r="C86" i="34" s="1"/>
  <c r="D86" i="34"/>
  <c r="H85" i="34"/>
  <c r="G85" i="34"/>
  <c r="C85" i="34" s="1"/>
  <c r="F85" i="34"/>
  <c r="E85" i="34"/>
  <c r="D85" i="34"/>
  <c r="H84" i="34"/>
  <c r="G84" i="34"/>
  <c r="F84" i="34"/>
  <c r="E84" i="34"/>
  <c r="D84" i="34"/>
  <c r="H83" i="34"/>
  <c r="G83" i="34"/>
  <c r="C83" i="34" s="1"/>
  <c r="F83" i="34"/>
  <c r="E83" i="34"/>
  <c r="D83" i="34"/>
  <c r="H82" i="34"/>
  <c r="G82" i="34"/>
  <c r="F82" i="34"/>
  <c r="E82" i="34"/>
  <c r="C82" i="34" s="1"/>
  <c r="D82" i="34"/>
  <c r="H81" i="34"/>
  <c r="G81" i="34"/>
  <c r="C81" i="34" s="1"/>
  <c r="F81" i="34"/>
  <c r="E81" i="34"/>
  <c r="D81" i="34"/>
  <c r="H80" i="34"/>
  <c r="G80" i="34"/>
  <c r="F80" i="34"/>
  <c r="E80" i="34"/>
  <c r="C80" i="34" s="1"/>
  <c r="D80" i="34"/>
  <c r="C79" i="34"/>
  <c r="H78" i="34"/>
  <c r="G78" i="34"/>
  <c r="F78" i="34"/>
  <c r="E78" i="34"/>
  <c r="D78" i="34"/>
  <c r="H77" i="34"/>
  <c r="G77" i="34"/>
  <c r="F77" i="34"/>
  <c r="E77" i="34"/>
  <c r="D77" i="34"/>
  <c r="H76" i="34"/>
  <c r="G76" i="34"/>
  <c r="F76" i="34"/>
  <c r="E76" i="34"/>
  <c r="D76" i="34"/>
  <c r="H75" i="34"/>
  <c r="G75" i="34"/>
  <c r="F75" i="34"/>
  <c r="D75" i="34"/>
  <c r="H74" i="34"/>
  <c r="G74" i="34"/>
  <c r="F74" i="34"/>
  <c r="E74" i="34"/>
  <c r="D74" i="34"/>
  <c r="C74" i="34" s="1"/>
  <c r="H73" i="34"/>
  <c r="G73" i="34"/>
  <c r="F73" i="34"/>
  <c r="C73" i="34" s="1"/>
  <c r="E73" i="34"/>
  <c r="D73" i="34"/>
  <c r="H72" i="34"/>
  <c r="G72" i="34"/>
  <c r="F72" i="34"/>
  <c r="E72" i="34"/>
  <c r="D72" i="34"/>
  <c r="C72" i="34" s="1"/>
  <c r="N71" i="34"/>
  <c r="M71" i="34"/>
  <c r="M65" i="34" s="1"/>
  <c r="L71" i="34"/>
  <c r="L65" i="34" s="1"/>
  <c r="K71" i="34"/>
  <c r="K65" i="34" s="1"/>
  <c r="J71" i="34"/>
  <c r="J65" i="34" s="1"/>
  <c r="I71" i="34"/>
  <c r="I65" i="34" s="1"/>
  <c r="H71" i="34"/>
  <c r="G71" i="34"/>
  <c r="F71" i="34"/>
  <c r="E71" i="34"/>
  <c r="D71" i="34"/>
  <c r="H70" i="34"/>
  <c r="G70" i="34"/>
  <c r="F70" i="34"/>
  <c r="E70" i="34"/>
  <c r="D70" i="34"/>
  <c r="H69" i="34"/>
  <c r="G69" i="34"/>
  <c r="F69" i="34"/>
  <c r="E69" i="34"/>
  <c r="D69" i="34"/>
  <c r="H68" i="34"/>
  <c r="G68" i="34"/>
  <c r="F68" i="34"/>
  <c r="C68" i="34" s="1"/>
  <c r="E68" i="34"/>
  <c r="D68" i="34"/>
  <c r="H67" i="34"/>
  <c r="H65" i="34" s="1"/>
  <c r="G67" i="34"/>
  <c r="F67" i="34"/>
  <c r="E67" i="34"/>
  <c r="D67" i="34"/>
  <c r="H66" i="34"/>
  <c r="F66" i="34"/>
  <c r="E66" i="34"/>
  <c r="D66" i="34"/>
  <c r="O65" i="34"/>
  <c r="N65" i="34"/>
  <c r="H64" i="34"/>
  <c r="G64" i="34"/>
  <c r="F64" i="34"/>
  <c r="E64" i="34"/>
  <c r="C64" i="34" s="1"/>
  <c r="D64" i="34"/>
  <c r="H63" i="34"/>
  <c r="G63" i="34"/>
  <c r="F63" i="34"/>
  <c r="E63" i="34"/>
  <c r="D63" i="34"/>
  <c r="D61" i="34" s="1"/>
  <c r="C63" i="34"/>
  <c r="E62" i="34"/>
  <c r="D62" i="34"/>
  <c r="O61" i="34"/>
  <c r="N61" i="34"/>
  <c r="M61" i="34"/>
  <c r="L61" i="34"/>
  <c r="K61" i="34"/>
  <c r="J61" i="34"/>
  <c r="I61" i="34"/>
  <c r="H60" i="34"/>
  <c r="H53" i="34" s="1"/>
  <c r="D60" i="34"/>
  <c r="H59" i="34"/>
  <c r="D59" i="34"/>
  <c r="C59" i="34" s="1"/>
  <c r="H58" i="34"/>
  <c r="D58" i="34"/>
  <c r="C58" i="34" s="1"/>
  <c r="H57" i="34"/>
  <c r="G57" i="34"/>
  <c r="E57" i="34"/>
  <c r="H56" i="34"/>
  <c r="G56" i="34"/>
  <c r="F56" i="34"/>
  <c r="E56" i="34"/>
  <c r="D56" i="34"/>
  <c r="N55" i="34"/>
  <c r="M55" i="34"/>
  <c r="M53" i="34" s="1"/>
  <c r="L55" i="34"/>
  <c r="L53" i="34" s="1"/>
  <c r="K55" i="34"/>
  <c r="J55" i="34"/>
  <c r="I55" i="34"/>
  <c r="H55" i="34"/>
  <c r="G55" i="34"/>
  <c r="F55" i="34"/>
  <c r="E55" i="34"/>
  <c r="D55" i="34"/>
  <c r="N54" i="34"/>
  <c r="M54" i="34"/>
  <c r="L54" i="34"/>
  <c r="K54" i="34"/>
  <c r="J54" i="34"/>
  <c r="I54" i="34"/>
  <c r="I53" i="34" s="1"/>
  <c r="H54" i="34"/>
  <c r="G54" i="34"/>
  <c r="F54" i="34"/>
  <c r="E54" i="34"/>
  <c r="D54" i="34"/>
  <c r="O53" i="34"/>
  <c r="N52" i="34"/>
  <c r="M52" i="34"/>
  <c r="L52" i="34"/>
  <c r="K52" i="34"/>
  <c r="J52" i="34"/>
  <c r="J47" i="34" s="1"/>
  <c r="I52" i="34"/>
  <c r="H52" i="34"/>
  <c r="G52" i="34"/>
  <c r="F52" i="34"/>
  <c r="E52" i="34"/>
  <c r="D52" i="34"/>
  <c r="N51" i="34"/>
  <c r="M51" i="34"/>
  <c r="L51" i="34"/>
  <c r="K51" i="34"/>
  <c r="J51" i="34"/>
  <c r="I51" i="34"/>
  <c r="H51" i="34"/>
  <c r="G51" i="34"/>
  <c r="F51" i="34"/>
  <c r="E51" i="34"/>
  <c r="D51" i="34"/>
  <c r="H50" i="34"/>
  <c r="G50" i="34"/>
  <c r="F50" i="34"/>
  <c r="E50" i="34"/>
  <c r="D50" i="34"/>
  <c r="H49" i="34"/>
  <c r="H47" i="34" s="1"/>
  <c r="G49" i="34"/>
  <c r="F49" i="34"/>
  <c r="E49" i="34"/>
  <c r="D49" i="34"/>
  <c r="H48" i="34"/>
  <c r="G48" i="34"/>
  <c r="F48" i="34"/>
  <c r="E48" i="34"/>
  <c r="D48" i="34"/>
  <c r="O47" i="34"/>
  <c r="N42" i="34"/>
  <c r="M42" i="34"/>
  <c r="L42" i="34"/>
  <c r="K42" i="34"/>
  <c r="J42" i="34"/>
  <c r="I42" i="34"/>
  <c r="G42" i="34"/>
  <c r="F42" i="34"/>
  <c r="E42" i="34"/>
  <c r="D42" i="34"/>
  <c r="N41" i="34"/>
  <c r="M41" i="34"/>
  <c r="L41" i="34"/>
  <c r="K41" i="34"/>
  <c r="J41" i="34"/>
  <c r="I41" i="34"/>
  <c r="G41" i="34"/>
  <c r="F41" i="34"/>
  <c r="E41" i="34"/>
  <c r="D41" i="34"/>
  <c r="N40" i="34"/>
  <c r="M40" i="34"/>
  <c r="L40" i="34"/>
  <c r="K40" i="34"/>
  <c r="J40" i="34"/>
  <c r="I40" i="34"/>
  <c r="G40" i="34"/>
  <c r="F40" i="34"/>
  <c r="E40" i="34"/>
  <c r="D40" i="34"/>
  <c r="N39" i="34"/>
  <c r="M39" i="34"/>
  <c r="L39" i="34"/>
  <c r="K39" i="34"/>
  <c r="J39" i="34"/>
  <c r="I39" i="34"/>
  <c r="G39" i="34"/>
  <c r="F39" i="34"/>
  <c r="E39" i="34"/>
  <c r="D39" i="34"/>
  <c r="N38" i="34"/>
  <c r="M38" i="34"/>
  <c r="L38" i="34"/>
  <c r="K38" i="34"/>
  <c r="J38" i="34"/>
  <c r="I38" i="34"/>
  <c r="G38" i="34"/>
  <c r="F38" i="34"/>
  <c r="E38" i="34"/>
  <c r="D38" i="34"/>
  <c r="N37" i="34"/>
  <c r="M37" i="34"/>
  <c r="L37" i="34"/>
  <c r="K37" i="34"/>
  <c r="J37" i="34"/>
  <c r="I37" i="34"/>
  <c r="G37" i="34"/>
  <c r="F37" i="34"/>
  <c r="E37" i="34"/>
  <c r="D37" i="34"/>
  <c r="O36" i="34"/>
  <c r="N35" i="34"/>
  <c r="M35" i="34"/>
  <c r="L35" i="34"/>
  <c r="K35" i="34"/>
  <c r="J35" i="34"/>
  <c r="I35" i="34"/>
  <c r="G35" i="34"/>
  <c r="F35" i="34"/>
  <c r="E35" i="34"/>
  <c r="D35" i="34"/>
  <c r="N34" i="34"/>
  <c r="M34" i="34"/>
  <c r="L34" i="34"/>
  <c r="K34" i="34"/>
  <c r="J34" i="34"/>
  <c r="I34" i="34"/>
  <c r="G34" i="34"/>
  <c r="F34" i="34"/>
  <c r="E34" i="34"/>
  <c r="D34" i="34"/>
  <c r="N33" i="34"/>
  <c r="M33" i="34"/>
  <c r="L33" i="34"/>
  <c r="K33" i="34"/>
  <c r="J33" i="34"/>
  <c r="I33" i="34"/>
  <c r="G33" i="34"/>
  <c r="F33" i="34"/>
  <c r="E33" i="34"/>
  <c r="D33" i="34"/>
  <c r="N32" i="34"/>
  <c r="M32" i="34"/>
  <c r="L32" i="34"/>
  <c r="K32" i="34"/>
  <c r="J32" i="34"/>
  <c r="I32" i="34"/>
  <c r="G32" i="34"/>
  <c r="F32" i="34"/>
  <c r="E32" i="34"/>
  <c r="D32" i="34"/>
  <c r="N31" i="34"/>
  <c r="M31" i="34"/>
  <c r="L31" i="34"/>
  <c r="K31" i="34"/>
  <c r="J31" i="34"/>
  <c r="I31" i="34"/>
  <c r="G31" i="34"/>
  <c r="F31" i="34"/>
  <c r="E31" i="34"/>
  <c r="D31" i="34"/>
  <c r="O30" i="34"/>
  <c r="N29" i="34"/>
  <c r="M29" i="34"/>
  <c r="L29" i="34"/>
  <c r="K29" i="34"/>
  <c r="J29" i="34"/>
  <c r="I29" i="34"/>
  <c r="G29" i="34"/>
  <c r="F29" i="34"/>
  <c r="E29" i="34"/>
  <c r="D29" i="34"/>
  <c r="N28" i="34"/>
  <c r="M28" i="34"/>
  <c r="L28" i="34"/>
  <c r="K28" i="34"/>
  <c r="J28" i="34"/>
  <c r="I28" i="34"/>
  <c r="G28" i="34"/>
  <c r="F28" i="34"/>
  <c r="E28" i="34"/>
  <c r="D28" i="34"/>
  <c r="N27" i="34"/>
  <c r="M27" i="34"/>
  <c r="L27" i="34"/>
  <c r="K27" i="34"/>
  <c r="J27" i="34"/>
  <c r="I27" i="34"/>
  <c r="G27" i="34"/>
  <c r="F27" i="34"/>
  <c r="E27" i="34"/>
  <c r="D27" i="34"/>
  <c r="N26" i="34"/>
  <c r="M26" i="34"/>
  <c r="L26" i="34"/>
  <c r="K26" i="34"/>
  <c r="J26" i="34"/>
  <c r="I26" i="34"/>
  <c r="G26" i="34"/>
  <c r="F26" i="34"/>
  <c r="E26" i="34"/>
  <c r="D26" i="34"/>
  <c r="N25" i="34"/>
  <c r="M25" i="34"/>
  <c r="L25" i="34"/>
  <c r="K25" i="34"/>
  <c r="J25" i="34"/>
  <c r="I25" i="34"/>
  <c r="G25" i="34"/>
  <c r="F25" i="34"/>
  <c r="E25" i="34"/>
  <c r="D25" i="34"/>
  <c r="N24" i="34"/>
  <c r="M24" i="34"/>
  <c r="L24" i="34"/>
  <c r="K24" i="34"/>
  <c r="J24" i="34"/>
  <c r="I24" i="34"/>
  <c r="G24" i="34"/>
  <c r="F24" i="34"/>
  <c r="E24" i="34"/>
  <c r="D24" i="34"/>
  <c r="O23" i="34"/>
  <c r="O22" i="34" s="1"/>
  <c r="D16" i="34" s="1"/>
  <c r="F329" i="30"/>
  <c r="E329" i="30"/>
  <c r="F320" i="30"/>
  <c r="E320" i="30"/>
  <c r="F298" i="30"/>
  <c r="E298" i="30"/>
  <c r="F288" i="30"/>
  <c r="E288" i="30"/>
  <c r="F278" i="30"/>
  <c r="F267" i="30" s="1"/>
  <c r="E278" i="30"/>
  <c r="F268" i="30"/>
  <c r="E268" i="30"/>
  <c r="E267" i="30"/>
  <c r="F257" i="30"/>
  <c r="E257" i="30"/>
  <c r="F247" i="30"/>
  <c r="E247" i="30"/>
  <c r="F237" i="30"/>
  <c r="E237" i="30"/>
  <c r="F227" i="30"/>
  <c r="E227" i="30"/>
  <c r="F217" i="30"/>
  <c r="E217" i="30"/>
  <c r="F188" i="30"/>
  <c r="E188" i="30"/>
  <c r="F182" i="30"/>
  <c r="E182" i="30"/>
  <c r="F176" i="30"/>
  <c r="E176" i="30"/>
  <c r="F170" i="30"/>
  <c r="E170" i="30"/>
  <c r="F161" i="30"/>
  <c r="F154" i="30" s="1"/>
  <c r="E161" i="30"/>
  <c r="F155" i="30"/>
  <c r="E155" i="30"/>
  <c r="E154" i="30"/>
  <c r="F144" i="30"/>
  <c r="E144" i="30"/>
  <c r="F125" i="30"/>
  <c r="F116" i="30" s="1"/>
  <c r="E125" i="30"/>
  <c r="F117" i="30"/>
  <c r="E117" i="30"/>
  <c r="E116" i="30"/>
  <c r="F112" i="30"/>
  <c r="E112" i="30"/>
  <c r="F107" i="30"/>
  <c r="E107" i="30"/>
  <c r="F91" i="30"/>
  <c r="F90" i="30" s="1"/>
  <c r="E91" i="30"/>
  <c r="F63" i="30"/>
  <c r="E63" i="30"/>
  <c r="F38" i="30"/>
  <c r="E38" i="30"/>
  <c r="F35" i="30"/>
  <c r="F34" i="30"/>
  <c r="E34" i="30"/>
  <c r="F16" i="30"/>
  <c r="E16" i="30"/>
  <c r="E4" i="30" s="1"/>
  <c r="F6" i="30"/>
  <c r="E6" i="30"/>
  <c r="F189" i="29"/>
  <c r="F187" i="29" s="1"/>
  <c r="E187" i="29"/>
  <c r="F186" i="29"/>
  <c r="F185" i="29"/>
  <c r="F183" i="29"/>
  <c r="E183" i="29"/>
  <c r="F169" i="29"/>
  <c r="F168" i="29"/>
  <c r="E168" i="29"/>
  <c r="E153" i="29" s="1"/>
  <c r="F164" i="29"/>
  <c r="E164" i="29"/>
  <c r="F162" i="29"/>
  <c r="F161" i="29"/>
  <c r="F160" i="29"/>
  <c r="E159" i="29"/>
  <c r="F157" i="29"/>
  <c r="F154" i="29"/>
  <c r="E154" i="29"/>
  <c r="F152" i="29"/>
  <c r="F151" i="29"/>
  <c r="F148" i="29"/>
  <c r="F146" i="29"/>
  <c r="F145" i="29" s="1"/>
  <c r="F125" i="29" s="1"/>
  <c r="E145" i="29"/>
  <c r="F138" i="29"/>
  <c r="E138" i="29"/>
  <c r="F133" i="29"/>
  <c r="E133" i="29"/>
  <c r="F132" i="29"/>
  <c r="F131" i="29"/>
  <c r="F129" i="29" s="1"/>
  <c r="E129" i="29"/>
  <c r="F126" i="29"/>
  <c r="E126" i="29"/>
  <c r="X124" i="29"/>
  <c r="W124" i="29"/>
  <c r="L124" i="29"/>
  <c r="W123" i="29"/>
  <c r="X123" i="29" s="1"/>
  <c r="L123" i="29"/>
  <c r="W122" i="29"/>
  <c r="X122" i="29" s="1"/>
  <c r="L122" i="29"/>
  <c r="X121" i="29"/>
  <c r="W121" i="29"/>
  <c r="L121" i="29"/>
  <c r="X120" i="29"/>
  <c r="W120" i="29"/>
  <c r="L120" i="29"/>
  <c r="X119" i="29"/>
  <c r="W119" i="29"/>
  <c r="L119" i="29"/>
  <c r="W118" i="29"/>
  <c r="X118" i="29" s="1"/>
  <c r="L118" i="29"/>
  <c r="W117" i="29"/>
  <c r="X117" i="29" s="1"/>
  <c r="L117" i="29"/>
  <c r="W116" i="29"/>
  <c r="X116" i="29" s="1"/>
  <c r="L116" i="29"/>
  <c r="W115" i="29"/>
  <c r="X115" i="29" s="1"/>
  <c r="L115" i="29"/>
  <c r="W114" i="29"/>
  <c r="X114" i="29" s="1"/>
  <c r="L114" i="29"/>
  <c r="W113" i="29"/>
  <c r="X113" i="29" s="1"/>
  <c r="L113" i="29"/>
  <c r="W112" i="29"/>
  <c r="X112" i="29" s="1"/>
  <c r="L112" i="29"/>
  <c r="X111" i="29"/>
  <c r="W111" i="29"/>
  <c r="L111" i="29"/>
  <c r="W110" i="29"/>
  <c r="X110" i="29" s="1"/>
  <c r="L110" i="29"/>
  <c r="L109" i="29"/>
  <c r="F109" i="29"/>
  <c r="W109" i="29" s="1"/>
  <c r="X109" i="29" s="1"/>
  <c r="E109" i="29"/>
  <c r="W108" i="29"/>
  <c r="X108" i="29" s="1"/>
  <c r="L108" i="29"/>
  <c r="F108" i="29"/>
  <c r="E108" i="29"/>
  <c r="L107" i="29"/>
  <c r="F107" i="29"/>
  <c r="W107" i="29" s="1"/>
  <c r="X107" i="29" s="1"/>
  <c r="E107" i="29"/>
  <c r="L106" i="29"/>
  <c r="F106" i="29"/>
  <c r="W106" i="29" s="1"/>
  <c r="X106" i="29" s="1"/>
  <c r="E106" i="29"/>
  <c r="L105" i="29"/>
  <c r="E105" i="29"/>
  <c r="F105" i="29" s="1"/>
  <c r="W105" i="29" s="1"/>
  <c r="X105" i="29" s="1"/>
  <c r="L104" i="29"/>
  <c r="E104" i="29"/>
  <c r="F104" i="29" s="1"/>
  <c r="W104" i="29" s="1"/>
  <c r="X104" i="29" s="1"/>
  <c r="W103" i="29"/>
  <c r="X103" i="29" s="1"/>
  <c r="L103" i="29"/>
  <c r="E103" i="29"/>
  <c r="F103" i="29" s="1"/>
  <c r="W102" i="29"/>
  <c r="X102" i="29" s="1"/>
  <c r="L102" i="29"/>
  <c r="E102" i="29"/>
  <c r="F102" i="29" s="1"/>
  <c r="L101" i="29"/>
  <c r="F101" i="29"/>
  <c r="W101" i="29" s="1"/>
  <c r="X101" i="29" s="1"/>
  <c r="E101" i="29"/>
  <c r="W100" i="29"/>
  <c r="X100" i="29" s="1"/>
  <c r="L100" i="29"/>
  <c r="F100" i="29"/>
  <c r="E100" i="29"/>
  <c r="M99" i="29"/>
  <c r="L99" i="29"/>
  <c r="E99" i="29"/>
  <c r="F99" i="29" s="1"/>
  <c r="W99" i="29" s="1"/>
  <c r="X99" i="29" s="1"/>
  <c r="L98" i="29"/>
  <c r="E98" i="29"/>
  <c r="F98" i="29" s="1"/>
  <c r="W98" i="29" s="1"/>
  <c r="X98" i="29" s="1"/>
  <c r="L97" i="29"/>
  <c r="E97" i="29"/>
  <c r="F97" i="29" s="1"/>
  <c r="W97" i="29" s="1"/>
  <c r="X97" i="29" s="1"/>
  <c r="L96" i="29"/>
  <c r="E96" i="29"/>
  <c r="F96" i="29" s="1"/>
  <c r="W96" i="29" s="1"/>
  <c r="X96" i="29" s="1"/>
  <c r="W95" i="29"/>
  <c r="X95" i="29" s="1"/>
  <c r="L95" i="29"/>
  <c r="E95" i="29"/>
  <c r="F95" i="29" s="1"/>
  <c r="L94" i="29"/>
  <c r="F94" i="29"/>
  <c r="W94" i="29" s="1"/>
  <c r="X94" i="29" s="1"/>
  <c r="E94" i="29"/>
  <c r="W93" i="29"/>
  <c r="X93" i="29" s="1"/>
  <c r="L93" i="29"/>
  <c r="W92" i="29"/>
  <c r="X92" i="29" s="1"/>
  <c r="L92" i="29"/>
  <c r="W91" i="29"/>
  <c r="X91" i="29" s="1"/>
  <c r="L91" i="29"/>
  <c r="E91" i="29"/>
  <c r="L90" i="29"/>
  <c r="E90" i="29"/>
  <c r="F90" i="29" s="1"/>
  <c r="W90" i="29" s="1"/>
  <c r="X90" i="29" s="1"/>
  <c r="W89" i="29"/>
  <c r="X89" i="29" s="1"/>
  <c r="M89" i="29"/>
  <c r="L89" i="29"/>
  <c r="F89" i="29"/>
  <c r="L88" i="29"/>
  <c r="F88" i="29"/>
  <c r="W88" i="29" s="1"/>
  <c r="X88" i="29" s="1"/>
  <c r="E88" i="29"/>
  <c r="U87" i="29"/>
  <c r="F87" i="29" s="1"/>
  <c r="W87" i="29" s="1"/>
  <c r="X87" i="29" s="1"/>
  <c r="L87" i="29"/>
  <c r="M86" i="29"/>
  <c r="E86" i="29" s="1"/>
  <c r="F86" i="29" s="1"/>
  <c r="W86" i="29" s="1"/>
  <c r="X86" i="29" s="1"/>
  <c r="L86" i="29"/>
  <c r="L85" i="29"/>
  <c r="E85" i="29"/>
  <c r="F85" i="29" s="1"/>
  <c r="W85" i="29" s="1"/>
  <c r="X85" i="29" s="1"/>
  <c r="L84" i="29"/>
  <c r="F84" i="29"/>
  <c r="W84" i="29" s="1"/>
  <c r="X84" i="29" s="1"/>
  <c r="E84" i="29"/>
  <c r="L83" i="29"/>
  <c r="E83" i="29"/>
  <c r="F83" i="29" s="1"/>
  <c r="W83" i="29" s="1"/>
  <c r="X83" i="29" s="1"/>
  <c r="L82" i="29"/>
  <c r="E82" i="29"/>
  <c r="F82" i="29" s="1"/>
  <c r="W82" i="29" s="1"/>
  <c r="X82" i="29" s="1"/>
  <c r="L81" i="29"/>
  <c r="F81" i="29"/>
  <c r="W81" i="29" s="1"/>
  <c r="X81" i="29" s="1"/>
  <c r="E81" i="29"/>
  <c r="W80" i="29"/>
  <c r="X80" i="29" s="1"/>
  <c r="L80" i="29"/>
  <c r="F80" i="29"/>
  <c r="E80" i="29"/>
  <c r="W79" i="29"/>
  <c r="X79" i="29" s="1"/>
  <c r="L79" i="29"/>
  <c r="E79" i="29"/>
  <c r="W78" i="29"/>
  <c r="X78" i="29" s="1"/>
  <c r="L78" i="29"/>
  <c r="E78" i="29"/>
  <c r="L77" i="29"/>
  <c r="E77" i="29"/>
  <c r="F77" i="29" s="1"/>
  <c r="W77" i="29" s="1"/>
  <c r="X77" i="29" s="1"/>
  <c r="L76" i="29"/>
  <c r="E76" i="29"/>
  <c r="F76" i="29" s="1"/>
  <c r="W76" i="29" s="1"/>
  <c r="X76" i="29" s="1"/>
  <c r="W75" i="29"/>
  <c r="X75" i="29" s="1"/>
  <c r="L75" i="29"/>
  <c r="E75" i="29"/>
  <c r="L74" i="29"/>
  <c r="E74" i="29"/>
  <c r="F74" i="29" s="1"/>
  <c r="W74" i="29" s="1"/>
  <c r="X74" i="29" s="1"/>
  <c r="W73" i="29"/>
  <c r="X73" i="29" s="1"/>
  <c r="L73" i="29"/>
  <c r="E73" i="29"/>
  <c r="F73" i="29" s="1"/>
  <c r="W72" i="29"/>
  <c r="X72" i="29" s="1"/>
  <c r="L72" i="29"/>
  <c r="E72" i="29"/>
  <c r="F72" i="29" s="1"/>
  <c r="L71" i="29"/>
  <c r="E71" i="29"/>
  <c r="F71" i="29" s="1"/>
  <c r="W71" i="29" s="1"/>
  <c r="X71" i="29" s="1"/>
  <c r="L70" i="29"/>
  <c r="E70" i="29"/>
  <c r="F70" i="29" s="1"/>
  <c r="W70" i="29" s="1"/>
  <c r="X70" i="29" s="1"/>
  <c r="W69" i="29"/>
  <c r="X69" i="29" s="1"/>
  <c r="L69" i="29"/>
  <c r="E69" i="29"/>
  <c r="F69" i="29" s="1"/>
  <c r="W68" i="29"/>
  <c r="X68" i="29" s="1"/>
  <c r="L68" i="29"/>
  <c r="E68" i="29"/>
  <c r="W67" i="29"/>
  <c r="X67" i="29" s="1"/>
  <c r="L67" i="29"/>
  <c r="E67" i="29"/>
  <c r="F67" i="29" s="1"/>
  <c r="L66" i="29"/>
  <c r="F66" i="29"/>
  <c r="W66" i="29" s="1"/>
  <c r="X66" i="29" s="1"/>
  <c r="E66" i="29"/>
  <c r="W65" i="29"/>
  <c r="X65" i="29" s="1"/>
  <c r="L65" i="29"/>
  <c r="E65" i="29"/>
  <c r="X64" i="29"/>
  <c r="W64" i="29"/>
  <c r="L64" i="29"/>
  <c r="E64" i="29"/>
  <c r="L63" i="29"/>
  <c r="F63" i="29"/>
  <c r="W63" i="29" s="1"/>
  <c r="X63" i="29" s="1"/>
  <c r="E63" i="29"/>
  <c r="L62" i="29"/>
  <c r="F62" i="29"/>
  <c r="W62" i="29" s="1"/>
  <c r="X62" i="29" s="1"/>
  <c r="E62" i="29"/>
  <c r="W61" i="29"/>
  <c r="X61" i="29" s="1"/>
  <c r="L61" i="29"/>
  <c r="F61" i="29"/>
  <c r="E61" i="29"/>
  <c r="L60" i="29"/>
  <c r="E60" i="29"/>
  <c r="F60" i="29" s="1"/>
  <c r="W60" i="29" s="1"/>
  <c r="X60" i="29" s="1"/>
  <c r="X59" i="29"/>
  <c r="W59" i="29"/>
  <c r="L59" i="29"/>
  <c r="E59" i="29"/>
  <c r="W58" i="29"/>
  <c r="X58" i="29" s="1"/>
  <c r="L58" i="29"/>
  <c r="E58" i="29"/>
  <c r="W57" i="29"/>
  <c r="X57" i="29" s="1"/>
  <c r="L57" i="29"/>
  <c r="E57" i="29"/>
  <c r="X56" i="29"/>
  <c r="W56" i="29"/>
  <c r="L56" i="29"/>
  <c r="E56" i="29"/>
  <c r="W55" i="29"/>
  <c r="X55" i="29" s="1"/>
  <c r="L55" i="29"/>
  <c r="F55" i="29"/>
  <c r="W54" i="29"/>
  <c r="X54" i="29" s="1"/>
  <c r="L54" i="29"/>
  <c r="E54" i="29"/>
  <c r="X53" i="29"/>
  <c r="W53" i="29"/>
  <c r="L53" i="29"/>
  <c r="E53" i="29"/>
  <c r="X52" i="29"/>
  <c r="W52" i="29"/>
  <c r="L52" i="29"/>
  <c r="E52" i="29"/>
  <c r="L51" i="29"/>
  <c r="F51" i="29"/>
  <c r="W51" i="29" s="1"/>
  <c r="X51" i="29" s="1"/>
  <c r="E51" i="29"/>
  <c r="L50" i="29"/>
  <c r="E50" i="29"/>
  <c r="F50" i="29" s="1"/>
  <c r="W50" i="29" s="1"/>
  <c r="X50" i="29" s="1"/>
  <c r="X49" i="29"/>
  <c r="L49" i="29"/>
  <c r="F49" i="29"/>
  <c r="W49" i="29" s="1"/>
  <c r="E49" i="29"/>
  <c r="L48" i="29"/>
  <c r="E48" i="29"/>
  <c r="F48" i="29" s="1"/>
  <c r="W48" i="29" s="1"/>
  <c r="X48" i="29" s="1"/>
  <c r="W47" i="29"/>
  <c r="X47" i="29" s="1"/>
  <c r="L47" i="29"/>
  <c r="F47" i="29"/>
  <c r="E47" i="29"/>
  <c r="L46" i="29"/>
  <c r="F46" i="29"/>
  <c r="W46" i="29" s="1"/>
  <c r="X46" i="29" s="1"/>
  <c r="E46" i="29"/>
  <c r="L45" i="29"/>
  <c r="E45" i="29"/>
  <c r="F45" i="29" s="1"/>
  <c r="W45" i="29" s="1"/>
  <c r="X45" i="29" s="1"/>
  <c r="N44" i="29"/>
  <c r="M44" i="29"/>
  <c r="F44" i="29" s="1"/>
  <c r="W44" i="29" s="1"/>
  <c r="X44" i="29" s="1"/>
  <c r="L44" i="29"/>
  <c r="U43" i="29"/>
  <c r="P43" i="29"/>
  <c r="N43" i="29"/>
  <c r="M43" i="29"/>
  <c r="F43" i="29" s="1"/>
  <c r="W43" i="29" s="1"/>
  <c r="X43" i="29" s="1"/>
  <c r="L43" i="29"/>
  <c r="X42" i="29"/>
  <c r="W42" i="29"/>
  <c r="L42" i="29"/>
  <c r="X41" i="29"/>
  <c r="W41" i="29"/>
  <c r="L41" i="29"/>
  <c r="X40" i="29"/>
  <c r="W40" i="29"/>
  <c r="L40" i="29"/>
  <c r="E40" i="29"/>
  <c r="L39" i="29"/>
  <c r="F39" i="29"/>
  <c r="W39" i="29" s="1"/>
  <c r="X39" i="29" s="1"/>
  <c r="E39" i="29"/>
  <c r="X38" i="29"/>
  <c r="L38" i="29"/>
  <c r="F38" i="29"/>
  <c r="W38" i="29" s="1"/>
  <c r="E38" i="29"/>
  <c r="L37" i="29"/>
  <c r="E37" i="29"/>
  <c r="F37" i="29" s="1"/>
  <c r="W37" i="29" s="1"/>
  <c r="X37" i="29" s="1"/>
  <c r="W36" i="29"/>
  <c r="X36" i="29" s="1"/>
  <c r="L36" i="29"/>
  <c r="E36" i="29"/>
  <c r="F36" i="29" s="1"/>
  <c r="W35" i="29"/>
  <c r="X35" i="29" s="1"/>
  <c r="L35" i="29"/>
  <c r="E35" i="29"/>
  <c r="X34" i="29"/>
  <c r="W34" i="29"/>
  <c r="L34" i="29"/>
  <c r="E34" i="29"/>
  <c r="W33" i="29"/>
  <c r="X33" i="29" s="1"/>
  <c r="L33" i="29"/>
  <c r="E33" i="29"/>
  <c r="F33" i="29" s="1"/>
  <c r="X32" i="29"/>
  <c r="W32" i="29"/>
  <c r="L32" i="29"/>
  <c r="E32" i="29"/>
  <c r="W31" i="29"/>
  <c r="X31" i="29" s="1"/>
  <c r="L31" i="29"/>
  <c r="E31" i="29"/>
  <c r="X30" i="29"/>
  <c r="W30" i="29"/>
  <c r="L30" i="29"/>
  <c r="E30" i="29"/>
  <c r="W29" i="29"/>
  <c r="X29" i="29" s="1"/>
  <c r="L29" i="29"/>
  <c r="E29" i="29"/>
  <c r="L28" i="29"/>
  <c r="E28" i="29"/>
  <c r="F28" i="29" s="1"/>
  <c r="W28" i="29" s="1"/>
  <c r="X28" i="29" s="1"/>
  <c r="L27" i="29"/>
  <c r="F27" i="29"/>
  <c r="W27" i="29" s="1"/>
  <c r="X27" i="29" s="1"/>
  <c r="E27" i="29"/>
  <c r="W26" i="29"/>
  <c r="X26" i="29" s="1"/>
  <c r="L26" i="29"/>
  <c r="E26" i="29"/>
  <c r="F26" i="29" s="1"/>
  <c r="L25" i="29"/>
  <c r="E25" i="29"/>
  <c r="F25" i="29" s="1"/>
  <c r="W25" i="29" s="1"/>
  <c r="X25" i="29" s="1"/>
  <c r="X24" i="29"/>
  <c r="W24" i="29"/>
  <c r="L24" i="29"/>
  <c r="E24" i="29"/>
  <c r="W23" i="29"/>
  <c r="X23" i="29" s="1"/>
  <c r="L23" i="29"/>
  <c r="E23" i="29"/>
  <c r="X22" i="29"/>
  <c r="W22" i="29"/>
  <c r="L22" i="29"/>
  <c r="E22" i="29"/>
  <c r="W21" i="29"/>
  <c r="X21" i="29" s="1"/>
  <c r="L21" i="29"/>
  <c r="E21" i="29"/>
  <c r="W20" i="29"/>
  <c r="X20" i="29" s="1"/>
  <c r="U20" i="29"/>
  <c r="T20" i="29"/>
  <c r="R20" i="29"/>
  <c r="R6" i="29" s="1"/>
  <c r="Q20" i="29"/>
  <c r="P20" i="29"/>
  <c r="P6" i="29" s="1"/>
  <c r="O20" i="29"/>
  <c r="N20" i="29"/>
  <c r="M20" i="29"/>
  <c r="F20" i="29" s="1"/>
  <c r="L20" i="29"/>
  <c r="U19" i="29"/>
  <c r="U6" i="29" s="1"/>
  <c r="T19" i="29"/>
  <c r="R19" i="29"/>
  <c r="Q19" i="29"/>
  <c r="P19" i="29"/>
  <c r="O19" i="29"/>
  <c r="N19" i="29"/>
  <c r="N6" i="29" s="1"/>
  <c r="M19" i="29"/>
  <c r="M6" i="29" s="1"/>
  <c r="L19" i="29"/>
  <c r="F19" i="29"/>
  <c r="W19" i="29" s="1"/>
  <c r="X19" i="29" s="1"/>
  <c r="L18" i="29"/>
  <c r="F18" i="29"/>
  <c r="W18" i="29" s="1"/>
  <c r="X18" i="29" s="1"/>
  <c r="E18" i="29"/>
  <c r="L17" i="29"/>
  <c r="E17" i="29"/>
  <c r="F17" i="29" s="1"/>
  <c r="W17" i="29" s="1"/>
  <c r="X17" i="29" s="1"/>
  <c r="L16" i="29"/>
  <c r="F16" i="29"/>
  <c r="W16" i="29" s="1"/>
  <c r="X16" i="29" s="1"/>
  <c r="E16" i="29"/>
  <c r="W15" i="29"/>
  <c r="X15" i="29" s="1"/>
  <c r="U15" i="29"/>
  <c r="L15" i="29"/>
  <c r="F15" i="29"/>
  <c r="E15" i="29"/>
  <c r="W14" i="29"/>
  <c r="X14" i="29" s="1"/>
  <c r="L14" i="29"/>
  <c r="E14" i="29"/>
  <c r="X13" i="29"/>
  <c r="W13" i="29"/>
  <c r="L13" i="29"/>
  <c r="E13" i="29"/>
  <c r="L12" i="29"/>
  <c r="F12" i="29"/>
  <c r="W12" i="29" s="1"/>
  <c r="X12" i="29" s="1"/>
  <c r="E12" i="29"/>
  <c r="L11" i="29"/>
  <c r="E11" i="29"/>
  <c r="W10" i="29"/>
  <c r="X10" i="29" s="1"/>
  <c r="L10" i="29"/>
  <c r="X9" i="29"/>
  <c r="W9" i="29"/>
  <c r="L9" i="29"/>
  <c r="W8" i="29"/>
  <c r="X8" i="29" s="1"/>
  <c r="L8" i="29"/>
  <c r="W7" i="29"/>
  <c r="X7" i="29" s="1"/>
  <c r="L7" i="29"/>
  <c r="T6" i="29"/>
  <c r="S6" i="29"/>
  <c r="Q6" i="29"/>
  <c r="J6" i="29"/>
  <c r="F328" i="28"/>
  <c r="E328" i="28"/>
  <c r="F318" i="28"/>
  <c r="E318" i="28"/>
  <c r="F296" i="28"/>
  <c r="E296" i="28"/>
  <c r="F286" i="28"/>
  <c r="E286" i="28"/>
  <c r="E265" i="28" s="1"/>
  <c r="F276" i="28"/>
  <c r="E276" i="28"/>
  <c r="F266" i="28"/>
  <c r="F265" i="28" s="1"/>
  <c r="E266" i="28"/>
  <c r="F255" i="28"/>
  <c r="E255" i="28"/>
  <c r="F245" i="28"/>
  <c r="E245" i="28"/>
  <c r="F235" i="28"/>
  <c r="E235" i="28"/>
  <c r="F225" i="28"/>
  <c r="E225" i="28"/>
  <c r="F215" i="28"/>
  <c r="E215" i="28"/>
  <c r="F186" i="28"/>
  <c r="E186" i="28"/>
  <c r="F180" i="28"/>
  <c r="E180" i="28"/>
  <c r="F174" i="28"/>
  <c r="E174" i="28"/>
  <c r="F168" i="28"/>
  <c r="E168" i="28"/>
  <c r="F162" i="28"/>
  <c r="E162" i="28"/>
  <c r="E155" i="28" s="1"/>
  <c r="F156" i="28"/>
  <c r="E156" i="28"/>
  <c r="F145" i="28"/>
  <c r="E145" i="28"/>
  <c r="F126" i="28"/>
  <c r="E126" i="28"/>
  <c r="F120" i="28"/>
  <c r="F119" i="28" s="1"/>
  <c r="E120" i="28"/>
  <c r="E119" i="28" s="1"/>
  <c r="F115" i="28"/>
  <c r="F90" i="28" s="1"/>
  <c r="E115" i="28"/>
  <c r="F109" i="28"/>
  <c r="E109" i="28"/>
  <c r="E90" i="28" s="1"/>
  <c r="F91" i="28"/>
  <c r="E91" i="28"/>
  <c r="F63" i="28"/>
  <c r="E63" i="28"/>
  <c r="E4" i="28" s="1"/>
  <c r="F38" i="28"/>
  <c r="E38" i="28"/>
  <c r="F35" i="28"/>
  <c r="F34" i="28" s="1"/>
  <c r="E34" i="28"/>
  <c r="F32" i="28"/>
  <c r="F16" i="28" s="1"/>
  <c r="F30" i="28"/>
  <c r="E16" i="28"/>
  <c r="F10" i="28"/>
  <c r="F6" i="28"/>
  <c r="E6" i="28"/>
  <c r="F191" i="27"/>
  <c r="F189" i="27" s="1"/>
  <c r="E189" i="27"/>
  <c r="F188" i="27"/>
  <c r="F184" i="27" s="1"/>
  <c r="F187" i="27"/>
  <c r="F186" i="27"/>
  <c r="E184" i="27"/>
  <c r="F171" i="27"/>
  <c r="E169" i="27"/>
  <c r="F165" i="27"/>
  <c r="E165" i="27"/>
  <c r="F163" i="27"/>
  <c r="F160" i="27" s="1"/>
  <c r="E160" i="27"/>
  <c r="F158" i="27"/>
  <c r="F155" i="27"/>
  <c r="E155" i="27"/>
  <c r="E154" i="27"/>
  <c r="F148" i="27"/>
  <c r="F147" i="27"/>
  <c r="F146" i="27"/>
  <c r="E146" i="27"/>
  <c r="F139" i="27"/>
  <c r="E139" i="27"/>
  <c r="F138" i="27"/>
  <c r="E134" i="27"/>
  <c r="F133" i="27"/>
  <c r="F131" i="27"/>
  <c r="E130" i="27"/>
  <c r="F127" i="27"/>
  <c r="E127" i="27"/>
  <c r="E126" i="27" s="1"/>
  <c r="X125" i="27"/>
  <c r="W125" i="27"/>
  <c r="L125" i="27"/>
  <c r="W124" i="27"/>
  <c r="X124" i="27" s="1"/>
  <c r="L124" i="27"/>
  <c r="X123" i="27"/>
  <c r="W123" i="27"/>
  <c r="L123" i="27"/>
  <c r="X122" i="27"/>
  <c r="W122" i="27"/>
  <c r="L122" i="27"/>
  <c r="X121" i="27"/>
  <c r="W121" i="27"/>
  <c r="L121" i="27"/>
  <c r="W120" i="27"/>
  <c r="X120" i="27" s="1"/>
  <c r="L120" i="27"/>
  <c r="X119" i="27"/>
  <c r="W119" i="27"/>
  <c r="L119" i="27"/>
  <c r="X118" i="27"/>
  <c r="W118" i="27"/>
  <c r="L118" i="27"/>
  <c r="X117" i="27"/>
  <c r="W117" i="27"/>
  <c r="L117" i="27"/>
  <c r="W116" i="27"/>
  <c r="X116" i="27" s="1"/>
  <c r="L116" i="27"/>
  <c r="W115" i="27"/>
  <c r="X115" i="27" s="1"/>
  <c r="L115" i="27"/>
  <c r="X114" i="27"/>
  <c r="W114" i="27"/>
  <c r="L114" i="27"/>
  <c r="X113" i="27"/>
  <c r="W113" i="27"/>
  <c r="L113" i="27"/>
  <c r="W112" i="27"/>
  <c r="X112" i="27" s="1"/>
  <c r="L112" i="27"/>
  <c r="W111" i="27"/>
  <c r="X111" i="27" s="1"/>
  <c r="L111" i="27"/>
  <c r="X110" i="27"/>
  <c r="W110" i="27"/>
  <c r="L110" i="27"/>
  <c r="X109" i="27"/>
  <c r="W109" i="27"/>
  <c r="L109" i="27"/>
  <c r="L108" i="27"/>
  <c r="E108" i="27"/>
  <c r="F108" i="27" s="1"/>
  <c r="W108" i="27" s="1"/>
  <c r="X108" i="27" s="1"/>
  <c r="M107" i="27"/>
  <c r="E107" i="27" s="1"/>
  <c r="F107" i="27" s="1"/>
  <c r="W107" i="27" s="1"/>
  <c r="X107" i="27" s="1"/>
  <c r="L107" i="27"/>
  <c r="W106" i="27"/>
  <c r="X106" i="27" s="1"/>
  <c r="L106" i="27"/>
  <c r="E106" i="27"/>
  <c r="X105" i="27"/>
  <c r="W105" i="27"/>
  <c r="M105" i="27"/>
  <c r="E105" i="27" s="1"/>
  <c r="F105" i="27" s="1"/>
  <c r="L105" i="27"/>
  <c r="X104" i="27"/>
  <c r="L104" i="27"/>
  <c r="E104" i="27"/>
  <c r="F104" i="27" s="1"/>
  <c r="W104" i="27" s="1"/>
  <c r="X103" i="27"/>
  <c r="W103" i="27"/>
  <c r="L103" i="27"/>
  <c r="F103" i="27"/>
  <c r="E103" i="27"/>
  <c r="M102" i="27"/>
  <c r="E102" i="27" s="1"/>
  <c r="F102" i="27" s="1"/>
  <c r="W102" i="27" s="1"/>
  <c r="X102" i="27" s="1"/>
  <c r="L102" i="27"/>
  <c r="L101" i="27"/>
  <c r="F101" i="27"/>
  <c r="W101" i="27" s="1"/>
  <c r="X101" i="27" s="1"/>
  <c r="E101" i="27"/>
  <c r="L100" i="27"/>
  <c r="F100" i="27"/>
  <c r="W100" i="27" s="1"/>
  <c r="X100" i="27" s="1"/>
  <c r="E100" i="27"/>
  <c r="L99" i="27"/>
  <c r="F99" i="27"/>
  <c r="W99" i="27" s="1"/>
  <c r="X99" i="27" s="1"/>
  <c r="E99" i="27"/>
  <c r="W98" i="27"/>
  <c r="X98" i="27" s="1"/>
  <c r="L98" i="27"/>
  <c r="F98" i="27"/>
  <c r="E98" i="27"/>
  <c r="L97" i="27"/>
  <c r="E97" i="27"/>
  <c r="F97" i="27" s="1"/>
  <c r="W97" i="27" s="1"/>
  <c r="X97" i="27" s="1"/>
  <c r="X96" i="27"/>
  <c r="W96" i="27"/>
  <c r="L96" i="27"/>
  <c r="F96" i="27"/>
  <c r="E96" i="27"/>
  <c r="L95" i="27"/>
  <c r="E95" i="27"/>
  <c r="F95" i="27" s="1"/>
  <c r="W95" i="27" s="1"/>
  <c r="X95" i="27" s="1"/>
  <c r="W94" i="27"/>
  <c r="X94" i="27" s="1"/>
  <c r="L94" i="27"/>
  <c r="F94" i="27"/>
  <c r="E94" i="27"/>
  <c r="U93" i="27"/>
  <c r="N93" i="27"/>
  <c r="M93" i="27"/>
  <c r="L93" i="27"/>
  <c r="U92" i="27"/>
  <c r="N92" i="27"/>
  <c r="M92" i="27"/>
  <c r="L92" i="27"/>
  <c r="W91" i="27"/>
  <c r="X91" i="27" s="1"/>
  <c r="L91" i="27"/>
  <c r="E91" i="27"/>
  <c r="L90" i="27"/>
  <c r="E90" i="27"/>
  <c r="F90" i="27" s="1"/>
  <c r="W90" i="27" s="1"/>
  <c r="X90" i="27" s="1"/>
  <c r="W89" i="27"/>
  <c r="X89" i="27" s="1"/>
  <c r="L89" i="27"/>
  <c r="E89" i="27"/>
  <c r="X88" i="27"/>
  <c r="L88" i="27"/>
  <c r="E88" i="27"/>
  <c r="F88" i="27" s="1"/>
  <c r="W88" i="27" s="1"/>
  <c r="W87" i="27"/>
  <c r="X87" i="27" s="1"/>
  <c r="L87" i="27"/>
  <c r="E87" i="27"/>
  <c r="L86" i="27"/>
  <c r="F86" i="27"/>
  <c r="W86" i="27" s="1"/>
  <c r="X86" i="27" s="1"/>
  <c r="E86" i="27"/>
  <c r="L85" i="27"/>
  <c r="E85" i="27"/>
  <c r="F85" i="27" s="1"/>
  <c r="W85" i="27" s="1"/>
  <c r="X85" i="27" s="1"/>
  <c r="X84" i="27"/>
  <c r="W84" i="27"/>
  <c r="L84" i="27"/>
  <c r="F84" i="27"/>
  <c r="E84" i="27"/>
  <c r="L83" i="27"/>
  <c r="E83" i="27"/>
  <c r="F83" i="27" s="1"/>
  <c r="W83" i="27" s="1"/>
  <c r="X83" i="27" s="1"/>
  <c r="X82" i="27"/>
  <c r="L82" i="27"/>
  <c r="F82" i="27"/>
  <c r="W82" i="27" s="1"/>
  <c r="E82" i="27"/>
  <c r="L81" i="27"/>
  <c r="E81" i="27"/>
  <c r="F81" i="27" s="1"/>
  <c r="W81" i="27" s="1"/>
  <c r="X81" i="27" s="1"/>
  <c r="L80" i="27"/>
  <c r="E80" i="27"/>
  <c r="F80" i="27" s="1"/>
  <c r="W80" i="27" s="1"/>
  <c r="X80" i="27" s="1"/>
  <c r="X79" i="27"/>
  <c r="W79" i="27"/>
  <c r="L79" i="27"/>
  <c r="E79" i="27"/>
  <c r="F79" i="27" s="1"/>
  <c r="L78" i="27"/>
  <c r="F78" i="27"/>
  <c r="W78" i="27" s="1"/>
  <c r="X78" i="27" s="1"/>
  <c r="E78" i="27"/>
  <c r="L77" i="27"/>
  <c r="F77" i="27"/>
  <c r="W77" i="27" s="1"/>
  <c r="X77" i="27" s="1"/>
  <c r="E77" i="27"/>
  <c r="W76" i="27"/>
  <c r="X76" i="27" s="1"/>
  <c r="L76" i="27"/>
  <c r="E76" i="27"/>
  <c r="F76" i="27" s="1"/>
  <c r="W75" i="27"/>
  <c r="X75" i="27" s="1"/>
  <c r="L75" i="27"/>
  <c r="E75" i="27"/>
  <c r="X74" i="27"/>
  <c r="W74" i="27"/>
  <c r="L74" i="27"/>
  <c r="E74" i="27"/>
  <c r="X73" i="27"/>
  <c r="W73" i="27"/>
  <c r="L73" i="27"/>
  <c r="E73" i="27"/>
  <c r="W72" i="27"/>
  <c r="X72" i="27" s="1"/>
  <c r="L72" i="27"/>
  <c r="E72" i="27"/>
  <c r="F72" i="27" s="1"/>
  <c r="L71" i="27"/>
  <c r="F71" i="27"/>
  <c r="W71" i="27" s="1"/>
  <c r="X71" i="27" s="1"/>
  <c r="E71" i="27"/>
  <c r="L70" i="27"/>
  <c r="F70" i="27"/>
  <c r="W70" i="27" s="1"/>
  <c r="X70" i="27" s="1"/>
  <c r="E70" i="27"/>
  <c r="W69" i="27"/>
  <c r="X69" i="27" s="1"/>
  <c r="L69" i="27"/>
  <c r="F69" i="27"/>
  <c r="E69" i="27"/>
  <c r="L68" i="27"/>
  <c r="E68" i="27"/>
  <c r="F68" i="27" s="1"/>
  <c r="W68" i="27" s="1"/>
  <c r="X68" i="27" s="1"/>
  <c r="W67" i="27"/>
  <c r="X67" i="27" s="1"/>
  <c r="L67" i="27"/>
  <c r="F67" i="27"/>
  <c r="E67" i="27"/>
  <c r="L66" i="27"/>
  <c r="E66" i="27"/>
  <c r="F66" i="27" s="1"/>
  <c r="W66" i="27" s="1"/>
  <c r="X66" i="27" s="1"/>
  <c r="W65" i="27"/>
  <c r="X65" i="27" s="1"/>
  <c r="L65" i="27"/>
  <c r="F65" i="27"/>
  <c r="E65" i="27"/>
  <c r="W64" i="27"/>
  <c r="X64" i="27" s="1"/>
  <c r="L64" i="27"/>
  <c r="E64" i="27"/>
  <c r="F64" i="27" s="1"/>
  <c r="L63" i="27"/>
  <c r="E63" i="27"/>
  <c r="F63" i="27" s="1"/>
  <c r="W63" i="27" s="1"/>
  <c r="X63" i="27" s="1"/>
  <c r="X62" i="27"/>
  <c r="W62" i="27"/>
  <c r="L62" i="27"/>
  <c r="E62" i="27"/>
  <c r="L61" i="27"/>
  <c r="E61" i="27"/>
  <c r="F61" i="27" s="1"/>
  <c r="W61" i="27" s="1"/>
  <c r="X61" i="27" s="1"/>
  <c r="U60" i="27"/>
  <c r="L60" i="27"/>
  <c r="X59" i="27"/>
  <c r="W59" i="27"/>
  <c r="L59" i="27"/>
  <c r="E59" i="27"/>
  <c r="L58" i="27"/>
  <c r="E58" i="27"/>
  <c r="F58" i="27" s="1"/>
  <c r="W58" i="27" s="1"/>
  <c r="X58" i="27" s="1"/>
  <c r="W57" i="27"/>
  <c r="X57" i="27" s="1"/>
  <c r="L57" i="27"/>
  <c r="E57" i="27"/>
  <c r="X56" i="27"/>
  <c r="W56" i="27"/>
  <c r="L56" i="27"/>
  <c r="E56" i="27"/>
  <c r="L55" i="27"/>
  <c r="F55" i="27"/>
  <c r="W55" i="27" s="1"/>
  <c r="X55" i="27" s="1"/>
  <c r="E55" i="27"/>
  <c r="W54" i="27"/>
  <c r="X54" i="27" s="1"/>
  <c r="L54" i="27"/>
  <c r="F54" i="27"/>
  <c r="E54" i="27"/>
  <c r="X53" i="27"/>
  <c r="L53" i="27"/>
  <c r="E53" i="27"/>
  <c r="F53" i="27" s="1"/>
  <c r="W53" i="27" s="1"/>
  <c r="U52" i="27"/>
  <c r="L52" i="27"/>
  <c r="F52" i="27"/>
  <c r="W52" i="27" s="1"/>
  <c r="X52" i="27" s="1"/>
  <c r="X51" i="27"/>
  <c r="W51" i="27"/>
  <c r="L51" i="27"/>
  <c r="E51" i="27"/>
  <c r="W50" i="27"/>
  <c r="X50" i="27" s="1"/>
  <c r="L50" i="27"/>
  <c r="E50" i="27"/>
  <c r="W49" i="27"/>
  <c r="X49" i="27" s="1"/>
  <c r="L49" i="27"/>
  <c r="F49" i="27"/>
  <c r="E49" i="27"/>
  <c r="L48" i="27"/>
  <c r="E48" i="27"/>
  <c r="F48" i="27" s="1"/>
  <c r="W48" i="27" s="1"/>
  <c r="X48" i="27" s="1"/>
  <c r="X47" i="27"/>
  <c r="W47" i="27"/>
  <c r="L47" i="27"/>
  <c r="F47" i="27"/>
  <c r="E47" i="27"/>
  <c r="X46" i="27"/>
  <c r="L46" i="27"/>
  <c r="F46" i="27"/>
  <c r="W46" i="27" s="1"/>
  <c r="E46" i="27"/>
  <c r="L45" i="27"/>
  <c r="E45" i="27"/>
  <c r="F45" i="27" s="1"/>
  <c r="W45" i="27" s="1"/>
  <c r="X45" i="27" s="1"/>
  <c r="X44" i="27"/>
  <c r="W44" i="27"/>
  <c r="L44" i="27"/>
  <c r="E44" i="27"/>
  <c r="W43" i="27"/>
  <c r="X43" i="27" s="1"/>
  <c r="L43" i="27"/>
  <c r="E43" i="27"/>
  <c r="W42" i="27"/>
  <c r="X42" i="27" s="1"/>
  <c r="L42" i="27"/>
  <c r="W41" i="27"/>
  <c r="X41" i="27" s="1"/>
  <c r="L41" i="27"/>
  <c r="X40" i="27"/>
  <c r="W40" i="27"/>
  <c r="L40" i="27"/>
  <c r="E40" i="27"/>
  <c r="L39" i="27"/>
  <c r="F39" i="27"/>
  <c r="W39" i="27" s="1"/>
  <c r="X39" i="27" s="1"/>
  <c r="E39" i="27"/>
  <c r="W38" i="27"/>
  <c r="X38" i="27" s="1"/>
  <c r="L38" i="27"/>
  <c r="F38" i="27"/>
  <c r="E38" i="27"/>
  <c r="W37" i="27"/>
  <c r="X37" i="27" s="1"/>
  <c r="L37" i="27"/>
  <c r="E37" i="27"/>
  <c r="F37" i="27" s="1"/>
  <c r="L36" i="27"/>
  <c r="E36" i="27"/>
  <c r="F36" i="27" s="1"/>
  <c r="W36" i="27" s="1"/>
  <c r="X36" i="27" s="1"/>
  <c r="X35" i="27"/>
  <c r="L35" i="27"/>
  <c r="F35" i="27"/>
  <c r="W35" i="27" s="1"/>
  <c r="E35" i="27"/>
  <c r="W34" i="27"/>
  <c r="X34" i="27" s="1"/>
  <c r="L34" i="27"/>
  <c r="F34" i="27"/>
  <c r="E34" i="27"/>
  <c r="L33" i="27"/>
  <c r="E33" i="27"/>
  <c r="F33" i="27" s="1"/>
  <c r="W33" i="27" s="1"/>
  <c r="X33" i="27" s="1"/>
  <c r="X32" i="27"/>
  <c r="L32" i="27"/>
  <c r="F32" i="27"/>
  <c r="W32" i="27" s="1"/>
  <c r="E32" i="27"/>
  <c r="W31" i="27"/>
  <c r="X31" i="27" s="1"/>
  <c r="L31" i="27"/>
  <c r="E31" i="27"/>
  <c r="F31" i="27" s="1"/>
  <c r="W30" i="27"/>
  <c r="X30" i="27" s="1"/>
  <c r="L30" i="27"/>
  <c r="E30" i="27"/>
  <c r="W29" i="27"/>
  <c r="X29" i="27" s="1"/>
  <c r="L29" i="27"/>
  <c r="E29" i="27"/>
  <c r="X28" i="27"/>
  <c r="W28" i="27"/>
  <c r="L28" i="27"/>
  <c r="F28" i="27"/>
  <c r="E28" i="27"/>
  <c r="W27" i="27"/>
  <c r="X27" i="27" s="1"/>
  <c r="L27" i="27"/>
  <c r="E27" i="27"/>
  <c r="F27" i="27" s="1"/>
  <c r="W26" i="27"/>
  <c r="X26" i="27" s="1"/>
  <c r="L26" i="27"/>
  <c r="F26" i="27"/>
  <c r="E26" i="27"/>
  <c r="X25" i="27"/>
  <c r="L25" i="27"/>
  <c r="F25" i="27"/>
  <c r="W25" i="27" s="1"/>
  <c r="E25" i="27"/>
  <c r="M24" i="27"/>
  <c r="L24" i="27"/>
  <c r="F24" i="27"/>
  <c r="W24" i="27" s="1"/>
  <c r="X24" i="27" s="1"/>
  <c r="W23" i="27"/>
  <c r="X23" i="27" s="1"/>
  <c r="M23" i="27"/>
  <c r="F23" i="27" s="1"/>
  <c r="L23" i="27"/>
  <c r="X22" i="27"/>
  <c r="W22" i="27"/>
  <c r="L22" i="27"/>
  <c r="E22" i="27"/>
  <c r="X21" i="27"/>
  <c r="W21" i="27"/>
  <c r="L21" i="27"/>
  <c r="E21" i="27"/>
  <c r="W20" i="27"/>
  <c r="X20" i="27" s="1"/>
  <c r="L20" i="27"/>
  <c r="E20" i="27"/>
  <c r="F20" i="27" s="1"/>
  <c r="L19" i="27"/>
  <c r="F19" i="27"/>
  <c r="E19" i="27"/>
  <c r="W18" i="27"/>
  <c r="X18" i="27" s="1"/>
  <c r="L18" i="27"/>
  <c r="F18" i="27"/>
  <c r="E18" i="27"/>
  <c r="W17" i="27"/>
  <c r="X17" i="27" s="1"/>
  <c r="U17" i="27"/>
  <c r="L17" i="27"/>
  <c r="F17" i="27"/>
  <c r="E17" i="27"/>
  <c r="X16" i="27"/>
  <c r="L16" i="27"/>
  <c r="F16" i="27"/>
  <c r="W16" i="27" s="1"/>
  <c r="E16" i="27"/>
  <c r="L15" i="27"/>
  <c r="F15" i="27"/>
  <c r="W15" i="27" s="1"/>
  <c r="X15" i="27" s="1"/>
  <c r="E15" i="27"/>
  <c r="W14" i="27"/>
  <c r="X14" i="27" s="1"/>
  <c r="L14" i="27"/>
  <c r="F14" i="27"/>
  <c r="X13" i="27"/>
  <c r="W13" i="27"/>
  <c r="L13" i="27"/>
  <c r="F13" i="27"/>
  <c r="L12" i="27"/>
  <c r="E12" i="27"/>
  <c r="F12" i="27" s="1"/>
  <c r="W12" i="27" s="1"/>
  <c r="X12" i="27" s="1"/>
  <c r="X11" i="27"/>
  <c r="W11" i="27"/>
  <c r="L11" i="27"/>
  <c r="F11" i="27"/>
  <c r="E11" i="27"/>
  <c r="X10" i="27"/>
  <c r="W10" i="27"/>
  <c r="L10" i="27"/>
  <c r="X9" i="27"/>
  <c r="W9" i="27"/>
  <c r="L9" i="27"/>
  <c r="W8" i="27"/>
  <c r="X8" i="27" s="1"/>
  <c r="L8" i="27"/>
  <c r="X7" i="27"/>
  <c r="W7" i="27"/>
  <c r="L7" i="27"/>
  <c r="T6" i="27"/>
  <c r="S6" i="27"/>
  <c r="R6" i="27"/>
  <c r="Q6" i="27"/>
  <c r="P6" i="27"/>
  <c r="O6" i="27"/>
  <c r="N6" i="27"/>
  <c r="M6" i="27"/>
  <c r="J6" i="27"/>
  <c r="F325" i="26"/>
  <c r="E325" i="26"/>
  <c r="F315" i="26"/>
  <c r="E315" i="26"/>
  <c r="F293" i="26"/>
  <c r="E293" i="26"/>
  <c r="E262" i="26" s="1"/>
  <c r="F283" i="26"/>
  <c r="E283" i="26"/>
  <c r="F273" i="26"/>
  <c r="E273" i="26"/>
  <c r="F265" i="26"/>
  <c r="F263" i="26"/>
  <c r="E263" i="26"/>
  <c r="F252" i="26"/>
  <c r="E252" i="26"/>
  <c r="F242" i="26"/>
  <c r="E242" i="26"/>
  <c r="F232" i="26"/>
  <c r="E232" i="26"/>
  <c r="F222" i="26"/>
  <c r="E222" i="26"/>
  <c r="F212" i="26"/>
  <c r="E212" i="26"/>
  <c r="F183" i="26"/>
  <c r="E183" i="26"/>
  <c r="F177" i="26"/>
  <c r="E177" i="26"/>
  <c r="F171" i="26"/>
  <c r="E171" i="26"/>
  <c r="F165" i="26"/>
  <c r="E165" i="26"/>
  <c r="F161" i="26"/>
  <c r="F160" i="26"/>
  <c r="F159" i="26"/>
  <c r="E159" i="26"/>
  <c r="F153" i="26"/>
  <c r="F152" i="26" s="1"/>
  <c r="E153" i="26"/>
  <c r="E152" i="26"/>
  <c r="F142" i="26"/>
  <c r="E142" i="26"/>
  <c r="F123" i="26"/>
  <c r="E123" i="26"/>
  <c r="E116" i="26" s="1"/>
  <c r="F117" i="26"/>
  <c r="E117" i="26"/>
  <c r="F116" i="26"/>
  <c r="F112" i="26"/>
  <c r="E112" i="26"/>
  <c r="F107" i="26"/>
  <c r="E107" i="26"/>
  <c r="E90" i="26" s="1"/>
  <c r="F91" i="26"/>
  <c r="F90" i="26" s="1"/>
  <c r="E91" i="26"/>
  <c r="F73" i="26"/>
  <c r="F63" i="26" s="1"/>
  <c r="E63" i="26"/>
  <c r="F38" i="26"/>
  <c r="E38" i="26"/>
  <c r="F35" i="26"/>
  <c r="F34" i="26"/>
  <c r="E34" i="26"/>
  <c r="F30" i="26"/>
  <c r="F16" i="26" s="1"/>
  <c r="E16" i="26"/>
  <c r="F6" i="26"/>
  <c r="E6" i="26"/>
  <c r="F190" i="25"/>
  <c r="F188" i="25" s="1"/>
  <c r="E188" i="25"/>
  <c r="F186" i="25"/>
  <c r="F185" i="25"/>
  <c r="F184" i="25"/>
  <c r="E184" i="25"/>
  <c r="F174" i="25"/>
  <c r="F173" i="25"/>
  <c r="F172" i="25"/>
  <c r="F171" i="25"/>
  <c r="F170" i="25"/>
  <c r="E169" i="25"/>
  <c r="F165" i="25"/>
  <c r="E165" i="25"/>
  <c r="F163" i="25"/>
  <c r="F161" i="25"/>
  <c r="F160" i="25" s="1"/>
  <c r="E160" i="25"/>
  <c r="F158" i="25"/>
  <c r="F156" i="25"/>
  <c r="F155" i="25" s="1"/>
  <c r="E155" i="25"/>
  <c r="E154" i="25"/>
  <c r="F148" i="25"/>
  <c r="F147" i="25"/>
  <c r="F146" i="25"/>
  <c r="E146" i="25"/>
  <c r="F141" i="25"/>
  <c r="F140" i="25"/>
  <c r="F139" i="25"/>
  <c r="E139" i="25"/>
  <c r="F134" i="25"/>
  <c r="E134" i="25"/>
  <c r="F133" i="25"/>
  <c r="F132" i="25"/>
  <c r="F131" i="25"/>
  <c r="E130" i="25"/>
  <c r="F127" i="25"/>
  <c r="E127" i="25"/>
  <c r="W125" i="25"/>
  <c r="X125" i="25" s="1"/>
  <c r="L125" i="25"/>
  <c r="W124" i="25"/>
  <c r="X124" i="25" s="1"/>
  <c r="L124" i="25"/>
  <c r="X123" i="25"/>
  <c r="W123" i="25"/>
  <c r="L123" i="25"/>
  <c r="W122" i="25"/>
  <c r="X122" i="25" s="1"/>
  <c r="L122" i="25"/>
  <c r="W121" i="25"/>
  <c r="X121" i="25" s="1"/>
  <c r="L121" i="25"/>
  <c r="X120" i="25"/>
  <c r="W120" i="25"/>
  <c r="L120" i="25"/>
  <c r="X119" i="25"/>
  <c r="W119" i="25"/>
  <c r="L119" i="25"/>
  <c r="W118" i="25"/>
  <c r="X118" i="25" s="1"/>
  <c r="L118" i="25"/>
  <c r="W117" i="25"/>
  <c r="X117" i="25" s="1"/>
  <c r="L117" i="25"/>
  <c r="W116" i="25"/>
  <c r="X116" i="25" s="1"/>
  <c r="L116" i="25"/>
  <c r="W115" i="25"/>
  <c r="X115" i="25" s="1"/>
  <c r="L115" i="25"/>
  <c r="W114" i="25"/>
  <c r="X114" i="25" s="1"/>
  <c r="L114" i="25"/>
  <c r="W113" i="25"/>
  <c r="X113" i="25" s="1"/>
  <c r="L113" i="25"/>
  <c r="X112" i="25"/>
  <c r="W112" i="25"/>
  <c r="L112" i="25"/>
  <c r="X111" i="25"/>
  <c r="W111" i="25"/>
  <c r="L111" i="25"/>
  <c r="W110" i="25"/>
  <c r="X110" i="25" s="1"/>
  <c r="L110" i="25"/>
  <c r="W109" i="25"/>
  <c r="X109" i="25" s="1"/>
  <c r="L109" i="25"/>
  <c r="X108" i="25"/>
  <c r="W108" i="25"/>
  <c r="L108" i="25"/>
  <c r="X107" i="25"/>
  <c r="W107" i="25"/>
  <c r="L107" i="25"/>
  <c r="L106" i="25"/>
  <c r="E106" i="25"/>
  <c r="F106" i="25" s="1"/>
  <c r="W106" i="25" s="1"/>
  <c r="X106" i="25" s="1"/>
  <c r="X105" i="25"/>
  <c r="W105" i="25"/>
  <c r="L105" i="25"/>
  <c r="F105" i="25"/>
  <c r="E105" i="25"/>
  <c r="W104" i="25"/>
  <c r="X104" i="25" s="1"/>
  <c r="L104" i="25"/>
  <c r="E104" i="25"/>
  <c r="F104" i="25" s="1"/>
  <c r="L103" i="25"/>
  <c r="F103" i="25"/>
  <c r="W103" i="25" s="1"/>
  <c r="X103" i="25" s="1"/>
  <c r="E103" i="25"/>
  <c r="X102" i="25"/>
  <c r="W102" i="25"/>
  <c r="L102" i="25"/>
  <c r="F102" i="25"/>
  <c r="E102" i="25"/>
  <c r="W101" i="25"/>
  <c r="X101" i="25" s="1"/>
  <c r="L101" i="25"/>
  <c r="E101" i="25"/>
  <c r="F101" i="25" s="1"/>
  <c r="L100" i="25"/>
  <c r="E100" i="25"/>
  <c r="F100" i="25" s="1"/>
  <c r="W100" i="25" s="1"/>
  <c r="X100" i="25" s="1"/>
  <c r="L99" i="25"/>
  <c r="F99" i="25"/>
  <c r="W99" i="25" s="1"/>
  <c r="X99" i="25" s="1"/>
  <c r="E99" i="25"/>
  <c r="W98" i="25"/>
  <c r="X98" i="25" s="1"/>
  <c r="L98" i="25"/>
  <c r="F98" i="25"/>
  <c r="E98" i="25"/>
  <c r="L97" i="25"/>
  <c r="E97" i="25"/>
  <c r="F97" i="25" s="1"/>
  <c r="W97" i="25" s="1"/>
  <c r="X97" i="25" s="1"/>
  <c r="X96" i="25"/>
  <c r="L96" i="25"/>
  <c r="F96" i="25"/>
  <c r="W96" i="25" s="1"/>
  <c r="E96" i="25"/>
  <c r="W95" i="25"/>
  <c r="X95" i="25" s="1"/>
  <c r="L95" i="25"/>
  <c r="E95" i="25"/>
  <c r="F95" i="25" s="1"/>
  <c r="L94" i="25"/>
  <c r="E94" i="25"/>
  <c r="F94" i="25" s="1"/>
  <c r="W94" i="25" s="1"/>
  <c r="X94" i="25" s="1"/>
  <c r="W93" i="25"/>
  <c r="X93" i="25" s="1"/>
  <c r="L93" i="25"/>
  <c r="E93" i="25"/>
  <c r="X92" i="25"/>
  <c r="W92" i="25"/>
  <c r="L92" i="25"/>
  <c r="E92" i="25"/>
  <c r="F92" i="25" s="1"/>
  <c r="X91" i="25"/>
  <c r="W91" i="25"/>
  <c r="L91" i="25"/>
  <c r="E91" i="25"/>
  <c r="L90" i="25"/>
  <c r="F90" i="25"/>
  <c r="W90" i="25" s="1"/>
  <c r="X90" i="25" s="1"/>
  <c r="E90" i="25"/>
  <c r="X89" i="25"/>
  <c r="L89" i="25"/>
  <c r="F89" i="25"/>
  <c r="W89" i="25" s="1"/>
  <c r="E89" i="25"/>
  <c r="L88" i="25"/>
  <c r="E88" i="25"/>
  <c r="F88" i="25" s="1"/>
  <c r="W88" i="25" s="1"/>
  <c r="X88" i="25" s="1"/>
  <c r="X87" i="25"/>
  <c r="W87" i="25"/>
  <c r="L87" i="25"/>
  <c r="E87" i="25"/>
  <c r="F87" i="25" s="1"/>
  <c r="X86" i="25"/>
  <c r="L86" i="25"/>
  <c r="F86" i="25"/>
  <c r="W86" i="25" s="1"/>
  <c r="E86" i="25"/>
  <c r="L85" i="25"/>
  <c r="F85" i="25"/>
  <c r="W85" i="25" s="1"/>
  <c r="X85" i="25" s="1"/>
  <c r="E85" i="25"/>
  <c r="L84" i="25"/>
  <c r="E84" i="25"/>
  <c r="F84" i="25" s="1"/>
  <c r="W84" i="25" s="1"/>
  <c r="X84" i="25" s="1"/>
  <c r="X83" i="25"/>
  <c r="W83" i="25"/>
  <c r="L83" i="25"/>
  <c r="F83" i="25"/>
  <c r="E83" i="25"/>
  <c r="L82" i="25"/>
  <c r="E82" i="25"/>
  <c r="F82" i="25" s="1"/>
  <c r="W82" i="25" s="1"/>
  <c r="X82" i="25" s="1"/>
  <c r="L81" i="25"/>
  <c r="F81" i="25"/>
  <c r="W81" i="25" s="1"/>
  <c r="X81" i="25" s="1"/>
  <c r="E81" i="25"/>
  <c r="X80" i="25"/>
  <c r="W80" i="25"/>
  <c r="L80" i="25"/>
  <c r="F80" i="25"/>
  <c r="E80" i="25"/>
  <c r="W79" i="25"/>
  <c r="X79" i="25" s="1"/>
  <c r="L79" i="25"/>
  <c r="E79" i="25"/>
  <c r="F79" i="25" s="1"/>
  <c r="W78" i="25"/>
  <c r="X78" i="25" s="1"/>
  <c r="L78" i="25"/>
  <c r="F78" i="25"/>
  <c r="E78" i="25"/>
  <c r="M77" i="25"/>
  <c r="F77" i="25" s="1"/>
  <c r="W77" i="25" s="1"/>
  <c r="X77" i="25" s="1"/>
  <c r="L77" i="25"/>
  <c r="L76" i="25"/>
  <c r="F76" i="25"/>
  <c r="W76" i="25" s="1"/>
  <c r="X76" i="25" s="1"/>
  <c r="E76" i="25"/>
  <c r="L75" i="25"/>
  <c r="E75" i="25"/>
  <c r="F75" i="25" s="1"/>
  <c r="W75" i="25" s="1"/>
  <c r="X75" i="25" s="1"/>
  <c r="X74" i="25"/>
  <c r="L74" i="25"/>
  <c r="F74" i="25"/>
  <c r="W74" i="25" s="1"/>
  <c r="E74" i="25"/>
  <c r="L73" i="25"/>
  <c r="E73" i="25"/>
  <c r="F73" i="25" s="1"/>
  <c r="W73" i="25" s="1"/>
  <c r="X73" i="25" s="1"/>
  <c r="W72" i="25"/>
  <c r="X72" i="25" s="1"/>
  <c r="L72" i="25"/>
  <c r="F72" i="25"/>
  <c r="L71" i="25"/>
  <c r="F71" i="25"/>
  <c r="W71" i="25" s="1"/>
  <c r="X71" i="25" s="1"/>
  <c r="X70" i="25"/>
  <c r="W70" i="25"/>
  <c r="L70" i="25"/>
  <c r="E70" i="25"/>
  <c r="M69" i="25"/>
  <c r="F69" i="25" s="1"/>
  <c r="W69" i="25" s="1"/>
  <c r="X69" i="25" s="1"/>
  <c r="L69" i="25"/>
  <c r="W68" i="25"/>
  <c r="X68" i="25" s="1"/>
  <c r="L68" i="25"/>
  <c r="F68" i="25"/>
  <c r="E68" i="25"/>
  <c r="X67" i="25"/>
  <c r="L67" i="25"/>
  <c r="E67" i="25"/>
  <c r="F67" i="25" s="1"/>
  <c r="W67" i="25" s="1"/>
  <c r="M66" i="25"/>
  <c r="L66" i="25"/>
  <c r="F66" i="25"/>
  <c r="W66" i="25" s="1"/>
  <c r="X66" i="25" s="1"/>
  <c r="M65" i="25"/>
  <c r="F65" i="25" s="1"/>
  <c r="W65" i="25" s="1"/>
  <c r="X65" i="25" s="1"/>
  <c r="L65" i="25"/>
  <c r="W64" i="25"/>
  <c r="X64" i="25" s="1"/>
  <c r="L64" i="25"/>
  <c r="E64" i="25"/>
  <c r="F64" i="25" s="1"/>
  <c r="L63" i="25"/>
  <c r="E63" i="25"/>
  <c r="F63" i="25" s="1"/>
  <c r="W63" i="25" s="1"/>
  <c r="X63" i="25" s="1"/>
  <c r="X62" i="25"/>
  <c r="L62" i="25"/>
  <c r="F62" i="25"/>
  <c r="W62" i="25" s="1"/>
  <c r="E62" i="25"/>
  <c r="W61" i="25"/>
  <c r="X61" i="25" s="1"/>
  <c r="L61" i="25"/>
  <c r="F61" i="25"/>
  <c r="E61" i="25"/>
  <c r="X60" i="25"/>
  <c r="W60" i="25"/>
  <c r="L60" i="25"/>
  <c r="F60" i="25"/>
  <c r="M59" i="25"/>
  <c r="L59" i="25"/>
  <c r="F59" i="25"/>
  <c r="W59" i="25" s="1"/>
  <c r="X59" i="25" s="1"/>
  <c r="W58" i="25"/>
  <c r="X58" i="25" s="1"/>
  <c r="L58" i="25"/>
  <c r="E58" i="25"/>
  <c r="F58" i="25" s="1"/>
  <c r="L57" i="25"/>
  <c r="F57" i="25"/>
  <c r="W57" i="25" s="1"/>
  <c r="X57" i="25" s="1"/>
  <c r="E57" i="25"/>
  <c r="W56" i="25"/>
  <c r="X56" i="25" s="1"/>
  <c r="L56" i="25"/>
  <c r="E56" i="25"/>
  <c r="W55" i="25"/>
  <c r="X55" i="25" s="1"/>
  <c r="L55" i="25"/>
  <c r="F55" i="25"/>
  <c r="E55" i="25"/>
  <c r="L54" i="25"/>
  <c r="E54" i="25"/>
  <c r="F54" i="25" s="1"/>
  <c r="W54" i="25" s="1"/>
  <c r="X54" i="25" s="1"/>
  <c r="W53" i="25"/>
  <c r="X53" i="25" s="1"/>
  <c r="L53" i="25"/>
  <c r="E53" i="25"/>
  <c r="L52" i="25"/>
  <c r="N51" i="25"/>
  <c r="N52" i="25" s="1"/>
  <c r="M51" i="25"/>
  <c r="M52" i="25" s="1"/>
  <c r="L51" i="25"/>
  <c r="E51" i="25"/>
  <c r="F51" i="25" s="1"/>
  <c r="W51" i="25" s="1"/>
  <c r="X51" i="25" s="1"/>
  <c r="L50" i="25"/>
  <c r="E50" i="25"/>
  <c r="F50" i="25" s="1"/>
  <c r="W50" i="25" s="1"/>
  <c r="X50" i="25" s="1"/>
  <c r="W49" i="25"/>
  <c r="X49" i="25" s="1"/>
  <c r="L49" i="25"/>
  <c r="E49" i="25"/>
  <c r="F49" i="25" s="1"/>
  <c r="L48" i="25"/>
  <c r="E48" i="25"/>
  <c r="F48" i="25" s="1"/>
  <c r="W48" i="25" s="1"/>
  <c r="X48" i="25" s="1"/>
  <c r="L47" i="25"/>
  <c r="E47" i="25"/>
  <c r="F47" i="25" s="1"/>
  <c r="W47" i="25" s="1"/>
  <c r="X47" i="25" s="1"/>
  <c r="W46" i="25"/>
  <c r="X46" i="25" s="1"/>
  <c r="L46" i="25"/>
  <c r="F46" i="25"/>
  <c r="E46" i="25"/>
  <c r="L45" i="25"/>
  <c r="F45" i="25"/>
  <c r="W45" i="25" s="1"/>
  <c r="X45" i="25" s="1"/>
  <c r="E45" i="25"/>
  <c r="X44" i="25"/>
  <c r="W44" i="25"/>
  <c r="L44" i="25"/>
  <c r="E44" i="25"/>
  <c r="F44" i="25" s="1"/>
  <c r="X43" i="25"/>
  <c r="W43" i="25"/>
  <c r="L43" i="25"/>
  <c r="E43" i="25"/>
  <c r="W42" i="25"/>
  <c r="X42" i="25" s="1"/>
  <c r="L42" i="25"/>
  <c r="E42" i="25"/>
  <c r="W41" i="25"/>
  <c r="X41" i="25" s="1"/>
  <c r="L41" i="25"/>
  <c r="F41" i="25"/>
  <c r="X40" i="25"/>
  <c r="L40" i="25"/>
  <c r="F40" i="25"/>
  <c r="W40" i="25" s="1"/>
  <c r="E40" i="25"/>
  <c r="L39" i="25"/>
  <c r="E39" i="25"/>
  <c r="F39" i="25" s="1"/>
  <c r="W39" i="25" s="1"/>
  <c r="X39" i="25" s="1"/>
  <c r="X38" i="25"/>
  <c r="W38" i="25"/>
  <c r="L38" i="25"/>
  <c r="E38" i="25"/>
  <c r="F38" i="25" s="1"/>
  <c r="L37" i="25"/>
  <c r="F37" i="25"/>
  <c r="W37" i="25" s="1"/>
  <c r="X37" i="25" s="1"/>
  <c r="E37" i="25"/>
  <c r="W36" i="25"/>
  <c r="X36" i="25" s="1"/>
  <c r="L36" i="25"/>
  <c r="E36" i="25"/>
  <c r="X35" i="25"/>
  <c r="W35" i="25"/>
  <c r="L35" i="25"/>
  <c r="E35" i="25"/>
  <c r="L34" i="25"/>
  <c r="F34" i="25"/>
  <c r="W34" i="25" s="1"/>
  <c r="X34" i="25" s="1"/>
  <c r="E34" i="25"/>
  <c r="W33" i="25"/>
  <c r="X33" i="25" s="1"/>
  <c r="L33" i="25"/>
  <c r="E33" i="25"/>
  <c r="W32" i="25"/>
  <c r="X32" i="25" s="1"/>
  <c r="L32" i="25"/>
  <c r="E32" i="25"/>
  <c r="F32" i="25" s="1"/>
  <c r="X31" i="25"/>
  <c r="L31" i="25"/>
  <c r="F31" i="25"/>
  <c r="W31" i="25" s="1"/>
  <c r="E31" i="25"/>
  <c r="W30" i="25"/>
  <c r="X30" i="25" s="1"/>
  <c r="L30" i="25"/>
  <c r="E30" i="25"/>
  <c r="X29" i="25"/>
  <c r="W29" i="25"/>
  <c r="L29" i="25"/>
  <c r="E29" i="25"/>
  <c r="L28" i="25"/>
  <c r="F28" i="25"/>
  <c r="W28" i="25" s="1"/>
  <c r="X28" i="25" s="1"/>
  <c r="E28" i="25"/>
  <c r="X27" i="25"/>
  <c r="L27" i="25"/>
  <c r="F27" i="25"/>
  <c r="W27" i="25" s="1"/>
  <c r="E27" i="25"/>
  <c r="X26" i="25"/>
  <c r="W26" i="25"/>
  <c r="L26" i="25"/>
  <c r="F26" i="25"/>
  <c r="E26" i="25"/>
  <c r="L25" i="25"/>
  <c r="E25" i="25"/>
  <c r="F25" i="25" s="1"/>
  <c r="W25" i="25" s="1"/>
  <c r="X25" i="25" s="1"/>
  <c r="X24" i="25"/>
  <c r="W24" i="25"/>
  <c r="L24" i="25"/>
  <c r="E24" i="25"/>
  <c r="W23" i="25"/>
  <c r="X23" i="25" s="1"/>
  <c r="M23" i="25"/>
  <c r="L23" i="25"/>
  <c r="F23" i="25"/>
  <c r="X22" i="25"/>
  <c r="W22" i="25"/>
  <c r="L22" i="25"/>
  <c r="E22" i="25"/>
  <c r="W21" i="25"/>
  <c r="X21" i="25" s="1"/>
  <c r="L21" i="25"/>
  <c r="E21" i="25"/>
  <c r="W20" i="25"/>
  <c r="X20" i="25" s="1"/>
  <c r="L20" i="25"/>
  <c r="E20" i="25"/>
  <c r="F20" i="25" s="1"/>
  <c r="L19" i="25"/>
  <c r="E19" i="25"/>
  <c r="F19" i="25" s="1"/>
  <c r="W19" i="25" s="1"/>
  <c r="X19" i="25" s="1"/>
  <c r="L18" i="25"/>
  <c r="F18" i="25"/>
  <c r="W18" i="25" s="1"/>
  <c r="X18" i="25" s="1"/>
  <c r="E18" i="25"/>
  <c r="X17" i="25"/>
  <c r="L17" i="25"/>
  <c r="F17" i="25"/>
  <c r="W17" i="25" s="1"/>
  <c r="E17" i="25"/>
  <c r="L16" i="25"/>
  <c r="E16" i="25"/>
  <c r="F16" i="25" s="1"/>
  <c r="W16" i="25" s="1"/>
  <c r="X16" i="25" s="1"/>
  <c r="L15" i="25"/>
  <c r="F15" i="25"/>
  <c r="W15" i="25" s="1"/>
  <c r="X15" i="25" s="1"/>
  <c r="E15" i="25"/>
  <c r="W14" i="25"/>
  <c r="X14" i="25" s="1"/>
  <c r="L14" i="25"/>
  <c r="E14" i="25"/>
  <c r="L13" i="25"/>
  <c r="F13" i="25"/>
  <c r="W13" i="25" s="1"/>
  <c r="X13" i="25" s="1"/>
  <c r="E13" i="25"/>
  <c r="L12" i="25"/>
  <c r="E12" i="25"/>
  <c r="F12" i="25" s="1"/>
  <c r="W12" i="25" s="1"/>
  <c r="X12" i="25" s="1"/>
  <c r="L11" i="25"/>
  <c r="E11" i="25"/>
  <c r="F11" i="25" s="1"/>
  <c r="W10" i="25"/>
  <c r="X10" i="25" s="1"/>
  <c r="L10" i="25"/>
  <c r="E10" i="25"/>
  <c r="W9" i="25"/>
  <c r="X9" i="25" s="1"/>
  <c r="L9" i="25"/>
  <c r="E9" i="25"/>
  <c r="X8" i="25"/>
  <c r="W8" i="25"/>
  <c r="L8" i="25"/>
  <c r="E8" i="25"/>
  <c r="X7" i="25"/>
  <c r="W7" i="25"/>
  <c r="L7" i="25"/>
  <c r="E7" i="25"/>
  <c r="U6" i="25"/>
  <c r="T6" i="25"/>
  <c r="S6" i="25"/>
  <c r="R6" i="25"/>
  <c r="Q6" i="25"/>
  <c r="P6" i="25"/>
  <c r="O6" i="25"/>
  <c r="N6" i="25"/>
  <c r="J6" i="25"/>
  <c r="F325" i="24"/>
  <c r="E325" i="24"/>
  <c r="F315" i="24"/>
  <c r="E315" i="24"/>
  <c r="F293" i="24"/>
  <c r="E293" i="24"/>
  <c r="F283" i="24"/>
  <c r="E283" i="24"/>
  <c r="F273" i="24"/>
  <c r="E273" i="24"/>
  <c r="F263" i="24"/>
  <c r="E263" i="24"/>
  <c r="E262" i="24" s="1"/>
  <c r="F252" i="24"/>
  <c r="E252" i="24"/>
  <c r="F242" i="24"/>
  <c r="E242" i="24"/>
  <c r="F232" i="24"/>
  <c r="E232" i="24"/>
  <c r="F222" i="24"/>
  <c r="E222" i="24"/>
  <c r="F212" i="24"/>
  <c r="E212" i="24"/>
  <c r="F183" i="24"/>
  <c r="E183" i="24"/>
  <c r="F177" i="24"/>
  <c r="E177" i="24"/>
  <c r="F171" i="24"/>
  <c r="E171" i="24"/>
  <c r="F165" i="24"/>
  <c r="E165" i="24"/>
  <c r="F159" i="24"/>
  <c r="F152" i="24" s="1"/>
  <c r="E159" i="24"/>
  <c r="F153" i="24"/>
  <c r="E153" i="24"/>
  <c r="E152" i="24" s="1"/>
  <c r="E4" i="24" s="1"/>
  <c r="F142" i="24"/>
  <c r="E142" i="24"/>
  <c r="F123" i="24"/>
  <c r="E123" i="24"/>
  <c r="F117" i="24"/>
  <c r="E117" i="24"/>
  <c r="E116" i="24" s="1"/>
  <c r="F116" i="24"/>
  <c r="F112" i="24"/>
  <c r="E112" i="24"/>
  <c r="F107" i="24"/>
  <c r="E107" i="24"/>
  <c r="F91" i="24"/>
  <c r="F90" i="24" s="1"/>
  <c r="E91" i="24"/>
  <c r="E90" i="24" s="1"/>
  <c r="F82" i="24"/>
  <c r="F63" i="24"/>
  <c r="E63" i="24"/>
  <c r="F38" i="24"/>
  <c r="E38" i="24"/>
  <c r="F34" i="24"/>
  <c r="E34" i="24"/>
  <c r="F16" i="24"/>
  <c r="E16" i="24"/>
  <c r="F6" i="24"/>
  <c r="E6" i="24"/>
  <c r="F188" i="23"/>
  <c r="E188" i="23"/>
  <c r="F187" i="23"/>
  <c r="F186" i="23"/>
  <c r="F185" i="23"/>
  <c r="F184" i="23" s="1"/>
  <c r="E184" i="23"/>
  <c r="F171" i="23"/>
  <c r="F170" i="23"/>
  <c r="F169" i="23"/>
  <c r="E169" i="23"/>
  <c r="E154" i="23" s="1"/>
  <c r="F165" i="23"/>
  <c r="E165" i="23"/>
  <c r="F163" i="23"/>
  <c r="F160" i="23" s="1"/>
  <c r="F154" i="23" s="1"/>
  <c r="F161" i="23"/>
  <c r="E160" i="23"/>
  <c r="F158" i="23"/>
  <c r="F156" i="23"/>
  <c r="F155" i="23" s="1"/>
  <c r="E155" i="23"/>
  <c r="F149" i="23"/>
  <c r="F146" i="23" s="1"/>
  <c r="F126" i="23" s="1"/>
  <c r="E146" i="23"/>
  <c r="F139" i="23"/>
  <c r="E139" i="23"/>
  <c r="F134" i="23"/>
  <c r="E134" i="23"/>
  <c r="F130" i="23"/>
  <c r="E130" i="23"/>
  <c r="F127" i="23"/>
  <c r="E127" i="23"/>
  <c r="E126" i="23" s="1"/>
  <c r="W125" i="23"/>
  <c r="X125" i="23" s="1"/>
  <c r="L125" i="23"/>
  <c r="X124" i="23"/>
  <c r="W124" i="23"/>
  <c r="L124" i="23"/>
  <c r="X123" i="23"/>
  <c r="W123" i="23"/>
  <c r="L123" i="23"/>
  <c r="X122" i="23"/>
  <c r="W122" i="23"/>
  <c r="L122" i="23"/>
  <c r="W121" i="23"/>
  <c r="X121" i="23" s="1"/>
  <c r="L121" i="23"/>
  <c r="X120" i="23"/>
  <c r="W120" i="23"/>
  <c r="L120" i="23"/>
  <c r="X119" i="23"/>
  <c r="W119" i="23"/>
  <c r="L119" i="23"/>
  <c r="X118" i="23"/>
  <c r="W118" i="23"/>
  <c r="L118" i="23"/>
  <c r="W117" i="23"/>
  <c r="X117" i="23" s="1"/>
  <c r="L117" i="23"/>
  <c r="X116" i="23"/>
  <c r="W116" i="23"/>
  <c r="L116" i="23"/>
  <c r="X115" i="23"/>
  <c r="W115" i="23"/>
  <c r="L115" i="23"/>
  <c r="X114" i="23"/>
  <c r="W114" i="23"/>
  <c r="L114" i="23"/>
  <c r="W113" i="23"/>
  <c r="X113" i="23" s="1"/>
  <c r="L113" i="23"/>
  <c r="X112" i="23"/>
  <c r="W112" i="23"/>
  <c r="L112" i="23"/>
  <c r="X111" i="23"/>
  <c r="W111" i="23"/>
  <c r="L111" i="23"/>
  <c r="X110" i="23"/>
  <c r="W110" i="23"/>
  <c r="L110" i="23"/>
  <c r="W109" i="23"/>
  <c r="X109" i="23" s="1"/>
  <c r="L109" i="23"/>
  <c r="X108" i="23"/>
  <c r="W108" i="23"/>
  <c r="L108" i="23"/>
  <c r="X107" i="23"/>
  <c r="W107" i="23"/>
  <c r="L107" i="23"/>
  <c r="X106" i="23"/>
  <c r="W106" i="23"/>
  <c r="L106" i="23"/>
  <c r="W105" i="23"/>
  <c r="X105" i="23" s="1"/>
  <c r="L105" i="23"/>
  <c r="X104" i="23"/>
  <c r="W104" i="23"/>
  <c r="L104" i="23"/>
  <c r="L103" i="23"/>
  <c r="E103" i="23"/>
  <c r="F103" i="23" s="1"/>
  <c r="W103" i="23" s="1"/>
  <c r="X103" i="23" s="1"/>
  <c r="W102" i="23"/>
  <c r="X102" i="23" s="1"/>
  <c r="L102" i="23"/>
  <c r="E102" i="23"/>
  <c r="F102" i="23" s="1"/>
  <c r="L101" i="23"/>
  <c r="F101" i="23"/>
  <c r="W101" i="23" s="1"/>
  <c r="X101" i="23" s="1"/>
  <c r="E101" i="23"/>
  <c r="L100" i="23"/>
  <c r="F100" i="23"/>
  <c r="W100" i="23" s="1"/>
  <c r="X100" i="23" s="1"/>
  <c r="E100" i="23"/>
  <c r="W99" i="23"/>
  <c r="X99" i="23" s="1"/>
  <c r="L99" i="23"/>
  <c r="E99" i="23"/>
  <c r="F99" i="23" s="1"/>
  <c r="L98" i="23"/>
  <c r="E98" i="23"/>
  <c r="F98" i="23" s="1"/>
  <c r="W98" i="23" s="1"/>
  <c r="X98" i="23" s="1"/>
  <c r="L97" i="23"/>
  <c r="F97" i="23"/>
  <c r="W97" i="23" s="1"/>
  <c r="X97" i="23" s="1"/>
  <c r="E97" i="23"/>
  <c r="W96" i="23"/>
  <c r="X96" i="23" s="1"/>
  <c r="L96" i="23"/>
  <c r="E96" i="23"/>
  <c r="F96" i="23" s="1"/>
  <c r="L95" i="23"/>
  <c r="F95" i="23"/>
  <c r="W95" i="23" s="1"/>
  <c r="X95" i="23" s="1"/>
  <c r="E95" i="23"/>
  <c r="L94" i="23"/>
  <c r="F94" i="23"/>
  <c r="W94" i="23" s="1"/>
  <c r="X94" i="23" s="1"/>
  <c r="E94" i="23"/>
  <c r="W93" i="23"/>
  <c r="X93" i="23" s="1"/>
  <c r="L93" i="23"/>
  <c r="E93" i="23"/>
  <c r="L92" i="23"/>
  <c r="F92" i="23"/>
  <c r="W92" i="23" s="1"/>
  <c r="X92" i="23" s="1"/>
  <c r="E92" i="23"/>
  <c r="W91" i="23"/>
  <c r="X91" i="23" s="1"/>
  <c r="L91" i="23"/>
  <c r="E91" i="23"/>
  <c r="W90" i="23"/>
  <c r="X90" i="23" s="1"/>
  <c r="L90" i="23"/>
  <c r="F90" i="23"/>
  <c r="E90" i="23"/>
  <c r="L89" i="23"/>
  <c r="E89" i="23"/>
  <c r="F89" i="23" s="1"/>
  <c r="W89" i="23" s="1"/>
  <c r="X89" i="23" s="1"/>
  <c r="L88" i="23"/>
  <c r="E88" i="23"/>
  <c r="F88" i="23" s="1"/>
  <c r="W88" i="23" s="1"/>
  <c r="X88" i="23" s="1"/>
  <c r="W87" i="23"/>
  <c r="X87" i="23" s="1"/>
  <c r="L87" i="23"/>
  <c r="F87" i="23"/>
  <c r="E87" i="23"/>
  <c r="L86" i="23"/>
  <c r="E86" i="23"/>
  <c r="F86" i="23" s="1"/>
  <c r="W86" i="23" s="1"/>
  <c r="X86" i="23" s="1"/>
  <c r="X85" i="23"/>
  <c r="L85" i="23"/>
  <c r="F85" i="23"/>
  <c r="W85" i="23" s="1"/>
  <c r="E85" i="23"/>
  <c r="X84" i="23"/>
  <c r="L84" i="23"/>
  <c r="F84" i="23"/>
  <c r="W84" i="23" s="1"/>
  <c r="E84" i="23"/>
  <c r="L83" i="23"/>
  <c r="E83" i="23"/>
  <c r="F83" i="23" s="1"/>
  <c r="W83" i="23" s="1"/>
  <c r="X83" i="23" s="1"/>
  <c r="X82" i="23"/>
  <c r="W82" i="23"/>
  <c r="L82" i="23"/>
  <c r="F82" i="23"/>
  <c r="E82" i="23"/>
  <c r="X81" i="23"/>
  <c r="L81" i="23"/>
  <c r="F81" i="23"/>
  <c r="W81" i="23" s="1"/>
  <c r="E81" i="23"/>
  <c r="X80" i="23"/>
  <c r="W80" i="23"/>
  <c r="L80" i="23"/>
  <c r="E80" i="23"/>
  <c r="F80" i="23" s="1"/>
  <c r="L79" i="23"/>
  <c r="F79" i="23"/>
  <c r="W79" i="23" s="1"/>
  <c r="X79" i="23" s="1"/>
  <c r="E79" i="23"/>
  <c r="W78" i="23"/>
  <c r="X78" i="23" s="1"/>
  <c r="L78" i="23"/>
  <c r="F78" i="23"/>
  <c r="E78" i="23"/>
  <c r="L77" i="23"/>
  <c r="E77" i="23"/>
  <c r="F77" i="23" s="1"/>
  <c r="W77" i="23" s="1"/>
  <c r="X77" i="23" s="1"/>
  <c r="U76" i="23"/>
  <c r="L76" i="23"/>
  <c r="E76" i="23"/>
  <c r="F76" i="23" s="1"/>
  <c r="W76" i="23" s="1"/>
  <c r="X76" i="23" s="1"/>
  <c r="X75" i="23"/>
  <c r="W75" i="23"/>
  <c r="L75" i="23"/>
  <c r="F75" i="23"/>
  <c r="E75" i="23"/>
  <c r="L74" i="23"/>
  <c r="F74" i="23"/>
  <c r="W74" i="23" s="1"/>
  <c r="X74" i="23" s="1"/>
  <c r="E74" i="23"/>
  <c r="W73" i="23"/>
  <c r="X73" i="23" s="1"/>
  <c r="L73" i="23"/>
  <c r="E73" i="23"/>
  <c r="F73" i="23" s="1"/>
  <c r="L72" i="23"/>
  <c r="F72" i="23"/>
  <c r="W72" i="23" s="1"/>
  <c r="X72" i="23" s="1"/>
  <c r="E72" i="23"/>
  <c r="L71" i="23"/>
  <c r="F71" i="23"/>
  <c r="W71" i="23" s="1"/>
  <c r="X71" i="23" s="1"/>
  <c r="E71" i="23"/>
  <c r="W70" i="23"/>
  <c r="X70" i="23" s="1"/>
  <c r="L70" i="23"/>
  <c r="E70" i="23"/>
  <c r="X69" i="23"/>
  <c r="W69" i="23"/>
  <c r="L69" i="23"/>
  <c r="E69" i="23"/>
  <c r="L68" i="23"/>
  <c r="F68" i="23"/>
  <c r="W68" i="23" s="1"/>
  <c r="X68" i="23" s="1"/>
  <c r="E68" i="23"/>
  <c r="L67" i="23"/>
  <c r="F67" i="23"/>
  <c r="W67" i="23" s="1"/>
  <c r="X67" i="23" s="1"/>
  <c r="E67" i="23"/>
  <c r="W66" i="23"/>
  <c r="X66" i="23" s="1"/>
  <c r="L66" i="23"/>
  <c r="E66" i="23"/>
  <c r="W65" i="23"/>
  <c r="X65" i="23" s="1"/>
  <c r="L65" i="23"/>
  <c r="E65" i="23"/>
  <c r="L64" i="23"/>
  <c r="F64" i="23"/>
  <c r="W64" i="23" s="1"/>
  <c r="X64" i="23" s="1"/>
  <c r="E64" i="23"/>
  <c r="M63" i="23"/>
  <c r="F63" i="23" s="1"/>
  <c r="W63" i="23" s="1"/>
  <c r="X63" i="23" s="1"/>
  <c r="L63" i="23"/>
  <c r="L62" i="23"/>
  <c r="E62" i="23"/>
  <c r="F62" i="23" s="1"/>
  <c r="W62" i="23" s="1"/>
  <c r="X62" i="23" s="1"/>
  <c r="L61" i="23"/>
  <c r="E61" i="23"/>
  <c r="F61" i="23" s="1"/>
  <c r="W61" i="23" s="1"/>
  <c r="X61" i="23" s="1"/>
  <c r="X60" i="23"/>
  <c r="W60" i="23"/>
  <c r="M60" i="23"/>
  <c r="F60" i="23" s="1"/>
  <c r="L60" i="23"/>
  <c r="W59" i="23"/>
  <c r="X59" i="23" s="1"/>
  <c r="L59" i="23"/>
  <c r="E59" i="23"/>
  <c r="L58" i="23"/>
  <c r="E58" i="23"/>
  <c r="F58" i="23" s="1"/>
  <c r="W58" i="23" s="1"/>
  <c r="X58" i="23" s="1"/>
  <c r="W57" i="23"/>
  <c r="X57" i="23" s="1"/>
  <c r="L57" i="23"/>
  <c r="E57" i="23"/>
  <c r="F57" i="23" s="1"/>
  <c r="X56" i="23"/>
  <c r="W56" i="23"/>
  <c r="L56" i="23"/>
  <c r="E56" i="23"/>
  <c r="X55" i="23"/>
  <c r="W55" i="23"/>
  <c r="L55" i="23"/>
  <c r="E55" i="23"/>
  <c r="F55" i="23" s="1"/>
  <c r="L54" i="23"/>
  <c r="F54" i="23"/>
  <c r="W54" i="23" s="1"/>
  <c r="X54" i="23" s="1"/>
  <c r="E54" i="23"/>
  <c r="W53" i="23"/>
  <c r="X53" i="23" s="1"/>
  <c r="L53" i="23"/>
  <c r="F53" i="23"/>
  <c r="E53" i="23"/>
  <c r="L52" i="23"/>
  <c r="E52" i="23"/>
  <c r="F52" i="23" s="1"/>
  <c r="W52" i="23" s="1"/>
  <c r="X52" i="23" s="1"/>
  <c r="L51" i="23"/>
  <c r="E51" i="23"/>
  <c r="F51" i="23" s="1"/>
  <c r="W51" i="23" s="1"/>
  <c r="X51" i="23" s="1"/>
  <c r="W50" i="23"/>
  <c r="X50" i="23" s="1"/>
  <c r="L50" i="23"/>
  <c r="F50" i="23"/>
  <c r="E50" i="23"/>
  <c r="L49" i="23"/>
  <c r="E49" i="23"/>
  <c r="F49" i="23" s="1"/>
  <c r="W49" i="23" s="1"/>
  <c r="X49" i="23" s="1"/>
  <c r="X48" i="23"/>
  <c r="L48" i="23"/>
  <c r="F48" i="23"/>
  <c r="W48" i="23" s="1"/>
  <c r="E48" i="23"/>
  <c r="X47" i="23"/>
  <c r="L47" i="23"/>
  <c r="F47" i="23"/>
  <c r="W47" i="23" s="1"/>
  <c r="E47" i="23"/>
  <c r="L46" i="23"/>
  <c r="E46" i="23"/>
  <c r="F46" i="23" s="1"/>
  <c r="W46" i="23" s="1"/>
  <c r="X46" i="23" s="1"/>
  <c r="X45" i="23"/>
  <c r="W45" i="23"/>
  <c r="L45" i="23"/>
  <c r="F45" i="23"/>
  <c r="E45" i="23"/>
  <c r="X44" i="23"/>
  <c r="L44" i="23"/>
  <c r="F44" i="23"/>
  <c r="W44" i="23" s="1"/>
  <c r="E44" i="23"/>
  <c r="X43" i="23"/>
  <c r="W43" i="23"/>
  <c r="L43" i="23"/>
  <c r="E43" i="23"/>
  <c r="X42" i="23"/>
  <c r="W42" i="23"/>
  <c r="L42" i="23"/>
  <c r="E42" i="23"/>
  <c r="L41" i="23"/>
  <c r="E41" i="23"/>
  <c r="F41" i="23" s="1"/>
  <c r="W41" i="23" s="1"/>
  <c r="X41" i="23" s="1"/>
  <c r="L40" i="23"/>
  <c r="F40" i="23"/>
  <c r="W40" i="23" s="1"/>
  <c r="X40" i="23" s="1"/>
  <c r="E40" i="23"/>
  <c r="L39" i="23"/>
  <c r="E39" i="23"/>
  <c r="F39" i="23" s="1"/>
  <c r="W39" i="23" s="1"/>
  <c r="X39" i="23" s="1"/>
  <c r="X38" i="23"/>
  <c r="W38" i="23"/>
  <c r="L38" i="23"/>
  <c r="F38" i="23"/>
  <c r="E38" i="23"/>
  <c r="L37" i="23"/>
  <c r="F37" i="23"/>
  <c r="W37" i="23" s="1"/>
  <c r="X37" i="23" s="1"/>
  <c r="E37" i="23"/>
  <c r="L36" i="23"/>
  <c r="F36" i="23"/>
  <c r="W36" i="23" s="1"/>
  <c r="X36" i="23" s="1"/>
  <c r="E36" i="23"/>
  <c r="X35" i="23"/>
  <c r="W35" i="23"/>
  <c r="L35" i="23"/>
  <c r="F35" i="23"/>
  <c r="E35" i="23"/>
  <c r="L34" i="23"/>
  <c r="E34" i="23"/>
  <c r="F34" i="23" s="1"/>
  <c r="W34" i="23" s="1"/>
  <c r="X34" i="23" s="1"/>
  <c r="X33" i="23"/>
  <c r="L33" i="23"/>
  <c r="E33" i="23"/>
  <c r="F33" i="23" s="1"/>
  <c r="W33" i="23" s="1"/>
  <c r="L32" i="23"/>
  <c r="F32" i="23"/>
  <c r="W32" i="23" s="1"/>
  <c r="X32" i="23" s="1"/>
  <c r="E32" i="23"/>
  <c r="L31" i="23"/>
  <c r="E31" i="23"/>
  <c r="F31" i="23" s="1"/>
  <c r="W31" i="23" s="1"/>
  <c r="X31" i="23" s="1"/>
  <c r="W30" i="23"/>
  <c r="X30" i="23" s="1"/>
  <c r="L30" i="23"/>
  <c r="E30" i="23"/>
  <c r="X29" i="23"/>
  <c r="W29" i="23"/>
  <c r="L29" i="23"/>
  <c r="E29" i="23"/>
  <c r="X28" i="23"/>
  <c r="W28" i="23"/>
  <c r="L28" i="23"/>
  <c r="F28" i="23"/>
  <c r="E28" i="23"/>
  <c r="L27" i="23"/>
  <c r="F27" i="23"/>
  <c r="W27" i="23" s="1"/>
  <c r="X27" i="23" s="1"/>
  <c r="E27" i="23"/>
  <c r="L26" i="23"/>
  <c r="E26" i="23"/>
  <c r="F26" i="23" s="1"/>
  <c r="W26" i="23" s="1"/>
  <c r="X26" i="23" s="1"/>
  <c r="X25" i="23"/>
  <c r="W25" i="23"/>
  <c r="L25" i="23"/>
  <c r="F25" i="23"/>
  <c r="E25" i="23"/>
  <c r="X24" i="23"/>
  <c r="W24" i="23"/>
  <c r="L24" i="23"/>
  <c r="E24" i="23"/>
  <c r="X23" i="23"/>
  <c r="W23" i="23"/>
  <c r="L23" i="23"/>
  <c r="E23" i="23"/>
  <c r="W22" i="23"/>
  <c r="X22" i="23" s="1"/>
  <c r="L22" i="23"/>
  <c r="E22" i="23"/>
  <c r="F22" i="23" s="1"/>
  <c r="L21" i="23"/>
  <c r="E21" i="23"/>
  <c r="F21" i="23" s="1"/>
  <c r="W21" i="23" s="1"/>
  <c r="X21" i="23" s="1"/>
  <c r="M20" i="23"/>
  <c r="E20" i="23" s="1"/>
  <c r="F20" i="23" s="1"/>
  <c r="W20" i="23" s="1"/>
  <c r="X20" i="23" s="1"/>
  <c r="L20" i="23"/>
  <c r="L19" i="23"/>
  <c r="F19" i="23"/>
  <c r="W19" i="23" s="1"/>
  <c r="X19" i="23" s="1"/>
  <c r="E19" i="23"/>
  <c r="L18" i="23"/>
  <c r="E18" i="23"/>
  <c r="F18" i="23" s="1"/>
  <c r="W18" i="23" s="1"/>
  <c r="X18" i="23" s="1"/>
  <c r="L17" i="23"/>
  <c r="F17" i="23"/>
  <c r="W17" i="23" s="1"/>
  <c r="X17" i="23" s="1"/>
  <c r="E17" i="23"/>
  <c r="U16" i="23"/>
  <c r="E16" i="23" s="1"/>
  <c r="F16" i="23" s="1"/>
  <c r="W16" i="23" s="1"/>
  <c r="X16" i="23" s="1"/>
  <c r="L16" i="23"/>
  <c r="L15" i="23"/>
  <c r="F15" i="23"/>
  <c r="W15" i="23" s="1"/>
  <c r="X15" i="23" s="1"/>
  <c r="E15" i="23"/>
  <c r="W14" i="23"/>
  <c r="X14" i="23" s="1"/>
  <c r="L14" i="23"/>
  <c r="E14" i="23"/>
  <c r="W13" i="23"/>
  <c r="X13" i="23" s="1"/>
  <c r="L13" i="23"/>
  <c r="E13" i="23"/>
  <c r="L12" i="23"/>
  <c r="F12" i="23"/>
  <c r="W12" i="23" s="1"/>
  <c r="X12" i="23" s="1"/>
  <c r="E12" i="23"/>
  <c r="L11" i="23"/>
  <c r="E11" i="23"/>
  <c r="F11" i="23" s="1"/>
  <c r="W10" i="23"/>
  <c r="X10" i="23" s="1"/>
  <c r="L10" i="23"/>
  <c r="E10" i="23"/>
  <c r="X9" i="23"/>
  <c r="W9" i="23"/>
  <c r="L9" i="23"/>
  <c r="E9" i="23"/>
  <c r="X8" i="23"/>
  <c r="W8" i="23"/>
  <c r="L8" i="23"/>
  <c r="E8" i="23"/>
  <c r="W7" i="23"/>
  <c r="X7" i="23" s="1"/>
  <c r="L7" i="23"/>
  <c r="E7" i="23"/>
  <c r="U6" i="23"/>
  <c r="T6" i="23"/>
  <c r="S6" i="23"/>
  <c r="R6" i="23"/>
  <c r="Q6" i="23"/>
  <c r="P6" i="23"/>
  <c r="O6" i="23"/>
  <c r="N6" i="23"/>
  <c r="J6" i="23"/>
  <c r="F337" i="22"/>
  <c r="F323" i="22" s="1"/>
  <c r="E323" i="22"/>
  <c r="F313" i="22"/>
  <c r="E313" i="22"/>
  <c r="F291" i="22"/>
  <c r="E291" i="22"/>
  <c r="F281" i="22"/>
  <c r="E281" i="22"/>
  <c r="F271" i="22"/>
  <c r="E271" i="22"/>
  <c r="E260" i="22" s="1"/>
  <c r="F261" i="22"/>
  <c r="F260" i="22" s="1"/>
  <c r="E261" i="22"/>
  <c r="F250" i="22"/>
  <c r="E250" i="22"/>
  <c r="F240" i="22"/>
  <c r="E240" i="22"/>
  <c r="F230" i="22"/>
  <c r="E230" i="22"/>
  <c r="F220" i="22"/>
  <c r="E220" i="22"/>
  <c r="F210" i="22"/>
  <c r="E210" i="22"/>
  <c r="F181" i="22"/>
  <c r="E181" i="22"/>
  <c r="F175" i="22"/>
  <c r="E175" i="22"/>
  <c r="F169" i="22"/>
  <c r="E169" i="22"/>
  <c r="F163" i="22"/>
  <c r="E163" i="22"/>
  <c r="F157" i="22"/>
  <c r="E157" i="22"/>
  <c r="F151" i="22"/>
  <c r="E151" i="22"/>
  <c r="E150" i="22" s="1"/>
  <c r="F140" i="22"/>
  <c r="E140" i="22"/>
  <c r="F121" i="22"/>
  <c r="F114" i="22" s="1"/>
  <c r="E121" i="22"/>
  <c r="F115" i="22"/>
  <c r="E115" i="22"/>
  <c r="E114" i="22" s="1"/>
  <c r="F110" i="22"/>
  <c r="E110" i="22"/>
  <c r="F105" i="22"/>
  <c r="E105" i="22"/>
  <c r="F89" i="22"/>
  <c r="E89" i="22"/>
  <c r="F88" i="22"/>
  <c r="F63" i="22"/>
  <c r="E63" i="22"/>
  <c r="F38" i="22"/>
  <c r="E38" i="22"/>
  <c r="F35" i="22"/>
  <c r="F34" i="22"/>
  <c r="E34" i="22"/>
  <c r="F32" i="22"/>
  <c r="F30" i="22"/>
  <c r="E16" i="22"/>
  <c r="F6" i="22"/>
  <c r="E6" i="22"/>
  <c r="F190" i="21"/>
  <c r="F188" i="21"/>
  <c r="E188" i="21"/>
  <c r="F186" i="21"/>
  <c r="F184" i="21"/>
  <c r="E184" i="21"/>
  <c r="F171" i="21"/>
  <c r="F169" i="21"/>
  <c r="E169" i="21"/>
  <c r="F165" i="21"/>
  <c r="E165" i="21"/>
  <c r="F161" i="21"/>
  <c r="F160" i="21" s="1"/>
  <c r="E160" i="21"/>
  <c r="F158" i="21"/>
  <c r="F156" i="21"/>
  <c r="F155" i="21"/>
  <c r="E155" i="21"/>
  <c r="F149" i="21"/>
  <c r="F148" i="21"/>
  <c r="F147" i="21"/>
  <c r="F146" i="21" s="1"/>
  <c r="E146" i="21"/>
  <c r="F139" i="21"/>
  <c r="E139" i="21"/>
  <c r="F134" i="21"/>
  <c r="E134" i="21"/>
  <c r="F132" i="21"/>
  <c r="F130" i="21" s="1"/>
  <c r="E130" i="21"/>
  <c r="F127" i="21"/>
  <c r="E127" i="21"/>
  <c r="F126" i="21"/>
  <c r="E126" i="21"/>
  <c r="W125" i="21"/>
  <c r="X125" i="21" s="1"/>
  <c r="L125" i="21"/>
  <c r="W124" i="21"/>
  <c r="X124" i="21" s="1"/>
  <c r="L124" i="21"/>
  <c r="W123" i="21"/>
  <c r="X123" i="21" s="1"/>
  <c r="L123" i="21"/>
  <c r="W122" i="21"/>
  <c r="X122" i="21" s="1"/>
  <c r="L122" i="21"/>
  <c r="W121" i="21"/>
  <c r="X121" i="21" s="1"/>
  <c r="L121" i="21"/>
  <c r="W120" i="21"/>
  <c r="X120" i="21" s="1"/>
  <c r="L120" i="21"/>
  <c r="W119" i="21"/>
  <c r="X119" i="21" s="1"/>
  <c r="L119" i="21"/>
  <c r="W118" i="21"/>
  <c r="X118" i="21" s="1"/>
  <c r="L118" i="21"/>
  <c r="W117" i="21"/>
  <c r="X117" i="21" s="1"/>
  <c r="L117" i="21"/>
  <c r="W116" i="21"/>
  <c r="X116" i="21" s="1"/>
  <c r="L116" i="21"/>
  <c r="W115" i="21"/>
  <c r="X115" i="21" s="1"/>
  <c r="L115" i="21"/>
  <c r="W114" i="21"/>
  <c r="X114" i="21" s="1"/>
  <c r="L114" i="21"/>
  <c r="X113" i="21"/>
  <c r="W113" i="21"/>
  <c r="L113" i="21"/>
  <c r="W112" i="21"/>
  <c r="X112" i="21" s="1"/>
  <c r="L112" i="21"/>
  <c r="W111" i="21"/>
  <c r="X111" i="21" s="1"/>
  <c r="L111" i="21"/>
  <c r="W110" i="21"/>
  <c r="X110" i="21" s="1"/>
  <c r="L110" i="21"/>
  <c r="X109" i="21"/>
  <c r="W109" i="21"/>
  <c r="L109" i="21"/>
  <c r="W108" i="21"/>
  <c r="X108" i="21" s="1"/>
  <c r="L108" i="21"/>
  <c r="W107" i="21"/>
  <c r="X107" i="21" s="1"/>
  <c r="L107" i="21"/>
  <c r="W106" i="21"/>
  <c r="X106" i="21" s="1"/>
  <c r="L106" i="21"/>
  <c r="W105" i="21"/>
  <c r="X105" i="21" s="1"/>
  <c r="L105" i="21"/>
  <c r="W104" i="21"/>
  <c r="X104" i="21" s="1"/>
  <c r="L104" i="21"/>
  <c r="W103" i="21"/>
  <c r="X103" i="21" s="1"/>
  <c r="L103" i="21"/>
  <c r="E103" i="21"/>
  <c r="F103" i="21" s="1"/>
  <c r="X102" i="21"/>
  <c r="W102" i="21"/>
  <c r="L102" i="21"/>
  <c r="F102" i="21"/>
  <c r="E102" i="21"/>
  <c r="L101" i="21"/>
  <c r="F101" i="21"/>
  <c r="W101" i="21" s="1"/>
  <c r="X101" i="21" s="1"/>
  <c r="E101" i="21"/>
  <c r="L100" i="21"/>
  <c r="E100" i="21"/>
  <c r="F100" i="21" s="1"/>
  <c r="W100" i="21" s="1"/>
  <c r="X100" i="21" s="1"/>
  <c r="X99" i="21"/>
  <c r="W99" i="21"/>
  <c r="L99" i="21"/>
  <c r="F99" i="21"/>
  <c r="E99" i="21"/>
  <c r="L98" i="21"/>
  <c r="F98" i="21"/>
  <c r="W98" i="21" s="1"/>
  <c r="X98" i="21" s="1"/>
  <c r="E98" i="21"/>
  <c r="L97" i="21"/>
  <c r="E97" i="21"/>
  <c r="F97" i="21" s="1"/>
  <c r="W97" i="21" s="1"/>
  <c r="X97" i="21" s="1"/>
  <c r="L96" i="21"/>
  <c r="F96" i="21"/>
  <c r="W96" i="21" s="1"/>
  <c r="X96" i="21" s="1"/>
  <c r="E96" i="21"/>
  <c r="W95" i="21"/>
  <c r="X95" i="21" s="1"/>
  <c r="L95" i="21"/>
  <c r="F95" i="21"/>
  <c r="E95" i="21"/>
  <c r="W94" i="21"/>
  <c r="X94" i="21" s="1"/>
  <c r="L94" i="21"/>
  <c r="E94" i="21"/>
  <c r="F94" i="21" s="1"/>
  <c r="X93" i="21"/>
  <c r="W93" i="21"/>
  <c r="L93" i="21"/>
  <c r="E93" i="21"/>
  <c r="W92" i="21"/>
  <c r="X92" i="21" s="1"/>
  <c r="L92" i="21"/>
  <c r="E92" i="21"/>
  <c r="F92" i="21" s="1"/>
  <c r="X91" i="21"/>
  <c r="W91" i="21"/>
  <c r="L91" i="21"/>
  <c r="E91" i="21"/>
  <c r="L90" i="21"/>
  <c r="E90" i="21"/>
  <c r="F90" i="21" s="1"/>
  <c r="W90" i="21" s="1"/>
  <c r="X90" i="21" s="1"/>
  <c r="X89" i="21"/>
  <c r="W89" i="21"/>
  <c r="L89" i="21"/>
  <c r="F89" i="21"/>
  <c r="E89" i="21"/>
  <c r="X88" i="21"/>
  <c r="L88" i="21"/>
  <c r="F88" i="21"/>
  <c r="W88" i="21" s="1"/>
  <c r="E88" i="21"/>
  <c r="X87" i="21"/>
  <c r="L87" i="21"/>
  <c r="E87" i="21"/>
  <c r="F87" i="21" s="1"/>
  <c r="W87" i="21" s="1"/>
  <c r="L86" i="21"/>
  <c r="F86" i="21"/>
  <c r="W86" i="21" s="1"/>
  <c r="X86" i="21" s="1"/>
  <c r="E86" i="21"/>
  <c r="W85" i="21"/>
  <c r="X85" i="21" s="1"/>
  <c r="L85" i="21"/>
  <c r="F85" i="21"/>
  <c r="E85" i="21"/>
  <c r="W84" i="21"/>
  <c r="X84" i="21" s="1"/>
  <c r="L84" i="21"/>
  <c r="E84" i="21"/>
  <c r="F84" i="21" s="1"/>
  <c r="L83" i="21"/>
  <c r="E83" i="21"/>
  <c r="F83" i="21" s="1"/>
  <c r="W83" i="21" s="1"/>
  <c r="X83" i="21" s="1"/>
  <c r="X82" i="21"/>
  <c r="W82" i="21"/>
  <c r="L82" i="21"/>
  <c r="F82" i="21"/>
  <c r="E82" i="21"/>
  <c r="W81" i="21"/>
  <c r="X81" i="21" s="1"/>
  <c r="L81" i="21"/>
  <c r="E81" i="21"/>
  <c r="F81" i="21" s="1"/>
  <c r="W80" i="21"/>
  <c r="X80" i="21" s="1"/>
  <c r="L80" i="21"/>
  <c r="F80" i="21"/>
  <c r="E80" i="21"/>
  <c r="X79" i="21"/>
  <c r="L79" i="21"/>
  <c r="F79" i="21"/>
  <c r="W79" i="21" s="1"/>
  <c r="E79" i="21"/>
  <c r="L78" i="21"/>
  <c r="E78" i="21"/>
  <c r="F78" i="21" s="1"/>
  <c r="W78" i="21" s="1"/>
  <c r="X78" i="21" s="1"/>
  <c r="X77" i="21"/>
  <c r="W77" i="21"/>
  <c r="L77" i="21"/>
  <c r="F77" i="21"/>
  <c r="E77" i="21"/>
  <c r="X76" i="21"/>
  <c r="L76" i="21"/>
  <c r="F76" i="21"/>
  <c r="W76" i="21" s="1"/>
  <c r="E76" i="21"/>
  <c r="X75" i="21"/>
  <c r="L75" i="21"/>
  <c r="E75" i="21"/>
  <c r="F75" i="21" s="1"/>
  <c r="W75" i="21" s="1"/>
  <c r="L74" i="21"/>
  <c r="F74" i="21"/>
  <c r="W74" i="21" s="1"/>
  <c r="X74" i="21" s="1"/>
  <c r="E74" i="21"/>
  <c r="W73" i="21"/>
  <c r="X73" i="21" s="1"/>
  <c r="L73" i="21"/>
  <c r="F73" i="21"/>
  <c r="E73" i="21"/>
  <c r="L72" i="21"/>
  <c r="E72" i="21"/>
  <c r="F72" i="21" s="1"/>
  <c r="W72" i="21" s="1"/>
  <c r="X72" i="21" s="1"/>
  <c r="L71" i="21"/>
  <c r="E71" i="21"/>
  <c r="F71" i="21" s="1"/>
  <c r="W71" i="21" s="1"/>
  <c r="X71" i="21" s="1"/>
  <c r="W70" i="21"/>
  <c r="X70" i="21" s="1"/>
  <c r="L70" i="21"/>
  <c r="E70" i="21"/>
  <c r="X69" i="21"/>
  <c r="W69" i="21"/>
  <c r="L69" i="21"/>
  <c r="E69" i="21"/>
  <c r="L68" i="21"/>
  <c r="E68" i="21"/>
  <c r="F68" i="21" s="1"/>
  <c r="W68" i="21" s="1"/>
  <c r="X68" i="21" s="1"/>
  <c r="W67" i="21"/>
  <c r="X67" i="21" s="1"/>
  <c r="L67" i="21"/>
  <c r="F67" i="21"/>
  <c r="E67" i="21"/>
  <c r="L66" i="21"/>
  <c r="E66" i="21"/>
  <c r="F66" i="21" s="1"/>
  <c r="W66" i="21" s="1"/>
  <c r="X66" i="21" s="1"/>
  <c r="W65" i="21"/>
  <c r="X65" i="21" s="1"/>
  <c r="L65" i="21"/>
  <c r="E65" i="21"/>
  <c r="F65" i="21" s="1"/>
  <c r="L64" i="21"/>
  <c r="F64" i="21"/>
  <c r="W64" i="21" s="1"/>
  <c r="X64" i="21" s="1"/>
  <c r="E64" i="21"/>
  <c r="X63" i="21"/>
  <c r="W63" i="21"/>
  <c r="L63" i="21"/>
  <c r="E63" i="21"/>
  <c r="X62" i="21"/>
  <c r="W62" i="21"/>
  <c r="L62" i="21"/>
  <c r="F62" i="21"/>
  <c r="E62" i="21"/>
  <c r="L61" i="21"/>
  <c r="E61" i="21"/>
  <c r="F61" i="21" s="1"/>
  <c r="W61" i="21" s="1"/>
  <c r="X61" i="21" s="1"/>
  <c r="W60" i="21"/>
  <c r="X60" i="21" s="1"/>
  <c r="L60" i="21"/>
  <c r="E60" i="21"/>
  <c r="P59" i="21"/>
  <c r="O59" i="21"/>
  <c r="F59" i="21" s="1"/>
  <c r="W59" i="21" s="1"/>
  <c r="X59" i="21" s="1"/>
  <c r="N59" i="21"/>
  <c r="M59" i="21"/>
  <c r="L59" i="21"/>
  <c r="L58" i="21"/>
  <c r="F58" i="21"/>
  <c r="W58" i="21" s="1"/>
  <c r="X58" i="21" s="1"/>
  <c r="E58" i="21"/>
  <c r="L57" i="21"/>
  <c r="F57" i="21"/>
  <c r="W57" i="21" s="1"/>
  <c r="X57" i="21" s="1"/>
  <c r="E57" i="21"/>
  <c r="X56" i="21"/>
  <c r="W56" i="21"/>
  <c r="L56" i="21"/>
  <c r="E56" i="21"/>
  <c r="X55" i="21"/>
  <c r="W55" i="21"/>
  <c r="L55" i="21"/>
  <c r="F55" i="21"/>
  <c r="E55" i="21"/>
  <c r="X54" i="21"/>
  <c r="L54" i="21"/>
  <c r="E54" i="21"/>
  <c r="F54" i="21" s="1"/>
  <c r="W54" i="21" s="1"/>
  <c r="M53" i="21"/>
  <c r="F53" i="21" s="1"/>
  <c r="W53" i="21" s="1"/>
  <c r="X53" i="21" s="1"/>
  <c r="L53" i="21"/>
  <c r="L52" i="21"/>
  <c r="F52" i="21"/>
  <c r="W52" i="21" s="1"/>
  <c r="X52" i="21" s="1"/>
  <c r="E52" i="21"/>
  <c r="W51" i="21"/>
  <c r="X51" i="21" s="1"/>
  <c r="L51" i="21"/>
  <c r="F51" i="21"/>
  <c r="E51" i="21"/>
  <c r="X50" i="21"/>
  <c r="W50" i="21"/>
  <c r="L50" i="21"/>
  <c r="E50" i="21"/>
  <c r="F50" i="21" s="1"/>
  <c r="L49" i="21"/>
  <c r="F49" i="21"/>
  <c r="W49" i="21" s="1"/>
  <c r="X49" i="21" s="1"/>
  <c r="E49" i="21"/>
  <c r="W48" i="21"/>
  <c r="X48" i="21" s="1"/>
  <c r="L48" i="21"/>
  <c r="F48" i="21"/>
  <c r="E48" i="21"/>
  <c r="L47" i="21"/>
  <c r="E47" i="21"/>
  <c r="F47" i="21" s="1"/>
  <c r="W47" i="21" s="1"/>
  <c r="X47" i="21" s="1"/>
  <c r="L46" i="21"/>
  <c r="F46" i="21"/>
  <c r="W46" i="21" s="1"/>
  <c r="X46" i="21" s="1"/>
  <c r="E46" i="21"/>
  <c r="X45" i="21"/>
  <c r="L45" i="21"/>
  <c r="F45" i="21"/>
  <c r="W45" i="21" s="1"/>
  <c r="E45" i="21"/>
  <c r="L44" i="21"/>
  <c r="F44" i="21"/>
  <c r="W44" i="21" s="1"/>
  <c r="X44" i="21" s="1"/>
  <c r="E44" i="21"/>
  <c r="W43" i="21"/>
  <c r="X43" i="21" s="1"/>
  <c r="L43" i="21"/>
  <c r="X42" i="21"/>
  <c r="W42" i="21"/>
  <c r="L42" i="21"/>
  <c r="X41" i="21"/>
  <c r="W41" i="21"/>
  <c r="L41" i="21"/>
  <c r="E41" i="21"/>
  <c r="L40" i="21"/>
  <c r="E40" i="21"/>
  <c r="F40" i="21" s="1"/>
  <c r="W40" i="21" s="1"/>
  <c r="X40" i="21" s="1"/>
  <c r="L39" i="21"/>
  <c r="F39" i="21"/>
  <c r="W39" i="21" s="1"/>
  <c r="X39" i="21" s="1"/>
  <c r="E39" i="21"/>
  <c r="L38" i="21"/>
  <c r="E38" i="21"/>
  <c r="F38" i="21" s="1"/>
  <c r="W38" i="21" s="1"/>
  <c r="X38" i="21" s="1"/>
  <c r="L37" i="21"/>
  <c r="E37" i="21"/>
  <c r="F37" i="21" s="1"/>
  <c r="W37" i="21" s="1"/>
  <c r="X37" i="21" s="1"/>
  <c r="L36" i="21"/>
  <c r="F36" i="21"/>
  <c r="W36" i="21" s="1"/>
  <c r="X36" i="21" s="1"/>
  <c r="E36" i="21"/>
  <c r="L35" i="21"/>
  <c r="F35" i="21"/>
  <c r="W35" i="21" s="1"/>
  <c r="X35" i="21" s="1"/>
  <c r="E35" i="21"/>
  <c r="L34" i="21"/>
  <c r="E34" i="21"/>
  <c r="F34" i="21" s="1"/>
  <c r="W34" i="21" s="1"/>
  <c r="X34" i="21" s="1"/>
  <c r="O33" i="21"/>
  <c r="O6" i="21" s="1"/>
  <c r="N33" i="21"/>
  <c r="N6" i="21" s="1"/>
  <c r="M33" i="21"/>
  <c r="L33" i="21"/>
  <c r="L32" i="21"/>
  <c r="E32" i="21"/>
  <c r="F32" i="21" s="1"/>
  <c r="W32" i="21" s="1"/>
  <c r="X32" i="21" s="1"/>
  <c r="L31" i="21"/>
  <c r="E31" i="21"/>
  <c r="F31" i="21" s="1"/>
  <c r="W31" i="21" s="1"/>
  <c r="X31" i="21" s="1"/>
  <c r="X30" i="21"/>
  <c r="L30" i="21"/>
  <c r="F30" i="21"/>
  <c r="W30" i="21" s="1"/>
  <c r="M29" i="21"/>
  <c r="L29" i="21"/>
  <c r="F29" i="21"/>
  <c r="W29" i="21" s="1"/>
  <c r="X29" i="21" s="1"/>
  <c r="L28" i="21"/>
  <c r="F28" i="21"/>
  <c r="W28" i="21" s="1"/>
  <c r="X28" i="21" s="1"/>
  <c r="E28" i="21"/>
  <c r="W27" i="21"/>
  <c r="X27" i="21" s="1"/>
  <c r="L27" i="21"/>
  <c r="E27" i="21"/>
  <c r="F27" i="21" s="1"/>
  <c r="L26" i="21"/>
  <c r="E26" i="21"/>
  <c r="F26" i="21" s="1"/>
  <c r="W26" i="21" s="1"/>
  <c r="X26" i="21" s="1"/>
  <c r="L25" i="21"/>
  <c r="F25" i="21"/>
  <c r="W25" i="21" s="1"/>
  <c r="X25" i="21" s="1"/>
  <c r="E25" i="21"/>
  <c r="W24" i="21"/>
  <c r="X24" i="21" s="1"/>
  <c r="L24" i="21"/>
  <c r="E24" i="21"/>
  <c r="X23" i="21"/>
  <c r="W23" i="21"/>
  <c r="L23" i="21"/>
  <c r="E23" i="21"/>
  <c r="L22" i="21"/>
  <c r="F22" i="21"/>
  <c r="W22" i="21" s="1"/>
  <c r="X22" i="21" s="1"/>
  <c r="E22" i="21"/>
  <c r="L21" i="21"/>
  <c r="F21" i="21"/>
  <c r="W21" i="21" s="1"/>
  <c r="X21" i="21" s="1"/>
  <c r="E21" i="21"/>
  <c r="L20" i="21"/>
  <c r="E20" i="21"/>
  <c r="F20" i="21" s="1"/>
  <c r="W20" i="21" s="1"/>
  <c r="X20" i="21" s="1"/>
  <c r="L19" i="21"/>
  <c r="E19" i="21"/>
  <c r="F19" i="21" s="1"/>
  <c r="W19" i="21" s="1"/>
  <c r="X19" i="21" s="1"/>
  <c r="L18" i="21"/>
  <c r="F18" i="21"/>
  <c r="W18" i="21" s="1"/>
  <c r="X18" i="21" s="1"/>
  <c r="E18" i="21"/>
  <c r="W17" i="21"/>
  <c r="X17" i="21" s="1"/>
  <c r="M17" i="21"/>
  <c r="L17" i="21"/>
  <c r="E17" i="21"/>
  <c r="F17" i="21" s="1"/>
  <c r="L16" i="21"/>
  <c r="E16" i="21"/>
  <c r="F16" i="21" s="1"/>
  <c r="W16" i="21" s="1"/>
  <c r="X16" i="21" s="1"/>
  <c r="L15" i="21"/>
  <c r="F15" i="21"/>
  <c r="W15" i="21" s="1"/>
  <c r="X15" i="21" s="1"/>
  <c r="E15" i="21"/>
  <c r="L14" i="21"/>
  <c r="F14" i="21"/>
  <c r="W14" i="21" s="1"/>
  <c r="X14" i="21" s="1"/>
  <c r="E14" i="21"/>
  <c r="W13" i="21"/>
  <c r="X13" i="21" s="1"/>
  <c r="L13" i="21"/>
  <c r="E13" i="21"/>
  <c r="F13" i="21" s="1"/>
  <c r="L12" i="21"/>
  <c r="E12" i="21"/>
  <c r="F12" i="21" s="1"/>
  <c r="W12" i="21" s="1"/>
  <c r="X12" i="21" s="1"/>
  <c r="L11" i="21"/>
  <c r="F11" i="21"/>
  <c r="W11" i="21" s="1"/>
  <c r="X11" i="21" s="1"/>
  <c r="E11" i="21"/>
  <c r="W10" i="21"/>
  <c r="X10" i="21" s="1"/>
  <c r="L10" i="21"/>
  <c r="E10" i="21"/>
  <c r="W9" i="21"/>
  <c r="X9" i="21" s="1"/>
  <c r="L9" i="21"/>
  <c r="E9" i="21"/>
  <c r="E6" i="21" s="1"/>
  <c r="W8" i="21"/>
  <c r="X8" i="21" s="1"/>
  <c r="L8" i="21"/>
  <c r="E8" i="21"/>
  <c r="W7" i="21"/>
  <c r="X7" i="21" s="1"/>
  <c r="L7" i="21"/>
  <c r="E7" i="21"/>
  <c r="U6" i="21"/>
  <c r="T6" i="21"/>
  <c r="S6" i="21"/>
  <c r="R6" i="21"/>
  <c r="Q6" i="21"/>
  <c r="P6" i="21"/>
  <c r="J6" i="21"/>
  <c r="F310" i="20"/>
  <c r="I121" i="34" s="1"/>
  <c r="E310" i="20"/>
  <c r="F300" i="20"/>
  <c r="E300" i="20"/>
  <c r="F290" i="20"/>
  <c r="E290" i="20"/>
  <c r="F280" i="20"/>
  <c r="E280" i="20"/>
  <c r="F270" i="20"/>
  <c r="E270" i="20"/>
  <c r="F260" i="20"/>
  <c r="E260" i="20"/>
  <c r="F249" i="20"/>
  <c r="E249" i="20"/>
  <c r="F239" i="20"/>
  <c r="E239" i="20"/>
  <c r="F229" i="20"/>
  <c r="E229" i="20"/>
  <c r="F219" i="20"/>
  <c r="E219" i="20"/>
  <c r="F209" i="20"/>
  <c r="E209" i="20"/>
  <c r="F180" i="20"/>
  <c r="E180" i="20"/>
  <c r="F174" i="20"/>
  <c r="E174" i="20"/>
  <c r="F168" i="20"/>
  <c r="E168" i="20"/>
  <c r="F162" i="20"/>
  <c r="E162" i="20"/>
  <c r="F156" i="20"/>
  <c r="E156" i="20"/>
  <c r="F150" i="20"/>
  <c r="E150" i="20"/>
  <c r="F139" i="20"/>
  <c r="E139" i="20"/>
  <c r="F120" i="20"/>
  <c r="E120" i="20"/>
  <c r="F114" i="20"/>
  <c r="F113" i="20" s="1"/>
  <c r="E114" i="20"/>
  <c r="E113" i="20"/>
  <c r="F109" i="20"/>
  <c r="E109" i="20"/>
  <c r="E87" i="20" s="1"/>
  <c r="F104" i="20"/>
  <c r="E104" i="20"/>
  <c r="F88" i="20"/>
  <c r="E88" i="20"/>
  <c r="F63" i="20"/>
  <c r="E63" i="20"/>
  <c r="F38" i="20"/>
  <c r="E38" i="20"/>
  <c r="F34" i="20"/>
  <c r="E34" i="20"/>
  <c r="F16" i="20"/>
  <c r="E16" i="20"/>
  <c r="F6" i="20"/>
  <c r="E6" i="20"/>
  <c r="F186" i="19"/>
  <c r="E186" i="19"/>
  <c r="F182" i="19"/>
  <c r="E182" i="19"/>
  <c r="F168" i="19"/>
  <c r="F167" i="19"/>
  <c r="E167" i="19"/>
  <c r="F163" i="19"/>
  <c r="E163" i="19"/>
  <c r="F162" i="19"/>
  <c r="F161" i="19"/>
  <c r="F159" i="19"/>
  <c r="F158" i="19"/>
  <c r="E158" i="19"/>
  <c r="F156" i="19"/>
  <c r="F153" i="19" s="1"/>
  <c r="F154" i="19"/>
  <c r="E153" i="19"/>
  <c r="E152" i="19" s="1"/>
  <c r="F152" i="19"/>
  <c r="F151" i="19"/>
  <c r="F146" i="19" s="1"/>
  <c r="F150" i="19"/>
  <c r="E146" i="19"/>
  <c r="F139" i="19"/>
  <c r="E139" i="19"/>
  <c r="F134" i="19"/>
  <c r="E134" i="19"/>
  <c r="F133" i="19"/>
  <c r="F130" i="19" s="1"/>
  <c r="E130" i="19"/>
  <c r="F127" i="19"/>
  <c r="E127" i="19"/>
  <c r="E126" i="19" s="1"/>
  <c r="W125" i="19"/>
  <c r="X125" i="19" s="1"/>
  <c r="L125" i="19"/>
  <c r="X124" i="19"/>
  <c r="W124" i="19"/>
  <c r="L124" i="19"/>
  <c r="W123" i="19"/>
  <c r="X123" i="19" s="1"/>
  <c r="L123" i="19"/>
  <c r="X122" i="19"/>
  <c r="W122" i="19"/>
  <c r="L122" i="19"/>
  <c r="X121" i="19"/>
  <c r="W121" i="19"/>
  <c r="L121" i="19"/>
  <c r="X120" i="19"/>
  <c r="W120" i="19"/>
  <c r="L120" i="19"/>
  <c r="W119" i="19"/>
  <c r="X119" i="19" s="1"/>
  <c r="L119" i="19"/>
  <c r="X118" i="19"/>
  <c r="W118" i="19"/>
  <c r="L118" i="19"/>
  <c r="W117" i="19"/>
  <c r="X117" i="19" s="1"/>
  <c r="L117" i="19"/>
  <c r="X116" i="19"/>
  <c r="W116" i="19"/>
  <c r="L116" i="19"/>
  <c r="W115" i="19"/>
  <c r="X115" i="19" s="1"/>
  <c r="L115" i="19"/>
  <c r="X114" i="19"/>
  <c r="W114" i="19"/>
  <c r="L114" i="19"/>
  <c r="W113" i="19"/>
  <c r="X113" i="19" s="1"/>
  <c r="L113" i="19"/>
  <c r="X112" i="19"/>
  <c r="W112" i="19"/>
  <c r="L112" i="19"/>
  <c r="W111" i="19"/>
  <c r="X111" i="19" s="1"/>
  <c r="L111" i="19"/>
  <c r="X110" i="19"/>
  <c r="W110" i="19"/>
  <c r="L110" i="19"/>
  <c r="X109" i="19"/>
  <c r="W109" i="19"/>
  <c r="L109" i="19"/>
  <c r="X108" i="19"/>
  <c r="W108" i="19"/>
  <c r="L108" i="19"/>
  <c r="W107" i="19"/>
  <c r="X107" i="19" s="1"/>
  <c r="L107" i="19"/>
  <c r="X106" i="19"/>
  <c r="W106" i="19"/>
  <c r="L106" i="19"/>
  <c r="W105" i="19"/>
  <c r="X105" i="19" s="1"/>
  <c r="L105" i="19"/>
  <c r="X104" i="19"/>
  <c r="M104" i="19"/>
  <c r="L104" i="19"/>
  <c r="F104" i="19"/>
  <c r="W104" i="19" s="1"/>
  <c r="L103" i="19"/>
  <c r="E103" i="19"/>
  <c r="F103" i="19" s="1"/>
  <c r="W103" i="19" s="1"/>
  <c r="X103" i="19" s="1"/>
  <c r="X102" i="19"/>
  <c r="W102" i="19"/>
  <c r="L102" i="19"/>
  <c r="E102" i="19"/>
  <c r="F102" i="19" s="1"/>
  <c r="L101" i="19"/>
  <c r="F101" i="19"/>
  <c r="W101" i="19" s="1"/>
  <c r="X101" i="19" s="1"/>
  <c r="E101" i="19"/>
  <c r="L100" i="19"/>
  <c r="E100" i="19"/>
  <c r="F100" i="19" s="1"/>
  <c r="W100" i="19" s="1"/>
  <c r="X100" i="19" s="1"/>
  <c r="X99" i="19"/>
  <c r="W99" i="19"/>
  <c r="L99" i="19"/>
  <c r="F99" i="19"/>
  <c r="E99" i="19"/>
  <c r="L98" i="19"/>
  <c r="E98" i="19"/>
  <c r="F98" i="19" s="1"/>
  <c r="W98" i="19" s="1"/>
  <c r="X98" i="19" s="1"/>
  <c r="W97" i="19"/>
  <c r="X97" i="19" s="1"/>
  <c r="L97" i="19"/>
  <c r="E97" i="19"/>
  <c r="W96" i="19"/>
  <c r="X96" i="19" s="1"/>
  <c r="U96" i="19"/>
  <c r="P96" i="19"/>
  <c r="O96" i="19"/>
  <c r="N96" i="19"/>
  <c r="M96" i="19"/>
  <c r="L96" i="19"/>
  <c r="F96" i="19"/>
  <c r="U95" i="19"/>
  <c r="P95" i="19"/>
  <c r="O95" i="19"/>
  <c r="N95" i="19"/>
  <c r="M95" i="19"/>
  <c r="L95" i="19"/>
  <c r="L94" i="19"/>
  <c r="E94" i="19"/>
  <c r="F94" i="19" s="1"/>
  <c r="W94" i="19" s="1"/>
  <c r="X94" i="19" s="1"/>
  <c r="W93" i="19"/>
  <c r="X93" i="19" s="1"/>
  <c r="L93" i="19"/>
  <c r="E93" i="19"/>
  <c r="F93" i="19" s="1"/>
  <c r="W92" i="19"/>
  <c r="X92" i="19" s="1"/>
  <c r="L92" i="19"/>
  <c r="E92" i="19"/>
  <c r="X91" i="19"/>
  <c r="L91" i="19"/>
  <c r="F91" i="19"/>
  <c r="W91" i="19" s="1"/>
  <c r="E91" i="19"/>
  <c r="X90" i="19"/>
  <c r="L90" i="19"/>
  <c r="E90" i="19"/>
  <c r="F90" i="19" s="1"/>
  <c r="W90" i="19" s="1"/>
  <c r="X89" i="19"/>
  <c r="L89" i="19"/>
  <c r="E89" i="19"/>
  <c r="F89" i="19" s="1"/>
  <c r="W89" i="19" s="1"/>
  <c r="L88" i="19"/>
  <c r="E88" i="19"/>
  <c r="F88" i="19" s="1"/>
  <c r="W88" i="19" s="1"/>
  <c r="X88" i="19" s="1"/>
  <c r="L87" i="19"/>
  <c r="F87" i="19"/>
  <c r="W87" i="19" s="1"/>
  <c r="X87" i="19" s="1"/>
  <c r="E87" i="19"/>
  <c r="L86" i="19"/>
  <c r="E86" i="19"/>
  <c r="F86" i="19" s="1"/>
  <c r="W86" i="19" s="1"/>
  <c r="X86" i="19" s="1"/>
  <c r="L85" i="19"/>
  <c r="E85" i="19"/>
  <c r="F85" i="19" s="1"/>
  <c r="W85" i="19" s="1"/>
  <c r="X85" i="19" s="1"/>
  <c r="W84" i="19"/>
  <c r="X84" i="19" s="1"/>
  <c r="L84" i="19"/>
  <c r="E84" i="19"/>
  <c r="F84" i="19" s="1"/>
  <c r="L83" i="19"/>
  <c r="F83" i="19"/>
  <c r="W83" i="19" s="1"/>
  <c r="X83" i="19" s="1"/>
  <c r="E83" i="19"/>
  <c r="L82" i="19"/>
  <c r="F82" i="19"/>
  <c r="W82" i="19" s="1"/>
  <c r="X82" i="19" s="1"/>
  <c r="E82" i="19"/>
  <c r="X81" i="19"/>
  <c r="W81" i="19"/>
  <c r="L81" i="19"/>
  <c r="F81" i="19"/>
  <c r="E81" i="19"/>
  <c r="L80" i="19"/>
  <c r="E80" i="19"/>
  <c r="F80" i="19" s="1"/>
  <c r="W80" i="19" s="1"/>
  <c r="X80" i="19" s="1"/>
  <c r="L79" i="19"/>
  <c r="F79" i="19"/>
  <c r="W79" i="19" s="1"/>
  <c r="X79" i="19" s="1"/>
  <c r="E79" i="19"/>
  <c r="X78" i="19"/>
  <c r="L78" i="19"/>
  <c r="E78" i="19"/>
  <c r="F78" i="19" s="1"/>
  <c r="W78" i="19" s="1"/>
  <c r="W77" i="19"/>
  <c r="X77" i="19" s="1"/>
  <c r="L77" i="19"/>
  <c r="E77" i="19"/>
  <c r="F77" i="19" s="1"/>
  <c r="X76" i="19"/>
  <c r="W76" i="19"/>
  <c r="L76" i="19"/>
  <c r="E76" i="19"/>
  <c r="F76" i="19" s="1"/>
  <c r="L75" i="19"/>
  <c r="E75" i="19"/>
  <c r="F75" i="19" s="1"/>
  <c r="W75" i="19" s="1"/>
  <c r="X75" i="19" s="1"/>
  <c r="W74" i="19"/>
  <c r="X74" i="19" s="1"/>
  <c r="L74" i="19"/>
  <c r="E74" i="19"/>
  <c r="F74" i="19" s="1"/>
  <c r="W73" i="19"/>
  <c r="X73" i="19" s="1"/>
  <c r="L73" i="19"/>
  <c r="E73" i="19"/>
  <c r="W72" i="19"/>
  <c r="X72" i="19" s="1"/>
  <c r="L72" i="19"/>
  <c r="E72" i="19"/>
  <c r="W71" i="19"/>
  <c r="X71" i="19" s="1"/>
  <c r="L71" i="19"/>
  <c r="F71" i="19"/>
  <c r="E71" i="19"/>
  <c r="X70" i="19"/>
  <c r="L70" i="19"/>
  <c r="F70" i="19"/>
  <c r="W70" i="19" s="1"/>
  <c r="E70" i="19"/>
  <c r="U69" i="19"/>
  <c r="P69" i="19"/>
  <c r="O69" i="19"/>
  <c r="N69" i="19"/>
  <c r="M69" i="19"/>
  <c r="L69" i="19"/>
  <c r="W68" i="19"/>
  <c r="X68" i="19" s="1"/>
  <c r="U68" i="19"/>
  <c r="P68" i="19"/>
  <c r="O68" i="19"/>
  <c r="N68" i="19"/>
  <c r="F68" i="19" s="1"/>
  <c r="M68" i="19"/>
  <c r="L68" i="19"/>
  <c r="W67" i="19"/>
  <c r="X67" i="19" s="1"/>
  <c r="L67" i="19"/>
  <c r="E67" i="19"/>
  <c r="F67" i="19" s="1"/>
  <c r="L66" i="19"/>
  <c r="F66" i="19"/>
  <c r="W66" i="19" s="1"/>
  <c r="X66" i="19" s="1"/>
  <c r="E66" i="19"/>
  <c r="X65" i="19"/>
  <c r="L65" i="19"/>
  <c r="F65" i="19"/>
  <c r="W65" i="19" s="1"/>
  <c r="E65" i="19"/>
  <c r="L64" i="19"/>
  <c r="F64" i="19"/>
  <c r="W64" i="19" s="1"/>
  <c r="X64" i="19" s="1"/>
  <c r="E64" i="19"/>
  <c r="L63" i="19"/>
  <c r="F63" i="19"/>
  <c r="W63" i="19" s="1"/>
  <c r="X63" i="19" s="1"/>
  <c r="E63" i="19"/>
  <c r="X62" i="19"/>
  <c r="W62" i="19"/>
  <c r="L62" i="19"/>
  <c r="E62" i="19"/>
  <c r="W61" i="19"/>
  <c r="X61" i="19" s="1"/>
  <c r="U61" i="19"/>
  <c r="L61" i="19"/>
  <c r="F61" i="19"/>
  <c r="W60" i="19"/>
  <c r="X60" i="19" s="1"/>
  <c r="M60" i="19"/>
  <c r="L60" i="19"/>
  <c r="F60" i="19"/>
  <c r="E60" i="19"/>
  <c r="M59" i="19"/>
  <c r="E59" i="19" s="1"/>
  <c r="F59" i="19" s="1"/>
  <c r="W59" i="19" s="1"/>
  <c r="X59" i="19" s="1"/>
  <c r="L59" i="19"/>
  <c r="W58" i="19"/>
  <c r="X58" i="19" s="1"/>
  <c r="M58" i="19"/>
  <c r="L58" i="19"/>
  <c r="F58" i="19"/>
  <c r="W57" i="19"/>
  <c r="X57" i="19" s="1"/>
  <c r="L57" i="19"/>
  <c r="E57" i="19"/>
  <c r="F57" i="19" s="1"/>
  <c r="W56" i="19"/>
  <c r="X56" i="19" s="1"/>
  <c r="L56" i="19"/>
  <c r="F56" i="19"/>
  <c r="E56" i="19"/>
  <c r="M55" i="19"/>
  <c r="F55" i="19" s="1"/>
  <c r="W55" i="19" s="1"/>
  <c r="X55" i="19" s="1"/>
  <c r="L55" i="19"/>
  <c r="W54" i="19"/>
  <c r="X54" i="19" s="1"/>
  <c r="L54" i="19"/>
  <c r="E54" i="19"/>
  <c r="X53" i="19"/>
  <c r="W53" i="19"/>
  <c r="L53" i="19"/>
  <c r="E53" i="19"/>
  <c r="L52" i="19"/>
  <c r="E52" i="19"/>
  <c r="F52" i="19" s="1"/>
  <c r="W52" i="19" s="1"/>
  <c r="X52" i="19" s="1"/>
  <c r="L51" i="19"/>
  <c r="F51" i="19"/>
  <c r="W51" i="19" s="1"/>
  <c r="X51" i="19" s="1"/>
  <c r="E51" i="19"/>
  <c r="X50" i="19"/>
  <c r="L50" i="19"/>
  <c r="E50" i="19"/>
  <c r="F50" i="19" s="1"/>
  <c r="W50" i="19" s="1"/>
  <c r="L49" i="19"/>
  <c r="F49" i="19"/>
  <c r="W49" i="19" s="1"/>
  <c r="X49" i="19" s="1"/>
  <c r="E49" i="19"/>
  <c r="X48" i="19"/>
  <c r="L48" i="19"/>
  <c r="E48" i="19"/>
  <c r="F48" i="19" s="1"/>
  <c r="W48" i="19" s="1"/>
  <c r="L47" i="19"/>
  <c r="E47" i="19"/>
  <c r="F47" i="19" s="1"/>
  <c r="W47" i="19" s="1"/>
  <c r="X47" i="19" s="1"/>
  <c r="W46" i="19"/>
  <c r="X46" i="19" s="1"/>
  <c r="L46" i="19"/>
  <c r="E46" i="19"/>
  <c r="F46" i="19" s="1"/>
  <c r="W45" i="19"/>
  <c r="X45" i="19" s="1"/>
  <c r="L45" i="19"/>
  <c r="X44" i="19"/>
  <c r="W44" i="19"/>
  <c r="L44" i="19"/>
  <c r="W43" i="19"/>
  <c r="X43" i="19" s="1"/>
  <c r="M43" i="19"/>
  <c r="F43" i="19" s="1"/>
  <c r="L43" i="19"/>
  <c r="M42" i="19"/>
  <c r="L42" i="19"/>
  <c r="F42" i="19"/>
  <c r="W42" i="19" s="1"/>
  <c r="X42" i="19" s="1"/>
  <c r="W41" i="19"/>
  <c r="X41" i="19" s="1"/>
  <c r="L41" i="19"/>
  <c r="E41" i="19"/>
  <c r="L40" i="19"/>
  <c r="F40" i="19"/>
  <c r="W40" i="19" s="1"/>
  <c r="X40" i="19" s="1"/>
  <c r="E40" i="19"/>
  <c r="L39" i="19"/>
  <c r="E39" i="19"/>
  <c r="F39" i="19" s="1"/>
  <c r="W39" i="19" s="1"/>
  <c r="X39" i="19" s="1"/>
  <c r="L38" i="19"/>
  <c r="F38" i="19"/>
  <c r="W38" i="19" s="1"/>
  <c r="X38" i="19" s="1"/>
  <c r="E38" i="19"/>
  <c r="L37" i="19"/>
  <c r="E37" i="19"/>
  <c r="F37" i="19" s="1"/>
  <c r="W37" i="19" s="1"/>
  <c r="X37" i="19" s="1"/>
  <c r="L36" i="19"/>
  <c r="E36" i="19"/>
  <c r="F36" i="19" s="1"/>
  <c r="W36" i="19" s="1"/>
  <c r="X36" i="19" s="1"/>
  <c r="L35" i="19"/>
  <c r="E35" i="19"/>
  <c r="F35" i="19" s="1"/>
  <c r="W35" i="19" s="1"/>
  <c r="X35" i="19" s="1"/>
  <c r="L34" i="19"/>
  <c r="E34" i="19"/>
  <c r="F34" i="19" s="1"/>
  <c r="W34" i="19" s="1"/>
  <c r="X34" i="19" s="1"/>
  <c r="X33" i="19"/>
  <c r="W33" i="19"/>
  <c r="L33" i="19"/>
  <c r="E33" i="19"/>
  <c r="X32" i="19"/>
  <c r="L32" i="19"/>
  <c r="E32" i="19"/>
  <c r="F32" i="19" s="1"/>
  <c r="W32" i="19" s="1"/>
  <c r="L31" i="19"/>
  <c r="F31" i="19"/>
  <c r="W31" i="19" s="1"/>
  <c r="X31" i="19" s="1"/>
  <c r="E31" i="19"/>
  <c r="X30" i="19"/>
  <c r="W30" i="19"/>
  <c r="L30" i="19"/>
  <c r="E30" i="19"/>
  <c r="X29" i="19"/>
  <c r="W29" i="19"/>
  <c r="L29" i="19"/>
  <c r="E29" i="19"/>
  <c r="L28" i="19"/>
  <c r="F28" i="19"/>
  <c r="W28" i="19" s="1"/>
  <c r="X28" i="19" s="1"/>
  <c r="E28" i="19"/>
  <c r="W27" i="19"/>
  <c r="X27" i="19" s="1"/>
  <c r="L27" i="19"/>
  <c r="F27" i="19"/>
  <c r="E27" i="19"/>
  <c r="L26" i="19"/>
  <c r="F26" i="19"/>
  <c r="W26" i="19" s="1"/>
  <c r="X26" i="19" s="1"/>
  <c r="E26" i="19"/>
  <c r="W25" i="19"/>
  <c r="X25" i="19" s="1"/>
  <c r="L25" i="19"/>
  <c r="F25" i="19"/>
  <c r="E25" i="19"/>
  <c r="L24" i="19"/>
  <c r="E24" i="19"/>
  <c r="F24" i="19" s="1"/>
  <c r="W24" i="19" s="1"/>
  <c r="X24" i="19" s="1"/>
  <c r="W23" i="19"/>
  <c r="X23" i="19" s="1"/>
  <c r="L23" i="19"/>
  <c r="E23" i="19"/>
  <c r="W22" i="19"/>
  <c r="X22" i="19" s="1"/>
  <c r="O22" i="19"/>
  <c r="N22" i="19"/>
  <c r="M22" i="19"/>
  <c r="F22" i="19" s="1"/>
  <c r="L22" i="19"/>
  <c r="U21" i="19"/>
  <c r="O21" i="19"/>
  <c r="N21" i="19"/>
  <c r="M21" i="19"/>
  <c r="L21" i="19"/>
  <c r="L20" i="19"/>
  <c r="E20" i="19"/>
  <c r="F20" i="19" s="1"/>
  <c r="W20" i="19" s="1"/>
  <c r="X20" i="19" s="1"/>
  <c r="W19" i="19"/>
  <c r="X19" i="19" s="1"/>
  <c r="L19" i="19"/>
  <c r="F19" i="19"/>
  <c r="E19" i="19"/>
  <c r="X18" i="19"/>
  <c r="L18" i="19"/>
  <c r="E18" i="19"/>
  <c r="F18" i="19" s="1"/>
  <c r="W18" i="19" s="1"/>
  <c r="L17" i="19"/>
  <c r="E17" i="19"/>
  <c r="F17" i="19" s="1"/>
  <c r="W17" i="19" s="1"/>
  <c r="X17" i="19" s="1"/>
  <c r="X16" i="19"/>
  <c r="L16" i="19"/>
  <c r="E16" i="19"/>
  <c r="F16" i="19" s="1"/>
  <c r="W16" i="19" s="1"/>
  <c r="L15" i="19"/>
  <c r="E15" i="19"/>
  <c r="F15" i="19" s="1"/>
  <c r="W15" i="19" s="1"/>
  <c r="X15" i="19" s="1"/>
  <c r="U14" i="19"/>
  <c r="T14" i="19"/>
  <c r="Q14" i="19"/>
  <c r="P14" i="19"/>
  <c r="O14" i="19"/>
  <c r="N14" i="19"/>
  <c r="M14" i="19"/>
  <c r="F14" i="19" s="1"/>
  <c r="W14" i="19" s="1"/>
  <c r="X14" i="19" s="1"/>
  <c r="L14" i="19"/>
  <c r="U13" i="19"/>
  <c r="T13" i="19"/>
  <c r="T6" i="19" s="1"/>
  <c r="S13" i="19"/>
  <c r="S6" i="19" s="1"/>
  <c r="R13" i="19"/>
  <c r="Q13" i="19"/>
  <c r="Q6" i="19" s="1"/>
  <c r="P13" i="19"/>
  <c r="P6" i="19" s="1"/>
  <c r="O13" i="19"/>
  <c r="N13" i="19"/>
  <c r="M13" i="19"/>
  <c r="L13" i="19"/>
  <c r="W12" i="19"/>
  <c r="X12" i="19" s="1"/>
  <c r="L12" i="19"/>
  <c r="E12" i="19"/>
  <c r="F12" i="19" s="1"/>
  <c r="L11" i="19"/>
  <c r="F11" i="19"/>
  <c r="E11" i="19"/>
  <c r="W10" i="19"/>
  <c r="X10" i="19" s="1"/>
  <c r="L10" i="19"/>
  <c r="E10" i="19"/>
  <c r="X9" i="19"/>
  <c r="W9" i="19"/>
  <c r="L9" i="19"/>
  <c r="E9" i="19"/>
  <c r="X8" i="19"/>
  <c r="W8" i="19"/>
  <c r="L8" i="19"/>
  <c r="E8" i="19"/>
  <c r="W7" i="19"/>
  <c r="X7" i="19" s="1"/>
  <c r="L7" i="19"/>
  <c r="L6" i="19" s="1"/>
  <c r="E7" i="19"/>
  <c r="R6" i="19"/>
  <c r="O6" i="19"/>
  <c r="N6" i="19"/>
  <c r="J6" i="19"/>
  <c r="C285" i="18"/>
  <c r="C284" i="18"/>
  <c r="C283" i="18"/>
  <c r="C282" i="18"/>
  <c r="C281" i="18"/>
  <c r="C280" i="18"/>
  <c r="C279" i="18"/>
  <c r="C278" i="18"/>
  <c r="C277" i="18"/>
  <c r="C276" i="18"/>
  <c r="O275" i="18"/>
  <c r="N275" i="18"/>
  <c r="M275" i="18"/>
  <c r="L275" i="18"/>
  <c r="K275" i="18"/>
  <c r="J275" i="18"/>
  <c r="I275" i="18"/>
  <c r="H275" i="18"/>
  <c r="G275" i="18"/>
  <c r="F275" i="18"/>
  <c r="E275" i="18"/>
  <c r="D275" i="18"/>
  <c r="C274" i="18"/>
  <c r="C273" i="18"/>
  <c r="C272" i="18"/>
  <c r="C271" i="18"/>
  <c r="C270" i="18"/>
  <c r="C269" i="18"/>
  <c r="C268" i="18"/>
  <c r="C267" i="18"/>
  <c r="C266" i="18"/>
  <c r="C265" i="18" s="1"/>
  <c r="O265" i="18"/>
  <c r="N265" i="18"/>
  <c r="M265" i="18"/>
  <c r="L265" i="18"/>
  <c r="K265" i="18"/>
  <c r="J265" i="18"/>
  <c r="I265" i="18"/>
  <c r="I234" i="18" s="1"/>
  <c r="H265" i="18"/>
  <c r="G265" i="18"/>
  <c r="F265" i="18"/>
  <c r="E265" i="18"/>
  <c r="D265" i="18"/>
  <c r="D234" i="18" s="1"/>
  <c r="C264" i="18"/>
  <c r="C263" i="18"/>
  <c r="C262" i="18"/>
  <c r="C261" i="18"/>
  <c r="C260" i="18"/>
  <c r="C259" i="18"/>
  <c r="C258" i="18"/>
  <c r="C257" i="18"/>
  <c r="C256" i="18"/>
  <c r="O255" i="18"/>
  <c r="N255" i="18"/>
  <c r="M255" i="18"/>
  <c r="L255" i="18"/>
  <c r="K255" i="18"/>
  <c r="J255" i="18"/>
  <c r="I255" i="18"/>
  <c r="H255" i="18"/>
  <c r="G255" i="18"/>
  <c r="G234" i="18" s="1"/>
  <c r="F255" i="18"/>
  <c r="E255" i="18"/>
  <c r="D255" i="18"/>
  <c r="C254" i="18"/>
  <c r="C253" i="18"/>
  <c r="C252" i="18"/>
  <c r="C251" i="18"/>
  <c r="C250" i="18"/>
  <c r="C249" i="18"/>
  <c r="C248" i="18"/>
  <c r="C247" i="18"/>
  <c r="C246" i="18"/>
  <c r="C245" i="18" s="1"/>
  <c r="O245" i="18"/>
  <c r="N245" i="18"/>
  <c r="M245" i="18"/>
  <c r="L245" i="18"/>
  <c r="L234" i="18" s="1"/>
  <c r="K245" i="18"/>
  <c r="J245" i="18"/>
  <c r="I245" i="18"/>
  <c r="H245" i="18"/>
  <c r="G245" i="18"/>
  <c r="F245" i="18"/>
  <c r="E245" i="18"/>
  <c r="E234" i="18" s="1"/>
  <c r="D245" i="18"/>
  <c r="C244" i="18"/>
  <c r="C243" i="18"/>
  <c r="C242" i="18"/>
  <c r="C241" i="18"/>
  <c r="C240" i="18"/>
  <c r="C239" i="18"/>
  <c r="C238" i="18"/>
  <c r="C235" i="18" s="1"/>
  <c r="C237" i="18"/>
  <c r="C236" i="18"/>
  <c r="O235" i="18"/>
  <c r="N235" i="18"/>
  <c r="M235" i="18"/>
  <c r="M234" i="18" s="1"/>
  <c r="L235" i="18"/>
  <c r="K235" i="18"/>
  <c r="J235" i="18"/>
  <c r="J234" i="18" s="1"/>
  <c r="I235" i="18"/>
  <c r="H235" i="18"/>
  <c r="H234" i="18" s="1"/>
  <c r="H46" i="18" s="1"/>
  <c r="C9" i="18" s="1"/>
  <c r="E9" i="18" s="1"/>
  <c r="F9" i="18" s="1"/>
  <c r="G235" i="18"/>
  <c r="F235" i="18"/>
  <c r="E235" i="18"/>
  <c r="D235" i="18"/>
  <c r="O234" i="18"/>
  <c r="N234" i="18"/>
  <c r="K234" i="18"/>
  <c r="C233" i="18"/>
  <c r="C232" i="18"/>
  <c r="C231" i="18"/>
  <c r="C230" i="18"/>
  <c r="C229" i="18"/>
  <c r="C228" i="18"/>
  <c r="C227" i="18"/>
  <c r="C226" i="18"/>
  <c r="C224" i="18" s="1"/>
  <c r="C225" i="18"/>
  <c r="O224" i="18"/>
  <c r="N224" i="18"/>
  <c r="M224" i="18"/>
  <c r="L224" i="18"/>
  <c r="K224" i="18"/>
  <c r="J224" i="18"/>
  <c r="I224" i="18"/>
  <c r="H224" i="18"/>
  <c r="G224" i="18"/>
  <c r="F224" i="18"/>
  <c r="E224" i="18"/>
  <c r="D224" i="18"/>
  <c r="C223" i="18"/>
  <c r="C222" i="18"/>
  <c r="C221" i="18"/>
  <c r="C220" i="18"/>
  <c r="C219" i="18"/>
  <c r="C218" i="18"/>
  <c r="C214" i="18" s="1"/>
  <c r="C217" i="18"/>
  <c r="C216" i="18"/>
  <c r="C215" i="18"/>
  <c r="O214" i="18"/>
  <c r="N214" i="18"/>
  <c r="M214" i="18"/>
  <c r="L214" i="18"/>
  <c r="K214" i="18"/>
  <c r="J214" i="18"/>
  <c r="I214" i="18"/>
  <c r="H214" i="18"/>
  <c r="G214" i="18"/>
  <c r="F214" i="18"/>
  <c r="E214" i="18"/>
  <c r="D214" i="18"/>
  <c r="C213" i="18"/>
  <c r="C212" i="18"/>
  <c r="C211" i="18"/>
  <c r="C210" i="18"/>
  <c r="C209" i="18"/>
  <c r="C208" i="18"/>
  <c r="C207" i="18"/>
  <c r="C206" i="18"/>
  <c r="C205" i="18"/>
  <c r="O204" i="18"/>
  <c r="N204" i="18"/>
  <c r="M204" i="18"/>
  <c r="L204" i="18"/>
  <c r="K204" i="18"/>
  <c r="J204" i="18"/>
  <c r="I204" i="18"/>
  <c r="H204" i="18"/>
  <c r="G204" i="18"/>
  <c r="F204" i="18"/>
  <c r="E204" i="18"/>
  <c r="D204" i="18"/>
  <c r="C203" i="18"/>
  <c r="C202" i="18"/>
  <c r="C201" i="18"/>
  <c r="C200" i="18"/>
  <c r="C199" i="18"/>
  <c r="C198" i="18"/>
  <c r="C197" i="18"/>
  <c r="C196" i="18"/>
  <c r="C195" i="18"/>
  <c r="O194" i="18"/>
  <c r="N194" i="18"/>
  <c r="M194" i="18"/>
  <c r="L194" i="18"/>
  <c r="K194" i="18"/>
  <c r="J194" i="18"/>
  <c r="I194" i="18"/>
  <c r="H194" i="18"/>
  <c r="G194" i="18"/>
  <c r="F194" i="18"/>
  <c r="E194" i="18"/>
  <c r="D194" i="18"/>
  <c r="C193" i="18"/>
  <c r="C192" i="18"/>
  <c r="C191" i="18"/>
  <c r="C190" i="18"/>
  <c r="C189" i="18"/>
  <c r="C188" i="18"/>
  <c r="C187" i="18"/>
  <c r="C186" i="18"/>
  <c r="C185" i="18"/>
  <c r="C184" i="18" s="1"/>
  <c r="O184" i="18"/>
  <c r="N184" i="18"/>
  <c r="M184" i="18"/>
  <c r="L184" i="18"/>
  <c r="K184" i="18"/>
  <c r="J184" i="18"/>
  <c r="I184" i="18"/>
  <c r="H184" i="18"/>
  <c r="G184" i="18"/>
  <c r="F184" i="18"/>
  <c r="E184" i="18"/>
  <c r="D184" i="18"/>
  <c r="C183" i="18"/>
  <c r="C182" i="18"/>
  <c r="C181" i="18"/>
  <c r="C180" i="18"/>
  <c r="C179" i="18"/>
  <c r="O178" i="18"/>
  <c r="N178" i="18"/>
  <c r="M178" i="18"/>
  <c r="L178" i="18"/>
  <c r="K178" i="18"/>
  <c r="J178" i="18"/>
  <c r="I178" i="18"/>
  <c r="H178" i="18"/>
  <c r="G178" i="18"/>
  <c r="F178" i="18"/>
  <c r="E178" i="18"/>
  <c r="D178" i="18"/>
  <c r="C178" i="18"/>
  <c r="C177" i="18"/>
  <c r="C176" i="18"/>
  <c r="C175" i="18"/>
  <c r="C174" i="18"/>
  <c r="C173" i="18"/>
  <c r="C172" i="18" s="1"/>
  <c r="O172" i="18"/>
  <c r="N172" i="18"/>
  <c r="M172" i="18"/>
  <c r="L172" i="18"/>
  <c r="K172" i="18"/>
  <c r="J172" i="18"/>
  <c r="I172" i="18"/>
  <c r="H172" i="18"/>
  <c r="G172" i="18"/>
  <c r="F172" i="18"/>
  <c r="E172" i="18"/>
  <c r="D172" i="18"/>
  <c r="C171" i="18"/>
  <c r="C170" i="18"/>
  <c r="C169" i="18"/>
  <c r="C168" i="18"/>
  <c r="C167" i="18"/>
  <c r="O166" i="18"/>
  <c r="N166" i="18"/>
  <c r="M166" i="18"/>
  <c r="L166" i="18"/>
  <c r="K166" i="18"/>
  <c r="J166" i="18"/>
  <c r="I166" i="18"/>
  <c r="H166" i="18"/>
  <c r="G166" i="18"/>
  <c r="F166" i="18"/>
  <c r="E166" i="18"/>
  <c r="D166" i="18"/>
  <c r="C166" i="18"/>
  <c r="C165" i="18"/>
  <c r="C164" i="18"/>
  <c r="C163" i="18"/>
  <c r="C162" i="18"/>
  <c r="C161" i="18"/>
  <c r="C160" i="18" s="1"/>
  <c r="O160" i="18"/>
  <c r="N160" i="18"/>
  <c r="M160" i="18"/>
  <c r="L160" i="18"/>
  <c r="K160" i="18"/>
  <c r="J160" i="18"/>
  <c r="I160" i="18"/>
  <c r="H160" i="18"/>
  <c r="G160" i="18"/>
  <c r="F160" i="18"/>
  <c r="E160" i="18"/>
  <c r="D160" i="18"/>
  <c r="C159" i="18"/>
  <c r="C158" i="18"/>
  <c r="C157" i="18"/>
  <c r="C156" i="18"/>
  <c r="C155" i="18"/>
  <c r="O154" i="18"/>
  <c r="N154" i="18"/>
  <c r="M154" i="18"/>
  <c r="L154" i="18"/>
  <c r="L147" i="18" s="1"/>
  <c r="K154" i="18"/>
  <c r="J154" i="18"/>
  <c r="J147" i="18" s="1"/>
  <c r="I154" i="18"/>
  <c r="H154" i="18"/>
  <c r="H147" i="18" s="1"/>
  <c r="G154" i="18"/>
  <c r="F154" i="18"/>
  <c r="E154" i="18"/>
  <c r="D154" i="18"/>
  <c r="C154" i="18"/>
  <c r="C153" i="18"/>
  <c r="C152" i="18"/>
  <c r="C151" i="18"/>
  <c r="C150" i="18"/>
  <c r="C149" i="18"/>
  <c r="C148" i="18" s="1"/>
  <c r="O148" i="18"/>
  <c r="O147" i="18" s="1"/>
  <c r="N148" i="18"/>
  <c r="N147" i="18" s="1"/>
  <c r="M148" i="18"/>
  <c r="M147" i="18" s="1"/>
  <c r="L148" i="18"/>
  <c r="K148" i="18"/>
  <c r="J148" i="18"/>
  <c r="I148" i="18"/>
  <c r="H148" i="18"/>
  <c r="G148" i="18"/>
  <c r="F148" i="18"/>
  <c r="F147" i="18" s="1"/>
  <c r="E148" i="18"/>
  <c r="E147" i="18" s="1"/>
  <c r="D148" i="18"/>
  <c r="D147" i="18" s="1"/>
  <c r="G147" i="18"/>
  <c r="C146" i="18"/>
  <c r="C145" i="18"/>
  <c r="C144" i="18"/>
  <c r="C143" i="18"/>
  <c r="C142" i="18"/>
  <c r="C141" i="18"/>
  <c r="C140" i="18"/>
  <c r="C139" i="18"/>
  <c r="C138" i="18"/>
  <c r="O137" i="18"/>
  <c r="N137" i="18"/>
  <c r="M137" i="18"/>
  <c r="L137" i="18"/>
  <c r="K137" i="18"/>
  <c r="J137" i="18"/>
  <c r="I137" i="18"/>
  <c r="H137" i="18"/>
  <c r="G137" i="18"/>
  <c r="F137" i="18"/>
  <c r="E137" i="18"/>
  <c r="D137" i="18"/>
  <c r="C136" i="18"/>
  <c r="C135" i="18"/>
  <c r="C134" i="18"/>
  <c r="C133" i="18"/>
  <c r="C132" i="18"/>
  <c r="C131" i="18"/>
  <c r="C130" i="18"/>
  <c r="C129" i="18"/>
  <c r="C128" i="18"/>
  <c r="O127" i="18"/>
  <c r="N127" i="18"/>
  <c r="M127" i="18"/>
  <c r="L127" i="18"/>
  <c r="K127" i="18"/>
  <c r="J127" i="18"/>
  <c r="I127" i="18"/>
  <c r="H127" i="18"/>
  <c r="G127" i="18"/>
  <c r="F127" i="18"/>
  <c r="E127" i="18"/>
  <c r="D127" i="18"/>
  <c r="C127" i="18"/>
  <c r="C126" i="18"/>
  <c r="C125" i="18"/>
  <c r="C124" i="18"/>
  <c r="C123" i="18"/>
  <c r="C122" i="18"/>
  <c r="C121" i="18"/>
  <c r="C120" i="18"/>
  <c r="C119" i="18"/>
  <c r="C118" i="18"/>
  <c r="O117" i="18"/>
  <c r="N117" i="18"/>
  <c r="M117" i="18"/>
  <c r="L117" i="18"/>
  <c r="K117" i="18"/>
  <c r="J117" i="18"/>
  <c r="I117" i="18"/>
  <c r="H117" i="18"/>
  <c r="G117" i="18"/>
  <c r="F117" i="18"/>
  <c r="E117" i="18"/>
  <c r="D117" i="18"/>
  <c r="C116" i="18"/>
  <c r="C115" i="18"/>
  <c r="C114" i="18"/>
  <c r="C113" i="18"/>
  <c r="C112" i="18"/>
  <c r="C111" i="18"/>
  <c r="C110" i="18"/>
  <c r="C109" i="18"/>
  <c r="C108" i="18"/>
  <c r="C107" i="18" s="1"/>
  <c r="O107" i="18"/>
  <c r="N107" i="18"/>
  <c r="M107" i="18"/>
  <c r="L107" i="18"/>
  <c r="K107" i="18"/>
  <c r="J107" i="18"/>
  <c r="I107" i="18"/>
  <c r="H107" i="18"/>
  <c r="G107" i="18"/>
  <c r="G100" i="18" s="1"/>
  <c r="F107" i="18"/>
  <c r="E107" i="18"/>
  <c r="D107" i="18"/>
  <c r="D100" i="18" s="1"/>
  <c r="C106" i="18"/>
  <c r="C105" i="18"/>
  <c r="C104" i="18"/>
  <c r="C103" i="18"/>
  <c r="C102" i="18"/>
  <c r="O101" i="18"/>
  <c r="O100" i="18" s="1"/>
  <c r="N101" i="18"/>
  <c r="N100" i="18" s="1"/>
  <c r="M101" i="18"/>
  <c r="L101" i="18"/>
  <c r="L100" i="18" s="1"/>
  <c r="K101" i="18"/>
  <c r="J101" i="18"/>
  <c r="I101" i="18"/>
  <c r="H101" i="18"/>
  <c r="H100" i="18" s="1"/>
  <c r="G101" i="18"/>
  <c r="F101" i="18"/>
  <c r="E101" i="18"/>
  <c r="D101" i="18"/>
  <c r="C101" i="18"/>
  <c r="M100" i="18"/>
  <c r="K100" i="18"/>
  <c r="F100" i="18"/>
  <c r="E100" i="18"/>
  <c r="C99" i="18"/>
  <c r="C98" i="18"/>
  <c r="C97" i="18"/>
  <c r="O96" i="18"/>
  <c r="N96" i="18"/>
  <c r="M96" i="18"/>
  <c r="L96" i="18"/>
  <c r="K96" i="18"/>
  <c r="J96" i="18"/>
  <c r="I96" i="18"/>
  <c r="I85" i="18" s="1"/>
  <c r="H96" i="18"/>
  <c r="G96" i="18"/>
  <c r="F96" i="18"/>
  <c r="E96" i="18"/>
  <c r="D96" i="18"/>
  <c r="C96" i="18"/>
  <c r="C95" i="18"/>
  <c r="C94" i="18"/>
  <c r="C92" i="18" s="1"/>
  <c r="C93" i="18"/>
  <c r="O92" i="18"/>
  <c r="N92" i="18"/>
  <c r="N85" i="18" s="1"/>
  <c r="M92" i="18"/>
  <c r="L92" i="18"/>
  <c r="K92" i="18"/>
  <c r="J92" i="18"/>
  <c r="I92" i="18"/>
  <c r="H92" i="18"/>
  <c r="G92" i="18"/>
  <c r="F92" i="18"/>
  <c r="E92" i="18"/>
  <c r="E85" i="18" s="1"/>
  <c r="D92" i="18"/>
  <c r="C91" i="18"/>
  <c r="C90" i="18"/>
  <c r="C89" i="18"/>
  <c r="C88" i="18"/>
  <c r="C87" i="18"/>
  <c r="O86" i="18"/>
  <c r="N86" i="18"/>
  <c r="M86" i="18"/>
  <c r="L86" i="18"/>
  <c r="K86" i="18"/>
  <c r="K85" i="18" s="1"/>
  <c r="J86" i="18"/>
  <c r="I86" i="18"/>
  <c r="H86" i="18"/>
  <c r="H85" i="18" s="1"/>
  <c r="G86" i="18"/>
  <c r="F86" i="18"/>
  <c r="F85" i="18" s="1"/>
  <c r="E86" i="18"/>
  <c r="D86" i="18"/>
  <c r="L85" i="18"/>
  <c r="G85" i="18"/>
  <c r="G46" i="18" s="1"/>
  <c r="C8" i="18" s="1"/>
  <c r="D85" i="18"/>
  <c r="C84" i="18"/>
  <c r="C79" i="18" s="1"/>
  <c r="C83" i="18"/>
  <c r="C82" i="18"/>
  <c r="C81" i="18"/>
  <c r="C80" i="18"/>
  <c r="O79" i="18"/>
  <c r="N79" i="18"/>
  <c r="M79" i="18"/>
  <c r="L79" i="18"/>
  <c r="K79" i="18"/>
  <c r="J79" i="18"/>
  <c r="I79" i="18"/>
  <c r="H79" i="18"/>
  <c r="G79" i="18"/>
  <c r="F79" i="18"/>
  <c r="E79" i="18"/>
  <c r="D79" i="18"/>
  <c r="C78" i="18"/>
  <c r="C77" i="18"/>
  <c r="C76" i="18"/>
  <c r="C75" i="18"/>
  <c r="C74" i="18"/>
  <c r="C73" i="18"/>
  <c r="C72" i="18"/>
  <c r="C71" i="18"/>
  <c r="C70" i="18"/>
  <c r="C69" i="18"/>
  <c r="C68" i="18"/>
  <c r="C67" i="18"/>
  <c r="C66" i="18"/>
  <c r="C65" i="18" s="1"/>
  <c r="O65" i="18"/>
  <c r="N65" i="18"/>
  <c r="M65" i="18"/>
  <c r="L65" i="18"/>
  <c r="K65" i="18"/>
  <c r="J65" i="18"/>
  <c r="I65" i="18"/>
  <c r="H65" i="18"/>
  <c r="G65" i="18"/>
  <c r="F65" i="18"/>
  <c r="E65" i="18"/>
  <c r="D65" i="18"/>
  <c r="C64" i="18"/>
  <c r="C63" i="18"/>
  <c r="C62" i="18"/>
  <c r="O61" i="18"/>
  <c r="N61" i="18"/>
  <c r="M61" i="18"/>
  <c r="L61" i="18"/>
  <c r="K61" i="18"/>
  <c r="J61" i="18"/>
  <c r="I61" i="18"/>
  <c r="H61" i="18"/>
  <c r="G61" i="18"/>
  <c r="F61" i="18"/>
  <c r="E61" i="18"/>
  <c r="D61" i="18"/>
  <c r="C60" i="18"/>
  <c r="C59" i="18"/>
  <c r="C58" i="18"/>
  <c r="C57" i="18"/>
  <c r="C56" i="18"/>
  <c r="C55" i="18"/>
  <c r="C54" i="18"/>
  <c r="C53" i="18" s="1"/>
  <c r="O53" i="18"/>
  <c r="N53" i="18"/>
  <c r="M53" i="18"/>
  <c r="L53" i="18"/>
  <c r="K53" i="18"/>
  <c r="J53" i="18"/>
  <c r="I53" i="18"/>
  <c r="H53" i="18"/>
  <c r="G53" i="18"/>
  <c r="F53" i="18"/>
  <c r="E53" i="18"/>
  <c r="D53" i="18"/>
  <c r="C52" i="18"/>
  <c r="C51" i="18"/>
  <c r="C50" i="18"/>
  <c r="C49" i="18"/>
  <c r="C48" i="18"/>
  <c r="O47" i="18"/>
  <c r="N47" i="18"/>
  <c r="M47" i="18"/>
  <c r="L47" i="18"/>
  <c r="K47" i="18"/>
  <c r="J47" i="18"/>
  <c r="I47" i="18"/>
  <c r="H47" i="18"/>
  <c r="G47" i="18"/>
  <c r="F47" i="18"/>
  <c r="E47" i="18"/>
  <c r="D47" i="18"/>
  <c r="C42" i="18"/>
  <c r="C41" i="18"/>
  <c r="C40" i="18"/>
  <c r="C39" i="18"/>
  <c r="C36" i="18" s="1"/>
  <c r="C38" i="18"/>
  <c r="C37" i="18"/>
  <c r="O36" i="18"/>
  <c r="N36" i="18"/>
  <c r="M36" i="18"/>
  <c r="L36" i="18"/>
  <c r="L22" i="18" s="1"/>
  <c r="D13" i="18" s="1"/>
  <c r="K36" i="18"/>
  <c r="J36" i="18"/>
  <c r="I36" i="18"/>
  <c r="H36" i="18"/>
  <c r="G36" i="18"/>
  <c r="F36" i="18"/>
  <c r="F22" i="18" s="1"/>
  <c r="D7" i="18" s="1"/>
  <c r="E36" i="18"/>
  <c r="D36" i="18"/>
  <c r="C35" i="18"/>
  <c r="C34" i="18"/>
  <c r="C33" i="18"/>
  <c r="C32" i="18"/>
  <c r="C31" i="18"/>
  <c r="O30" i="18"/>
  <c r="N30" i="18"/>
  <c r="M30" i="18"/>
  <c r="L30" i="18"/>
  <c r="K30" i="18"/>
  <c r="J30" i="18"/>
  <c r="I30" i="18"/>
  <c r="H30" i="18"/>
  <c r="G30" i="18"/>
  <c r="F30" i="18"/>
  <c r="E30" i="18"/>
  <c r="D30" i="18"/>
  <c r="D22" i="18" s="1"/>
  <c r="C29" i="18"/>
  <c r="C28" i="18"/>
  <c r="C27" i="18"/>
  <c r="C26" i="18"/>
  <c r="C25" i="18"/>
  <c r="C24" i="18"/>
  <c r="O23" i="18"/>
  <c r="O22" i="18" s="1"/>
  <c r="D16" i="18" s="1"/>
  <c r="N23" i="18"/>
  <c r="M23" i="18"/>
  <c r="L23" i="18"/>
  <c r="K23" i="18"/>
  <c r="J23" i="18"/>
  <c r="I23" i="18"/>
  <c r="H23" i="18"/>
  <c r="H22" i="18" s="1"/>
  <c r="G23" i="18"/>
  <c r="F23" i="18"/>
  <c r="E23" i="18"/>
  <c r="D23" i="18"/>
  <c r="N22" i="18"/>
  <c r="I22" i="18"/>
  <c r="D10" i="18" s="1"/>
  <c r="G22" i="18"/>
  <c r="D8" i="18" s="1"/>
  <c r="E8" i="18" s="1"/>
  <c r="F8" i="18" s="1"/>
  <c r="E22" i="18"/>
  <c r="D15" i="18"/>
  <c r="D9" i="18"/>
  <c r="D6" i="18"/>
  <c r="D5" i="18"/>
  <c r="C4" i="18"/>
  <c r="F319" i="17"/>
  <c r="H121" i="34" s="1"/>
  <c r="E319" i="17"/>
  <c r="F309" i="17"/>
  <c r="E309" i="17"/>
  <c r="F299" i="17"/>
  <c r="E299" i="17"/>
  <c r="F289" i="17"/>
  <c r="H119" i="34" s="1"/>
  <c r="E289" i="17"/>
  <c r="F279" i="17"/>
  <c r="H118" i="34" s="1"/>
  <c r="E279" i="17"/>
  <c r="F269" i="17"/>
  <c r="H117" i="34" s="1"/>
  <c r="E269" i="17"/>
  <c r="E268" i="17" s="1"/>
  <c r="F258" i="17"/>
  <c r="H115" i="34" s="1"/>
  <c r="E258" i="17"/>
  <c r="F248" i="17"/>
  <c r="H114" i="34" s="1"/>
  <c r="E248" i="17"/>
  <c r="F238" i="17"/>
  <c r="H113" i="34" s="1"/>
  <c r="E238" i="17"/>
  <c r="F228" i="17"/>
  <c r="H112" i="34" s="1"/>
  <c r="E228" i="17"/>
  <c r="F218" i="17"/>
  <c r="H111" i="34" s="1"/>
  <c r="E218" i="17"/>
  <c r="F189" i="17"/>
  <c r="H110" i="34" s="1"/>
  <c r="E189" i="17"/>
  <c r="F183" i="17"/>
  <c r="H109" i="34" s="1"/>
  <c r="E183" i="17"/>
  <c r="F177" i="17"/>
  <c r="H108" i="34" s="1"/>
  <c r="E177" i="17"/>
  <c r="F171" i="17"/>
  <c r="H107" i="34" s="1"/>
  <c r="E171" i="17"/>
  <c r="F165" i="17"/>
  <c r="H106" i="34" s="1"/>
  <c r="E165" i="17"/>
  <c r="F159" i="17"/>
  <c r="H105" i="34" s="1"/>
  <c r="E159" i="17"/>
  <c r="F148" i="17"/>
  <c r="H103" i="34" s="1"/>
  <c r="E148" i="17"/>
  <c r="F121" i="17"/>
  <c r="H102" i="34" s="1"/>
  <c r="E121" i="17"/>
  <c r="E113" i="17" s="1"/>
  <c r="F114" i="17"/>
  <c r="E114" i="17"/>
  <c r="F109" i="17"/>
  <c r="H99" i="34" s="1"/>
  <c r="E109" i="17"/>
  <c r="F104" i="17"/>
  <c r="H98" i="34" s="1"/>
  <c r="E104" i="17"/>
  <c r="F88" i="17"/>
  <c r="H97" i="34" s="1"/>
  <c r="H96" i="34" s="1"/>
  <c r="E88" i="17"/>
  <c r="E87" i="17" s="1"/>
  <c r="F87" i="17"/>
  <c r="F63" i="17"/>
  <c r="E63" i="17"/>
  <c r="F38" i="17"/>
  <c r="E38" i="17"/>
  <c r="F35" i="17"/>
  <c r="H62" i="34" s="1"/>
  <c r="H61" i="34" s="1"/>
  <c r="F34" i="17"/>
  <c r="E34" i="17"/>
  <c r="F16" i="17"/>
  <c r="E16" i="17"/>
  <c r="F6" i="17"/>
  <c r="E6" i="17"/>
  <c r="F185" i="16"/>
  <c r="F183" i="16" s="1"/>
  <c r="H42" i="34" s="1"/>
  <c r="E183" i="16"/>
  <c r="F179" i="16"/>
  <c r="H41" i="34" s="1"/>
  <c r="E179" i="16"/>
  <c r="F164" i="16"/>
  <c r="H40" i="34" s="1"/>
  <c r="E164" i="16"/>
  <c r="F160" i="16"/>
  <c r="H39" i="34" s="1"/>
  <c r="E160" i="16"/>
  <c r="F158" i="16"/>
  <c r="F155" i="16"/>
  <c r="H38" i="34" s="1"/>
  <c r="E155" i="16"/>
  <c r="F153" i="16"/>
  <c r="F150" i="16" s="1"/>
  <c r="F151" i="16"/>
  <c r="E150" i="16"/>
  <c r="F145" i="16"/>
  <c r="F144" i="16"/>
  <c r="H35" i="34" s="1"/>
  <c r="E144" i="16"/>
  <c r="F137" i="16"/>
  <c r="H34" i="34" s="1"/>
  <c r="E137" i="16"/>
  <c r="E124" i="16" s="1"/>
  <c r="F132" i="16"/>
  <c r="H33" i="34" s="1"/>
  <c r="E132" i="16"/>
  <c r="F130" i="16"/>
  <c r="F129" i="16"/>
  <c r="F128" i="16" s="1"/>
  <c r="E128" i="16"/>
  <c r="F125" i="16"/>
  <c r="H31" i="34" s="1"/>
  <c r="E125" i="16"/>
  <c r="X123" i="16"/>
  <c r="W123" i="16"/>
  <c r="L123" i="16"/>
  <c r="X122" i="16"/>
  <c r="W122" i="16"/>
  <c r="L122" i="16"/>
  <c r="W121" i="16"/>
  <c r="X121" i="16" s="1"/>
  <c r="L121" i="16"/>
  <c r="W120" i="16"/>
  <c r="X120" i="16" s="1"/>
  <c r="L120" i="16"/>
  <c r="W119" i="16"/>
  <c r="X119" i="16" s="1"/>
  <c r="L119" i="16"/>
  <c r="X118" i="16"/>
  <c r="W118" i="16"/>
  <c r="L118" i="16"/>
  <c r="W117" i="16"/>
  <c r="X117" i="16" s="1"/>
  <c r="L117" i="16"/>
  <c r="W116" i="16"/>
  <c r="X116" i="16" s="1"/>
  <c r="L116" i="16"/>
  <c r="W115" i="16"/>
  <c r="X115" i="16" s="1"/>
  <c r="L115" i="16"/>
  <c r="X114" i="16"/>
  <c r="W114" i="16"/>
  <c r="L114" i="16"/>
  <c r="W113" i="16"/>
  <c r="X113" i="16" s="1"/>
  <c r="L113" i="16"/>
  <c r="W112" i="16"/>
  <c r="X112" i="16" s="1"/>
  <c r="L112" i="16"/>
  <c r="X111" i="16"/>
  <c r="W111" i="16"/>
  <c r="L111" i="16"/>
  <c r="X110" i="16"/>
  <c r="W110" i="16"/>
  <c r="L110" i="16"/>
  <c r="W109" i="16"/>
  <c r="X109" i="16" s="1"/>
  <c r="L109" i="16"/>
  <c r="W108" i="16"/>
  <c r="X108" i="16" s="1"/>
  <c r="L108" i="16"/>
  <c r="W107" i="16"/>
  <c r="X107" i="16" s="1"/>
  <c r="L107" i="16"/>
  <c r="X106" i="16"/>
  <c r="W106" i="16"/>
  <c r="L106" i="16"/>
  <c r="M105" i="16"/>
  <c r="L105" i="16"/>
  <c r="E105" i="16"/>
  <c r="F105" i="16" s="1"/>
  <c r="W105" i="16" s="1"/>
  <c r="X105" i="16" s="1"/>
  <c r="X104" i="16"/>
  <c r="W104" i="16"/>
  <c r="L104" i="16"/>
  <c r="E104" i="16"/>
  <c r="L103" i="16"/>
  <c r="F103" i="16"/>
  <c r="W103" i="16" s="1"/>
  <c r="X103" i="16" s="1"/>
  <c r="E103" i="16"/>
  <c r="W102" i="16"/>
  <c r="X102" i="16" s="1"/>
  <c r="L102" i="16"/>
  <c r="E102" i="16"/>
  <c r="F102" i="16" s="1"/>
  <c r="X101" i="16"/>
  <c r="L101" i="16"/>
  <c r="F101" i="16"/>
  <c r="W101" i="16" s="1"/>
  <c r="E101" i="16"/>
  <c r="L100" i="16"/>
  <c r="E100" i="16"/>
  <c r="F100" i="16" s="1"/>
  <c r="W100" i="16" s="1"/>
  <c r="X100" i="16" s="1"/>
  <c r="X99" i="16"/>
  <c r="L99" i="16"/>
  <c r="F99" i="16"/>
  <c r="W99" i="16" s="1"/>
  <c r="E99" i="16"/>
  <c r="X98" i="16"/>
  <c r="W98" i="16"/>
  <c r="L98" i="16"/>
  <c r="E98" i="16"/>
  <c r="L97" i="16"/>
  <c r="E97" i="16"/>
  <c r="F97" i="16" s="1"/>
  <c r="W97" i="16" s="1"/>
  <c r="X97" i="16" s="1"/>
  <c r="W96" i="16"/>
  <c r="X96" i="16" s="1"/>
  <c r="L96" i="16"/>
  <c r="F96" i="16"/>
  <c r="W95" i="16"/>
  <c r="X95" i="16" s="1"/>
  <c r="L95" i="16"/>
  <c r="E95" i="16"/>
  <c r="F95" i="16" s="1"/>
  <c r="L94" i="16"/>
  <c r="F94" i="16"/>
  <c r="W94" i="16" s="1"/>
  <c r="X94" i="16" s="1"/>
  <c r="E94" i="16"/>
  <c r="W93" i="16"/>
  <c r="X93" i="16" s="1"/>
  <c r="L93" i="16"/>
  <c r="E93" i="16"/>
  <c r="L92" i="16"/>
  <c r="F92" i="16"/>
  <c r="W92" i="16" s="1"/>
  <c r="X92" i="16" s="1"/>
  <c r="E92" i="16"/>
  <c r="W91" i="16"/>
  <c r="X91" i="16" s="1"/>
  <c r="L91" i="16"/>
  <c r="F91" i="16"/>
  <c r="X90" i="16"/>
  <c r="L90" i="16"/>
  <c r="E90" i="16"/>
  <c r="F90" i="16" s="1"/>
  <c r="W90" i="16" s="1"/>
  <c r="W89" i="16"/>
  <c r="X89" i="16" s="1"/>
  <c r="L89" i="16"/>
  <c r="F89" i="16"/>
  <c r="E89" i="16"/>
  <c r="L88" i="16"/>
  <c r="E88" i="16"/>
  <c r="F88" i="16" s="1"/>
  <c r="W88" i="16" s="1"/>
  <c r="X88" i="16" s="1"/>
  <c r="L87" i="16"/>
  <c r="E87" i="16"/>
  <c r="F87" i="16" s="1"/>
  <c r="W87" i="16" s="1"/>
  <c r="X87" i="16" s="1"/>
  <c r="W86" i="16"/>
  <c r="X86" i="16" s="1"/>
  <c r="L86" i="16"/>
  <c r="E86" i="16"/>
  <c r="F86" i="16" s="1"/>
  <c r="L85" i="16"/>
  <c r="E85" i="16"/>
  <c r="F85" i="16" s="1"/>
  <c r="W85" i="16" s="1"/>
  <c r="X85" i="16" s="1"/>
  <c r="X84" i="16"/>
  <c r="L84" i="16"/>
  <c r="F84" i="16"/>
  <c r="W84" i="16" s="1"/>
  <c r="E84" i="16"/>
  <c r="W83" i="16"/>
  <c r="X83" i="16" s="1"/>
  <c r="L83" i="16"/>
  <c r="F83" i="16"/>
  <c r="E83" i="16"/>
  <c r="L82" i="16"/>
  <c r="F82" i="16"/>
  <c r="W82" i="16" s="1"/>
  <c r="X82" i="16" s="1"/>
  <c r="E82" i="16"/>
  <c r="W81" i="16"/>
  <c r="X81" i="16" s="1"/>
  <c r="L81" i="16"/>
  <c r="F81" i="16"/>
  <c r="W80" i="16"/>
  <c r="X80" i="16" s="1"/>
  <c r="L80" i="16"/>
  <c r="E80" i="16"/>
  <c r="F80" i="16" s="1"/>
  <c r="L79" i="16"/>
  <c r="F79" i="16"/>
  <c r="W79" i="16" s="1"/>
  <c r="X79" i="16" s="1"/>
  <c r="E79" i="16"/>
  <c r="W78" i="16"/>
  <c r="X78" i="16" s="1"/>
  <c r="L78" i="16"/>
  <c r="F78" i="16"/>
  <c r="E78" i="16"/>
  <c r="W77" i="16"/>
  <c r="X77" i="16" s="1"/>
  <c r="L77" i="16"/>
  <c r="E77" i="16"/>
  <c r="F77" i="16" s="1"/>
  <c r="L76" i="16"/>
  <c r="E76" i="16"/>
  <c r="F76" i="16" s="1"/>
  <c r="W76" i="16" s="1"/>
  <c r="X76" i="16" s="1"/>
  <c r="X75" i="16"/>
  <c r="L75" i="16"/>
  <c r="E75" i="16"/>
  <c r="F75" i="16" s="1"/>
  <c r="W75" i="16" s="1"/>
  <c r="X74" i="16"/>
  <c r="W74" i="16"/>
  <c r="L74" i="16"/>
  <c r="E74" i="16"/>
  <c r="W73" i="16"/>
  <c r="X73" i="16" s="1"/>
  <c r="L73" i="16"/>
  <c r="F73" i="16"/>
  <c r="E73" i="16"/>
  <c r="W72" i="16"/>
  <c r="X72" i="16" s="1"/>
  <c r="L72" i="16"/>
  <c r="E72" i="16"/>
  <c r="F72" i="16" s="1"/>
  <c r="L71" i="16"/>
  <c r="E71" i="16"/>
  <c r="F71" i="16" s="1"/>
  <c r="W71" i="16" s="1"/>
  <c r="X71" i="16" s="1"/>
  <c r="X70" i="16"/>
  <c r="W70" i="16"/>
  <c r="L70" i="16"/>
  <c r="E70" i="16"/>
  <c r="W69" i="16"/>
  <c r="X69" i="16" s="1"/>
  <c r="L69" i="16"/>
  <c r="E69" i="16"/>
  <c r="L68" i="16"/>
  <c r="E68" i="16"/>
  <c r="F68" i="16" s="1"/>
  <c r="W68" i="16" s="1"/>
  <c r="X68" i="16" s="1"/>
  <c r="L67" i="16"/>
  <c r="E67" i="16"/>
  <c r="F67" i="16" s="1"/>
  <c r="W67" i="16" s="1"/>
  <c r="X67" i="16" s="1"/>
  <c r="X66" i="16"/>
  <c r="L66" i="16"/>
  <c r="E66" i="16"/>
  <c r="F66" i="16" s="1"/>
  <c r="W66" i="16" s="1"/>
  <c r="L65" i="16"/>
  <c r="E65" i="16"/>
  <c r="F65" i="16" s="1"/>
  <c r="W65" i="16" s="1"/>
  <c r="X65" i="16" s="1"/>
  <c r="L64" i="16"/>
  <c r="F64" i="16"/>
  <c r="W64" i="16" s="1"/>
  <c r="X64" i="16" s="1"/>
  <c r="E64" i="16"/>
  <c r="M63" i="16"/>
  <c r="L63" i="16"/>
  <c r="W62" i="16"/>
  <c r="X62" i="16" s="1"/>
  <c r="L62" i="16"/>
  <c r="E62" i="16"/>
  <c r="X61" i="16"/>
  <c r="W61" i="16"/>
  <c r="L61" i="16"/>
  <c r="E61" i="16"/>
  <c r="W60" i="16"/>
  <c r="X60" i="16" s="1"/>
  <c r="L60" i="16"/>
  <c r="E60" i="16"/>
  <c r="M59" i="16"/>
  <c r="L59" i="16"/>
  <c r="F59" i="16"/>
  <c r="W59" i="16" s="1"/>
  <c r="X59" i="16" s="1"/>
  <c r="W58" i="16"/>
  <c r="X58" i="16" s="1"/>
  <c r="L58" i="16"/>
  <c r="E58" i="16"/>
  <c r="F58" i="16" s="1"/>
  <c r="L57" i="16"/>
  <c r="E57" i="16"/>
  <c r="F57" i="16" s="1"/>
  <c r="W57" i="16" s="1"/>
  <c r="X57" i="16" s="1"/>
  <c r="W56" i="16"/>
  <c r="X56" i="16" s="1"/>
  <c r="L56" i="16"/>
  <c r="F56" i="16"/>
  <c r="E56" i="16"/>
  <c r="M55" i="16"/>
  <c r="F55" i="16" s="1"/>
  <c r="W55" i="16" s="1"/>
  <c r="X55" i="16" s="1"/>
  <c r="L55" i="16"/>
  <c r="L54" i="16"/>
  <c r="E54" i="16"/>
  <c r="F54" i="16" s="1"/>
  <c r="W54" i="16" s="1"/>
  <c r="X54" i="16" s="1"/>
  <c r="L53" i="16"/>
  <c r="F53" i="16"/>
  <c r="W53" i="16" s="1"/>
  <c r="X53" i="16" s="1"/>
  <c r="E53" i="16"/>
  <c r="W52" i="16"/>
  <c r="X52" i="16" s="1"/>
  <c r="L52" i="16"/>
  <c r="F52" i="16"/>
  <c r="E52" i="16"/>
  <c r="L51" i="16"/>
  <c r="E51" i="16"/>
  <c r="F51" i="16" s="1"/>
  <c r="W51" i="16" s="1"/>
  <c r="X51" i="16" s="1"/>
  <c r="L50" i="16"/>
  <c r="E50" i="16"/>
  <c r="F50" i="16" s="1"/>
  <c r="W50" i="16" s="1"/>
  <c r="X50" i="16" s="1"/>
  <c r="L49" i="16"/>
  <c r="F49" i="16"/>
  <c r="W49" i="16" s="1"/>
  <c r="X49" i="16" s="1"/>
  <c r="E49" i="16"/>
  <c r="W48" i="16"/>
  <c r="X48" i="16" s="1"/>
  <c r="L48" i="16"/>
  <c r="F48" i="16"/>
  <c r="E48" i="16"/>
  <c r="X47" i="16"/>
  <c r="L47" i="16"/>
  <c r="F47" i="16"/>
  <c r="W47" i="16" s="1"/>
  <c r="E47" i="16"/>
  <c r="L46" i="16"/>
  <c r="F46" i="16"/>
  <c r="W46" i="16" s="1"/>
  <c r="X46" i="16" s="1"/>
  <c r="E46" i="16"/>
  <c r="L45" i="16"/>
  <c r="F45" i="16"/>
  <c r="W45" i="16" s="1"/>
  <c r="X45" i="16" s="1"/>
  <c r="E45" i="16"/>
  <c r="W44" i="16"/>
  <c r="X44" i="16" s="1"/>
  <c r="L44" i="16"/>
  <c r="F44" i="16"/>
  <c r="E44" i="16"/>
  <c r="W43" i="16"/>
  <c r="X43" i="16" s="1"/>
  <c r="L43" i="16"/>
  <c r="E43" i="16"/>
  <c r="F43" i="16" s="1"/>
  <c r="X42" i="16"/>
  <c r="L42" i="16"/>
  <c r="E42" i="16"/>
  <c r="F42" i="16" s="1"/>
  <c r="W42" i="16" s="1"/>
  <c r="M41" i="16"/>
  <c r="F41" i="16" s="1"/>
  <c r="W41" i="16" s="1"/>
  <c r="X41" i="16" s="1"/>
  <c r="L41" i="16"/>
  <c r="W40" i="16"/>
  <c r="X40" i="16" s="1"/>
  <c r="L40" i="16"/>
  <c r="F40" i="16"/>
  <c r="E40" i="16"/>
  <c r="X39" i="16"/>
  <c r="W39" i="16"/>
  <c r="L39" i="16"/>
  <c r="F39" i="16"/>
  <c r="E39" i="16"/>
  <c r="L38" i="16"/>
  <c r="F38" i="16"/>
  <c r="W38" i="16" s="1"/>
  <c r="X38" i="16" s="1"/>
  <c r="E38" i="16"/>
  <c r="W37" i="16"/>
  <c r="X37" i="16" s="1"/>
  <c r="L37" i="16"/>
  <c r="F37" i="16"/>
  <c r="E37" i="16"/>
  <c r="W36" i="16"/>
  <c r="X36" i="16" s="1"/>
  <c r="L36" i="16"/>
  <c r="F36" i="16"/>
  <c r="E36" i="16"/>
  <c r="L35" i="16"/>
  <c r="E35" i="16"/>
  <c r="F35" i="16" s="1"/>
  <c r="W35" i="16" s="1"/>
  <c r="X35" i="16" s="1"/>
  <c r="X34" i="16"/>
  <c r="L34" i="16"/>
  <c r="F34" i="16"/>
  <c r="W34" i="16" s="1"/>
  <c r="E34" i="16"/>
  <c r="X33" i="16"/>
  <c r="W33" i="16"/>
  <c r="L33" i="16"/>
  <c r="E33" i="16"/>
  <c r="L32" i="16"/>
  <c r="F32" i="16"/>
  <c r="W32" i="16" s="1"/>
  <c r="X32" i="16" s="1"/>
  <c r="E32" i="16"/>
  <c r="W31" i="16"/>
  <c r="X31" i="16" s="1"/>
  <c r="L31" i="16"/>
  <c r="F31" i="16"/>
  <c r="E31" i="16"/>
  <c r="X30" i="16"/>
  <c r="W30" i="16"/>
  <c r="L30" i="16"/>
  <c r="E30" i="16"/>
  <c r="W29" i="16"/>
  <c r="X29" i="16" s="1"/>
  <c r="L29" i="16"/>
  <c r="E29" i="16"/>
  <c r="X28" i="16"/>
  <c r="W28" i="16"/>
  <c r="L28" i="16"/>
  <c r="E28" i="16"/>
  <c r="F28" i="16" s="1"/>
  <c r="L27" i="16"/>
  <c r="F27" i="16"/>
  <c r="W27" i="16" s="1"/>
  <c r="X27" i="16" s="1"/>
  <c r="E27" i="16"/>
  <c r="X26" i="16"/>
  <c r="L26" i="16"/>
  <c r="E26" i="16"/>
  <c r="F26" i="16" s="1"/>
  <c r="W26" i="16" s="1"/>
  <c r="L25" i="16"/>
  <c r="E25" i="16"/>
  <c r="F25" i="16" s="1"/>
  <c r="W25" i="16" s="1"/>
  <c r="X25" i="16" s="1"/>
  <c r="W24" i="16"/>
  <c r="X24" i="16" s="1"/>
  <c r="L24" i="16"/>
  <c r="E24" i="16"/>
  <c r="F24" i="16" s="1"/>
  <c r="X23" i="16"/>
  <c r="W23" i="16"/>
  <c r="L23" i="16"/>
  <c r="E23" i="16"/>
  <c r="X22" i="16"/>
  <c r="W22" i="16"/>
  <c r="L22" i="16"/>
  <c r="E22" i="16"/>
  <c r="W21" i="16"/>
  <c r="X21" i="16" s="1"/>
  <c r="L21" i="16"/>
  <c r="E21" i="16"/>
  <c r="L20" i="16"/>
  <c r="F20" i="16"/>
  <c r="W20" i="16" s="1"/>
  <c r="X20" i="16" s="1"/>
  <c r="E20" i="16"/>
  <c r="L19" i="16"/>
  <c r="E19" i="16"/>
  <c r="F19" i="16" s="1"/>
  <c r="W19" i="16" s="1"/>
  <c r="X19" i="16" s="1"/>
  <c r="L18" i="16"/>
  <c r="F18" i="16"/>
  <c r="W18" i="16" s="1"/>
  <c r="X18" i="16" s="1"/>
  <c r="E18" i="16"/>
  <c r="W17" i="16"/>
  <c r="X17" i="16" s="1"/>
  <c r="L17" i="16"/>
  <c r="E17" i="16"/>
  <c r="F17" i="16" s="1"/>
  <c r="W16" i="16"/>
  <c r="X16" i="16" s="1"/>
  <c r="L16" i="16"/>
  <c r="L6" i="16" s="1"/>
  <c r="E16" i="16"/>
  <c r="F16" i="16" s="1"/>
  <c r="L15" i="16"/>
  <c r="E15" i="16"/>
  <c r="F15" i="16" s="1"/>
  <c r="W15" i="16" s="1"/>
  <c r="X15" i="16" s="1"/>
  <c r="X14" i="16"/>
  <c r="W14" i="16"/>
  <c r="L14" i="16"/>
  <c r="E14" i="16"/>
  <c r="W13" i="16"/>
  <c r="X13" i="16" s="1"/>
  <c r="L13" i="16"/>
  <c r="E13" i="16"/>
  <c r="L12" i="16"/>
  <c r="E12" i="16"/>
  <c r="F12" i="16" s="1"/>
  <c r="L11" i="16"/>
  <c r="E11" i="16"/>
  <c r="F11" i="16" s="1"/>
  <c r="W11" i="16" s="1"/>
  <c r="X11" i="16" s="1"/>
  <c r="X10" i="16"/>
  <c r="W10" i="16"/>
  <c r="L10" i="16"/>
  <c r="X9" i="16"/>
  <c r="W9" i="16"/>
  <c r="L9" i="16"/>
  <c r="X8" i="16"/>
  <c r="W8" i="16"/>
  <c r="L8" i="16"/>
  <c r="X7" i="16"/>
  <c r="W7" i="16"/>
  <c r="L7" i="16"/>
  <c r="U6" i="16"/>
  <c r="T6" i="16"/>
  <c r="H29" i="34" s="1"/>
  <c r="S6" i="16"/>
  <c r="H28" i="34" s="1"/>
  <c r="R6" i="16"/>
  <c r="H27" i="34" s="1"/>
  <c r="Q6" i="16"/>
  <c r="H26" i="34" s="1"/>
  <c r="P6" i="16"/>
  <c r="H25" i="34" s="1"/>
  <c r="O6" i="16"/>
  <c r="N6" i="16"/>
  <c r="J6" i="16"/>
  <c r="F305" i="15"/>
  <c r="G121" i="34" s="1"/>
  <c r="E305" i="15"/>
  <c r="F295" i="15"/>
  <c r="E295" i="15"/>
  <c r="F285" i="15"/>
  <c r="E285" i="15"/>
  <c r="F275" i="15"/>
  <c r="E275" i="15"/>
  <c r="F265" i="15"/>
  <c r="E265" i="15"/>
  <c r="F255" i="15"/>
  <c r="E255" i="15"/>
  <c r="F254" i="15"/>
  <c r="F244" i="15"/>
  <c r="E244" i="15"/>
  <c r="F234" i="15"/>
  <c r="E234" i="15"/>
  <c r="F224" i="15"/>
  <c r="E224" i="15"/>
  <c r="F214" i="15"/>
  <c r="E214" i="15"/>
  <c r="F204" i="15"/>
  <c r="E204" i="15"/>
  <c r="F175" i="15"/>
  <c r="E175" i="15"/>
  <c r="F169" i="15"/>
  <c r="E169" i="15"/>
  <c r="F163" i="15"/>
  <c r="E163" i="15"/>
  <c r="F157" i="15"/>
  <c r="E157" i="15"/>
  <c r="F151" i="15"/>
  <c r="F144" i="15" s="1"/>
  <c r="E151" i="15"/>
  <c r="F145" i="15"/>
  <c r="E145" i="15"/>
  <c r="E144" i="15" s="1"/>
  <c r="F134" i="15"/>
  <c r="E134" i="15"/>
  <c r="F118" i="15"/>
  <c r="E118" i="15"/>
  <c r="F112" i="15"/>
  <c r="E112" i="15"/>
  <c r="F111" i="15"/>
  <c r="E111" i="15"/>
  <c r="F107" i="15"/>
  <c r="E107" i="15"/>
  <c r="E85" i="15" s="1"/>
  <c r="F102" i="15"/>
  <c r="E102" i="15"/>
  <c r="F86" i="15"/>
  <c r="F85" i="15" s="1"/>
  <c r="E86" i="15"/>
  <c r="F63" i="15"/>
  <c r="E63" i="15"/>
  <c r="F39" i="15"/>
  <c r="G66" i="34" s="1"/>
  <c r="G65" i="34" s="1"/>
  <c r="F38" i="15"/>
  <c r="E38" i="15"/>
  <c r="F35" i="15"/>
  <c r="G62" i="34" s="1"/>
  <c r="G61" i="34" s="1"/>
  <c r="F34" i="15"/>
  <c r="E34" i="15"/>
  <c r="F16" i="15"/>
  <c r="E16" i="15"/>
  <c r="F6" i="15"/>
  <c r="E6" i="15"/>
  <c r="F186" i="14"/>
  <c r="F184" i="14"/>
  <c r="E184" i="14"/>
  <c r="F180" i="14"/>
  <c r="E180" i="14"/>
  <c r="F165" i="14"/>
  <c r="E165" i="14"/>
  <c r="F161" i="14"/>
  <c r="E161" i="14"/>
  <c r="F159" i="14"/>
  <c r="F157" i="14"/>
  <c r="E156" i="14"/>
  <c r="F154" i="14"/>
  <c r="F152" i="14"/>
  <c r="F151" i="14"/>
  <c r="E151" i="14"/>
  <c r="F148" i="14"/>
  <c r="F146" i="14" s="1"/>
  <c r="E146" i="14"/>
  <c r="F144" i="14"/>
  <c r="F142" i="14"/>
  <c r="F141" i="14"/>
  <c r="F140" i="14"/>
  <c r="E139" i="14"/>
  <c r="F134" i="14"/>
  <c r="E134" i="14"/>
  <c r="F133" i="14"/>
  <c r="F130" i="14"/>
  <c r="E130" i="14"/>
  <c r="F127" i="14"/>
  <c r="E127" i="14"/>
  <c r="E126" i="14"/>
  <c r="X125" i="14"/>
  <c r="W125" i="14"/>
  <c r="L125" i="14"/>
  <c r="X124" i="14"/>
  <c r="W124" i="14"/>
  <c r="L124" i="14"/>
  <c r="X123" i="14"/>
  <c r="W123" i="14"/>
  <c r="L123" i="14"/>
  <c r="X122" i="14"/>
  <c r="W122" i="14"/>
  <c r="L122" i="14"/>
  <c r="X121" i="14"/>
  <c r="W121" i="14"/>
  <c r="L121" i="14"/>
  <c r="X120" i="14"/>
  <c r="W120" i="14"/>
  <c r="L120" i="14"/>
  <c r="X119" i="14"/>
  <c r="W119" i="14"/>
  <c r="L119" i="14"/>
  <c r="X118" i="14"/>
  <c r="W118" i="14"/>
  <c r="L118" i="14"/>
  <c r="X117" i="14"/>
  <c r="W117" i="14"/>
  <c r="L117" i="14"/>
  <c r="X116" i="14"/>
  <c r="W116" i="14"/>
  <c r="L116" i="14"/>
  <c r="X115" i="14"/>
  <c r="W115" i="14"/>
  <c r="L115" i="14"/>
  <c r="X114" i="14"/>
  <c r="W114" i="14"/>
  <c r="L114" i="14"/>
  <c r="X113" i="14"/>
  <c r="W113" i="14"/>
  <c r="L113" i="14"/>
  <c r="X112" i="14"/>
  <c r="W112" i="14"/>
  <c r="L112" i="14"/>
  <c r="X111" i="14"/>
  <c r="W111" i="14"/>
  <c r="L111" i="14"/>
  <c r="X110" i="14"/>
  <c r="W110" i="14"/>
  <c r="L110" i="14"/>
  <c r="X109" i="14"/>
  <c r="W109" i="14"/>
  <c r="L109" i="14"/>
  <c r="X108" i="14"/>
  <c r="W108" i="14"/>
  <c r="L108" i="14"/>
  <c r="X107" i="14"/>
  <c r="W107" i="14"/>
  <c r="L107" i="14"/>
  <c r="X106" i="14"/>
  <c r="W106" i="14"/>
  <c r="L106" i="14"/>
  <c r="M105" i="14"/>
  <c r="E105" i="14" s="1"/>
  <c r="F105" i="14" s="1"/>
  <c r="W105" i="14" s="1"/>
  <c r="X105" i="14" s="1"/>
  <c r="L105" i="14"/>
  <c r="L104" i="14"/>
  <c r="F104" i="14"/>
  <c r="W104" i="14" s="1"/>
  <c r="X104" i="14" s="1"/>
  <c r="E104" i="14"/>
  <c r="W103" i="14"/>
  <c r="X103" i="14" s="1"/>
  <c r="L103" i="14"/>
  <c r="E103" i="14"/>
  <c r="F103" i="14" s="1"/>
  <c r="L102" i="14"/>
  <c r="E102" i="14"/>
  <c r="F102" i="14" s="1"/>
  <c r="W102" i="14" s="1"/>
  <c r="X102" i="14" s="1"/>
  <c r="X101" i="14"/>
  <c r="L101" i="14"/>
  <c r="F101" i="14"/>
  <c r="W101" i="14" s="1"/>
  <c r="E101" i="14"/>
  <c r="W100" i="14"/>
  <c r="X100" i="14" s="1"/>
  <c r="L100" i="14"/>
  <c r="E100" i="14"/>
  <c r="X99" i="14"/>
  <c r="W99" i="14"/>
  <c r="L99" i="14"/>
  <c r="E99" i="14"/>
  <c r="W98" i="14"/>
  <c r="X98" i="14" s="1"/>
  <c r="L98" i="14"/>
  <c r="E98" i="14"/>
  <c r="L97" i="14"/>
  <c r="E97" i="14"/>
  <c r="F97" i="14" s="1"/>
  <c r="W97" i="14" s="1"/>
  <c r="X97" i="14" s="1"/>
  <c r="W96" i="14"/>
  <c r="X96" i="14" s="1"/>
  <c r="L96" i="14"/>
  <c r="E96" i="14"/>
  <c r="F96" i="14" s="1"/>
  <c r="X95" i="14"/>
  <c r="W95" i="14"/>
  <c r="L95" i="14"/>
  <c r="E95" i="14"/>
  <c r="L94" i="14"/>
  <c r="E94" i="14"/>
  <c r="F94" i="14" s="1"/>
  <c r="W94" i="14" s="1"/>
  <c r="X94" i="14" s="1"/>
  <c r="L93" i="14"/>
  <c r="F93" i="14"/>
  <c r="W93" i="14" s="1"/>
  <c r="X93" i="14" s="1"/>
  <c r="E93" i="14"/>
  <c r="L92" i="14"/>
  <c r="E92" i="14"/>
  <c r="F92" i="14" s="1"/>
  <c r="W92" i="14" s="1"/>
  <c r="X92" i="14" s="1"/>
  <c r="W91" i="14"/>
  <c r="X91" i="14" s="1"/>
  <c r="L91" i="14"/>
  <c r="E91" i="14"/>
  <c r="F91" i="14" s="1"/>
  <c r="L90" i="14"/>
  <c r="F90" i="14"/>
  <c r="W90" i="14" s="1"/>
  <c r="X90" i="14" s="1"/>
  <c r="E90" i="14"/>
  <c r="L89" i="14"/>
  <c r="E89" i="14"/>
  <c r="F89" i="14" s="1"/>
  <c r="W89" i="14" s="1"/>
  <c r="X89" i="14" s="1"/>
  <c r="L88" i="14"/>
  <c r="E88" i="14"/>
  <c r="F88" i="14" s="1"/>
  <c r="W88" i="14" s="1"/>
  <c r="X88" i="14" s="1"/>
  <c r="X87" i="14"/>
  <c r="L87" i="14"/>
  <c r="F87" i="14"/>
  <c r="W87" i="14" s="1"/>
  <c r="E87" i="14"/>
  <c r="W86" i="14"/>
  <c r="X86" i="14" s="1"/>
  <c r="L86" i="14"/>
  <c r="E86" i="14"/>
  <c r="L85" i="14"/>
  <c r="F85" i="14"/>
  <c r="W85" i="14" s="1"/>
  <c r="X85" i="14" s="1"/>
  <c r="E85" i="14"/>
  <c r="L84" i="14"/>
  <c r="E84" i="14"/>
  <c r="F84" i="14" s="1"/>
  <c r="W84" i="14" s="1"/>
  <c r="X84" i="14" s="1"/>
  <c r="L83" i="14"/>
  <c r="E83" i="14"/>
  <c r="F83" i="14" s="1"/>
  <c r="W83" i="14" s="1"/>
  <c r="X83" i="14" s="1"/>
  <c r="X82" i="14"/>
  <c r="M82" i="14"/>
  <c r="F82" i="14" s="1"/>
  <c r="W82" i="14" s="1"/>
  <c r="L82" i="14"/>
  <c r="E82" i="14"/>
  <c r="M81" i="14"/>
  <c r="L81" i="14"/>
  <c r="L80" i="14"/>
  <c r="F80" i="14"/>
  <c r="W80" i="14" s="1"/>
  <c r="X80" i="14" s="1"/>
  <c r="E80" i="14"/>
  <c r="L79" i="14"/>
  <c r="F79" i="14"/>
  <c r="W79" i="14" s="1"/>
  <c r="X79" i="14" s="1"/>
  <c r="E79" i="14"/>
  <c r="W78" i="14"/>
  <c r="X78" i="14" s="1"/>
  <c r="L78" i="14"/>
  <c r="E78" i="14"/>
  <c r="F78" i="14" s="1"/>
  <c r="L77" i="14"/>
  <c r="F77" i="14"/>
  <c r="W77" i="14" s="1"/>
  <c r="X77" i="14" s="1"/>
  <c r="E77" i="14"/>
  <c r="X76" i="14"/>
  <c r="W76" i="14"/>
  <c r="L76" i="14"/>
  <c r="E76" i="14"/>
  <c r="U75" i="14"/>
  <c r="P75" i="14"/>
  <c r="O75" i="14"/>
  <c r="N75" i="14"/>
  <c r="M75" i="14"/>
  <c r="L75" i="14"/>
  <c r="F75" i="14"/>
  <c r="W75" i="14" s="1"/>
  <c r="X75" i="14" s="1"/>
  <c r="X74" i="14"/>
  <c r="W74" i="14"/>
  <c r="L74" i="14"/>
  <c r="F74" i="14"/>
  <c r="E74" i="14"/>
  <c r="L73" i="14"/>
  <c r="E73" i="14"/>
  <c r="F73" i="14" s="1"/>
  <c r="W73" i="14" s="1"/>
  <c r="X73" i="14" s="1"/>
  <c r="W72" i="14"/>
  <c r="X72" i="14" s="1"/>
  <c r="L72" i="14"/>
  <c r="E72" i="14"/>
  <c r="W71" i="14"/>
  <c r="X71" i="14" s="1"/>
  <c r="L71" i="14"/>
  <c r="E71" i="14"/>
  <c r="L70" i="14"/>
  <c r="F70" i="14"/>
  <c r="W70" i="14" s="1"/>
  <c r="X70" i="14" s="1"/>
  <c r="E70" i="14"/>
  <c r="X69" i="14"/>
  <c r="W69" i="14"/>
  <c r="L69" i="14"/>
  <c r="E69" i="14"/>
  <c r="L68" i="14"/>
  <c r="F68" i="14"/>
  <c r="W68" i="14" s="1"/>
  <c r="X68" i="14" s="1"/>
  <c r="E68" i="14"/>
  <c r="L67" i="14"/>
  <c r="E67" i="14"/>
  <c r="F67" i="14" s="1"/>
  <c r="W67" i="14" s="1"/>
  <c r="X67" i="14" s="1"/>
  <c r="X66" i="14"/>
  <c r="L66" i="14"/>
  <c r="E66" i="14"/>
  <c r="F66" i="14" s="1"/>
  <c r="W66" i="14" s="1"/>
  <c r="X65" i="14"/>
  <c r="W65" i="14"/>
  <c r="L65" i="14"/>
  <c r="E65" i="14"/>
  <c r="U64" i="14"/>
  <c r="P64" i="14"/>
  <c r="O64" i="14"/>
  <c r="N64" i="14"/>
  <c r="M64" i="14"/>
  <c r="L64" i="14"/>
  <c r="W63" i="14"/>
  <c r="X63" i="14" s="1"/>
  <c r="L63" i="14"/>
  <c r="E63" i="14"/>
  <c r="X62" i="14"/>
  <c r="W62" i="14"/>
  <c r="L62" i="14"/>
  <c r="E62" i="14"/>
  <c r="X61" i="14"/>
  <c r="W61" i="14"/>
  <c r="L61" i="14"/>
  <c r="E61" i="14"/>
  <c r="L60" i="14"/>
  <c r="E60" i="14"/>
  <c r="F60" i="14" s="1"/>
  <c r="W60" i="14" s="1"/>
  <c r="X60" i="14" s="1"/>
  <c r="X59" i="14"/>
  <c r="W59" i="14"/>
  <c r="L59" i="14"/>
  <c r="F59" i="14"/>
  <c r="E59" i="14"/>
  <c r="L58" i="14"/>
  <c r="F58" i="14"/>
  <c r="W58" i="14" s="1"/>
  <c r="X58" i="14" s="1"/>
  <c r="E58" i="14"/>
  <c r="W57" i="14"/>
  <c r="X57" i="14" s="1"/>
  <c r="L57" i="14"/>
  <c r="E57" i="14"/>
  <c r="X56" i="14"/>
  <c r="W56" i="14"/>
  <c r="L56" i="14"/>
  <c r="E56" i="14"/>
  <c r="F56" i="14" s="1"/>
  <c r="L55" i="14"/>
  <c r="E55" i="14"/>
  <c r="F55" i="14" s="1"/>
  <c r="W55" i="14" s="1"/>
  <c r="X55" i="14" s="1"/>
  <c r="W54" i="14"/>
  <c r="X54" i="14" s="1"/>
  <c r="L54" i="14"/>
  <c r="F54" i="14"/>
  <c r="E54" i="14"/>
  <c r="P53" i="14"/>
  <c r="O53" i="14"/>
  <c r="N53" i="14"/>
  <c r="M53" i="14"/>
  <c r="L53" i="14"/>
  <c r="W52" i="14"/>
  <c r="X52" i="14" s="1"/>
  <c r="U52" i="14"/>
  <c r="U6" i="14" s="1"/>
  <c r="S52" i="14"/>
  <c r="P52" i="14"/>
  <c r="O52" i="14"/>
  <c r="N52" i="14"/>
  <c r="M52" i="14"/>
  <c r="F52" i="14" s="1"/>
  <c r="L52" i="14"/>
  <c r="L51" i="14"/>
  <c r="E51" i="14"/>
  <c r="F51" i="14" s="1"/>
  <c r="W51" i="14" s="1"/>
  <c r="X51" i="14" s="1"/>
  <c r="L50" i="14"/>
  <c r="E50" i="14"/>
  <c r="F50" i="14" s="1"/>
  <c r="W50" i="14" s="1"/>
  <c r="X50" i="14" s="1"/>
  <c r="L49" i="14"/>
  <c r="F49" i="14"/>
  <c r="W49" i="14" s="1"/>
  <c r="X49" i="14" s="1"/>
  <c r="E49" i="14"/>
  <c r="L48" i="14"/>
  <c r="E48" i="14"/>
  <c r="F48" i="14" s="1"/>
  <c r="W48" i="14" s="1"/>
  <c r="X48" i="14" s="1"/>
  <c r="L47" i="14"/>
  <c r="E47" i="14"/>
  <c r="F47" i="14" s="1"/>
  <c r="W47" i="14" s="1"/>
  <c r="X47" i="14" s="1"/>
  <c r="L46" i="14"/>
  <c r="F46" i="14"/>
  <c r="W46" i="14" s="1"/>
  <c r="X46" i="14" s="1"/>
  <c r="E46" i="14"/>
  <c r="W45" i="14"/>
  <c r="X45" i="14" s="1"/>
  <c r="L45" i="14"/>
  <c r="E45" i="14"/>
  <c r="X44" i="14"/>
  <c r="W44" i="14"/>
  <c r="L44" i="14"/>
  <c r="E44" i="14"/>
  <c r="W43" i="14"/>
  <c r="X43" i="14" s="1"/>
  <c r="L43" i="14"/>
  <c r="E43" i="14"/>
  <c r="L42" i="14"/>
  <c r="F42" i="14"/>
  <c r="W42" i="14" s="1"/>
  <c r="X42" i="14" s="1"/>
  <c r="E42" i="14"/>
  <c r="L41" i="14"/>
  <c r="E41" i="14"/>
  <c r="F41" i="14" s="1"/>
  <c r="W41" i="14" s="1"/>
  <c r="X41" i="14" s="1"/>
  <c r="X40" i="14"/>
  <c r="L40" i="14"/>
  <c r="F40" i="14"/>
  <c r="W40" i="14" s="1"/>
  <c r="E40" i="14"/>
  <c r="W39" i="14"/>
  <c r="X39" i="14" s="1"/>
  <c r="L39" i="14"/>
  <c r="E39" i="14"/>
  <c r="F39" i="14" s="1"/>
  <c r="L38" i="14"/>
  <c r="E38" i="14"/>
  <c r="F38" i="14" s="1"/>
  <c r="W38" i="14" s="1"/>
  <c r="X38" i="14" s="1"/>
  <c r="M37" i="14"/>
  <c r="L37" i="14"/>
  <c r="E37" i="14"/>
  <c r="F37" i="14" s="1"/>
  <c r="W37" i="14" s="1"/>
  <c r="X37" i="14" s="1"/>
  <c r="W36" i="14"/>
  <c r="X36" i="14" s="1"/>
  <c r="L36" i="14"/>
  <c r="F36" i="14"/>
  <c r="E36" i="14"/>
  <c r="L35" i="14"/>
  <c r="E35" i="14"/>
  <c r="F35" i="14" s="1"/>
  <c r="W35" i="14" s="1"/>
  <c r="X35" i="14" s="1"/>
  <c r="W34" i="14"/>
  <c r="X34" i="14" s="1"/>
  <c r="L34" i="14"/>
  <c r="F34" i="14"/>
  <c r="E34" i="14"/>
  <c r="X33" i="14"/>
  <c r="L33" i="14"/>
  <c r="F33" i="14"/>
  <c r="W33" i="14" s="1"/>
  <c r="E33" i="14"/>
  <c r="L32" i="14"/>
  <c r="F32" i="14"/>
  <c r="W32" i="14" s="1"/>
  <c r="X32" i="14" s="1"/>
  <c r="M31" i="14"/>
  <c r="L31" i="14"/>
  <c r="L30" i="14"/>
  <c r="F30" i="14"/>
  <c r="W30" i="14" s="1"/>
  <c r="X30" i="14" s="1"/>
  <c r="E30" i="14"/>
  <c r="L29" i="14"/>
  <c r="F29" i="14"/>
  <c r="W29" i="14" s="1"/>
  <c r="X29" i="14" s="1"/>
  <c r="E29" i="14"/>
  <c r="X28" i="14"/>
  <c r="L28" i="14"/>
  <c r="F28" i="14"/>
  <c r="W28" i="14" s="1"/>
  <c r="E28" i="14"/>
  <c r="W27" i="14"/>
  <c r="X27" i="14" s="1"/>
  <c r="L27" i="14"/>
  <c r="F27" i="14"/>
  <c r="E27" i="14"/>
  <c r="L26" i="14"/>
  <c r="E26" i="14"/>
  <c r="F26" i="14" s="1"/>
  <c r="W26" i="14" s="1"/>
  <c r="X26" i="14" s="1"/>
  <c r="X25" i="14"/>
  <c r="W25" i="14"/>
  <c r="L25" i="14"/>
  <c r="E25" i="14"/>
  <c r="W24" i="14"/>
  <c r="X24" i="14" s="1"/>
  <c r="L24" i="14"/>
  <c r="E24" i="14"/>
  <c r="W23" i="14"/>
  <c r="X23" i="14" s="1"/>
  <c r="L23" i="14"/>
  <c r="E23" i="14"/>
  <c r="L22" i="14"/>
  <c r="F22" i="14"/>
  <c r="W22" i="14" s="1"/>
  <c r="X22" i="14" s="1"/>
  <c r="E22" i="14"/>
  <c r="L21" i="14"/>
  <c r="F21" i="14"/>
  <c r="W21" i="14" s="1"/>
  <c r="X21" i="14" s="1"/>
  <c r="E21" i="14"/>
  <c r="L20" i="14"/>
  <c r="E20" i="14"/>
  <c r="F20" i="14" s="1"/>
  <c r="W20" i="14" s="1"/>
  <c r="X20" i="14" s="1"/>
  <c r="L19" i="14"/>
  <c r="F19" i="14"/>
  <c r="W19" i="14" s="1"/>
  <c r="X19" i="14" s="1"/>
  <c r="E19" i="14"/>
  <c r="L18" i="14"/>
  <c r="E18" i="14"/>
  <c r="F18" i="14" s="1"/>
  <c r="W18" i="14" s="1"/>
  <c r="X18" i="14" s="1"/>
  <c r="W17" i="14"/>
  <c r="X17" i="14" s="1"/>
  <c r="L17" i="14"/>
  <c r="E17" i="14"/>
  <c r="F17" i="14" s="1"/>
  <c r="L16" i="14"/>
  <c r="F16" i="14"/>
  <c r="W16" i="14" s="1"/>
  <c r="X16" i="14" s="1"/>
  <c r="U15" i="14"/>
  <c r="N15" i="14"/>
  <c r="L15" i="14"/>
  <c r="F15" i="14"/>
  <c r="W15" i="14" s="1"/>
  <c r="X15" i="14" s="1"/>
  <c r="W14" i="14"/>
  <c r="X14" i="14" s="1"/>
  <c r="L14" i="14"/>
  <c r="F14" i="14"/>
  <c r="W13" i="14"/>
  <c r="X13" i="14" s="1"/>
  <c r="M13" i="14"/>
  <c r="L13" i="14"/>
  <c r="F13" i="14"/>
  <c r="W12" i="14"/>
  <c r="X12" i="14" s="1"/>
  <c r="L12" i="14"/>
  <c r="E12" i="14"/>
  <c r="F12" i="14" s="1"/>
  <c r="W11" i="14"/>
  <c r="X11" i="14" s="1"/>
  <c r="L11" i="14"/>
  <c r="F11" i="14"/>
  <c r="E11" i="14"/>
  <c r="W10" i="14"/>
  <c r="X10" i="14" s="1"/>
  <c r="L10" i="14"/>
  <c r="W9" i="14"/>
  <c r="X9" i="14" s="1"/>
  <c r="L9" i="14"/>
  <c r="W8" i="14"/>
  <c r="X8" i="14" s="1"/>
  <c r="L8" i="14"/>
  <c r="X7" i="14"/>
  <c r="W7" i="14"/>
  <c r="L7" i="14"/>
  <c r="T6" i="14"/>
  <c r="S6" i="14"/>
  <c r="R6" i="14"/>
  <c r="Q6" i="14"/>
  <c r="P6" i="14"/>
  <c r="J6" i="14"/>
  <c r="F276" i="13"/>
  <c r="F121" i="34" s="1"/>
  <c r="E276" i="13"/>
  <c r="F266" i="13"/>
  <c r="E266" i="13"/>
  <c r="F256" i="13"/>
  <c r="E256" i="13"/>
  <c r="F246" i="13"/>
  <c r="E246" i="13"/>
  <c r="F236" i="13"/>
  <c r="E236" i="13"/>
  <c r="E235" i="13"/>
  <c r="F225" i="13"/>
  <c r="E225" i="13"/>
  <c r="F215" i="13"/>
  <c r="E215" i="13"/>
  <c r="F205" i="13"/>
  <c r="E205" i="13"/>
  <c r="F195" i="13"/>
  <c r="E195" i="13"/>
  <c r="F185" i="13"/>
  <c r="E185" i="13"/>
  <c r="F179" i="13"/>
  <c r="E179" i="13"/>
  <c r="F173" i="13"/>
  <c r="E173" i="13"/>
  <c r="F167" i="13"/>
  <c r="E167" i="13"/>
  <c r="F161" i="13"/>
  <c r="E161" i="13"/>
  <c r="F155" i="13"/>
  <c r="E155" i="13"/>
  <c r="F147" i="13"/>
  <c r="F146" i="13" s="1"/>
  <c r="E147" i="13"/>
  <c r="E146" i="13"/>
  <c r="F136" i="13"/>
  <c r="E136" i="13"/>
  <c r="F126" i="13"/>
  <c r="F119" i="13" s="1"/>
  <c r="E126" i="13"/>
  <c r="E119" i="13" s="1"/>
  <c r="F120" i="13"/>
  <c r="E120" i="13"/>
  <c r="F115" i="13"/>
  <c r="E115" i="13"/>
  <c r="F110" i="13"/>
  <c r="E110" i="13"/>
  <c r="F94" i="13"/>
  <c r="E94" i="13"/>
  <c r="E93" i="13" s="1"/>
  <c r="F93" i="13"/>
  <c r="F63" i="13"/>
  <c r="E63" i="13"/>
  <c r="F38" i="13"/>
  <c r="E38" i="13"/>
  <c r="F35" i="13"/>
  <c r="F62" i="34" s="1"/>
  <c r="F61" i="34" s="1"/>
  <c r="E34" i="13"/>
  <c r="F31" i="13"/>
  <c r="F30" i="13"/>
  <c r="F57" i="34" s="1"/>
  <c r="F16" i="13"/>
  <c r="E16" i="13"/>
  <c r="F6" i="13"/>
  <c r="E6" i="13"/>
  <c r="F181" i="12"/>
  <c r="F179" i="12"/>
  <c r="E179" i="12"/>
  <c r="F175" i="12"/>
  <c r="E175" i="12"/>
  <c r="F166" i="12"/>
  <c r="E166" i="12"/>
  <c r="F163" i="12"/>
  <c r="F162" i="12"/>
  <c r="E162" i="12"/>
  <c r="F160" i="12"/>
  <c r="F157" i="12"/>
  <c r="E157" i="12"/>
  <c r="F155" i="12"/>
  <c r="F153" i="12"/>
  <c r="E152" i="12"/>
  <c r="E151" i="12" s="1"/>
  <c r="F147" i="12"/>
  <c r="E147" i="12"/>
  <c r="F140" i="12"/>
  <c r="E140" i="12"/>
  <c r="F139" i="12"/>
  <c r="F135" i="12" s="1"/>
  <c r="F138" i="12"/>
  <c r="E135" i="12"/>
  <c r="F134" i="12"/>
  <c r="F131" i="12"/>
  <c r="F127" i="12" s="1"/>
  <c r="E131" i="12"/>
  <c r="F128" i="12"/>
  <c r="E128" i="12"/>
  <c r="W126" i="12"/>
  <c r="X126" i="12" s="1"/>
  <c r="W125" i="12"/>
  <c r="X125" i="12" s="1"/>
  <c r="L125" i="12"/>
  <c r="W124" i="12"/>
  <c r="X124" i="12" s="1"/>
  <c r="L124" i="12"/>
  <c r="X123" i="12"/>
  <c r="W123" i="12"/>
  <c r="L123" i="12"/>
  <c r="X122" i="12"/>
  <c r="W122" i="12"/>
  <c r="L122" i="12"/>
  <c r="W121" i="12"/>
  <c r="X121" i="12" s="1"/>
  <c r="L121" i="12"/>
  <c r="W120" i="12"/>
  <c r="X120" i="12" s="1"/>
  <c r="L120" i="12"/>
  <c r="W119" i="12"/>
  <c r="X119" i="12" s="1"/>
  <c r="L119" i="12"/>
  <c r="X118" i="12"/>
  <c r="W118" i="12"/>
  <c r="L118" i="12"/>
  <c r="W117" i="12"/>
  <c r="X117" i="12" s="1"/>
  <c r="L117" i="12"/>
  <c r="W116" i="12"/>
  <c r="X116" i="12" s="1"/>
  <c r="L116" i="12"/>
  <c r="X115" i="12"/>
  <c r="W115" i="12"/>
  <c r="L115" i="12"/>
  <c r="X114" i="12"/>
  <c r="W114" i="12"/>
  <c r="L114" i="12"/>
  <c r="W113" i="12"/>
  <c r="X113" i="12" s="1"/>
  <c r="L113" i="12"/>
  <c r="W112" i="12"/>
  <c r="X112" i="12" s="1"/>
  <c r="L112" i="12"/>
  <c r="W111" i="12"/>
  <c r="X111" i="12" s="1"/>
  <c r="L111" i="12"/>
  <c r="X110" i="12"/>
  <c r="W110" i="12"/>
  <c r="L110" i="12"/>
  <c r="W109" i="12"/>
  <c r="X109" i="12" s="1"/>
  <c r="L109" i="12"/>
  <c r="W108" i="12"/>
  <c r="X108" i="12" s="1"/>
  <c r="L108" i="12"/>
  <c r="W107" i="12"/>
  <c r="X107" i="12" s="1"/>
  <c r="L107" i="12"/>
  <c r="X106" i="12"/>
  <c r="W106" i="12"/>
  <c r="L106" i="12"/>
  <c r="W105" i="12"/>
  <c r="X105" i="12" s="1"/>
  <c r="L105" i="12"/>
  <c r="L104" i="12"/>
  <c r="F104" i="12"/>
  <c r="W104" i="12" s="1"/>
  <c r="X104" i="12" s="1"/>
  <c r="E104" i="12"/>
  <c r="L103" i="12"/>
  <c r="F103" i="12"/>
  <c r="W103" i="12" s="1"/>
  <c r="X103" i="12" s="1"/>
  <c r="E103" i="12"/>
  <c r="L102" i="12"/>
  <c r="F102" i="12"/>
  <c r="W102" i="12" s="1"/>
  <c r="X102" i="12" s="1"/>
  <c r="E102" i="12"/>
  <c r="X101" i="12"/>
  <c r="W101" i="12"/>
  <c r="L101" i="12"/>
  <c r="F101" i="12"/>
  <c r="E101" i="12"/>
  <c r="X100" i="12"/>
  <c r="W100" i="12"/>
  <c r="L100" i="12"/>
  <c r="E100" i="12"/>
  <c r="L99" i="12"/>
  <c r="E99" i="12"/>
  <c r="F99" i="12" s="1"/>
  <c r="W99" i="12" s="1"/>
  <c r="X99" i="12" s="1"/>
  <c r="L98" i="12"/>
  <c r="F98" i="12"/>
  <c r="W98" i="12" s="1"/>
  <c r="X98" i="12" s="1"/>
  <c r="E98" i="12"/>
  <c r="X97" i="12"/>
  <c r="L97" i="12"/>
  <c r="E97" i="12"/>
  <c r="F97" i="12" s="1"/>
  <c r="W97" i="12" s="1"/>
  <c r="W96" i="12"/>
  <c r="X96" i="12" s="1"/>
  <c r="L96" i="12"/>
  <c r="F96" i="12"/>
  <c r="E96" i="12"/>
  <c r="X95" i="12"/>
  <c r="W95" i="12"/>
  <c r="L95" i="12"/>
  <c r="E95" i="12"/>
  <c r="L94" i="12"/>
  <c r="E94" i="12"/>
  <c r="F94" i="12" s="1"/>
  <c r="W94" i="12" s="1"/>
  <c r="X94" i="12" s="1"/>
  <c r="X93" i="12"/>
  <c r="L93" i="12"/>
  <c r="F93" i="12"/>
  <c r="W93" i="12" s="1"/>
  <c r="E93" i="12"/>
  <c r="W92" i="12"/>
  <c r="X92" i="12" s="1"/>
  <c r="L92" i="12"/>
  <c r="E92" i="12"/>
  <c r="F92" i="12" s="1"/>
  <c r="L91" i="12"/>
  <c r="E91" i="12"/>
  <c r="F91" i="12" s="1"/>
  <c r="W91" i="12" s="1"/>
  <c r="X91" i="12" s="1"/>
  <c r="L90" i="12"/>
  <c r="E90" i="12"/>
  <c r="F90" i="12" s="1"/>
  <c r="W90" i="12" s="1"/>
  <c r="X90" i="12" s="1"/>
  <c r="X89" i="12"/>
  <c r="L89" i="12"/>
  <c r="E89" i="12"/>
  <c r="F89" i="12" s="1"/>
  <c r="W89" i="12" s="1"/>
  <c r="L88" i="12"/>
  <c r="E88" i="12"/>
  <c r="F88" i="12" s="1"/>
  <c r="W88" i="12" s="1"/>
  <c r="X88" i="12" s="1"/>
  <c r="X87" i="12"/>
  <c r="L87" i="12"/>
  <c r="E87" i="12"/>
  <c r="F87" i="12" s="1"/>
  <c r="W87" i="12" s="1"/>
  <c r="X86" i="12"/>
  <c r="W86" i="12"/>
  <c r="L86" i="12"/>
  <c r="E86" i="12"/>
  <c r="L85" i="12"/>
  <c r="E85" i="12"/>
  <c r="F85" i="12" s="1"/>
  <c r="W85" i="12" s="1"/>
  <c r="X85" i="12" s="1"/>
  <c r="L84" i="12"/>
  <c r="E84" i="12"/>
  <c r="F84" i="12" s="1"/>
  <c r="W84" i="12" s="1"/>
  <c r="X84" i="12" s="1"/>
  <c r="L83" i="12"/>
  <c r="E83" i="12"/>
  <c r="F83" i="12" s="1"/>
  <c r="W83" i="12" s="1"/>
  <c r="X83" i="12" s="1"/>
  <c r="L82" i="12"/>
  <c r="F82" i="12"/>
  <c r="W82" i="12" s="1"/>
  <c r="X82" i="12" s="1"/>
  <c r="E82" i="12"/>
  <c r="L81" i="12"/>
  <c r="E81" i="12"/>
  <c r="F81" i="12" s="1"/>
  <c r="W81" i="12" s="1"/>
  <c r="X81" i="12" s="1"/>
  <c r="W80" i="12"/>
  <c r="X80" i="12" s="1"/>
  <c r="L80" i="12"/>
  <c r="E80" i="12"/>
  <c r="F80" i="12" s="1"/>
  <c r="L79" i="12"/>
  <c r="F79" i="12"/>
  <c r="W79" i="12" s="1"/>
  <c r="X79" i="12" s="1"/>
  <c r="E79" i="12"/>
  <c r="L78" i="12"/>
  <c r="F78" i="12"/>
  <c r="W78" i="12" s="1"/>
  <c r="X78" i="12" s="1"/>
  <c r="E78" i="12"/>
  <c r="L77" i="12"/>
  <c r="F77" i="12"/>
  <c r="W77" i="12" s="1"/>
  <c r="X77" i="12" s="1"/>
  <c r="E77" i="12"/>
  <c r="X76" i="12"/>
  <c r="W76" i="12"/>
  <c r="L76" i="12"/>
  <c r="E76" i="12"/>
  <c r="W75" i="12"/>
  <c r="X75" i="12" s="1"/>
  <c r="L75" i="12"/>
  <c r="E75" i="12"/>
  <c r="L74" i="12"/>
  <c r="F74" i="12"/>
  <c r="W74" i="12" s="1"/>
  <c r="X74" i="12" s="1"/>
  <c r="E74" i="12"/>
  <c r="L73" i="12"/>
  <c r="E73" i="12"/>
  <c r="F73" i="12" s="1"/>
  <c r="W73" i="12" s="1"/>
  <c r="X73" i="12" s="1"/>
  <c r="W72" i="12"/>
  <c r="X72" i="12" s="1"/>
  <c r="L72" i="12"/>
  <c r="E72" i="12"/>
  <c r="X71" i="12"/>
  <c r="W71" i="12"/>
  <c r="L71" i="12"/>
  <c r="E71" i="12"/>
  <c r="L70" i="12"/>
  <c r="F70" i="12"/>
  <c r="W70" i="12" s="1"/>
  <c r="X70" i="12" s="1"/>
  <c r="E70" i="12"/>
  <c r="L69" i="12"/>
  <c r="F69" i="12"/>
  <c r="W69" i="12" s="1"/>
  <c r="X69" i="12" s="1"/>
  <c r="E69" i="12"/>
  <c r="M68" i="12"/>
  <c r="L68" i="12"/>
  <c r="F68" i="12"/>
  <c r="W68" i="12" s="1"/>
  <c r="X68" i="12" s="1"/>
  <c r="W67" i="12"/>
  <c r="X67" i="12" s="1"/>
  <c r="L67" i="12"/>
  <c r="E67" i="12"/>
  <c r="F67" i="12" s="1"/>
  <c r="W66" i="12"/>
  <c r="X66" i="12" s="1"/>
  <c r="L66" i="12"/>
  <c r="F66" i="12"/>
  <c r="E66" i="12"/>
  <c r="M65" i="12"/>
  <c r="L65" i="12"/>
  <c r="F65" i="12"/>
  <c r="W65" i="12" s="1"/>
  <c r="X65" i="12" s="1"/>
  <c r="X64" i="12"/>
  <c r="W64" i="12"/>
  <c r="L64" i="12"/>
  <c r="E64" i="12"/>
  <c r="X63" i="12"/>
  <c r="W63" i="12"/>
  <c r="L63" i="12"/>
  <c r="E63" i="12"/>
  <c r="W62" i="12"/>
  <c r="X62" i="12" s="1"/>
  <c r="L62" i="12"/>
  <c r="E62" i="12"/>
  <c r="X61" i="12"/>
  <c r="W61" i="12"/>
  <c r="L61" i="12"/>
  <c r="E61" i="12"/>
  <c r="L60" i="12"/>
  <c r="F60" i="12"/>
  <c r="W60" i="12" s="1"/>
  <c r="X60" i="12" s="1"/>
  <c r="E60" i="12"/>
  <c r="L59" i="12"/>
  <c r="E59" i="12"/>
  <c r="F59" i="12" s="1"/>
  <c r="W59" i="12" s="1"/>
  <c r="X59" i="12" s="1"/>
  <c r="X58" i="12"/>
  <c r="L58" i="12"/>
  <c r="E58" i="12"/>
  <c r="F58" i="12" s="1"/>
  <c r="W58" i="12" s="1"/>
  <c r="X57" i="12"/>
  <c r="W57" i="12"/>
  <c r="L57" i="12"/>
  <c r="E57" i="12"/>
  <c r="L56" i="12"/>
  <c r="F56" i="12"/>
  <c r="W56" i="12" s="1"/>
  <c r="X56" i="12" s="1"/>
  <c r="E56" i="12"/>
  <c r="L55" i="12"/>
  <c r="F55" i="12"/>
  <c r="W55" i="12" s="1"/>
  <c r="X55" i="12" s="1"/>
  <c r="E55" i="12"/>
  <c r="X54" i="12"/>
  <c r="L54" i="12"/>
  <c r="E54" i="12"/>
  <c r="F54" i="12" s="1"/>
  <c r="W54" i="12" s="1"/>
  <c r="W53" i="12"/>
  <c r="X53" i="12" s="1"/>
  <c r="L53" i="12"/>
  <c r="E53" i="12"/>
  <c r="W52" i="12"/>
  <c r="X52" i="12" s="1"/>
  <c r="L52" i="12"/>
  <c r="E52" i="12"/>
  <c r="L51" i="12"/>
  <c r="E51" i="12"/>
  <c r="F51" i="12" s="1"/>
  <c r="W51" i="12" s="1"/>
  <c r="X51" i="12" s="1"/>
  <c r="W50" i="12"/>
  <c r="X50" i="12" s="1"/>
  <c r="L50" i="12"/>
  <c r="E50" i="12"/>
  <c r="F50" i="12" s="1"/>
  <c r="L49" i="12"/>
  <c r="E49" i="12"/>
  <c r="F49" i="12" s="1"/>
  <c r="W49" i="12" s="1"/>
  <c r="X49" i="12" s="1"/>
  <c r="L48" i="12"/>
  <c r="F48" i="12"/>
  <c r="W48" i="12" s="1"/>
  <c r="X48" i="12" s="1"/>
  <c r="E48" i="12"/>
  <c r="L47" i="12"/>
  <c r="E47" i="12"/>
  <c r="F47" i="12" s="1"/>
  <c r="W47" i="12" s="1"/>
  <c r="X47" i="12" s="1"/>
  <c r="W46" i="12"/>
  <c r="X46" i="12" s="1"/>
  <c r="L46" i="12"/>
  <c r="F46" i="12"/>
  <c r="E46" i="12"/>
  <c r="X45" i="12"/>
  <c r="L45" i="12"/>
  <c r="F45" i="12"/>
  <c r="W45" i="12" s="1"/>
  <c r="E45" i="12"/>
  <c r="X44" i="12"/>
  <c r="L44" i="12"/>
  <c r="E44" i="12"/>
  <c r="F44" i="12" s="1"/>
  <c r="W44" i="12" s="1"/>
  <c r="X43" i="12"/>
  <c r="S43" i="12"/>
  <c r="R43" i="12"/>
  <c r="P43" i="12"/>
  <c r="O43" i="12"/>
  <c r="N43" i="12"/>
  <c r="M43" i="12"/>
  <c r="F43" i="12" s="1"/>
  <c r="W43" i="12" s="1"/>
  <c r="L43" i="12"/>
  <c r="W42" i="12"/>
  <c r="X42" i="12" s="1"/>
  <c r="L42" i="12"/>
  <c r="F42" i="12"/>
  <c r="E42" i="12"/>
  <c r="L41" i="12"/>
  <c r="F41" i="12"/>
  <c r="W41" i="12" s="1"/>
  <c r="X41" i="12" s="1"/>
  <c r="E41" i="12"/>
  <c r="X40" i="12"/>
  <c r="W40" i="12"/>
  <c r="L40" i="12"/>
  <c r="F40" i="12"/>
  <c r="E40" i="12"/>
  <c r="X39" i="12"/>
  <c r="W39" i="12"/>
  <c r="L39" i="12"/>
  <c r="F39" i="12"/>
  <c r="E39" i="12"/>
  <c r="L38" i="12"/>
  <c r="E38" i="12"/>
  <c r="F38" i="12" s="1"/>
  <c r="W38" i="12" s="1"/>
  <c r="X38" i="12" s="1"/>
  <c r="L37" i="12"/>
  <c r="F37" i="12"/>
  <c r="W37" i="12" s="1"/>
  <c r="X37" i="12" s="1"/>
  <c r="E37" i="12"/>
  <c r="L36" i="12"/>
  <c r="E36" i="12"/>
  <c r="F36" i="12" s="1"/>
  <c r="W36" i="12" s="1"/>
  <c r="X36" i="12" s="1"/>
  <c r="W35" i="12"/>
  <c r="X35" i="12" s="1"/>
  <c r="L35" i="12"/>
  <c r="E35" i="12"/>
  <c r="L34" i="12"/>
  <c r="E34" i="12"/>
  <c r="F34" i="12" s="1"/>
  <c r="W34" i="12" s="1"/>
  <c r="X34" i="12" s="1"/>
  <c r="L33" i="12"/>
  <c r="F33" i="12"/>
  <c r="W33" i="12" s="1"/>
  <c r="X33" i="12" s="1"/>
  <c r="E33" i="12"/>
  <c r="W32" i="12"/>
  <c r="X32" i="12" s="1"/>
  <c r="L32" i="12"/>
  <c r="F32" i="12"/>
  <c r="E32" i="12"/>
  <c r="L31" i="12"/>
  <c r="E31" i="12"/>
  <c r="F31" i="12" s="1"/>
  <c r="W31" i="12" s="1"/>
  <c r="X31" i="12" s="1"/>
  <c r="L30" i="12"/>
  <c r="F30" i="12"/>
  <c r="W30" i="12" s="1"/>
  <c r="X30" i="12" s="1"/>
  <c r="E30" i="12"/>
  <c r="L29" i="12"/>
  <c r="F29" i="12"/>
  <c r="W29" i="12" s="1"/>
  <c r="X29" i="12" s="1"/>
  <c r="E29" i="12"/>
  <c r="L28" i="12"/>
  <c r="E28" i="12"/>
  <c r="F28" i="12" s="1"/>
  <c r="W28" i="12" s="1"/>
  <c r="X28" i="12" s="1"/>
  <c r="L27" i="12"/>
  <c r="E27" i="12"/>
  <c r="F27" i="12" s="1"/>
  <c r="W27" i="12" s="1"/>
  <c r="X27" i="12" s="1"/>
  <c r="X26" i="12"/>
  <c r="W26" i="12"/>
  <c r="L26" i="12"/>
  <c r="E26" i="12"/>
  <c r="L25" i="12"/>
  <c r="F25" i="12"/>
  <c r="W25" i="12" s="1"/>
  <c r="X25" i="12" s="1"/>
  <c r="E25" i="12"/>
  <c r="X24" i="12"/>
  <c r="W24" i="12"/>
  <c r="L24" i="12"/>
  <c r="E24" i="12"/>
  <c r="X23" i="12"/>
  <c r="W23" i="12"/>
  <c r="L23" i="12"/>
  <c r="E23" i="12"/>
  <c r="L22" i="12"/>
  <c r="E22" i="12"/>
  <c r="F22" i="12" s="1"/>
  <c r="W22" i="12" s="1"/>
  <c r="X22" i="12" s="1"/>
  <c r="W21" i="12"/>
  <c r="X21" i="12" s="1"/>
  <c r="L21" i="12"/>
  <c r="F21" i="12"/>
  <c r="E21" i="12"/>
  <c r="L20" i="12"/>
  <c r="E20" i="12"/>
  <c r="F20" i="12" s="1"/>
  <c r="W20" i="12" s="1"/>
  <c r="X20" i="12" s="1"/>
  <c r="L19" i="12"/>
  <c r="F19" i="12"/>
  <c r="W19" i="12" s="1"/>
  <c r="X19" i="12" s="1"/>
  <c r="E19" i="12"/>
  <c r="L18" i="12"/>
  <c r="F18" i="12"/>
  <c r="W18" i="12" s="1"/>
  <c r="X18" i="12" s="1"/>
  <c r="E18" i="12"/>
  <c r="X17" i="12"/>
  <c r="W17" i="12"/>
  <c r="L17" i="12"/>
  <c r="F17" i="12"/>
  <c r="E17" i="12"/>
  <c r="X16" i="12"/>
  <c r="W16" i="12"/>
  <c r="L16" i="12"/>
  <c r="F16" i="12"/>
  <c r="M15" i="12"/>
  <c r="L15" i="12"/>
  <c r="F15" i="12"/>
  <c r="W15" i="12" s="1"/>
  <c r="X15" i="12" s="1"/>
  <c r="W14" i="12"/>
  <c r="X14" i="12" s="1"/>
  <c r="L14" i="12"/>
  <c r="E14" i="12"/>
  <c r="X13" i="12"/>
  <c r="W13" i="12"/>
  <c r="L13" i="12"/>
  <c r="E13" i="12"/>
  <c r="L12" i="12"/>
  <c r="F12" i="12"/>
  <c r="W12" i="12" s="1"/>
  <c r="X12" i="12" s="1"/>
  <c r="E12" i="12"/>
  <c r="L11" i="12"/>
  <c r="F11" i="12"/>
  <c r="E11" i="12"/>
  <c r="W10" i="12"/>
  <c r="X10" i="12" s="1"/>
  <c r="L10" i="12"/>
  <c r="W9" i="12"/>
  <c r="X9" i="12" s="1"/>
  <c r="L9" i="12"/>
  <c r="W8" i="12"/>
  <c r="X8" i="12" s="1"/>
  <c r="L8" i="12"/>
  <c r="X7" i="12"/>
  <c r="W7" i="12"/>
  <c r="L7" i="12"/>
  <c r="U6" i="12"/>
  <c r="T6" i="12"/>
  <c r="S6" i="12"/>
  <c r="R6" i="12"/>
  <c r="Q6" i="12"/>
  <c r="P6" i="12"/>
  <c r="O6" i="12"/>
  <c r="N6" i="12"/>
  <c r="J6" i="12"/>
  <c r="F277" i="11"/>
  <c r="E121" i="34" s="1"/>
  <c r="E277" i="11"/>
  <c r="F267" i="11"/>
  <c r="E267" i="11"/>
  <c r="E236" i="11" s="1"/>
  <c r="F257" i="11"/>
  <c r="F236" i="11" s="1"/>
  <c r="E257" i="11"/>
  <c r="F247" i="11"/>
  <c r="E247" i="11"/>
  <c r="F237" i="11"/>
  <c r="E237" i="11"/>
  <c r="F226" i="11"/>
  <c r="E226" i="11"/>
  <c r="F216" i="11"/>
  <c r="E216" i="11"/>
  <c r="F206" i="11"/>
  <c r="E206" i="11"/>
  <c r="F196" i="11"/>
  <c r="E196" i="11"/>
  <c r="F186" i="11"/>
  <c r="E186" i="11"/>
  <c r="F180" i="11"/>
  <c r="E180" i="11"/>
  <c r="F174" i="11"/>
  <c r="E174" i="11"/>
  <c r="F168" i="11"/>
  <c r="E168" i="11"/>
  <c r="E147" i="11" s="1"/>
  <c r="F162" i="11"/>
  <c r="F147" i="11" s="1"/>
  <c r="E162" i="11"/>
  <c r="F156" i="11"/>
  <c r="E156" i="11"/>
  <c r="F148" i="11"/>
  <c r="E148" i="11"/>
  <c r="F137" i="11"/>
  <c r="E137" i="11"/>
  <c r="F126" i="11"/>
  <c r="E126" i="11"/>
  <c r="F120" i="11"/>
  <c r="E120" i="11"/>
  <c r="F115" i="11"/>
  <c r="E115" i="11"/>
  <c r="F110" i="11"/>
  <c r="E110" i="11"/>
  <c r="F94" i="11"/>
  <c r="E94" i="11"/>
  <c r="F93" i="11"/>
  <c r="E93" i="11"/>
  <c r="F63" i="11"/>
  <c r="E63" i="11"/>
  <c r="F49" i="11"/>
  <c r="E75" i="34" s="1"/>
  <c r="F38" i="11"/>
  <c r="E38" i="11"/>
  <c r="F34" i="11"/>
  <c r="E34" i="11"/>
  <c r="F16" i="11"/>
  <c r="E16" i="11"/>
  <c r="F6" i="11"/>
  <c r="E6" i="11"/>
  <c r="F173" i="10"/>
  <c r="E173" i="10"/>
  <c r="F169" i="10"/>
  <c r="E169" i="10"/>
  <c r="F166" i="10"/>
  <c r="F165" i="10"/>
  <c r="F164" i="10"/>
  <c r="F162" i="10" s="1"/>
  <c r="F163" i="10"/>
  <c r="E162" i="10"/>
  <c r="F158" i="10"/>
  <c r="E158" i="10"/>
  <c r="F156" i="10"/>
  <c r="F153" i="10" s="1"/>
  <c r="F154" i="10"/>
  <c r="E153" i="10"/>
  <c r="E147" i="10" s="1"/>
  <c r="F151" i="10"/>
  <c r="F149" i="10"/>
  <c r="F148" i="10" s="1"/>
  <c r="F147" i="10" s="1"/>
  <c r="E148" i="10"/>
  <c r="F145" i="10"/>
  <c r="F144" i="10"/>
  <c r="E143" i="10"/>
  <c r="F140" i="10"/>
  <c r="F139" i="10"/>
  <c r="E139" i="10"/>
  <c r="F135" i="10"/>
  <c r="E135" i="10"/>
  <c r="F134" i="10"/>
  <c r="F131" i="10"/>
  <c r="E131" i="10"/>
  <c r="F128" i="10"/>
  <c r="E128" i="10"/>
  <c r="W126" i="10"/>
  <c r="X126" i="10" s="1"/>
  <c r="W125" i="10"/>
  <c r="X125" i="10" s="1"/>
  <c r="L125" i="10"/>
  <c r="W124" i="10"/>
  <c r="X124" i="10" s="1"/>
  <c r="L124" i="10"/>
  <c r="W123" i="10"/>
  <c r="X123" i="10" s="1"/>
  <c r="L123" i="10"/>
  <c r="W122" i="10"/>
  <c r="X122" i="10" s="1"/>
  <c r="L122" i="10"/>
  <c r="W121" i="10"/>
  <c r="X121" i="10" s="1"/>
  <c r="L121" i="10"/>
  <c r="W120" i="10"/>
  <c r="X120" i="10" s="1"/>
  <c r="L120" i="10"/>
  <c r="X119" i="10"/>
  <c r="W119" i="10"/>
  <c r="L119" i="10"/>
  <c r="W118" i="10"/>
  <c r="X118" i="10" s="1"/>
  <c r="L118" i="10"/>
  <c r="W117" i="10"/>
  <c r="X117" i="10" s="1"/>
  <c r="L117" i="10"/>
  <c r="W116" i="10"/>
  <c r="X116" i="10" s="1"/>
  <c r="L116" i="10"/>
  <c r="X115" i="10"/>
  <c r="W115" i="10"/>
  <c r="L115" i="10"/>
  <c r="W114" i="10"/>
  <c r="X114" i="10" s="1"/>
  <c r="L114" i="10"/>
  <c r="W113" i="10"/>
  <c r="X113" i="10" s="1"/>
  <c r="L113" i="10"/>
  <c r="W112" i="10"/>
  <c r="X112" i="10" s="1"/>
  <c r="L112" i="10"/>
  <c r="X111" i="10"/>
  <c r="W111" i="10"/>
  <c r="L111" i="10"/>
  <c r="W110" i="10"/>
  <c r="X110" i="10" s="1"/>
  <c r="L110" i="10"/>
  <c r="W109" i="10"/>
  <c r="X109" i="10" s="1"/>
  <c r="L109" i="10"/>
  <c r="W108" i="10"/>
  <c r="X108" i="10" s="1"/>
  <c r="L108" i="10"/>
  <c r="W107" i="10"/>
  <c r="X107" i="10" s="1"/>
  <c r="L107" i="10"/>
  <c r="W106" i="10"/>
  <c r="X106" i="10" s="1"/>
  <c r="L106" i="10"/>
  <c r="W105" i="10"/>
  <c r="X105" i="10" s="1"/>
  <c r="L105" i="10"/>
  <c r="W104" i="10"/>
  <c r="X104" i="10" s="1"/>
  <c r="L104" i="10"/>
  <c r="X103" i="10"/>
  <c r="W103" i="10"/>
  <c r="L103" i="10"/>
  <c r="L102" i="10"/>
  <c r="E102" i="10"/>
  <c r="F102" i="10" s="1"/>
  <c r="W102" i="10" s="1"/>
  <c r="X102" i="10" s="1"/>
  <c r="X101" i="10"/>
  <c r="L101" i="10"/>
  <c r="F101" i="10"/>
  <c r="W101" i="10" s="1"/>
  <c r="E101" i="10"/>
  <c r="X100" i="10"/>
  <c r="W100" i="10"/>
  <c r="L100" i="10"/>
  <c r="E100" i="10"/>
  <c r="L99" i="10"/>
  <c r="F99" i="10"/>
  <c r="W99" i="10" s="1"/>
  <c r="X99" i="10" s="1"/>
  <c r="E99" i="10"/>
  <c r="X98" i="10"/>
  <c r="W98" i="10"/>
  <c r="L98" i="10"/>
  <c r="F98" i="10"/>
  <c r="E98" i="10"/>
  <c r="U97" i="10"/>
  <c r="O97" i="10"/>
  <c r="N97" i="10"/>
  <c r="M97" i="10"/>
  <c r="L97" i="10"/>
  <c r="F97" i="10"/>
  <c r="W97" i="10" s="1"/>
  <c r="X97" i="10" s="1"/>
  <c r="X96" i="10"/>
  <c r="W96" i="10"/>
  <c r="L96" i="10"/>
  <c r="F96" i="10"/>
  <c r="E96" i="10"/>
  <c r="O95" i="10"/>
  <c r="N95" i="10"/>
  <c r="M95" i="10"/>
  <c r="F95" i="10" s="1"/>
  <c r="W95" i="10" s="1"/>
  <c r="X95" i="10" s="1"/>
  <c r="L95" i="10"/>
  <c r="W94" i="10"/>
  <c r="X94" i="10" s="1"/>
  <c r="L94" i="10"/>
  <c r="F94" i="10"/>
  <c r="E94" i="10"/>
  <c r="U93" i="10"/>
  <c r="O93" i="10"/>
  <c r="N93" i="10"/>
  <c r="M93" i="10"/>
  <c r="L93" i="10"/>
  <c r="F93" i="10"/>
  <c r="W93" i="10" s="1"/>
  <c r="X93" i="10" s="1"/>
  <c r="U92" i="10"/>
  <c r="S92" i="10"/>
  <c r="Q92" i="10"/>
  <c r="P92" i="10"/>
  <c r="O92" i="10"/>
  <c r="N92" i="10"/>
  <c r="M92" i="10"/>
  <c r="F92" i="10" s="1"/>
  <c r="W92" i="10" s="1"/>
  <c r="X92" i="10" s="1"/>
  <c r="L92" i="10"/>
  <c r="W91" i="10"/>
  <c r="X91" i="10" s="1"/>
  <c r="L91" i="10"/>
  <c r="F91" i="10"/>
  <c r="E91" i="10"/>
  <c r="L90" i="10"/>
  <c r="F90" i="10"/>
  <c r="W90" i="10" s="1"/>
  <c r="X90" i="10" s="1"/>
  <c r="E90" i="10"/>
  <c r="W89" i="10"/>
  <c r="X89" i="10" s="1"/>
  <c r="L89" i="10"/>
  <c r="F89" i="10"/>
  <c r="E89" i="10"/>
  <c r="L88" i="10"/>
  <c r="F88" i="10"/>
  <c r="W88" i="10" s="1"/>
  <c r="X88" i="10" s="1"/>
  <c r="E88" i="10"/>
  <c r="L87" i="10"/>
  <c r="F87" i="10"/>
  <c r="W87" i="10" s="1"/>
  <c r="X87" i="10" s="1"/>
  <c r="E87" i="10"/>
  <c r="X86" i="10"/>
  <c r="W86" i="10"/>
  <c r="L86" i="10"/>
  <c r="E86" i="10"/>
  <c r="W85" i="10"/>
  <c r="X85" i="10" s="1"/>
  <c r="L85" i="10"/>
  <c r="F85" i="10"/>
  <c r="E85" i="10"/>
  <c r="L84" i="10"/>
  <c r="F84" i="10"/>
  <c r="W84" i="10" s="1"/>
  <c r="X84" i="10" s="1"/>
  <c r="E84" i="10"/>
  <c r="X83" i="10"/>
  <c r="W83" i="10"/>
  <c r="L83" i="10"/>
  <c r="E83" i="10"/>
  <c r="W82" i="10"/>
  <c r="X82" i="10" s="1"/>
  <c r="L82" i="10"/>
  <c r="E82" i="10"/>
  <c r="F82" i="10" s="1"/>
  <c r="X81" i="10"/>
  <c r="W81" i="10"/>
  <c r="L81" i="10"/>
  <c r="F81" i="10"/>
  <c r="E81" i="10"/>
  <c r="W80" i="10"/>
  <c r="X80" i="10" s="1"/>
  <c r="L80" i="10"/>
  <c r="F80" i="10"/>
  <c r="E80" i="10"/>
  <c r="W79" i="10"/>
  <c r="X79" i="10" s="1"/>
  <c r="L79" i="10"/>
  <c r="F79" i="10"/>
  <c r="E79" i="10"/>
  <c r="Q78" i="10"/>
  <c r="P78" i="10"/>
  <c r="P6" i="10" s="1"/>
  <c r="O78" i="10"/>
  <c r="N78" i="10"/>
  <c r="M78" i="10"/>
  <c r="F78" i="10" s="1"/>
  <c r="W78" i="10" s="1"/>
  <c r="X78" i="10" s="1"/>
  <c r="L78" i="10"/>
  <c r="W77" i="10"/>
  <c r="X77" i="10" s="1"/>
  <c r="Q77" i="10"/>
  <c r="P77" i="10"/>
  <c r="O77" i="10"/>
  <c r="N77" i="10"/>
  <c r="M77" i="10"/>
  <c r="L77" i="10"/>
  <c r="F77" i="10"/>
  <c r="L76" i="10"/>
  <c r="E76" i="10"/>
  <c r="F76" i="10" s="1"/>
  <c r="W76" i="10" s="1"/>
  <c r="X76" i="10" s="1"/>
  <c r="X75" i="10"/>
  <c r="W75" i="10"/>
  <c r="L75" i="10"/>
  <c r="E75" i="10"/>
  <c r="L74" i="10"/>
  <c r="F74" i="10"/>
  <c r="W74" i="10" s="1"/>
  <c r="X74" i="10" s="1"/>
  <c r="E74" i="10"/>
  <c r="L73" i="10"/>
  <c r="E73" i="10"/>
  <c r="F73" i="10" s="1"/>
  <c r="W73" i="10" s="1"/>
  <c r="X73" i="10" s="1"/>
  <c r="W72" i="10"/>
  <c r="X72" i="10" s="1"/>
  <c r="L72" i="10"/>
  <c r="E72" i="10"/>
  <c r="W71" i="10"/>
  <c r="X71" i="10" s="1"/>
  <c r="L71" i="10"/>
  <c r="E71" i="10"/>
  <c r="L70" i="10"/>
  <c r="F70" i="10"/>
  <c r="W70" i="10" s="1"/>
  <c r="X70" i="10" s="1"/>
  <c r="E70" i="10"/>
  <c r="W69" i="10"/>
  <c r="X69" i="10" s="1"/>
  <c r="L69" i="10"/>
  <c r="F69" i="10"/>
  <c r="E69" i="10"/>
  <c r="L68" i="10"/>
  <c r="F68" i="10"/>
  <c r="W68" i="10" s="1"/>
  <c r="X68" i="10" s="1"/>
  <c r="E68" i="10"/>
  <c r="L67" i="10"/>
  <c r="F67" i="10"/>
  <c r="W67" i="10" s="1"/>
  <c r="X67" i="10" s="1"/>
  <c r="E67" i="10"/>
  <c r="L66" i="10"/>
  <c r="E66" i="10"/>
  <c r="F66" i="10" s="1"/>
  <c r="W66" i="10" s="1"/>
  <c r="X66" i="10" s="1"/>
  <c r="W65" i="10"/>
  <c r="X65" i="10" s="1"/>
  <c r="L65" i="10"/>
  <c r="E65" i="10"/>
  <c r="W64" i="10"/>
  <c r="X64" i="10" s="1"/>
  <c r="L64" i="10"/>
  <c r="E64" i="10"/>
  <c r="X63" i="10"/>
  <c r="W63" i="10"/>
  <c r="L63" i="10"/>
  <c r="E63" i="10"/>
  <c r="X62" i="10"/>
  <c r="W62" i="10"/>
  <c r="L62" i="10"/>
  <c r="E62" i="10"/>
  <c r="W61" i="10"/>
  <c r="X61" i="10" s="1"/>
  <c r="L61" i="10"/>
  <c r="E61" i="10"/>
  <c r="X60" i="10"/>
  <c r="L60" i="10"/>
  <c r="F60" i="10"/>
  <c r="W60" i="10" s="1"/>
  <c r="E60" i="10"/>
  <c r="L59" i="10"/>
  <c r="E59" i="10"/>
  <c r="F59" i="10" s="1"/>
  <c r="W59" i="10" s="1"/>
  <c r="X59" i="10" s="1"/>
  <c r="W58" i="10"/>
  <c r="X58" i="10" s="1"/>
  <c r="L58" i="10"/>
  <c r="E58" i="10"/>
  <c r="F58" i="10" s="1"/>
  <c r="W57" i="10"/>
  <c r="X57" i="10" s="1"/>
  <c r="M57" i="10"/>
  <c r="F57" i="10" s="1"/>
  <c r="L57" i="10"/>
  <c r="L56" i="10"/>
  <c r="F56" i="10"/>
  <c r="W56" i="10" s="1"/>
  <c r="X56" i="10" s="1"/>
  <c r="E56" i="10"/>
  <c r="W55" i="10"/>
  <c r="X55" i="10" s="1"/>
  <c r="L55" i="10"/>
  <c r="F55" i="10"/>
  <c r="E55" i="10"/>
  <c r="X54" i="10"/>
  <c r="L54" i="10"/>
  <c r="F54" i="10"/>
  <c r="W54" i="10" s="1"/>
  <c r="E54" i="10"/>
  <c r="L53" i="10"/>
  <c r="E53" i="10"/>
  <c r="F53" i="10" s="1"/>
  <c r="W53" i="10" s="1"/>
  <c r="X53" i="10" s="1"/>
  <c r="L52" i="10"/>
  <c r="E52" i="10"/>
  <c r="F52" i="10" s="1"/>
  <c r="W52" i="10" s="1"/>
  <c r="X52" i="10" s="1"/>
  <c r="X51" i="10"/>
  <c r="L51" i="10"/>
  <c r="F51" i="10"/>
  <c r="W51" i="10" s="1"/>
  <c r="E51" i="10"/>
  <c r="L50" i="10"/>
  <c r="F50" i="10"/>
  <c r="W50" i="10" s="1"/>
  <c r="X50" i="10" s="1"/>
  <c r="E50" i="10"/>
  <c r="P49" i="10"/>
  <c r="O49" i="10"/>
  <c r="N49" i="10"/>
  <c r="M49" i="10"/>
  <c r="M6" i="10" s="1"/>
  <c r="L49" i="10"/>
  <c r="U48" i="10"/>
  <c r="R48" i="10"/>
  <c r="Q48" i="10"/>
  <c r="P48" i="10"/>
  <c r="O48" i="10"/>
  <c r="N48" i="10"/>
  <c r="M48" i="10"/>
  <c r="F48" i="10" s="1"/>
  <c r="W48" i="10" s="1"/>
  <c r="X48" i="10" s="1"/>
  <c r="L48" i="10"/>
  <c r="L47" i="10"/>
  <c r="E47" i="10"/>
  <c r="F47" i="10" s="1"/>
  <c r="W47" i="10" s="1"/>
  <c r="X47" i="10" s="1"/>
  <c r="L46" i="10"/>
  <c r="E46" i="10"/>
  <c r="F46" i="10" s="1"/>
  <c r="W46" i="10" s="1"/>
  <c r="X46" i="10" s="1"/>
  <c r="L45" i="10"/>
  <c r="E45" i="10"/>
  <c r="F45" i="10" s="1"/>
  <c r="W45" i="10" s="1"/>
  <c r="X45" i="10" s="1"/>
  <c r="X44" i="10"/>
  <c r="W44" i="10"/>
  <c r="L44" i="10"/>
  <c r="E44" i="10"/>
  <c r="F44" i="10" s="1"/>
  <c r="W43" i="10"/>
  <c r="X43" i="10" s="1"/>
  <c r="L43" i="10"/>
  <c r="F43" i="10"/>
  <c r="L42" i="10"/>
  <c r="E42" i="10"/>
  <c r="F42" i="10" s="1"/>
  <c r="W42" i="10" s="1"/>
  <c r="X42" i="10" s="1"/>
  <c r="L41" i="10"/>
  <c r="E41" i="10"/>
  <c r="F41" i="10" s="1"/>
  <c r="W41" i="10" s="1"/>
  <c r="X41" i="10" s="1"/>
  <c r="L40" i="10"/>
  <c r="E40" i="10"/>
  <c r="F40" i="10" s="1"/>
  <c r="W40" i="10" s="1"/>
  <c r="X40" i="10" s="1"/>
  <c r="W39" i="10"/>
  <c r="X39" i="10" s="1"/>
  <c r="L39" i="10"/>
  <c r="E39" i="10"/>
  <c r="F39" i="10" s="1"/>
  <c r="U38" i="10"/>
  <c r="U6" i="10" s="1"/>
  <c r="P38" i="10"/>
  <c r="O38" i="10"/>
  <c r="O6" i="10" s="1"/>
  <c r="N38" i="10"/>
  <c r="N6" i="10" s="1"/>
  <c r="M38" i="10"/>
  <c r="L38" i="10"/>
  <c r="W37" i="10"/>
  <c r="X37" i="10" s="1"/>
  <c r="L37" i="10"/>
  <c r="E37" i="10"/>
  <c r="L36" i="10"/>
  <c r="F36" i="10"/>
  <c r="W36" i="10" s="1"/>
  <c r="X36" i="10" s="1"/>
  <c r="E36" i="10"/>
  <c r="O35" i="10"/>
  <c r="N35" i="10"/>
  <c r="M35" i="10"/>
  <c r="F35" i="10" s="1"/>
  <c r="W35" i="10" s="1"/>
  <c r="X35" i="10" s="1"/>
  <c r="L35" i="10"/>
  <c r="E35" i="10"/>
  <c r="L34" i="10"/>
  <c r="E34" i="10"/>
  <c r="F34" i="10" s="1"/>
  <c r="W34" i="10" s="1"/>
  <c r="X34" i="10" s="1"/>
  <c r="X33" i="10"/>
  <c r="W33" i="10"/>
  <c r="L33" i="10"/>
  <c r="E33" i="10"/>
  <c r="F33" i="10" s="1"/>
  <c r="T32" i="10"/>
  <c r="S32" i="10"/>
  <c r="Q32" i="10"/>
  <c r="P32" i="10"/>
  <c r="O32" i="10"/>
  <c r="N32" i="10"/>
  <c r="M32" i="10"/>
  <c r="F32" i="10" s="1"/>
  <c r="W32" i="10" s="1"/>
  <c r="X32" i="10" s="1"/>
  <c r="L32" i="10"/>
  <c r="T31" i="10"/>
  <c r="S31" i="10"/>
  <c r="S6" i="10" s="1"/>
  <c r="Q31" i="10"/>
  <c r="P31" i="10"/>
  <c r="O31" i="10"/>
  <c r="N31" i="10"/>
  <c r="M31" i="10"/>
  <c r="L31" i="10"/>
  <c r="W30" i="10"/>
  <c r="X30" i="10" s="1"/>
  <c r="L30" i="10"/>
  <c r="F30" i="10"/>
  <c r="E30" i="10"/>
  <c r="L29" i="10"/>
  <c r="F29" i="10"/>
  <c r="W29" i="10" s="1"/>
  <c r="X29" i="10" s="1"/>
  <c r="E29" i="10"/>
  <c r="X28" i="10"/>
  <c r="L28" i="10"/>
  <c r="F28" i="10"/>
  <c r="W28" i="10" s="1"/>
  <c r="E28" i="10"/>
  <c r="W27" i="10"/>
  <c r="X27" i="10" s="1"/>
  <c r="L27" i="10"/>
  <c r="F27" i="10"/>
  <c r="E27" i="10"/>
  <c r="W26" i="10"/>
  <c r="X26" i="10" s="1"/>
  <c r="L26" i="10"/>
  <c r="E26" i="10"/>
  <c r="L25" i="10"/>
  <c r="E25" i="10"/>
  <c r="F25" i="10" s="1"/>
  <c r="W25" i="10" s="1"/>
  <c r="X25" i="10" s="1"/>
  <c r="W24" i="10"/>
  <c r="X24" i="10" s="1"/>
  <c r="L24" i="10"/>
  <c r="E24" i="10"/>
  <c r="W23" i="10"/>
  <c r="X23" i="10" s="1"/>
  <c r="L23" i="10"/>
  <c r="E23" i="10"/>
  <c r="X22" i="10"/>
  <c r="L22" i="10"/>
  <c r="F22" i="10"/>
  <c r="W22" i="10" s="1"/>
  <c r="E22" i="10"/>
  <c r="W21" i="10"/>
  <c r="X21" i="10" s="1"/>
  <c r="L21" i="10"/>
  <c r="F21" i="10"/>
  <c r="E21" i="10"/>
  <c r="L20" i="10"/>
  <c r="E20" i="10"/>
  <c r="F20" i="10" s="1"/>
  <c r="W20" i="10" s="1"/>
  <c r="X20" i="10" s="1"/>
  <c r="X19" i="10"/>
  <c r="L19" i="10"/>
  <c r="F19" i="10"/>
  <c r="W19" i="10" s="1"/>
  <c r="E19" i="10"/>
  <c r="W18" i="10"/>
  <c r="X18" i="10" s="1"/>
  <c r="L18" i="10"/>
  <c r="E18" i="10"/>
  <c r="F18" i="10" s="1"/>
  <c r="W17" i="10"/>
  <c r="X17" i="10" s="1"/>
  <c r="L17" i="10"/>
  <c r="E17" i="10"/>
  <c r="F17" i="10" s="1"/>
  <c r="M16" i="10"/>
  <c r="F16" i="10" s="1"/>
  <c r="W16" i="10" s="1"/>
  <c r="X16" i="10" s="1"/>
  <c r="L16" i="10"/>
  <c r="L15" i="10"/>
  <c r="F15" i="10"/>
  <c r="W15" i="10" s="1"/>
  <c r="X15" i="10" s="1"/>
  <c r="X14" i="10"/>
  <c r="W14" i="10"/>
  <c r="L14" i="10"/>
  <c r="E14" i="10"/>
  <c r="W13" i="10"/>
  <c r="X13" i="10" s="1"/>
  <c r="L13" i="10"/>
  <c r="E13" i="10"/>
  <c r="L12" i="10"/>
  <c r="E12" i="10"/>
  <c r="E6" i="10" s="1"/>
  <c r="W11" i="10"/>
  <c r="X11" i="10" s="1"/>
  <c r="L11" i="10"/>
  <c r="F11" i="10"/>
  <c r="E11" i="10"/>
  <c r="X10" i="10"/>
  <c r="W10" i="10"/>
  <c r="L10" i="10"/>
  <c r="X9" i="10"/>
  <c r="W9" i="10"/>
  <c r="L9" i="10"/>
  <c r="X8" i="10"/>
  <c r="W8" i="10"/>
  <c r="L8" i="10"/>
  <c r="X7" i="10"/>
  <c r="W7" i="10"/>
  <c r="L7" i="10"/>
  <c r="T6" i="10"/>
  <c r="R6" i="10"/>
  <c r="Q6" i="10"/>
  <c r="L6" i="10"/>
  <c r="J6" i="10"/>
  <c r="F271" i="9"/>
  <c r="D121" i="34" s="1"/>
  <c r="E271" i="9"/>
  <c r="F261" i="9"/>
  <c r="E261" i="9"/>
  <c r="F243" i="9"/>
  <c r="E243" i="9"/>
  <c r="F233" i="9"/>
  <c r="F222" i="9" s="1"/>
  <c r="E233" i="9"/>
  <c r="F223" i="9"/>
  <c r="E223" i="9"/>
  <c r="E222" i="9" s="1"/>
  <c r="F212" i="9"/>
  <c r="E212" i="9"/>
  <c r="F202" i="9"/>
  <c r="E202" i="9"/>
  <c r="F192" i="9"/>
  <c r="E192" i="9"/>
  <c r="F182" i="9"/>
  <c r="E182" i="9"/>
  <c r="F172" i="9"/>
  <c r="E172" i="9"/>
  <c r="F166" i="9"/>
  <c r="E166" i="9"/>
  <c r="F160" i="9"/>
  <c r="E160" i="9"/>
  <c r="F154" i="9"/>
  <c r="E154" i="9"/>
  <c r="F148" i="9"/>
  <c r="E148" i="9"/>
  <c r="F142" i="9"/>
  <c r="E142" i="9"/>
  <c r="F138" i="9"/>
  <c r="F137" i="9"/>
  <c r="F136" i="9" s="1"/>
  <c r="F135" i="9" s="1"/>
  <c r="E136" i="9"/>
  <c r="E135" i="9"/>
  <c r="F125" i="9"/>
  <c r="E125" i="9"/>
  <c r="F115" i="9"/>
  <c r="E115" i="9"/>
  <c r="F109" i="9"/>
  <c r="F108" i="9" s="1"/>
  <c r="E109" i="9"/>
  <c r="E108" i="9"/>
  <c r="F104" i="9"/>
  <c r="E104" i="9"/>
  <c r="F100" i="9"/>
  <c r="E100" i="9"/>
  <c r="F94" i="9"/>
  <c r="F93" i="9" s="1"/>
  <c r="E94" i="9"/>
  <c r="E93" i="9" s="1"/>
  <c r="F63" i="9"/>
  <c r="E63" i="9"/>
  <c r="F38" i="9"/>
  <c r="E38" i="9"/>
  <c r="F34" i="9"/>
  <c r="E34" i="9"/>
  <c r="F30" i="9"/>
  <c r="D57" i="34" s="1"/>
  <c r="F25" i="9"/>
  <c r="F24" i="9"/>
  <c r="F23" i="9"/>
  <c r="F22" i="9"/>
  <c r="F16" i="9" s="1"/>
  <c r="F4" i="9" s="1"/>
  <c r="E16" i="9"/>
  <c r="E4" i="9" s="1"/>
  <c r="F6" i="9"/>
  <c r="E6" i="9"/>
  <c r="F174" i="8"/>
  <c r="F172" i="8"/>
  <c r="E172" i="8"/>
  <c r="F169" i="8"/>
  <c r="F168" i="8" s="1"/>
  <c r="E168" i="8"/>
  <c r="F167" i="8"/>
  <c r="F166" i="8"/>
  <c r="F163" i="8" s="1"/>
  <c r="F164" i="8"/>
  <c r="E163" i="8"/>
  <c r="F159" i="8"/>
  <c r="E159" i="8"/>
  <c r="F157" i="8"/>
  <c r="F155" i="8"/>
  <c r="F154" i="8"/>
  <c r="E154" i="8"/>
  <c r="E148" i="8" s="1"/>
  <c r="F152" i="8"/>
  <c r="F150" i="8"/>
  <c r="F149" i="8"/>
  <c r="E149" i="8"/>
  <c r="F144" i="8"/>
  <c r="E144" i="8"/>
  <c r="F141" i="8"/>
  <c r="F140" i="8" s="1"/>
  <c r="E140" i="8"/>
  <c r="F139" i="8"/>
  <c r="F138" i="8" s="1"/>
  <c r="F136" i="8"/>
  <c r="E135" i="8"/>
  <c r="F134" i="8"/>
  <c r="F132" i="8"/>
  <c r="F131" i="8" s="1"/>
  <c r="E131" i="8"/>
  <c r="F128" i="8"/>
  <c r="E128" i="8"/>
  <c r="X126" i="8"/>
  <c r="W126" i="8"/>
  <c r="L126" i="8"/>
  <c r="W125" i="8"/>
  <c r="X125" i="8" s="1"/>
  <c r="L125" i="8"/>
  <c r="X124" i="8"/>
  <c r="W124" i="8"/>
  <c r="L124" i="8"/>
  <c r="X123" i="8"/>
  <c r="W123" i="8"/>
  <c r="L123" i="8"/>
  <c r="X122" i="8"/>
  <c r="W122" i="8"/>
  <c r="L122" i="8"/>
  <c r="W121" i="8"/>
  <c r="X121" i="8" s="1"/>
  <c r="L121" i="8"/>
  <c r="X120" i="8"/>
  <c r="W120" i="8"/>
  <c r="L120" i="8"/>
  <c r="W119" i="8"/>
  <c r="X119" i="8" s="1"/>
  <c r="L119" i="8"/>
  <c r="X118" i="8"/>
  <c r="W118" i="8"/>
  <c r="L118" i="8"/>
  <c r="W117" i="8"/>
  <c r="X117" i="8" s="1"/>
  <c r="L117" i="8"/>
  <c r="X116" i="8"/>
  <c r="W116" i="8"/>
  <c r="L116" i="8"/>
  <c r="X115" i="8"/>
  <c r="W115" i="8"/>
  <c r="L115" i="8"/>
  <c r="W114" i="8"/>
  <c r="X114" i="8" s="1"/>
  <c r="L114" i="8"/>
  <c r="W113" i="8"/>
  <c r="X113" i="8" s="1"/>
  <c r="L113" i="8"/>
  <c r="W112" i="8"/>
  <c r="X112" i="8" s="1"/>
  <c r="L112" i="8"/>
  <c r="X111" i="8"/>
  <c r="W111" i="8"/>
  <c r="L111" i="8"/>
  <c r="X110" i="8"/>
  <c r="W110" i="8"/>
  <c r="L110" i="8"/>
  <c r="W109" i="8"/>
  <c r="X109" i="8" s="1"/>
  <c r="L109" i="8"/>
  <c r="W108" i="8"/>
  <c r="X108" i="8" s="1"/>
  <c r="L108" i="8"/>
  <c r="X107" i="8"/>
  <c r="W107" i="8"/>
  <c r="L107" i="8"/>
  <c r="W106" i="8"/>
  <c r="X106" i="8" s="1"/>
  <c r="L106" i="8"/>
  <c r="W105" i="8"/>
  <c r="X105" i="8" s="1"/>
  <c r="L105" i="8"/>
  <c r="M104" i="8"/>
  <c r="W104" i="8" s="1"/>
  <c r="X104" i="8" s="1"/>
  <c r="L104" i="8"/>
  <c r="L103" i="8"/>
  <c r="E103" i="8"/>
  <c r="F103" i="8" s="1"/>
  <c r="W103" i="8" s="1"/>
  <c r="X103" i="8" s="1"/>
  <c r="W102" i="8"/>
  <c r="X102" i="8" s="1"/>
  <c r="L102" i="8"/>
  <c r="E102" i="8"/>
  <c r="L101" i="8"/>
  <c r="F101" i="8"/>
  <c r="W101" i="8" s="1"/>
  <c r="X101" i="8" s="1"/>
  <c r="E101" i="8"/>
  <c r="L100" i="8"/>
  <c r="E100" i="8"/>
  <c r="F100" i="8" s="1"/>
  <c r="W100" i="8" s="1"/>
  <c r="X100" i="8" s="1"/>
  <c r="W99" i="8"/>
  <c r="X99" i="8" s="1"/>
  <c r="L99" i="8"/>
  <c r="E99" i="8"/>
  <c r="W98" i="8"/>
  <c r="X98" i="8" s="1"/>
  <c r="L98" i="8"/>
  <c r="F98" i="8"/>
  <c r="E98" i="8"/>
  <c r="O97" i="8"/>
  <c r="N97" i="8"/>
  <c r="M97" i="8"/>
  <c r="F97" i="8" s="1"/>
  <c r="W97" i="8" s="1"/>
  <c r="X97" i="8" s="1"/>
  <c r="L97" i="8"/>
  <c r="L96" i="8"/>
  <c r="F96" i="8"/>
  <c r="W96" i="8" s="1"/>
  <c r="X96" i="8" s="1"/>
  <c r="E96" i="8"/>
  <c r="X95" i="8"/>
  <c r="W95" i="8"/>
  <c r="L95" i="8"/>
  <c r="E95" i="8"/>
  <c r="W94" i="8"/>
  <c r="X94" i="8" s="1"/>
  <c r="L94" i="8"/>
  <c r="E94" i="8"/>
  <c r="W93" i="8"/>
  <c r="X93" i="8" s="1"/>
  <c r="L93" i="8"/>
  <c r="F93" i="8"/>
  <c r="E93" i="8"/>
  <c r="L92" i="8"/>
  <c r="F92" i="8"/>
  <c r="W92" i="8" s="1"/>
  <c r="X92" i="8" s="1"/>
  <c r="E92" i="8"/>
  <c r="L91" i="8"/>
  <c r="E91" i="8"/>
  <c r="F91" i="8" s="1"/>
  <c r="W91" i="8" s="1"/>
  <c r="X91" i="8" s="1"/>
  <c r="X90" i="8"/>
  <c r="W90" i="8"/>
  <c r="L90" i="8"/>
  <c r="F90" i="8"/>
  <c r="E90" i="8"/>
  <c r="X89" i="8"/>
  <c r="W89" i="8"/>
  <c r="L89" i="8"/>
  <c r="F89" i="8"/>
  <c r="E89" i="8"/>
  <c r="W88" i="8"/>
  <c r="X88" i="8" s="1"/>
  <c r="L88" i="8"/>
  <c r="E88" i="8"/>
  <c r="L87" i="8"/>
  <c r="E87" i="8"/>
  <c r="F87" i="8" s="1"/>
  <c r="W87" i="8" s="1"/>
  <c r="X87" i="8" s="1"/>
  <c r="W86" i="8"/>
  <c r="X86" i="8" s="1"/>
  <c r="L86" i="8"/>
  <c r="F86" i="8"/>
  <c r="E86" i="8"/>
  <c r="W85" i="8"/>
  <c r="X85" i="8" s="1"/>
  <c r="L85" i="8"/>
  <c r="F85" i="8"/>
  <c r="E85" i="8"/>
  <c r="L84" i="8"/>
  <c r="F84" i="8"/>
  <c r="W84" i="8" s="1"/>
  <c r="X84" i="8" s="1"/>
  <c r="E84" i="8"/>
  <c r="L83" i="8"/>
  <c r="F83" i="8"/>
  <c r="W83" i="8" s="1"/>
  <c r="X83" i="8" s="1"/>
  <c r="E83" i="8"/>
  <c r="L82" i="8"/>
  <c r="F82" i="8"/>
  <c r="W82" i="8" s="1"/>
  <c r="X82" i="8" s="1"/>
  <c r="E82" i="8"/>
  <c r="L81" i="8"/>
  <c r="E81" i="8"/>
  <c r="F81" i="8" s="1"/>
  <c r="W81" i="8" s="1"/>
  <c r="X81" i="8" s="1"/>
  <c r="X80" i="8"/>
  <c r="W80" i="8"/>
  <c r="L80" i="8"/>
  <c r="E80" i="8"/>
  <c r="W79" i="8"/>
  <c r="X79" i="8" s="1"/>
  <c r="L79" i="8"/>
  <c r="E79" i="8"/>
  <c r="L78" i="8"/>
  <c r="E78" i="8"/>
  <c r="F78" i="8" s="1"/>
  <c r="W78" i="8" s="1"/>
  <c r="X78" i="8" s="1"/>
  <c r="W77" i="8"/>
  <c r="X77" i="8" s="1"/>
  <c r="L77" i="8"/>
  <c r="E77" i="8"/>
  <c r="L76" i="8"/>
  <c r="F76" i="8"/>
  <c r="W76" i="8" s="1"/>
  <c r="X76" i="8" s="1"/>
  <c r="E76" i="8"/>
  <c r="L75" i="8"/>
  <c r="E75" i="8"/>
  <c r="F75" i="8" s="1"/>
  <c r="W75" i="8" s="1"/>
  <c r="X75" i="8" s="1"/>
  <c r="X74" i="8"/>
  <c r="W74" i="8"/>
  <c r="L74" i="8"/>
  <c r="E74" i="8"/>
  <c r="X73" i="8"/>
  <c r="W73" i="8"/>
  <c r="L73" i="8"/>
  <c r="E73" i="8"/>
  <c r="L72" i="8"/>
  <c r="F72" i="8"/>
  <c r="W72" i="8" s="1"/>
  <c r="X72" i="8" s="1"/>
  <c r="E72" i="8"/>
  <c r="L71" i="8"/>
  <c r="F71" i="8"/>
  <c r="W71" i="8" s="1"/>
  <c r="X71" i="8" s="1"/>
  <c r="E71" i="8"/>
  <c r="X70" i="8"/>
  <c r="W70" i="8"/>
  <c r="L70" i="8"/>
  <c r="F70" i="8"/>
  <c r="E70" i="8"/>
  <c r="X69" i="8"/>
  <c r="W69" i="8"/>
  <c r="L69" i="8"/>
  <c r="F69" i="8"/>
  <c r="E69" i="8"/>
  <c r="W68" i="8"/>
  <c r="X68" i="8" s="1"/>
  <c r="L68" i="8"/>
  <c r="F68" i="8"/>
  <c r="E68" i="8"/>
  <c r="X67" i="8"/>
  <c r="W67" i="8"/>
  <c r="L67" i="8"/>
  <c r="E67" i="8"/>
  <c r="L66" i="8"/>
  <c r="E66" i="8"/>
  <c r="F66" i="8" s="1"/>
  <c r="W66" i="8" s="1"/>
  <c r="X66" i="8" s="1"/>
  <c r="X65" i="8"/>
  <c r="W65" i="8"/>
  <c r="L65" i="8"/>
  <c r="F65" i="8"/>
  <c r="E65" i="8"/>
  <c r="X64" i="8"/>
  <c r="W64" i="8"/>
  <c r="L64" i="8"/>
  <c r="F64" i="8"/>
  <c r="E64" i="8"/>
  <c r="W63" i="8"/>
  <c r="X63" i="8" s="1"/>
  <c r="L63" i="8"/>
  <c r="E63" i="8"/>
  <c r="X62" i="8"/>
  <c r="W62" i="8"/>
  <c r="L62" i="8"/>
  <c r="E62" i="8"/>
  <c r="M61" i="8"/>
  <c r="L61" i="8"/>
  <c r="F61" i="8"/>
  <c r="W61" i="8" s="1"/>
  <c r="X61" i="8" s="1"/>
  <c r="W60" i="8"/>
  <c r="X60" i="8" s="1"/>
  <c r="L60" i="8"/>
  <c r="F60" i="8"/>
  <c r="E60" i="8"/>
  <c r="W59" i="8"/>
  <c r="X59" i="8" s="1"/>
  <c r="L59" i="8"/>
  <c r="F59" i="8"/>
  <c r="E59" i="8"/>
  <c r="L58" i="8"/>
  <c r="E58" i="8"/>
  <c r="F58" i="8" s="1"/>
  <c r="W58" i="8" s="1"/>
  <c r="X58" i="8" s="1"/>
  <c r="M57" i="8"/>
  <c r="L57" i="8"/>
  <c r="F57" i="8"/>
  <c r="W57" i="8" s="1"/>
  <c r="X57" i="8" s="1"/>
  <c r="L56" i="8"/>
  <c r="E56" i="8"/>
  <c r="F56" i="8" s="1"/>
  <c r="W56" i="8" s="1"/>
  <c r="X56" i="8" s="1"/>
  <c r="W55" i="8"/>
  <c r="X55" i="8" s="1"/>
  <c r="L55" i="8"/>
  <c r="F55" i="8"/>
  <c r="E55" i="8"/>
  <c r="W54" i="8"/>
  <c r="X54" i="8" s="1"/>
  <c r="L54" i="8"/>
  <c r="F54" i="8"/>
  <c r="E54" i="8"/>
  <c r="L53" i="8"/>
  <c r="F53" i="8"/>
  <c r="W53" i="8" s="1"/>
  <c r="X53" i="8" s="1"/>
  <c r="E53" i="8"/>
  <c r="L52" i="8"/>
  <c r="E52" i="8"/>
  <c r="F52" i="8" s="1"/>
  <c r="W52" i="8" s="1"/>
  <c r="X52" i="8" s="1"/>
  <c r="L51" i="8"/>
  <c r="E51" i="8"/>
  <c r="F51" i="8" s="1"/>
  <c r="W51" i="8" s="1"/>
  <c r="X51" i="8" s="1"/>
  <c r="W50" i="8"/>
  <c r="X50" i="8" s="1"/>
  <c r="L50" i="8"/>
  <c r="F50" i="8"/>
  <c r="E50" i="8"/>
  <c r="W49" i="8"/>
  <c r="X49" i="8" s="1"/>
  <c r="L49" i="8"/>
  <c r="E49" i="8"/>
  <c r="X48" i="8"/>
  <c r="W48" i="8"/>
  <c r="L48" i="8"/>
  <c r="E48" i="8"/>
  <c r="L47" i="8"/>
  <c r="E47" i="8"/>
  <c r="F47" i="8" s="1"/>
  <c r="W47" i="8" s="1"/>
  <c r="X47" i="8" s="1"/>
  <c r="X46" i="8"/>
  <c r="W46" i="8"/>
  <c r="L46" i="8"/>
  <c r="F46" i="8"/>
  <c r="E46" i="8"/>
  <c r="W45" i="8"/>
  <c r="X45" i="8" s="1"/>
  <c r="L45" i="8"/>
  <c r="F45" i="8"/>
  <c r="E45" i="8"/>
  <c r="W44" i="8"/>
  <c r="X44" i="8" s="1"/>
  <c r="L44" i="8"/>
  <c r="F44" i="8"/>
  <c r="E44" i="8"/>
  <c r="X43" i="8"/>
  <c r="W43" i="8"/>
  <c r="L43" i="8"/>
  <c r="E43" i="8"/>
  <c r="X42" i="8"/>
  <c r="L42" i="8"/>
  <c r="E42" i="8"/>
  <c r="F42" i="8" s="1"/>
  <c r="W42" i="8" s="1"/>
  <c r="X41" i="8"/>
  <c r="W41" i="8"/>
  <c r="L41" i="8"/>
  <c r="F41" i="8"/>
  <c r="E41" i="8"/>
  <c r="W40" i="8"/>
  <c r="X40" i="8" s="1"/>
  <c r="L40" i="8"/>
  <c r="F40" i="8"/>
  <c r="E40" i="8"/>
  <c r="W39" i="8"/>
  <c r="X39" i="8" s="1"/>
  <c r="L39" i="8"/>
  <c r="F39" i="8"/>
  <c r="E39" i="8"/>
  <c r="X38" i="8"/>
  <c r="W38" i="8"/>
  <c r="L38" i="8"/>
  <c r="E38" i="8"/>
  <c r="X37" i="8"/>
  <c r="W37" i="8"/>
  <c r="L37" i="8"/>
  <c r="E37" i="8"/>
  <c r="W36" i="8"/>
  <c r="X36" i="8" s="1"/>
  <c r="L36" i="8"/>
  <c r="F36" i="8"/>
  <c r="E36" i="8"/>
  <c r="W35" i="8"/>
  <c r="X35" i="8" s="1"/>
  <c r="L35" i="8"/>
  <c r="E35" i="8"/>
  <c r="L34" i="8"/>
  <c r="E34" i="8"/>
  <c r="F34" i="8" s="1"/>
  <c r="W34" i="8" s="1"/>
  <c r="X34" i="8" s="1"/>
  <c r="L33" i="8"/>
  <c r="E33" i="8"/>
  <c r="F33" i="8" s="1"/>
  <c r="W33" i="8" s="1"/>
  <c r="X33" i="8" s="1"/>
  <c r="W32" i="8"/>
  <c r="X32" i="8" s="1"/>
  <c r="L32" i="8"/>
  <c r="E32" i="8"/>
  <c r="W31" i="8"/>
  <c r="X31" i="8" s="1"/>
  <c r="L31" i="8"/>
  <c r="E31" i="8"/>
  <c r="L30" i="8"/>
  <c r="E30" i="8"/>
  <c r="F30" i="8" s="1"/>
  <c r="W30" i="8" s="1"/>
  <c r="X30" i="8" s="1"/>
  <c r="X29" i="8"/>
  <c r="L29" i="8"/>
  <c r="E29" i="8"/>
  <c r="F29" i="8" s="1"/>
  <c r="W29" i="8" s="1"/>
  <c r="X28" i="8"/>
  <c r="W28" i="8"/>
  <c r="L28" i="8"/>
  <c r="F28" i="8"/>
  <c r="E28" i="8"/>
  <c r="W27" i="8"/>
  <c r="X27" i="8" s="1"/>
  <c r="L27" i="8"/>
  <c r="F27" i="8"/>
  <c r="E27" i="8"/>
  <c r="W26" i="8"/>
  <c r="X26" i="8" s="1"/>
  <c r="L26" i="8"/>
  <c r="E26" i="8"/>
  <c r="X25" i="8"/>
  <c r="W25" i="8"/>
  <c r="L25" i="8"/>
  <c r="E25" i="8"/>
  <c r="W24" i="8"/>
  <c r="X24" i="8" s="1"/>
  <c r="L24" i="8"/>
  <c r="E24" i="8"/>
  <c r="W23" i="8"/>
  <c r="X23" i="8" s="1"/>
  <c r="L23" i="8"/>
  <c r="E23" i="8"/>
  <c r="L22" i="8"/>
  <c r="E22" i="8"/>
  <c r="F22" i="8" s="1"/>
  <c r="W22" i="8" s="1"/>
  <c r="X22" i="8" s="1"/>
  <c r="L21" i="8"/>
  <c r="E21" i="8"/>
  <c r="F21" i="8" s="1"/>
  <c r="W21" i="8" s="1"/>
  <c r="X21" i="8" s="1"/>
  <c r="X20" i="8"/>
  <c r="W20" i="8"/>
  <c r="L20" i="8"/>
  <c r="F20" i="8"/>
  <c r="E20" i="8"/>
  <c r="W19" i="8"/>
  <c r="X19" i="8" s="1"/>
  <c r="L19" i="8"/>
  <c r="F19" i="8"/>
  <c r="E19" i="8"/>
  <c r="W18" i="8"/>
  <c r="X18" i="8" s="1"/>
  <c r="L18" i="8"/>
  <c r="F18" i="8"/>
  <c r="E18" i="8"/>
  <c r="L17" i="8"/>
  <c r="E17" i="8"/>
  <c r="F17" i="8" s="1"/>
  <c r="W17" i="8" s="1"/>
  <c r="X17" i="8" s="1"/>
  <c r="X16" i="8"/>
  <c r="W16" i="8"/>
  <c r="L16" i="8"/>
  <c r="E16" i="8"/>
  <c r="X15" i="8"/>
  <c r="W15" i="8"/>
  <c r="L15" i="8"/>
  <c r="E15" i="8"/>
  <c r="W14" i="8"/>
  <c r="X14" i="8" s="1"/>
  <c r="L14" i="8"/>
  <c r="E14" i="8"/>
  <c r="X13" i="8"/>
  <c r="W13" i="8"/>
  <c r="L13" i="8"/>
  <c r="E13" i="8"/>
  <c r="X12" i="8"/>
  <c r="W12" i="8"/>
  <c r="L12" i="8"/>
  <c r="F12" i="8"/>
  <c r="E12" i="8"/>
  <c r="W11" i="8"/>
  <c r="X11" i="8" s="1"/>
  <c r="L11" i="8"/>
  <c r="F11" i="8"/>
  <c r="E11" i="8"/>
  <c r="W10" i="8"/>
  <c r="X10" i="8" s="1"/>
  <c r="L10" i="8"/>
  <c r="E10" i="8"/>
  <c r="X9" i="8"/>
  <c r="W9" i="8"/>
  <c r="L9" i="8"/>
  <c r="E9" i="8"/>
  <c r="W8" i="8"/>
  <c r="X8" i="8" s="1"/>
  <c r="L8" i="8"/>
  <c r="E8" i="8"/>
  <c r="W7" i="8"/>
  <c r="X7" i="8" s="1"/>
  <c r="L7" i="8"/>
  <c r="E7" i="8"/>
  <c r="U6" i="8"/>
  <c r="T6" i="8"/>
  <c r="S6" i="8"/>
  <c r="R6" i="8"/>
  <c r="Q6" i="8"/>
  <c r="P6" i="8"/>
  <c r="O6" i="8"/>
  <c r="N6" i="8"/>
  <c r="M6" i="8"/>
  <c r="J6" i="8"/>
  <c r="F233" i="7"/>
  <c r="E233" i="7"/>
  <c r="F223" i="7"/>
  <c r="E223" i="7"/>
  <c r="F213" i="7"/>
  <c r="F192" i="7" s="1"/>
  <c r="E213" i="7"/>
  <c r="F203" i="7"/>
  <c r="E203" i="7"/>
  <c r="F193" i="7"/>
  <c r="E193" i="7"/>
  <c r="E192" i="7"/>
  <c r="F182" i="7"/>
  <c r="E182" i="7"/>
  <c r="F172" i="7"/>
  <c r="E172" i="7"/>
  <c r="F162" i="7"/>
  <c r="E162" i="7"/>
  <c r="F152" i="7"/>
  <c r="E152" i="7"/>
  <c r="F142" i="7"/>
  <c r="E142" i="7"/>
  <c r="F139" i="7"/>
  <c r="F138" i="7"/>
  <c r="F137" i="7"/>
  <c r="E136" i="7"/>
  <c r="F130" i="7"/>
  <c r="E130" i="7"/>
  <c r="F124" i="7"/>
  <c r="E124" i="7"/>
  <c r="F118" i="7"/>
  <c r="E118" i="7"/>
  <c r="F112" i="7"/>
  <c r="E112" i="7"/>
  <c r="F106" i="7"/>
  <c r="F105" i="7" s="1"/>
  <c r="E106" i="7"/>
  <c r="E105" i="7" s="1"/>
  <c r="F95" i="7"/>
  <c r="E95" i="7"/>
  <c r="F85" i="7"/>
  <c r="E85" i="7"/>
  <c r="F75" i="7"/>
  <c r="E75" i="7"/>
  <c r="F66" i="7"/>
  <c r="F65" i="7"/>
  <c r="E65" i="7"/>
  <c r="E58" i="7" s="1"/>
  <c r="F59" i="7"/>
  <c r="F58" i="7" s="1"/>
  <c r="E59" i="7"/>
  <c r="F54" i="7"/>
  <c r="F43" i="7" s="1"/>
  <c r="E54" i="7"/>
  <c r="F50" i="7"/>
  <c r="E50" i="7"/>
  <c r="F44" i="7"/>
  <c r="E44" i="7"/>
  <c r="E43" i="7"/>
  <c r="F41" i="7"/>
  <c r="F40" i="7"/>
  <c r="F39" i="7"/>
  <c r="F38" i="7"/>
  <c r="F37" i="7"/>
  <c r="E37" i="7"/>
  <c r="F26" i="7"/>
  <c r="F24" i="7"/>
  <c r="E24" i="7"/>
  <c r="F20" i="7"/>
  <c r="E20" i="7"/>
  <c r="F16" i="7"/>
  <c r="F12" i="7" s="1"/>
  <c r="E12" i="7"/>
  <c r="F10" i="7"/>
  <c r="F7" i="7"/>
  <c r="F6" i="7"/>
  <c r="E6" i="7"/>
  <c r="F170" i="6"/>
  <c r="E170" i="6"/>
  <c r="F166" i="6"/>
  <c r="E166" i="6"/>
  <c r="F162" i="6"/>
  <c r="E162" i="6"/>
  <c r="F159" i="6"/>
  <c r="F158" i="6"/>
  <c r="E158" i="6"/>
  <c r="F154" i="6"/>
  <c r="F153" i="6" s="1"/>
  <c r="F147" i="6" s="1"/>
  <c r="E153" i="6"/>
  <c r="F149" i="6"/>
  <c r="F148" i="6"/>
  <c r="E148" i="6"/>
  <c r="F143" i="6"/>
  <c r="E143" i="6"/>
  <c r="F139" i="6"/>
  <c r="E139" i="6"/>
  <c r="F135" i="6"/>
  <c r="E135" i="6"/>
  <c r="F132" i="6"/>
  <c r="F131" i="6" s="1"/>
  <c r="E131" i="6"/>
  <c r="F128" i="6"/>
  <c r="E128" i="6"/>
  <c r="E127" i="6" s="1"/>
  <c r="F126" i="6"/>
  <c r="V126" i="6" s="1"/>
  <c r="W126" i="6" s="1"/>
  <c r="E126" i="6"/>
  <c r="V125" i="6"/>
  <c r="W125" i="6" s="1"/>
  <c r="F125" i="6"/>
  <c r="E125" i="6"/>
  <c r="V124" i="6"/>
  <c r="W124" i="6" s="1"/>
  <c r="F124" i="6"/>
  <c r="E124" i="6"/>
  <c r="F123" i="6"/>
  <c r="V123" i="6" s="1"/>
  <c r="W123" i="6" s="1"/>
  <c r="E123" i="6"/>
  <c r="V122" i="6"/>
  <c r="W122" i="6" s="1"/>
  <c r="F122" i="6"/>
  <c r="E122" i="6"/>
  <c r="V121" i="6"/>
  <c r="W121" i="6" s="1"/>
  <c r="F121" i="6"/>
  <c r="E121" i="6"/>
  <c r="F120" i="6"/>
  <c r="V120" i="6" s="1"/>
  <c r="W120" i="6" s="1"/>
  <c r="E120" i="6"/>
  <c r="V119" i="6"/>
  <c r="W119" i="6" s="1"/>
  <c r="F119" i="6"/>
  <c r="E119" i="6"/>
  <c r="V118" i="6"/>
  <c r="W118" i="6" s="1"/>
  <c r="F118" i="6"/>
  <c r="E118" i="6"/>
  <c r="F117" i="6"/>
  <c r="V117" i="6" s="1"/>
  <c r="W117" i="6" s="1"/>
  <c r="E117" i="6"/>
  <c r="V116" i="6"/>
  <c r="W116" i="6" s="1"/>
  <c r="F116" i="6"/>
  <c r="E116" i="6"/>
  <c r="V115" i="6"/>
  <c r="W115" i="6" s="1"/>
  <c r="F115" i="6"/>
  <c r="E115" i="6"/>
  <c r="F114" i="6"/>
  <c r="V114" i="6" s="1"/>
  <c r="W114" i="6" s="1"/>
  <c r="E114" i="6"/>
  <c r="V113" i="6"/>
  <c r="W113" i="6" s="1"/>
  <c r="F113" i="6"/>
  <c r="E113" i="6"/>
  <c r="V112" i="6"/>
  <c r="W112" i="6" s="1"/>
  <c r="F112" i="6"/>
  <c r="E112" i="6"/>
  <c r="F111" i="6"/>
  <c r="V111" i="6" s="1"/>
  <c r="W111" i="6" s="1"/>
  <c r="E111" i="6"/>
  <c r="V110" i="6"/>
  <c r="W110" i="6" s="1"/>
  <c r="F110" i="6"/>
  <c r="E110" i="6"/>
  <c r="V109" i="6"/>
  <c r="W109" i="6" s="1"/>
  <c r="F109" i="6"/>
  <c r="E109" i="6"/>
  <c r="F108" i="6"/>
  <c r="V108" i="6" s="1"/>
  <c r="W108" i="6" s="1"/>
  <c r="E108" i="6"/>
  <c r="V107" i="6"/>
  <c r="W107" i="6" s="1"/>
  <c r="F107" i="6"/>
  <c r="E107" i="6"/>
  <c r="E6" i="6" s="1"/>
  <c r="V106" i="6"/>
  <c r="W106" i="6" s="1"/>
  <c r="F106" i="6"/>
  <c r="E106" i="6"/>
  <c r="F105" i="6"/>
  <c r="V105" i="6" s="1"/>
  <c r="W105" i="6" s="1"/>
  <c r="F104" i="6"/>
  <c r="V104" i="6" s="1"/>
  <c r="W104" i="6" s="1"/>
  <c r="F103" i="6"/>
  <c r="V103" i="6" s="1"/>
  <c r="W103" i="6" s="1"/>
  <c r="W102" i="6"/>
  <c r="V102" i="6"/>
  <c r="F101" i="6"/>
  <c r="V101" i="6" s="1"/>
  <c r="W101" i="6" s="1"/>
  <c r="W100" i="6"/>
  <c r="V100" i="6"/>
  <c r="F100" i="6"/>
  <c r="F99" i="6"/>
  <c r="V99" i="6" s="1"/>
  <c r="W99" i="6" s="1"/>
  <c r="V98" i="6"/>
  <c r="W98" i="6" s="1"/>
  <c r="F98" i="6"/>
  <c r="W97" i="6"/>
  <c r="V97" i="6"/>
  <c r="V96" i="6"/>
  <c r="W96" i="6" s="1"/>
  <c r="F96" i="6"/>
  <c r="V95" i="6"/>
  <c r="W95" i="6" s="1"/>
  <c r="F95" i="6"/>
  <c r="V94" i="6"/>
  <c r="W94" i="6" s="1"/>
  <c r="W93" i="6"/>
  <c r="V93" i="6"/>
  <c r="F93" i="6"/>
  <c r="F92" i="6"/>
  <c r="V92" i="6" s="1"/>
  <c r="W92" i="6" s="1"/>
  <c r="F91" i="6"/>
  <c r="V91" i="6" s="1"/>
  <c r="W91" i="6" s="1"/>
  <c r="F90" i="6"/>
  <c r="V90" i="6" s="1"/>
  <c r="W90" i="6" s="1"/>
  <c r="W89" i="6"/>
  <c r="V89" i="6"/>
  <c r="F89" i="6"/>
  <c r="F88" i="6"/>
  <c r="V88" i="6" s="1"/>
  <c r="W88" i="6" s="1"/>
  <c r="F87" i="6"/>
  <c r="V87" i="6" s="1"/>
  <c r="W87" i="6" s="1"/>
  <c r="F86" i="6"/>
  <c r="V86" i="6" s="1"/>
  <c r="W86" i="6" s="1"/>
  <c r="W85" i="6"/>
  <c r="V85" i="6"/>
  <c r="F85" i="6"/>
  <c r="F84" i="6"/>
  <c r="V84" i="6" s="1"/>
  <c r="W84" i="6" s="1"/>
  <c r="F83" i="6"/>
  <c r="V83" i="6" s="1"/>
  <c r="W83" i="6" s="1"/>
  <c r="F82" i="6"/>
  <c r="V82" i="6" s="1"/>
  <c r="W82" i="6" s="1"/>
  <c r="W81" i="6"/>
  <c r="V81" i="6"/>
  <c r="F81" i="6"/>
  <c r="F80" i="6"/>
  <c r="V80" i="6" s="1"/>
  <c r="W80" i="6" s="1"/>
  <c r="F79" i="6"/>
  <c r="V79" i="6" s="1"/>
  <c r="W79" i="6" s="1"/>
  <c r="F78" i="6"/>
  <c r="V78" i="6" s="1"/>
  <c r="W78" i="6" s="1"/>
  <c r="W77" i="6"/>
  <c r="V77" i="6"/>
  <c r="L77" i="6"/>
  <c r="L76" i="6"/>
  <c r="V76" i="6" s="1"/>
  <c r="W76" i="6" s="1"/>
  <c r="F75" i="6"/>
  <c r="V75" i="6" s="1"/>
  <c r="W75" i="6" s="1"/>
  <c r="F74" i="6"/>
  <c r="V74" i="6" s="1"/>
  <c r="W74" i="6" s="1"/>
  <c r="W73" i="6"/>
  <c r="V73" i="6"/>
  <c r="L73" i="6"/>
  <c r="F73" i="6"/>
  <c r="V72" i="6"/>
  <c r="W72" i="6" s="1"/>
  <c r="F72" i="6"/>
  <c r="V71" i="6"/>
  <c r="W71" i="6" s="1"/>
  <c r="F71" i="6"/>
  <c r="F70" i="6"/>
  <c r="V70" i="6" s="1"/>
  <c r="W70" i="6" s="1"/>
  <c r="W69" i="6"/>
  <c r="V69" i="6"/>
  <c r="L69" i="6"/>
  <c r="V68" i="6"/>
  <c r="W68" i="6" s="1"/>
  <c r="O68" i="6"/>
  <c r="N68" i="6"/>
  <c r="N6" i="6" s="1"/>
  <c r="M68" i="6"/>
  <c r="L68" i="6"/>
  <c r="F67" i="6"/>
  <c r="V67" i="6" s="1"/>
  <c r="W67" i="6" s="1"/>
  <c r="W66" i="6"/>
  <c r="V66" i="6"/>
  <c r="F66" i="6"/>
  <c r="V65" i="6"/>
  <c r="W65" i="6" s="1"/>
  <c r="F65" i="6"/>
  <c r="L64" i="6"/>
  <c r="F64" i="6"/>
  <c r="V64" i="6" s="1"/>
  <c r="W64" i="6" s="1"/>
  <c r="V63" i="6"/>
  <c r="W63" i="6" s="1"/>
  <c r="L63" i="6"/>
  <c r="F62" i="6"/>
  <c r="V62" i="6" s="1"/>
  <c r="W62" i="6" s="1"/>
  <c r="W61" i="6"/>
  <c r="V61" i="6"/>
  <c r="F61" i="6"/>
  <c r="W60" i="6"/>
  <c r="V60" i="6"/>
  <c r="F59" i="6"/>
  <c r="V59" i="6" s="1"/>
  <c r="W59" i="6" s="1"/>
  <c r="W58" i="6"/>
  <c r="V58" i="6"/>
  <c r="F58" i="6"/>
  <c r="V57" i="6"/>
  <c r="W57" i="6" s="1"/>
  <c r="L57" i="6"/>
  <c r="L56" i="6"/>
  <c r="F56" i="6"/>
  <c r="V56" i="6" s="1"/>
  <c r="W56" i="6" s="1"/>
  <c r="V55" i="6"/>
  <c r="W55" i="6" s="1"/>
  <c r="L55" i="6"/>
  <c r="F55" i="6"/>
  <c r="F54" i="6"/>
  <c r="V54" i="6" s="1"/>
  <c r="W54" i="6" s="1"/>
  <c r="F53" i="6"/>
  <c r="V53" i="6" s="1"/>
  <c r="W53" i="6" s="1"/>
  <c r="F52" i="6"/>
  <c r="V52" i="6" s="1"/>
  <c r="W52" i="6" s="1"/>
  <c r="W51" i="6"/>
  <c r="V51" i="6"/>
  <c r="L51" i="6"/>
  <c r="F51" i="6"/>
  <c r="V50" i="6"/>
  <c r="W50" i="6" s="1"/>
  <c r="W49" i="6"/>
  <c r="V49" i="6"/>
  <c r="F48" i="6"/>
  <c r="V48" i="6" s="1"/>
  <c r="W48" i="6" s="1"/>
  <c r="V47" i="6"/>
  <c r="W47" i="6" s="1"/>
  <c r="F47" i="6"/>
  <c r="F46" i="6"/>
  <c r="V46" i="6" s="1"/>
  <c r="W46" i="6" s="1"/>
  <c r="W45" i="6"/>
  <c r="V45" i="6"/>
  <c r="F45" i="6"/>
  <c r="F44" i="6"/>
  <c r="V44" i="6" s="1"/>
  <c r="W44" i="6" s="1"/>
  <c r="V43" i="6"/>
  <c r="W43" i="6" s="1"/>
  <c r="F43" i="6"/>
  <c r="F42" i="6"/>
  <c r="V42" i="6" s="1"/>
  <c r="W42" i="6" s="1"/>
  <c r="W41" i="6"/>
  <c r="V41" i="6"/>
  <c r="F41" i="6"/>
  <c r="F40" i="6"/>
  <c r="V40" i="6" s="1"/>
  <c r="W40" i="6" s="1"/>
  <c r="W39" i="6"/>
  <c r="V39" i="6"/>
  <c r="L39" i="6"/>
  <c r="F39" i="6"/>
  <c r="L38" i="6"/>
  <c r="V38" i="6" s="1"/>
  <c r="W38" i="6" s="1"/>
  <c r="F38" i="6"/>
  <c r="V37" i="6"/>
  <c r="W37" i="6" s="1"/>
  <c r="F37" i="6"/>
  <c r="F36" i="6"/>
  <c r="V36" i="6" s="1"/>
  <c r="W36" i="6" s="1"/>
  <c r="W35" i="6"/>
  <c r="V35" i="6"/>
  <c r="F35" i="6"/>
  <c r="V34" i="6"/>
  <c r="W34" i="6" s="1"/>
  <c r="F34" i="6"/>
  <c r="V33" i="6"/>
  <c r="W33" i="6" s="1"/>
  <c r="V32" i="6"/>
  <c r="W32" i="6" s="1"/>
  <c r="V31" i="6"/>
  <c r="W31" i="6" s="1"/>
  <c r="F31" i="6"/>
  <c r="F30" i="6"/>
  <c r="V30" i="6" s="1"/>
  <c r="W30" i="6" s="1"/>
  <c r="L29" i="6"/>
  <c r="L28" i="6"/>
  <c r="F28" i="6"/>
  <c r="W27" i="6"/>
  <c r="V27" i="6"/>
  <c r="L27" i="6"/>
  <c r="V26" i="6"/>
  <c r="W26" i="6" s="1"/>
  <c r="W25" i="6"/>
  <c r="V25" i="6"/>
  <c r="M24" i="6"/>
  <c r="M6" i="6" s="1"/>
  <c r="L24" i="6"/>
  <c r="F24" i="6"/>
  <c r="V24" i="6" s="1"/>
  <c r="W24" i="6" s="1"/>
  <c r="M23" i="6"/>
  <c r="L23" i="6"/>
  <c r="F23" i="6"/>
  <c r="V23" i="6" s="1"/>
  <c r="W23" i="6" s="1"/>
  <c r="F22" i="6"/>
  <c r="V22" i="6" s="1"/>
  <c r="W22" i="6" s="1"/>
  <c r="F21" i="6"/>
  <c r="V21" i="6" s="1"/>
  <c r="W21" i="6" s="1"/>
  <c r="W20" i="6"/>
  <c r="V20" i="6"/>
  <c r="F20" i="6"/>
  <c r="F19" i="6"/>
  <c r="V19" i="6" s="1"/>
  <c r="W19" i="6" s="1"/>
  <c r="F18" i="6"/>
  <c r="V18" i="6" s="1"/>
  <c r="W18" i="6" s="1"/>
  <c r="F17" i="6"/>
  <c r="V17" i="6" s="1"/>
  <c r="W17" i="6" s="1"/>
  <c r="W16" i="6"/>
  <c r="V16" i="6"/>
  <c r="L16" i="6"/>
  <c r="F16" i="6"/>
  <c r="V15" i="6"/>
  <c r="W15" i="6" s="1"/>
  <c r="L15" i="6"/>
  <c r="F15" i="6"/>
  <c r="W14" i="6"/>
  <c r="V14" i="6"/>
  <c r="V13" i="6"/>
  <c r="W13" i="6" s="1"/>
  <c r="W12" i="6"/>
  <c r="V12" i="6"/>
  <c r="F12" i="6"/>
  <c r="F11" i="6"/>
  <c r="V11" i="6" s="1"/>
  <c r="W11" i="6" s="1"/>
  <c r="F10" i="6"/>
  <c r="V10" i="6" s="1"/>
  <c r="W10" i="6" s="1"/>
  <c r="F9" i="6"/>
  <c r="V9" i="6" s="1"/>
  <c r="W9" i="6" s="1"/>
  <c r="W8" i="6"/>
  <c r="V8" i="6"/>
  <c r="F8" i="6"/>
  <c r="F7" i="6"/>
  <c r="T6" i="6"/>
  <c r="S6" i="6"/>
  <c r="R6" i="6"/>
  <c r="Q6" i="6"/>
  <c r="P6" i="6"/>
  <c r="O6" i="6"/>
  <c r="J6" i="6"/>
  <c r="E105" i="36"/>
  <c r="K53" i="34" l="1"/>
  <c r="G116" i="34"/>
  <c r="F116" i="34"/>
  <c r="F53" i="34"/>
  <c r="K47" i="34"/>
  <c r="J96" i="34"/>
  <c r="F30" i="34"/>
  <c r="K104" i="34"/>
  <c r="L116" i="34"/>
  <c r="M47" i="34"/>
  <c r="N53" i="34"/>
  <c r="G100" i="34"/>
  <c r="I116" i="34"/>
  <c r="F36" i="34"/>
  <c r="I100" i="34"/>
  <c r="N104" i="34"/>
  <c r="K30" i="34"/>
  <c r="L30" i="34"/>
  <c r="K100" i="34"/>
  <c r="D30" i="34"/>
  <c r="J36" i="34"/>
  <c r="K36" i="34"/>
  <c r="L89" i="34"/>
  <c r="C121" i="34"/>
  <c r="N47" i="34"/>
  <c r="G104" i="34"/>
  <c r="N30" i="34"/>
  <c r="E89" i="34"/>
  <c r="M104" i="34"/>
  <c r="E100" i="34"/>
  <c r="E23" i="34"/>
  <c r="L23" i="34"/>
  <c r="F100" i="34"/>
  <c r="G89" i="34"/>
  <c r="G23" i="34"/>
  <c r="M36" i="34"/>
  <c r="N36" i="34"/>
  <c r="E36" i="34"/>
  <c r="J116" i="34"/>
  <c r="M23" i="34"/>
  <c r="G30" i="34"/>
  <c r="M116" i="34"/>
  <c r="G36" i="34"/>
  <c r="M96" i="34"/>
  <c r="F96" i="34"/>
  <c r="M100" i="34"/>
  <c r="J53" i="34"/>
  <c r="E104" i="34"/>
  <c r="I96" i="34"/>
  <c r="F104" i="34"/>
  <c r="I104" i="34"/>
  <c r="N116" i="34"/>
  <c r="I36" i="34"/>
  <c r="C50" i="34"/>
  <c r="M89" i="34"/>
  <c r="J30" i="34"/>
  <c r="K89" i="34"/>
  <c r="G47" i="34"/>
  <c r="C94" i="34"/>
  <c r="N96" i="34"/>
  <c r="F23" i="34"/>
  <c r="E47" i="34"/>
  <c r="C91" i="34"/>
  <c r="C56" i="34"/>
  <c r="J100" i="34"/>
  <c r="I23" i="34"/>
  <c r="K23" i="34"/>
  <c r="I47" i="34"/>
  <c r="C55" i="34"/>
  <c r="I89" i="34"/>
  <c r="C118" i="34"/>
  <c r="G53" i="34"/>
  <c r="E96" i="34"/>
  <c r="L100" i="34"/>
  <c r="C98" i="34"/>
  <c r="L47" i="34"/>
  <c r="D104" i="34"/>
  <c r="D116" i="34"/>
  <c r="O46" i="34"/>
  <c r="C16" i="34" s="1"/>
  <c r="E16" i="34" s="1"/>
  <c r="F16" i="34" s="1"/>
  <c r="F127" i="8"/>
  <c r="E4" i="6"/>
  <c r="E4" i="11"/>
  <c r="E6" i="14"/>
  <c r="E4" i="14" s="1"/>
  <c r="F4" i="11"/>
  <c r="E147" i="6"/>
  <c r="F136" i="7"/>
  <c r="L6" i="8"/>
  <c r="V7" i="6"/>
  <c r="W7" i="6" s="1"/>
  <c r="W6" i="6" s="1"/>
  <c r="K6" i="6" s="1"/>
  <c r="F6" i="6"/>
  <c r="E4" i="7"/>
  <c r="X6" i="8"/>
  <c r="K6" i="8" s="1"/>
  <c r="F6" i="8"/>
  <c r="F135" i="8"/>
  <c r="F29" i="6"/>
  <c r="V29" i="6" s="1"/>
  <c r="W29" i="6" s="1"/>
  <c r="V28" i="6"/>
  <c r="W28" i="6" s="1"/>
  <c r="F127" i="6"/>
  <c r="E127" i="8"/>
  <c r="E6" i="8"/>
  <c r="L6" i="6"/>
  <c r="F4" i="7"/>
  <c r="F148" i="8"/>
  <c r="C57" i="34"/>
  <c r="D53" i="34"/>
  <c r="F49" i="10"/>
  <c r="W49" i="10" s="1"/>
  <c r="X49" i="10" s="1"/>
  <c r="X6" i="12"/>
  <c r="M6" i="12"/>
  <c r="L6" i="12"/>
  <c r="E4" i="13"/>
  <c r="H37" i="34"/>
  <c r="H36" i="34" s="1"/>
  <c r="F149" i="16"/>
  <c r="E5" i="18"/>
  <c r="F5" i="18" s="1"/>
  <c r="D18" i="18"/>
  <c r="W12" i="16"/>
  <c r="X12" i="16" s="1"/>
  <c r="X6" i="16" s="1"/>
  <c r="K6" i="16" s="1"/>
  <c r="F6" i="16"/>
  <c r="F12" i="10"/>
  <c r="W12" i="10" s="1"/>
  <c r="X12" i="10" s="1"/>
  <c r="X6" i="10" s="1"/>
  <c r="K6" i="10" s="1"/>
  <c r="E119" i="11"/>
  <c r="C147" i="18"/>
  <c r="F31" i="10"/>
  <c r="W31" i="10" s="1"/>
  <c r="X31" i="10" s="1"/>
  <c r="F119" i="11"/>
  <c r="F139" i="14"/>
  <c r="F34" i="13"/>
  <c r="E13" i="18"/>
  <c r="F13" i="18" s="1"/>
  <c r="E6" i="12"/>
  <c r="E4" i="12" s="1"/>
  <c r="O6" i="14"/>
  <c r="F53" i="14"/>
  <c r="W53" i="14" s="1"/>
  <c r="X53" i="14" s="1"/>
  <c r="F143" i="10"/>
  <c r="W11" i="12"/>
  <c r="X11" i="12" s="1"/>
  <c r="F6" i="12"/>
  <c r="E127" i="10"/>
  <c r="E4" i="10" s="1"/>
  <c r="F38" i="10"/>
  <c r="W38" i="10" s="1"/>
  <c r="X38" i="10" s="1"/>
  <c r="F127" i="10"/>
  <c r="F64" i="14"/>
  <c r="W64" i="14" s="1"/>
  <c r="X64" i="14" s="1"/>
  <c r="N6" i="14"/>
  <c r="F81" i="14"/>
  <c r="W81" i="14" s="1"/>
  <c r="X81" i="14" s="1"/>
  <c r="E81" i="14"/>
  <c r="F4" i="15"/>
  <c r="E4" i="21"/>
  <c r="F152" i="12"/>
  <c r="F151" i="12" s="1"/>
  <c r="E254" i="15"/>
  <c r="E4" i="15" s="1"/>
  <c r="H32" i="34"/>
  <c r="H30" i="34" s="1"/>
  <c r="F124" i="16"/>
  <c r="C23" i="18"/>
  <c r="C22" i="18" s="1"/>
  <c r="E46" i="18"/>
  <c r="C6" i="18" s="1"/>
  <c r="E6" i="16"/>
  <c r="E6" i="18"/>
  <c r="F6" i="18" s="1"/>
  <c r="E15" i="18"/>
  <c r="F15" i="18" s="1"/>
  <c r="D46" i="18"/>
  <c r="C5" i="18" s="1"/>
  <c r="C86" i="18"/>
  <c r="C85" i="18" s="1"/>
  <c r="C194" i="18"/>
  <c r="C137" i="18"/>
  <c r="E65" i="34"/>
  <c r="C75" i="34"/>
  <c r="F126" i="14"/>
  <c r="I100" i="18"/>
  <c r="E150" i="14"/>
  <c r="C30" i="18"/>
  <c r="C100" i="18"/>
  <c r="F235" i="13"/>
  <c r="L6" i="14"/>
  <c r="F63" i="16"/>
  <c r="W63" i="16" s="1"/>
  <c r="X63" i="16" s="1"/>
  <c r="M6" i="16"/>
  <c r="H24" i="34" s="1"/>
  <c r="H23" i="34" s="1"/>
  <c r="H101" i="34"/>
  <c r="H100" i="34" s="1"/>
  <c r="F113" i="17"/>
  <c r="M22" i="18"/>
  <c r="D14" i="18" s="1"/>
  <c r="C47" i="18"/>
  <c r="E127" i="12"/>
  <c r="F31" i="14"/>
  <c r="W31" i="14" s="1"/>
  <c r="X31" i="14" s="1"/>
  <c r="X6" i="14" s="1"/>
  <c r="K6" i="14" s="1"/>
  <c r="M6" i="14"/>
  <c r="K46" i="18"/>
  <c r="C12" i="18" s="1"/>
  <c r="M85" i="18"/>
  <c r="M46" i="18" s="1"/>
  <c r="C14" i="18" s="1"/>
  <c r="F126" i="19"/>
  <c r="E4" i="20"/>
  <c r="F156" i="14"/>
  <c r="F150" i="14" s="1"/>
  <c r="L46" i="18"/>
  <c r="C13" i="18" s="1"/>
  <c r="I147" i="18"/>
  <c r="K147" i="18"/>
  <c r="W11" i="19"/>
  <c r="X11" i="19" s="1"/>
  <c r="X6" i="19" s="1"/>
  <c r="K6" i="19" s="1"/>
  <c r="E259" i="20"/>
  <c r="O85" i="18"/>
  <c r="O46" i="18" s="1"/>
  <c r="C16" i="18" s="1"/>
  <c r="E16" i="18" s="1"/>
  <c r="F16" i="18" s="1"/>
  <c r="J85" i="18"/>
  <c r="J46" i="18" s="1"/>
  <c r="C11" i="18" s="1"/>
  <c r="C204" i="18"/>
  <c r="F21" i="19"/>
  <c r="W21" i="19" s="1"/>
  <c r="X21" i="19" s="1"/>
  <c r="E149" i="16"/>
  <c r="H120" i="34"/>
  <c r="C120" i="34" s="1"/>
  <c r="J22" i="18"/>
  <c r="D11" i="18" s="1"/>
  <c r="C117" i="18"/>
  <c r="C275" i="18"/>
  <c r="F87" i="20"/>
  <c r="E149" i="20"/>
  <c r="F234" i="18"/>
  <c r="F46" i="18" s="1"/>
  <c r="C7" i="18" s="1"/>
  <c r="E7" i="18" s="1"/>
  <c r="F7" i="18" s="1"/>
  <c r="M6" i="19"/>
  <c r="F149" i="20"/>
  <c r="E4" i="26"/>
  <c r="U6" i="19"/>
  <c r="W11" i="25"/>
  <c r="X11" i="25" s="1"/>
  <c r="E154" i="21"/>
  <c r="C61" i="18"/>
  <c r="J100" i="18"/>
  <c r="F13" i="19"/>
  <c r="W13" i="19" s="1"/>
  <c r="X13" i="19" s="1"/>
  <c r="L6" i="21"/>
  <c r="F6" i="23"/>
  <c r="C255" i="18"/>
  <c r="C234" i="18" s="1"/>
  <c r="E6" i="23"/>
  <c r="E4" i="23" s="1"/>
  <c r="W19" i="27"/>
  <c r="X19" i="27" s="1"/>
  <c r="E158" i="17"/>
  <c r="E4" i="17" s="1"/>
  <c r="K22" i="18"/>
  <c r="D12" i="18" s="1"/>
  <c r="N46" i="18"/>
  <c r="C15" i="18" s="1"/>
  <c r="E6" i="19"/>
  <c r="E4" i="19" s="1"/>
  <c r="L6" i="23"/>
  <c r="W11" i="23"/>
  <c r="X11" i="23" s="1"/>
  <c r="F134" i="27"/>
  <c r="F132" i="27"/>
  <c r="F130" i="27" s="1"/>
  <c r="F126" i="27" s="1"/>
  <c r="H104" i="34"/>
  <c r="H46" i="34" s="1"/>
  <c r="C9" i="34" s="1"/>
  <c r="H116" i="34"/>
  <c r="C117" i="34"/>
  <c r="F154" i="21"/>
  <c r="F150" i="22"/>
  <c r="L6" i="29"/>
  <c r="F95" i="19"/>
  <c r="W95" i="19" s="1"/>
  <c r="X95" i="19" s="1"/>
  <c r="M6" i="21"/>
  <c r="E6" i="25"/>
  <c r="E4" i="25" s="1"/>
  <c r="F33" i="21"/>
  <c r="W33" i="21" s="1"/>
  <c r="X33" i="21" s="1"/>
  <c r="X6" i="21" s="1"/>
  <c r="K6" i="21" s="1"/>
  <c r="X6" i="23"/>
  <c r="K6" i="23" s="1"/>
  <c r="L6" i="25"/>
  <c r="L6" i="27"/>
  <c r="F259" i="20"/>
  <c r="F262" i="24"/>
  <c r="M6" i="25"/>
  <c r="F262" i="26"/>
  <c r="X6" i="25"/>
  <c r="E60" i="27"/>
  <c r="F60" i="27" s="1"/>
  <c r="W60" i="27" s="1"/>
  <c r="X60" i="27" s="1"/>
  <c r="X6" i="27" s="1"/>
  <c r="U6" i="27"/>
  <c r="E126" i="25"/>
  <c r="E6" i="29"/>
  <c r="F11" i="29"/>
  <c r="F158" i="17"/>
  <c r="F268" i="17"/>
  <c r="F69" i="19"/>
  <c r="W69" i="19" s="1"/>
  <c r="X69" i="19" s="1"/>
  <c r="F16" i="22"/>
  <c r="F4" i="22" s="1"/>
  <c r="E88" i="22"/>
  <c r="E4" i="22" s="1"/>
  <c r="F130" i="25"/>
  <c r="F126" i="25" s="1"/>
  <c r="F169" i="25"/>
  <c r="F154" i="25" s="1"/>
  <c r="F4" i="24"/>
  <c r="F93" i="27"/>
  <c r="W93" i="27" s="1"/>
  <c r="X93" i="27" s="1"/>
  <c r="E93" i="27"/>
  <c r="C99" i="34"/>
  <c r="M6" i="23"/>
  <c r="F169" i="27"/>
  <c r="F155" i="28"/>
  <c r="F4" i="28" s="1"/>
  <c r="F154" i="27"/>
  <c r="F92" i="27"/>
  <c r="W92" i="27" s="1"/>
  <c r="X92" i="27" s="1"/>
  <c r="C119" i="34"/>
  <c r="E52" i="25"/>
  <c r="F52" i="25" s="1"/>
  <c r="W52" i="25" s="1"/>
  <c r="X52" i="25" s="1"/>
  <c r="C54" i="34"/>
  <c r="F65" i="34"/>
  <c r="C66" i="34"/>
  <c r="C77" i="34"/>
  <c r="C105" i="34"/>
  <c r="C26" i="34"/>
  <c r="C69" i="34"/>
  <c r="F159" i="29"/>
  <c r="F153" i="29" s="1"/>
  <c r="N23" i="34"/>
  <c r="E30" i="34"/>
  <c r="C31" i="34"/>
  <c r="E53" i="34"/>
  <c r="C93" i="34"/>
  <c r="C115" i="34"/>
  <c r="C25" i="34"/>
  <c r="C60" i="34"/>
  <c r="E61" i="34"/>
  <c r="C62" i="34"/>
  <c r="C61" i="34" s="1"/>
  <c r="C67" i="34"/>
  <c r="D65" i="34"/>
  <c r="C78" i="34"/>
  <c r="N89" i="34"/>
  <c r="C92" i="34"/>
  <c r="C95" i="34"/>
  <c r="C103" i="34"/>
  <c r="C114" i="34"/>
  <c r="C102" i="34"/>
  <c r="C113" i="34"/>
  <c r="E125" i="29"/>
  <c r="I30" i="34"/>
  <c r="C76" i="34"/>
  <c r="C90" i="34"/>
  <c r="D100" i="34"/>
  <c r="C112" i="34"/>
  <c r="K116" i="34"/>
  <c r="E90" i="30"/>
  <c r="C35" i="34"/>
  <c r="C42" i="34"/>
  <c r="F47" i="34"/>
  <c r="C48" i="34"/>
  <c r="C52" i="34"/>
  <c r="C88" i="34"/>
  <c r="C111" i="34"/>
  <c r="C29" i="34"/>
  <c r="L36" i="34"/>
  <c r="C41" i="34"/>
  <c r="C51" i="34"/>
  <c r="F89" i="34"/>
  <c r="G96" i="34"/>
  <c r="C110" i="34"/>
  <c r="C34" i="34"/>
  <c r="C40" i="34"/>
  <c r="C70" i="34"/>
  <c r="C84" i="34"/>
  <c r="L104" i="34"/>
  <c r="C109" i="34"/>
  <c r="F4" i="30"/>
  <c r="C28" i="34"/>
  <c r="M30" i="34"/>
  <c r="C39" i="34"/>
  <c r="C49" i="34"/>
  <c r="D47" i="34"/>
  <c r="C97" i="34"/>
  <c r="C108" i="34"/>
  <c r="J23" i="34"/>
  <c r="C33" i="34"/>
  <c r="C38" i="34"/>
  <c r="C107" i="34"/>
  <c r="O6" i="29"/>
  <c r="C27" i="34"/>
  <c r="C37" i="34"/>
  <c r="D36" i="34"/>
  <c r="C71" i="34"/>
  <c r="J89" i="34"/>
  <c r="C106" i="34"/>
  <c r="D23" i="34"/>
  <c r="D89" i="34"/>
  <c r="L46" i="34" l="1"/>
  <c r="C13" i="34" s="1"/>
  <c r="E13" i="34" s="1"/>
  <c r="F13" i="34" s="1"/>
  <c r="J46" i="34"/>
  <c r="C11" i="34" s="1"/>
  <c r="K46" i="34"/>
  <c r="C12" i="34" s="1"/>
  <c r="F22" i="34"/>
  <c r="D7" i="34" s="1"/>
  <c r="L22" i="34"/>
  <c r="D13" i="34" s="1"/>
  <c r="G22" i="34"/>
  <c r="D8" i="34" s="1"/>
  <c r="N22" i="34"/>
  <c r="D15" i="34" s="1"/>
  <c r="I46" i="34"/>
  <c r="C10" i="34" s="1"/>
  <c r="J22" i="34"/>
  <c r="D11" i="34" s="1"/>
  <c r="K22" i="34"/>
  <c r="D12" i="34" s="1"/>
  <c r="M46" i="34"/>
  <c r="C14" i="34" s="1"/>
  <c r="M22" i="34"/>
  <c r="D14" i="34" s="1"/>
  <c r="E14" i="34" s="1"/>
  <c r="C96" i="34"/>
  <c r="I22" i="34"/>
  <c r="D10" i="34" s="1"/>
  <c r="E22" i="34"/>
  <c r="D6" i="34" s="1"/>
  <c r="F46" i="34"/>
  <c r="C7" i="34" s="1"/>
  <c r="E7" i="34" s="1"/>
  <c r="G46" i="34"/>
  <c r="C8" i="34" s="1"/>
  <c r="D22" i="34"/>
  <c r="D5" i="34" s="1"/>
  <c r="C89" i="34"/>
  <c r="N46" i="34"/>
  <c r="C15" i="34" s="1"/>
  <c r="E15" i="34" s="1"/>
  <c r="E46" i="34"/>
  <c r="C6" i="34" s="1"/>
  <c r="C53" i="34"/>
  <c r="K6" i="27"/>
  <c r="C46" i="18"/>
  <c r="F4" i="26"/>
  <c r="E12" i="18"/>
  <c r="F12" i="18" s="1"/>
  <c r="F4" i="13"/>
  <c r="C47" i="34"/>
  <c r="F6" i="25"/>
  <c r="W6" i="12"/>
  <c r="F4" i="12"/>
  <c r="C36" i="34"/>
  <c r="W11" i="29"/>
  <c r="X11" i="29" s="1"/>
  <c r="X6" i="29" s="1"/>
  <c r="K6" i="29" s="1"/>
  <c r="F6" i="29"/>
  <c r="F6" i="27"/>
  <c r="E11" i="18"/>
  <c r="F11" i="18" s="1"/>
  <c r="E4" i="16"/>
  <c r="F4" i="17"/>
  <c r="W6" i="23"/>
  <c r="Y6" i="23"/>
  <c r="F4" i="23"/>
  <c r="C32" i="34"/>
  <c r="C30" i="34" s="1"/>
  <c r="F6" i="21"/>
  <c r="F6" i="19"/>
  <c r="E4" i="29"/>
  <c r="C116" i="34"/>
  <c r="I46" i="18"/>
  <c r="C10" i="18" s="1"/>
  <c r="E10" i="18" s="1"/>
  <c r="F10" i="18" s="1"/>
  <c r="E14" i="18"/>
  <c r="F14" i="18" s="1"/>
  <c r="E4" i="8"/>
  <c r="C65" i="34"/>
  <c r="H22" i="34"/>
  <c r="D9" i="34" s="1"/>
  <c r="E9" i="34" s="1"/>
  <c r="K6" i="25"/>
  <c r="C101" i="34"/>
  <c r="C100" i="34" s="1"/>
  <c r="C104" i="34"/>
  <c r="W6" i="8"/>
  <c r="F4" i="8"/>
  <c r="K6" i="12"/>
  <c r="F4" i="6"/>
  <c r="V6" i="6"/>
  <c r="F6" i="14"/>
  <c r="F4" i="20"/>
  <c r="F6" i="10"/>
  <c r="W6" i="16"/>
  <c r="F4" i="16"/>
  <c r="Y6" i="16"/>
  <c r="E6" i="27"/>
  <c r="E4" i="27" s="1"/>
  <c r="C24" i="34"/>
  <c r="C23" i="34" s="1"/>
  <c r="D46" i="34"/>
  <c r="C5" i="34" s="1"/>
  <c r="C18" i="18"/>
  <c r="E6" i="34" l="1"/>
  <c r="E11" i="34"/>
  <c r="F11" i="34" s="1"/>
  <c r="E8" i="34"/>
  <c r="E10" i="34"/>
  <c r="E12" i="34"/>
  <c r="F12" i="34" s="1"/>
  <c r="C46" i="34"/>
  <c r="C18" i="34"/>
  <c r="W6" i="10"/>
  <c r="F4" i="10"/>
  <c r="F4" i="19"/>
  <c r="Y6" i="19"/>
  <c r="W6" i="19"/>
  <c r="F4" i="21"/>
  <c r="Y6" i="21"/>
  <c r="W6" i="21"/>
  <c r="F4" i="27"/>
  <c r="W6" i="27"/>
  <c r="Y6" i="27"/>
  <c r="D18" i="34"/>
  <c r="W6" i="29"/>
  <c r="Y6" i="29"/>
  <c r="F4" i="29"/>
  <c r="C22" i="34"/>
  <c r="E5" i="34"/>
  <c r="F5" i="34" s="1"/>
  <c r="F14" i="34"/>
  <c r="F15" i="34" s="1"/>
  <c r="F4" i="14"/>
  <c r="Y6" i="14"/>
  <c r="W6" i="14"/>
  <c r="Y6" i="25"/>
  <c r="F4" i="25"/>
  <c r="W6" i="25"/>
  <c r="F6" i="34" l="1"/>
  <c r="F7" i="34" s="1"/>
  <c r="F8" i="34" s="1"/>
  <c r="F9" i="34" s="1"/>
  <c r="F10" i="3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<sst xmlns="http://schemas.openxmlformats.org/spreadsheetml/2006/main" count="15483" uniqueCount="2642">
  <si>
    <t>ABAIXO É EXPLICADO O QUE CONSTA EM CADA ABA DA PLANILHA:</t>
  </si>
  <si>
    <t>CAIXA</t>
  </si>
  <si>
    <t>Nesta aba é exibido o valor que consta em cada caixa do Núcleo no último dia do mês, ou seja, o valor em espécie e o valor em cada conta bancária, mês a mês.</t>
  </si>
  <si>
    <t>DISTRIB. VALORES</t>
  </si>
  <si>
    <t>Nesta aba mostra como o dinheiro do Núcleo está distribuído, mês a mês, considerando o valor operacional para uso da Tesouraria, Beneficência, Novo Encanto, Plantio, Fundo de Reserva de Bilhete Aéreo e Fundo de Reserva para Construções.
É possível visualizar quanto tivemos de receita e despesa para cada linha, bem como o saldo atual.</t>
  </si>
  <si>
    <t>DINHEIRO</t>
  </si>
  <si>
    <t>Nesta aba consta a movimentação em dinheiro, mês a mês.
Observação:
- Quando há um depósito em dinheiro cujo valor sai do caixa em espécie e entra para uma conta bancária do núcleo, irá constar uma despesa nessa aba e uma receita na aba "TRANSF. ENTRE CONTAS".
- Quando há um saque de dinheiro de alguma conta bancária do núcleo, irá constar uma receita nessa aba e uma despesa na aba "TRANSF. ENTRE CONTAS".</t>
  </si>
  <si>
    <t>TRANSF. ENTRE CONTAS</t>
  </si>
  <si>
    <t>Nesta aba consta a movimentação entre contas bancárias do núcleo, mês a mês.
Observação:
- Quando há um depósito em dinheiro cujo valor sai do caixa em espécie e entra para uma conta do núcleo, irá constar uma despesa nessa aba e uma receita na aba "TRANSF. ENTRE CONTAS".
- Quando há um saque de dinheiro de alguma conta bancária do núcleo, irá constar uma receita nessa aba e uma despesa na aba "TRANSF. ENTRE CONTAS".</t>
  </si>
  <si>
    <t>ANO-MÊS-RECEITAS</t>
  </si>
  <si>
    <t>Nesta aba constam todas as receitas do Núcleo no referido mês, indicando a data da receita, se a receita foi efetivada ou não e em qual caixa a receita "entrou".
Haverá uma aba desta para cada mês.</t>
  </si>
  <si>
    <t>ANO-MÊS-DESPESAS</t>
  </si>
  <si>
    <t>Nesta aba constam todas as despesas do Núcleo no referido mês, indicando a data da despesa, se a receita foi efetivada ou não, a partir de qual caixa a despesa foi paga e o link para acesso ao comprovante.
Haverá uma aba desta para cada mês.</t>
  </si>
  <si>
    <t>INADIMPLÊNCIA</t>
  </si>
  <si>
    <t>Nesta aba consta a relação dos sócios inadimplentes no momento, bem como os respectivos valores.</t>
  </si>
  <si>
    <t>ANO-PREVISTO</t>
  </si>
  <si>
    <t>Nesta aba consta uma visão consolidada de todas as receitas e despesas previstas para o ano, mês a mês, possibilitando obter uma projeção financeira para o Núcleo ao longo do ano.</t>
  </si>
  <si>
    <t>ANO-REALIZADO</t>
  </si>
  <si>
    <t>Nesta aba consta uma visão consolidada de todas as receitas e despesas realizadas no ano, mês a mês, possibilitando obter uma visão gerencial da saúde financeira do Núcleo ao longo do ano.</t>
  </si>
  <si>
    <t>REUNIÃO DE DIRETORIA</t>
  </si>
  <si>
    <t>Nesta aba consta o material a ser apresentado na reunião de diretoria.</t>
  </si>
  <si>
    <t>CAIXAS</t>
  </si>
  <si>
    <t>SALDO FINAL
NOV/23</t>
  </si>
  <si>
    <t>JAN</t>
  </si>
  <si>
    <t>FEV</t>
  </si>
  <si>
    <t>MAR</t>
  </si>
  <si>
    <t>ABR</t>
  </si>
  <si>
    <t>MAI</t>
  </si>
  <si>
    <t>JUN</t>
  </si>
  <si>
    <t>JUL</t>
  </si>
  <si>
    <t>AGO</t>
  </si>
  <si>
    <t>SET</t>
  </si>
  <si>
    <t>OUT</t>
  </si>
  <si>
    <t>NOV</t>
  </si>
  <si>
    <t>DEZ</t>
  </si>
  <si>
    <t>Tesouraria</t>
  </si>
  <si>
    <t>Dinheiro em espécie</t>
  </si>
  <si>
    <t>Banco - Cora</t>
  </si>
  <si>
    <t>Banco - Pagbank</t>
  </si>
  <si>
    <t>Banco - Stone</t>
  </si>
  <si>
    <t>Banco - Ton</t>
  </si>
  <si>
    <t>SALDO ATUAL</t>
  </si>
  <si>
    <t>SALDO</t>
  </si>
  <si>
    <t>Receita</t>
  </si>
  <si>
    <t>-</t>
  </si>
  <si>
    <t>Operacional Tesouraria</t>
  </si>
  <si>
    <t>Beneficência NLT</t>
  </si>
  <si>
    <t>Novo Encanto NLT</t>
  </si>
  <si>
    <t>Plantio NLT</t>
  </si>
  <si>
    <t>Fundo de Reserva Bilhete Aéreo</t>
  </si>
  <si>
    <t>Fundo de Reserva Construção</t>
  </si>
  <si>
    <t>Despesa</t>
  </si>
  <si>
    <t>Repasse Novo encanto</t>
  </si>
  <si>
    <t>Repasse Flor Divina</t>
  </si>
  <si>
    <t>Repasse Memorial José Gabriel da Costa</t>
  </si>
  <si>
    <t xml:space="preserve">Observação: </t>
  </si>
  <si>
    <t>MOV. EM DINHEIRO</t>
  </si>
  <si>
    <t>Recebimento Mensalidade</t>
  </si>
  <si>
    <t>1a Escala - Caixa jantar</t>
  </si>
  <si>
    <t>2a Escala - Caixa jantar</t>
  </si>
  <si>
    <t>1a Escala - Caixa da boa vontade</t>
  </si>
  <si>
    <t>2a Escala - Caixa da boa vontade</t>
  </si>
  <si>
    <t>Outras receitas</t>
  </si>
  <si>
    <t>Promoção</t>
  </si>
  <si>
    <t>Doação</t>
  </si>
  <si>
    <t>Cantina SANA</t>
  </si>
  <si>
    <t>Outras despesas</t>
  </si>
  <si>
    <t>Depósito</t>
  </si>
  <si>
    <r>
      <rPr>
        <b/>
        <sz val="10"/>
        <color theme="1"/>
        <rFont val="Calibri"/>
        <family val="2"/>
      </rPr>
      <t>Observações do mês:</t>
    </r>
    <r>
      <rPr>
        <sz val="10"/>
        <color theme="1"/>
        <rFont val="Calibri"/>
        <family val="2"/>
      </rPr>
      <t xml:space="preserve"> </t>
    </r>
  </si>
  <si>
    <t>MOVIM. ENTRE CONTAS</t>
  </si>
  <si>
    <t>Entrada</t>
  </si>
  <si>
    <t>Saída</t>
  </si>
  <si>
    <r>
      <rPr>
        <b/>
        <sz val="10"/>
        <color theme="1"/>
        <rFont val="Calibri"/>
        <family val="2"/>
      </rPr>
      <t>Observações do mês:</t>
    </r>
    <r>
      <rPr>
        <sz val="10"/>
        <color theme="1"/>
        <rFont val="Calibri"/>
        <family val="2"/>
      </rPr>
      <t xml:space="preserve"> </t>
    </r>
  </si>
  <si>
    <t>RECEITAS</t>
  </si>
  <si>
    <t>TOTAL</t>
  </si>
  <si>
    <t>PLANO DE CONTAS DG</t>
  </si>
  <si>
    <t>Data</t>
  </si>
  <si>
    <t>Efetivado</t>
  </si>
  <si>
    <t>Valor Previsto</t>
  </si>
  <si>
    <t>Valor Recebido</t>
  </si>
  <si>
    <t>Observação</t>
  </si>
  <si>
    <t>Inadimp. (qtd)</t>
  </si>
  <si>
    <t>Inadimp. (R$)</t>
  </si>
  <si>
    <t>Núcleo</t>
  </si>
  <si>
    <t>Repasse DG</t>
  </si>
  <si>
    <t>Repasse 11a R</t>
  </si>
  <si>
    <t>Benef. NLT</t>
  </si>
  <si>
    <t>NE NLT</t>
  </si>
  <si>
    <t>FR Bilhete Aéreo</t>
  </si>
  <si>
    <t>FR Construção</t>
  </si>
  <si>
    <t>Taxa Extra</t>
  </si>
  <si>
    <t>Detalhamento Taxa Extra</t>
  </si>
  <si>
    <t>A receber:</t>
  </si>
  <si>
    <t>Mensalidade</t>
  </si>
  <si>
    <t>Elpídio Gomes de Moura Neto</t>
  </si>
  <si>
    <t>OK</t>
  </si>
  <si>
    <t>Pagamento único de R$ 445,81</t>
  </si>
  <si>
    <t/>
  </si>
  <si>
    <t>Juliana Collyer Arruda de Moura</t>
  </si>
  <si>
    <t>Silvéria Lopes Vasconcelos Arruda</t>
  </si>
  <si>
    <t>Francisco de Assis Vasconcelos Arruda</t>
  </si>
  <si>
    <t>Antônio Gonçalves de Lima Filho</t>
  </si>
  <si>
    <t>Pagamento único de R$ 312,34</t>
  </si>
  <si>
    <t>Sandra Borges Gonçalves de Lima</t>
  </si>
  <si>
    <t>Marcelo de Castro Brasil</t>
  </si>
  <si>
    <t>Pendente</t>
  </si>
  <si>
    <t>Flora Borges Gonçalves Lima Brasil</t>
  </si>
  <si>
    <t>Cássio Pereira Costa Sousa</t>
  </si>
  <si>
    <t>Pagamento único de R$ 564,26 descontado da despesa de alimentação paga pela C. Mônica referente à confraternização. Desta forma, não há essa entrada no extrato do banco.</t>
  </si>
  <si>
    <t>Mônica de Araújo Campos Costa Sousa</t>
  </si>
  <si>
    <t>José Maurício Guimarães Gomes</t>
  </si>
  <si>
    <t>Pagamento único de R$ 324,18</t>
  </si>
  <si>
    <t>Ticiane Aragão da Silveira Gomes</t>
  </si>
  <si>
    <t>Sérvulo Sidney Gladius Paiva Pimentel</t>
  </si>
  <si>
    <t>Pagamento único de R$ 858,58</t>
  </si>
  <si>
    <t>Maria Danielly Rios da Silva Paiva</t>
  </si>
  <si>
    <t>Régis Bezerra Gomes</t>
  </si>
  <si>
    <t>Pagamento único de R$ 315,58</t>
  </si>
  <si>
    <t>Ana Carolina de Oliveira Martins Gomes</t>
  </si>
  <si>
    <t>Lindayana de Souza Florêncio</t>
  </si>
  <si>
    <t>Não consta a entrada destes valores no banco pois foram utilizados para compensar a despesa do auto de natal no valor de R$ 445,56. Esta despesa compensa a mensalidade de dezembro/23 e janeiro/24.</t>
  </si>
  <si>
    <t>Confraternização dezembro/23 (antecipado de janeiro).</t>
  </si>
  <si>
    <t>Davi Florêncio de Sousa</t>
  </si>
  <si>
    <t>Joaquim Garcez de Lima Rocha</t>
  </si>
  <si>
    <t>Emília Mesquita Salgueiro Garcez</t>
  </si>
  <si>
    <t>Francisco Saulo Studart Albuquerque</t>
  </si>
  <si>
    <t>R$ 645 referente a agosto, setembro, outubro e novembro</t>
  </si>
  <si>
    <t>Franco Costa e Silva</t>
  </si>
  <si>
    <t>Pagamento único de R$ 264,58. O valor foi a menor que o padrão da mensalidade pois no mês anterior foi realizado um pagamento a maior, gerando crédito para a mensalidade de dezembro.</t>
  </si>
  <si>
    <t>Juliana Soares Monteiro</t>
  </si>
  <si>
    <t>Parcial</t>
  </si>
  <si>
    <t>Hugo Uchôa Passos Alencar</t>
  </si>
  <si>
    <t>Pagamento único de R$ 364,38</t>
  </si>
  <si>
    <t>Mairi Alencar de Lacerda Ferraz Uchôa</t>
  </si>
  <si>
    <t>João Carlos Studart Antero</t>
  </si>
  <si>
    <t>Janaina Silva Leitão Studart Antero</t>
  </si>
  <si>
    <t>Janaina de Pádua Carneiro Vasconcelos Giffoni</t>
  </si>
  <si>
    <t>Pagamento único de R$ 403,53</t>
  </si>
  <si>
    <t>Vicente Alves Giffoni</t>
  </si>
  <si>
    <t>Raphael Bruno Dantas Moreira</t>
  </si>
  <si>
    <t>Davi Silvino Moraes</t>
  </si>
  <si>
    <t>Dimaranje José Moraes</t>
  </si>
  <si>
    <t>Pagamento único de R$ 271,00 referente a novembro.
Pagamento único de R$ 221,62 referente a dezembro.</t>
  </si>
  <si>
    <t>Silvane da Silva Gonçalves</t>
  </si>
  <si>
    <t>Vicente de Paula Giffoni Filho</t>
  </si>
  <si>
    <t>Pagamento único de R$ 428,36</t>
  </si>
  <si>
    <t>Francinete Alves de Oliveira Giffoni</t>
  </si>
  <si>
    <t>Emanuel Alves Giffoni</t>
  </si>
  <si>
    <t>Flora Alves Giffoni</t>
  </si>
  <si>
    <t>Jonatas Cavalcante Brauna</t>
  </si>
  <si>
    <t>Lia Barroso Simonetti Gomes</t>
  </si>
  <si>
    <t>Pagamento único de R$ 510,44</t>
  </si>
  <si>
    <t>Henrique Silva Nicolau</t>
  </si>
  <si>
    <t>Lucas Maia Dantas</t>
  </si>
  <si>
    <t>Pagamento único de R$ 447,33</t>
  </si>
  <si>
    <t>Emanuela Cristine Pereira Félix</t>
  </si>
  <si>
    <t>Lucas Caldas Oliveira</t>
  </si>
  <si>
    <t>Pago em novembro/23.</t>
  </si>
  <si>
    <t>Gabriela Araújo Holanda Pinto</t>
  </si>
  <si>
    <t>Valterlir Pereira de Lima</t>
  </si>
  <si>
    <t>Pagamento único de R$ 331,73 referente a novembro
Pagamento único de R$ 271,73 referente a dezembro</t>
  </si>
  <si>
    <t>Maria Lúcia Ferreira da Silva Lima</t>
  </si>
  <si>
    <t>Salomão José Marques Maciel</t>
  </si>
  <si>
    <t>Pagamento único de R$ 214,09</t>
  </si>
  <si>
    <t>Ana Clara Simonetti Gomes Maciel</t>
  </si>
  <si>
    <t>Rafael Luna Honório</t>
  </si>
  <si>
    <t>Pagamento único de R$ 79,02 referente a novembro (11/12).
Pagamento único de R$ 79,02 referente a dezembro (11/12).</t>
  </si>
  <si>
    <t>Júlia Rogério Fiore Cheuen</t>
  </si>
  <si>
    <t>Isabela Clareana Pereira Félix</t>
  </si>
  <si>
    <t>Msg do Lucas Caldas:
A da clareana a C Maria José comprou uma mangueira e ficou assim:
Desp mangueiras 539,70
Mensalidade setembro 177,94
Mensalidade outubro 157,94
Mensalidade novembro 135,44
Parte da mensalidade de dezembro 68,38</t>
  </si>
  <si>
    <t>Pedro Klecius Farias Cardoso</t>
  </si>
  <si>
    <t>Pagamento único de R$ 388,58</t>
  </si>
  <si>
    <t>Genilda da Silva Cardoso</t>
  </si>
  <si>
    <t>Manoel Messias do Nascimento Neto</t>
  </si>
  <si>
    <t>Branda de Pádua Carneiro Vasconcelos Lessa</t>
  </si>
  <si>
    <t>Pagamento único de R$ 211,23</t>
  </si>
  <si>
    <t>Mateus Chaves Lessa de Castro</t>
  </si>
  <si>
    <t>Rossyane Maria Oliveira da Costa</t>
  </si>
  <si>
    <t>Aline Miranda de Oliveira Germano</t>
  </si>
  <si>
    <t>Pagamento único de R$ 55,37 referente a novembro (18/12).
O valor de R$ 55,37 referente a dezembro foi descontado do valor de R$ 220,00 referente a despesa do bolo para a confraternização. Com isso, não há entrada do valor de R$ 55,37 no banco referente a mensalidade de dezembro/23.</t>
  </si>
  <si>
    <t>Antônio Ramon da Silva Maia</t>
  </si>
  <si>
    <t>Rafaely Maia Sombra Cordeiro</t>
  </si>
  <si>
    <t>Francisco Hilton dos Santos Junior</t>
  </si>
  <si>
    <t>Manoel Edini de Aguiar</t>
  </si>
  <si>
    <t>Mensalidade de janeiro e fevereiro/24.
Dezembro já havia sido pago em novembro.</t>
  </si>
  <si>
    <t>Cecilia Maria Cunha</t>
  </si>
  <si>
    <t>Ianna Darc Gomes Martins</t>
  </si>
  <si>
    <t>Márcio Wallace Evangelista Teixeira</t>
  </si>
  <si>
    <t>Pagamento único de R$ 373,64.</t>
  </si>
  <si>
    <t>Juliana Dias Perdigão Teixeira</t>
  </si>
  <si>
    <t>Mateus de Miranda Dino</t>
  </si>
  <si>
    <t>R$ 166,54 referente a novembro.
R$ 141,54 referente a dezembro.</t>
  </si>
  <si>
    <t>Vitor Santos de Oliveira</t>
  </si>
  <si>
    <t>Carmem Silvia de Carvalho Rego</t>
  </si>
  <si>
    <t>Antonio Gilardo Xavier de Oliveira</t>
  </si>
  <si>
    <t>Pagamento único de R$ 400,00 referente a mensalidades de agosto a novembro.</t>
  </si>
  <si>
    <t>Maria Euzanira Barbosa Oliveira</t>
  </si>
  <si>
    <t>Thamires Caldas Oliveira</t>
  </si>
  <si>
    <t>Maria Josilene Bezerra</t>
  </si>
  <si>
    <t>Wllysses José Marques Maciel</t>
  </si>
  <si>
    <t>Dailane de Souza Florêncio</t>
  </si>
  <si>
    <t>Samuel Dantas Moreira</t>
  </si>
  <si>
    <t>Pagamento único de R$ 114,14</t>
  </si>
  <si>
    <t>Lorena Rodrigues Sales Dantas</t>
  </si>
  <si>
    <t>David Nascimento Alexandrino</t>
  </si>
  <si>
    <t>Pagamento único de R$ 189,00</t>
  </si>
  <si>
    <t>Maryna Rios Paiva</t>
  </si>
  <si>
    <t>Francilene Alves de Oliveira Braga</t>
  </si>
  <si>
    <t>Pagamento único de R$ 382,62</t>
  </si>
  <si>
    <t>Ana Alves Braga</t>
  </si>
  <si>
    <t>Luiza Alves Braga</t>
  </si>
  <si>
    <t>Vitor Hugo Paiva de Sousa</t>
  </si>
  <si>
    <t>Rafael Barbosa de Souza</t>
  </si>
  <si>
    <t>Pagamento único de R$ 300,00</t>
  </si>
  <si>
    <t>Sarah Gomes Pinheiro</t>
  </si>
  <si>
    <t>Valmir Pereira Júnior</t>
  </si>
  <si>
    <t>Bruno Bezerra Gomes</t>
  </si>
  <si>
    <t>Yara Freitas de Carvalho de Aguiar</t>
  </si>
  <si>
    <t>Pollyanna Aparecida Batista Viana</t>
  </si>
  <si>
    <t>Pagamento único de R$ 264,00</t>
  </si>
  <si>
    <t>João Viana Filho</t>
  </si>
  <si>
    <t>Francisca Sonia Costa</t>
  </si>
  <si>
    <t>Raquel da Silva Maia</t>
  </si>
  <si>
    <t>Pagamento único de R$ 130,00</t>
  </si>
  <si>
    <t>Francisco Eleilton Mendonça do Nascimento</t>
  </si>
  <si>
    <t>Lucas Pinto Assunção</t>
  </si>
  <si>
    <t>Maria Rosinele Felix do Nascimento</t>
  </si>
  <si>
    <t>Geane Batista Chaves</t>
  </si>
  <si>
    <t>Fabio de Farias Feitosa</t>
  </si>
  <si>
    <t>Jalsey</t>
  </si>
  <si>
    <t>Suzana</t>
  </si>
  <si>
    <t>Sua nota tem valor</t>
  </si>
  <si>
    <t>Receita da promoção</t>
  </si>
  <si>
    <t>Cantina Núcleo</t>
  </si>
  <si>
    <t>1 a 7
16 a 19
21 a 26</t>
  </si>
  <si>
    <t>Banco - Prosperar Bank</t>
  </si>
  <si>
    <t>Oratório N. Jardim Florando</t>
  </si>
  <si>
    <t>Recebimento do repasse referente à venda dos Oratórios</t>
  </si>
  <si>
    <t>Promoção 2</t>
  </si>
  <si>
    <t>Promoção 3</t>
  </si>
  <si>
    <t>Receitas diversas</t>
  </si>
  <si>
    <t>Caixa da boa vontade</t>
  </si>
  <si>
    <t>1a Escala - Pix</t>
  </si>
  <si>
    <t>1a Escala - Espécie</t>
  </si>
  <si>
    <t>2a Escala - Pix</t>
  </si>
  <si>
    <t>2a Escala - Espécie</t>
  </si>
  <si>
    <t>Caixa do jantar</t>
  </si>
  <si>
    <t>Festividades</t>
  </si>
  <si>
    <t>Confraternização fim de ano (pix)</t>
  </si>
  <si>
    <t>13
15</t>
  </si>
  <si>
    <t>13/12: Edini (R$ 20)
15/12: Diversos irmãos (R$ 430)</t>
  </si>
  <si>
    <t>Confraternização fim de ano (dinheriro)</t>
  </si>
  <si>
    <t>13/12: Gilardo (R$ 50)</t>
  </si>
  <si>
    <t>Confraternização 3</t>
  </si>
  <si>
    <t>Receita 1</t>
  </si>
  <si>
    <t>Receita 2</t>
  </si>
  <si>
    <t>Receita 3</t>
  </si>
  <si>
    <t>Doação 1</t>
  </si>
  <si>
    <t>Doação 2</t>
  </si>
  <si>
    <t>Doação 3</t>
  </si>
  <si>
    <t>Rendimento financeiro</t>
  </si>
  <si>
    <t>Cora</t>
  </si>
  <si>
    <t>Pagbank</t>
  </si>
  <si>
    <t>3 a 23</t>
  </si>
  <si>
    <t>Prosperar Bank</t>
  </si>
  <si>
    <t>Itaú</t>
  </si>
  <si>
    <t>Banco - Itaú</t>
  </si>
  <si>
    <t>Aplicação financeira 1</t>
  </si>
  <si>
    <t>Aplicação financeira 2</t>
  </si>
  <si>
    <t>Aplicação financeira 3</t>
  </si>
  <si>
    <t>DESPESAS</t>
  </si>
  <si>
    <t>COMPROVANTE</t>
  </si>
  <si>
    <t>Valor Pago</t>
  </si>
  <si>
    <t>NCL - Funcionários</t>
  </si>
  <si>
    <t>Salário</t>
  </si>
  <si>
    <t>1
29</t>
  </si>
  <si>
    <t>01/12: Competência novembro, pago em dezembro.
29/12: Competência dezembro, pago em dezembro.</t>
  </si>
  <si>
    <t>https://drive.google.com/file/d/1hy0gmUuDzO0Y1v2o5JeNrihBy4VZhOXk/view?usp=drive_link
https://drive.google.com/file/d/1lH1HF_Pjg1fP995oUndkHiEUbdCEk4Lt/view?usp=drive_link</t>
  </si>
  <si>
    <t>13° salário</t>
  </si>
  <si>
    <t>2a parcela 13° salário</t>
  </si>
  <si>
    <t>https://drive.google.com/file/d/1HxfPZMes6T4DpkfQ9SN_bQakL0wH2ONT/view?usp=drive_link</t>
  </si>
  <si>
    <t>Férias</t>
  </si>
  <si>
    <t>Encargos sociais</t>
  </si>
  <si>
    <t>6
6
6
6
11</t>
  </si>
  <si>
    <t>06/12: Darf previdenciário (R$ 263,06)
06/12: Darf previdenciário complementar (R$ 40,12)
06/12: FGTS (R$ 92,04)
06/12: PIS (R$ 11,51)
11/12: Darf previdenciário 13° salário (R$ 263,06)</t>
  </si>
  <si>
    <t>https://drive.google.com/file/d/1K6wk-3aiUDrSIcQpIg07SrxvPGrFP-DY/view?usp=drive_link</t>
  </si>
  <si>
    <t>22/12: Duas cestas básicas para o Wesley. Dezembro/23 e janeiro/24.</t>
  </si>
  <si>
    <t>https://drive.google.com/file/d/1armK0m59uAYu4CUS54qTVAiGc4D58WRv/view?usp=drive_link</t>
  </si>
  <si>
    <t>NCL - Repasses</t>
  </si>
  <si>
    <t>Diretoria Geral</t>
  </si>
  <si>
    <t>https://drive.google.com/file/d/1cArE6avLBdLZ_P5rT3rm_SHq9NEZyHHr/view?usp=drive_link</t>
  </si>
  <si>
    <t>11a Região</t>
  </si>
  <si>
    <t>https://drive.google.com/file/d/16meczPDHPc1QEuGSscL4d7D707LYwmfm/view?usp=drive_link</t>
  </si>
  <si>
    <t>Novo Encanto</t>
  </si>
  <si>
    <t>https://drive.google.com/file/d/1cHkb8Yo3pPerc3nasiot9hJr4l1NKzRr/view?usp=drive_link</t>
  </si>
  <si>
    <t>Flor Divina</t>
  </si>
  <si>
    <t>Realizada uma transferência única de R$ 1.134,87, tendo R$ 1.089,73 saído do caixa da tesouraria e R$ 45,14 saído do caixa do Plantio (este valor está registrado nas despesas do plantio).</t>
  </si>
  <si>
    <t>https://drive.google.com/file/d/1Ze8pvPmSyC-jJebtaDGmWRAVg1EjtwxZ/view?usp=drive_link</t>
  </si>
  <si>
    <t>Outro repasse (1)</t>
  </si>
  <si>
    <t>Outro repasse (2)</t>
  </si>
  <si>
    <t>Outro repasse (3)</t>
  </si>
  <si>
    <t>NCL - Tarifas bancárias</t>
  </si>
  <si>
    <t>Tarifa Itaú</t>
  </si>
  <si>
    <t>https://drive.google.com/file/d/1Lrvz77hCs-9Ap-_hYtGDYxki1G3ANRlg/view?usp=drive_link</t>
  </si>
  <si>
    <t>IR do rendimento bruto do Pagbank</t>
  </si>
  <si>
    <t>https://drive.google.com/file/d/11LttsR061P4v40YjP52xj6kuSFCfOTYi/view?usp=drive_link</t>
  </si>
  <si>
    <t>Tarifa 3</t>
  </si>
  <si>
    <t>NCL - Despesas gerais</t>
  </si>
  <si>
    <t>Energia Elétrica</t>
  </si>
  <si>
    <t>https://drive.google.com/file/d/19M0xZrZjCQjoBB2X8KbSUNgdb2ElEME8/view?usp=sharing</t>
  </si>
  <si>
    <t>Vigilância - Banco</t>
  </si>
  <si>
    <t>17/12: R$ 590 referente a 2a escala.</t>
  </si>
  <si>
    <t>https://drive.google.com/file/d/1-wYPjr9-RuWpx8mwPbBKgbEW_-ao1nJ2/view?usp=drive_link</t>
  </si>
  <si>
    <t>Contabilidade</t>
  </si>
  <si>
    <t>https://drive.google.com/file/d/1upTOtwJrjO-9QEwX0pEf6Xu4dDw0VTRX/view?usp=drive_link</t>
  </si>
  <si>
    <t>Internet</t>
  </si>
  <si>
    <t>https://drive.google.com/file/d/154fyTE2hE2-eF-mYvbl4PsFrIA4CvEBh/view?usp=drive_link</t>
  </si>
  <si>
    <t>Som</t>
  </si>
  <si>
    <t>Jardim</t>
  </si>
  <si>
    <t>Aluguel cadeiras 2a escala e sessão extra M. Herculano</t>
  </si>
  <si>
    <t>https://drive.google.com/file/d/1XNnx8OvJv3e9g5t7kDyG_22UT3Gy9hE9/view?usp=drive_link</t>
  </si>
  <si>
    <t>Compra de calças brancas e amarelas M. Herculano</t>
  </si>
  <si>
    <t>https://drive.google.com/file/d/1I6z53UUGdn_2WHC0Wbf8Uboov-m0h4Gh/view?usp=drive_link</t>
  </si>
  <si>
    <t>Homenagem M. Herculano</t>
  </si>
  <si>
    <t>https://drive.google.com/file/d/1jqskAC3ezP8yULTHgRoYQmbM6N641kMA/view?usp=drive_link</t>
  </si>
  <si>
    <t>Vigilância - Espécie</t>
  </si>
  <si>
    <t>31/12: R$ 800 referente a sessão de ano novo.</t>
  </si>
  <si>
    <t>https://drive.google.com/file/d/1P-zr1Ezy8pcmrVnt_qoETRI434kGz9Bv/view?usp=drive_link</t>
  </si>
  <si>
    <t>Despesa 5</t>
  </si>
  <si>
    <t>Despesa 6</t>
  </si>
  <si>
    <t>NCL - Organ</t>
  </si>
  <si>
    <t>Mercado</t>
  </si>
  <si>
    <t>2
15
17
17
17
22</t>
  </si>
  <si>
    <t>02/12: Despesa lanche compras realizadas pela C. Ticiane (R$ 194,36)
15/12: Despesa lanche compras realizadas pela C. Mônica (R$ 323,77)
17/12: Despesa sucos realizadas pela C. Mônica (R$ 99,00)
17/12: Despesa pães realizadas pela C. Mônica (R$ 51,76)
17/12: Despesa lanche pós sessão realizadas pela C. Mônica (R$ 195,87)
22/12: Despesa milhos realizada pela Genilda (R$ 60,00). Valor compensado em gasolina.</t>
  </si>
  <si>
    <t>https://drive.google.com/file/d/1qohA5ZqkXdAGAMBL9jPLCmu8490VWIKK/view?usp=drive_link
https://drive.google.com/file/d/1FimwTgXc5cQaAAXqpNbxTZQ5KHiZTdnC/view?usp=drive_link
https://drive.google.com/file/d/1UxUwTwLslc6eMcGDWQDeEAC7cY_apPPj/view?usp=drive_link
https://drive.google.com/file/d/1FVP9SX6TRCPgAC27SHwM1qTxya69rkaN/view?usp=drive_link
https://drive.google.com/file/d/1vbz-0wRkX3s6zyqn-g6Mu60pchC2vKN3/view?usp=drive_link
https://drive.google.com/file/d/1NpttEIh0DeYQy-fFYDCiY2BOfVJw1uMu/view?usp=drive_link</t>
  </si>
  <si>
    <t>Água mineral</t>
  </si>
  <si>
    <t>06/12: Compra de água mineral realizada pela C. Mônica (R$ 176,00)</t>
  </si>
  <si>
    <t>https://drive.google.com/file/d/1_jNZMYCrAGGWzhMBq9-LhIw9GpW9Czv-/view?usp=drive_link</t>
  </si>
  <si>
    <t>Jantar</t>
  </si>
  <si>
    <t>1
2
15</t>
  </si>
  <si>
    <t>01/12: Despesa jantar compras realizadas pela Janaina (R$ 344,38)
02/12: Despesa jantar compras realizadas pela Janaina (R$ 54,52)
15/12: Despesa jantar compras realizadas pela C. Mônica (R$ 471,89)
18/12: Despesa jantar compras realizadas pela C. Mônica (R$ 35,94)</t>
  </si>
  <si>
    <t>https://drive.google.com/file/d/1nPgegJSuqnwuk-iYFRhXYHo8wTC8aEz9/view?usp=drive_link
https://drive.google.com/file/d/1sRWeeKtrGlKQTITRH-yqV0m_hkcXNgii/view?usp=drive_link
https://drive.google.com/file/d/1x9MFphbftZkHDMhlobbkfb6HuGUDHzNt/view?usp=drive_link
https://drive.google.com/file/d/1zRm9goP6Ggpm_QObPvcdrIUpZEEYidEP/view?usp=drive_link</t>
  </si>
  <si>
    <t>Material de limpeza</t>
  </si>
  <si>
    <t>3
5
15
30</t>
  </si>
  <si>
    <t>03/12: Material de limpeza compras realizadas pelo Didi (R$ 40,00)
05/12: Material de limpeza compras realizadas pela C. Mônica (R$ 345,80)
15/12: Material de limpeza compras realizadas pela C. Mônica (R$ 173,44)
30/12: Material de limpeza compras realizadas pela C. Mônica (R$ 243,60 + R$ 9,99)</t>
  </si>
  <si>
    <t>https://drive.google.com/file/d/1xJLqU67vj9QoDtu5M4sDg3TwvPlUd5Sp/view?usp=drive_link
https://drive.google.com/file/d/12kj-Bqazy502velNLugU1ASuF7W7G2mr/view?usp=drive_link
https://drive.google.com/file/d/1puaDbpAwNB8jJhxFDy9XPv-19RGucxbz/view?usp=drive_link
https://drive.google.com/file/d/1XJXpsoBSrRqg7Yb5ZjlIUeaILjYtuxrx/view?usp=drive_link</t>
  </si>
  <si>
    <t>Outra despesa (3)</t>
  </si>
  <si>
    <t>31/12: Despesa castanhas pós sessão realizada pela C. Mônica (R$ 35,00)</t>
  </si>
  <si>
    <t>https://drive.google.com/file/d/1-8_zDpcbXg1Q9ElAhbCwiAwIGBZzl8r3/view?usp=drive_link</t>
  </si>
  <si>
    <t>NCL - Preparo</t>
  </si>
  <si>
    <t>Organ</t>
  </si>
  <si>
    <t>Outra despesa (1)</t>
  </si>
  <si>
    <t>Outra despesa (2)</t>
  </si>
  <si>
    <t>Materiais</t>
  </si>
  <si>
    <t>Despesa 1</t>
  </si>
  <si>
    <t>Despesa 2</t>
  </si>
  <si>
    <t>Despesa 3</t>
  </si>
  <si>
    <t>Colheita</t>
  </si>
  <si>
    <t>NCL - Festividades</t>
  </si>
  <si>
    <t>Sessão de casal</t>
  </si>
  <si>
    <t>Lembrancinhas</t>
  </si>
  <si>
    <t>Disco de vinil</t>
  </si>
  <si>
    <t>Confraternização final do ano</t>
  </si>
  <si>
    <t>Alimentação</t>
  </si>
  <si>
    <t>15
19</t>
  </si>
  <si>
    <t>15/12: Despesa R$ 142,22
15/12: Despesa R$ 163,53
19/12: Despesa R$ 1053,91. Deste valor foi descontado o valor de R$ 564,26 referente a mensalidade de dezembro do M. Cassio e C. Mônica. Assim, a saída que consta no extrato bancário é de R$ 489,65.</t>
  </si>
  <si>
    <t>https://drive.google.com/file/d/1fJ5MoDApYbuZ0-i08Ve74EUfw5HxXMgj/view?usp=drive_link
https://drive.google.com/file/d/19lDNPlUGVTADLU58r4994kd3o-tuJv-z/view?usp=drive_link</t>
  </si>
  <si>
    <t>Bolo</t>
  </si>
  <si>
    <t>No extrato do banco constará apenas uma transferêncian no valor de R$ 164,63, pois do valor de R$ 220,00 foi descontada a mensalidade de dezembro no valor de R$ 55,37. Com isso, a saída que consta no extrato do banco é de R$ 164,63.</t>
  </si>
  <si>
    <t>https://drive.google.com/file/d/1qLpnSY08jJAk3CFmmsoIEDw0Xywt6fEt/view?usp=drive_link</t>
  </si>
  <si>
    <t>Despesa 4</t>
  </si>
  <si>
    <t>Despesa 7</t>
  </si>
  <si>
    <t>Despesa 8</t>
  </si>
  <si>
    <t>Despesa 9</t>
  </si>
  <si>
    <t>Auto de Natal</t>
  </si>
  <si>
    <t>Aluguel de roupas, decoração e outros</t>
  </si>
  <si>
    <t>Não consta esta saída no extrato bancário pois este valor foi descontado da mensalidade do Davi Florência e Lindayana, referente às mensalidades de dezembro/23 e janeiro/24.</t>
  </si>
  <si>
    <t>https://drive.google.com/file/d/1xc_buoMPmLg1YUP_RRXDtoeCLwFWHc__/view?usp=drive_link</t>
  </si>
  <si>
    <t>Evento 3</t>
  </si>
  <si>
    <t>Bilhete Aéreo Gerusa</t>
  </si>
  <si>
    <t>Casa de Preparo</t>
  </si>
  <si>
    <t>Cozinha</t>
  </si>
  <si>
    <t>Casa das crianças</t>
  </si>
  <si>
    <t>Ampliação berçário</t>
  </si>
  <si>
    <t>DPTO - Patrimônio</t>
  </si>
  <si>
    <t>DPTO - Manutenção e reformas</t>
  </si>
  <si>
    <t>Material / tubulação para bebedouro e máq. lavar copos</t>
  </si>
  <si>
    <t>11
11</t>
  </si>
  <si>
    <t>11/12: Compra de tubulação para bebedouro e máquina de lavar copos (R$ 57,50)
11/12: Compra de tubulação para bebedouro e máquina de lavar copos (R$ 150,00)</t>
  </si>
  <si>
    <t>https://drive.google.com/file/d/14GXJ6l-u09oCuF119NWNx2N96av2d5Hk/view?usp=drive_link
https://drive.google.com/file/d/1UjHSZ4ab9Gl2eFXnjQ8FSVNRNOeZXk9W/view?usp=drive_link</t>
  </si>
  <si>
    <t>Frete cadeiras de macarrão</t>
  </si>
  <si>
    <t>12/12: Frete (gasolina) para levar as novas cadeiras de macarrao para o nucleo (R$ 200,00)</t>
  </si>
  <si>
    <t>https://drive.google.com/file/d/1NpPDi-qwRq7R9JU-bSLfTNE7-zPHKuta/view?usp=drive_link</t>
  </si>
  <si>
    <t>Compra de 10 conjuntos de mesas com cadeiras</t>
  </si>
  <si>
    <t>https://drive.google.com/file/d/1srsaHG1w9NW11nyUj7jCVo-s_R4ZAOOd/view?usp=drive_link</t>
  </si>
  <si>
    <t>DPTO - Beneficência</t>
  </si>
  <si>
    <t>Auxílio financeiro para pagamento de consulta e colírio</t>
  </si>
  <si>
    <t>https://drive.google.com/file/d/17ofvNPYapCSBzRT6DJjG04Tbx3xZDdXt/view?usp=drive_link</t>
  </si>
  <si>
    <t>Auxílio financeiro M. Sinval</t>
  </si>
  <si>
    <t>https://drive.google.com/file/d/1ACoLhqqu2ElpFbC_vXT07BchQjtIdoa8/view?usp=drive_link</t>
  </si>
  <si>
    <t>Chás M Herculano e C Ritinha</t>
  </si>
  <si>
    <t>https://drive.google.com/file/d/1PbaU7Fv5HFwiIWV5lBe7dhPBw8zMXLNt/view?usp=drive_link</t>
  </si>
  <si>
    <t>DPTO - OE</t>
  </si>
  <si>
    <t>DPTO - DEMEC</t>
  </si>
  <si>
    <t>DPTO - Plantio</t>
  </si>
  <si>
    <t>https://drive.google.com/file/d/1sKbLifz-t9XpX7_pDmbLDjWrFRa9m-r7/view?usp=drive_link</t>
  </si>
  <si>
    <t>DPTO - Novo Encanto</t>
  </si>
  <si>
    <t>Auxílio gasolina</t>
  </si>
  <si>
    <t>https://drive.google.com/file/d/1HSMhjl4rdP3_LjHIPlrOR2YMkMDpJEQn/view?usp=drive_link</t>
  </si>
  <si>
    <t>FT - Promoção</t>
  </si>
  <si>
    <t>Promoção da decoração</t>
  </si>
  <si>
    <t>Mandala São Cosmo e São Damião</t>
  </si>
  <si>
    <t>FT - Decoração</t>
  </si>
  <si>
    <t>6 de Janeiro - Sessão de Reis</t>
  </si>
  <si>
    <t>10 de Fevereiro - Aniv. Mestre</t>
  </si>
  <si>
    <t>27 de Março - Ressur. Mestre</t>
  </si>
  <si>
    <t>1 de Maio - Aniv. Núcleo</t>
  </si>
  <si>
    <t>23 de Junho - São João</t>
  </si>
  <si>
    <t>22 de Julho - Aniv. UDV</t>
  </si>
  <si>
    <t>27 de Setembro - S. Cosmo e S. Damião</t>
  </si>
  <si>
    <t>1 de Novembro - Confirmação</t>
  </si>
  <si>
    <t>24 de Dezembro - Natal</t>
  </si>
  <si>
    <t>% Atraso</t>
  </si>
  <si>
    <t>ELPÍDIO GOMES DE MOURA NETO</t>
  </si>
  <si>
    <t>TAXA CONFRATERNIZAÇÃO 2024 R$ 5,00; TAXA DE PREPARO 1/2 R$ 13,00</t>
  </si>
  <si>
    <t>JULIANA COLLYER ARRUDA DE MOURA</t>
  </si>
  <si>
    <t>SILVERIA LOPES VASCONCELOS ARRUDA</t>
  </si>
  <si>
    <t>FRANCISCO DE ASSIS VASCONCELOS ARRUDA</t>
  </si>
  <si>
    <t>ANTÔNIO GONÇALVES DE LIMA FILHO</t>
  </si>
  <si>
    <t>SANDRA BORGES GONÇALVES DE LIMA</t>
  </si>
  <si>
    <t>MARCELO DE CASTRO BRASIL</t>
  </si>
  <si>
    <t>COMPRA DE ARCONDICIONADO 7/10 R$ 50,00; TAXA CONFRATERNIZAÇÃO 2024 R$ 5,00; TAXA DE PREPARO 1/2 R$ 13,00</t>
  </si>
  <si>
    <t>FLORA BORGES GONÇALVES LIMA BRASIL</t>
  </si>
  <si>
    <t>CÁSSIO PEREIRA COSTA SOUSA</t>
  </si>
  <si>
    <t>MÔNICA DE ARAUJO CAMPOS COSTA SOUSA</t>
  </si>
  <si>
    <t>JOSÉ MAURÍCIO GUIMARÃES GOMES</t>
  </si>
  <si>
    <t>TICIANE ARAGAO DA SILVEIRA GOMES</t>
  </si>
  <si>
    <t>SERVULO SIDNEY GLADIUS PAIVA PIMENTEL</t>
  </si>
  <si>
    <t>MARIA DANIELLY RIOS DA SILVA PAIVA</t>
  </si>
  <si>
    <t>RÉGIS BEZERRA GOMES</t>
  </si>
  <si>
    <t>ANA CAROLINA DE OLIVEIRA MARTINS GOMES</t>
  </si>
  <si>
    <t>LINDAYANA DE SOUZA FLORÊNCIO</t>
  </si>
  <si>
    <t>DAVI FLORENCIO DE SOUSA</t>
  </si>
  <si>
    <t>JOAQUIM GARCEZ DE LIMA ROCHA</t>
  </si>
  <si>
    <t>FRANCISCO SAULO STUDART ALBUQUERQUE</t>
  </si>
  <si>
    <t>FRANCO COSTA E SILVA</t>
  </si>
  <si>
    <t>COMPRA DE ARCONDICIONADO 7/10 R$ 50,00; TAXA AÇÃO ENTRE AMIGOS 2/2 R$ 300,00; TAXA CONFRATERNIZAÇÃO 2024 R$ 5,00; TAXA DE PREPARO 1/2 R$ 13,00</t>
  </si>
  <si>
    <t>JULIANA SOARES MONTEIRO</t>
  </si>
  <si>
    <t>HUGO UCHOA PASSOS ALENCAR</t>
  </si>
  <si>
    <t>MAIRI ALENCAR DE LACERDA FERRAZ UCHÔA</t>
  </si>
  <si>
    <t>JOÃO CARLOS STUDART ANTERO</t>
  </si>
  <si>
    <t>JANAÍNA SILVA LEITÃO STUDART ANTERO</t>
  </si>
  <si>
    <t>JANAINA DE PÁDUA CARNEIRO VASCONCELOS GIFFONI</t>
  </si>
  <si>
    <t>VICENTE ALVES GIFFONI</t>
  </si>
  <si>
    <t>RAPHAEL BRUNO DANTAS MOREIRA</t>
  </si>
  <si>
    <t>DAVI SILVINO MORAES</t>
  </si>
  <si>
    <t>DIMARANJE JOSÉ MORAES</t>
  </si>
  <si>
    <t>SILVANE DA SILVA GONÇALVES</t>
  </si>
  <si>
    <t>VICENTE DE PAULA GIFFONI FILHO</t>
  </si>
  <si>
    <t>FRANCINETE ALVES DE OLIVEIRA GIFFONI</t>
  </si>
  <si>
    <t>EMANUEL ALVES GIFFONI</t>
  </si>
  <si>
    <t>FLORA ALVES GIFFONI</t>
  </si>
  <si>
    <t>JÔNATAS CAVALCANTE BRAÚNA</t>
  </si>
  <si>
    <t>LUCAS MAIA DANTAS</t>
  </si>
  <si>
    <t>EMANUELA CRISTINE PEREIRA FELIX DANTAS</t>
  </si>
  <si>
    <t>LUCAS CALDAS OLIVEIRA</t>
  </si>
  <si>
    <t>GABRIELA ARAUJO HOLANDA PINTO</t>
  </si>
  <si>
    <t>VALTERLIR PEREIRA DE LIMA</t>
  </si>
  <si>
    <t>MARIA LUCIA FERREIRA DA SILVA LIMA</t>
  </si>
  <si>
    <t>SALOMÃO JOSÉ MARQUES MACIEL</t>
  </si>
  <si>
    <t>ANA CLARA SIMONETTI GOMES MACIEL</t>
  </si>
  <si>
    <t>RAFAEL LUNA HONÓRIO</t>
  </si>
  <si>
    <t>COMPRA DE ARCONDICIONADO 7/10 R$ 50,00; TAXA AÇÃO ENTRE AMIGOS 2/2 R$ 200,00; TAXA CONFRATERNIZAÇÃO 2024 R$ 5,00; TAXA DE PREPARO 1/2 R$ 13,00</t>
  </si>
  <si>
    <t>JULIA ROGERIO FIORE CHEUEN</t>
  </si>
  <si>
    <t>ISABELA CLAREANA PEREIRA FELIX</t>
  </si>
  <si>
    <t>PEDRO KLECIUS FARIAS CARDOSO</t>
  </si>
  <si>
    <t>DOAÇÃO COZINHA 4/4 R$ 400,00; TAXA CONFRATERNIZAÇÃO 2024 R$ 5,00; TAXA DE PREPARO 1/2 R$ 13,00</t>
  </si>
  <si>
    <t>GENILDA DA SILVA CARDOSO</t>
  </si>
  <si>
    <t>MANOEL MESSIAS DO NASCIMENTO NETO</t>
  </si>
  <si>
    <t>BRANDA DE PÁDUA CARNEIRO VASCONCELOS LESSA</t>
  </si>
  <si>
    <t>MATEUS CHAVES LESSA DE CASTRO</t>
  </si>
  <si>
    <t>ROSSYANE MARIA OLIVEIRA DA COSTA</t>
  </si>
  <si>
    <t>ALINE MIRANDA DE OLIVEIRA</t>
  </si>
  <si>
    <t>ANTÔNIO RAMON DA SILVA MAIA</t>
  </si>
  <si>
    <t>RAFAELY MAIA SOMBRA CORDEIRO</t>
  </si>
  <si>
    <t>FRANCISCO HILTON DOS SANTOS JÚNIOR</t>
  </si>
  <si>
    <t>TAXA AÇÃO ENTRE AMIGOS 2/4 R$ 50,00; TAXA CONFRATERNIZAÇÃO 2024 R$ 5,00; TAXA DE PREPARO 1/2 R$ 13,00</t>
  </si>
  <si>
    <t>MANOEL EDINI DE AGUIAR</t>
  </si>
  <si>
    <t>FÁBIO DE FÁRIAS FEITOSA</t>
  </si>
  <si>
    <t>IANNA DARC GOMES MARTINS</t>
  </si>
  <si>
    <t>MARCIO WALLACE EVANGELISTA TEIXEIRA</t>
  </si>
  <si>
    <t>JULIANA DIAS PERDIGÃO TEIXEIRA</t>
  </si>
  <si>
    <t>MATEUS DE MIRANDA DINO</t>
  </si>
  <si>
    <t>VITOR SANTOS DE OLIVEIRA</t>
  </si>
  <si>
    <t>CARMEM SILVIA DE CARVALHO RÊGO</t>
  </si>
  <si>
    <t>ANTONIO GILARDO XAVIER DE OLIVEIRA</t>
  </si>
  <si>
    <t>MARIA EUZANIRA BARBOSA OLIVEIRA</t>
  </si>
  <si>
    <t>THAMIRES CALDAS OLIVEIRA</t>
  </si>
  <si>
    <t>MARIA JOSILENE BEZERRA</t>
  </si>
  <si>
    <t>WLLYSSES JOSE MARQUES MACIEL</t>
  </si>
  <si>
    <t>DAILANE DE SOUZA FLORÊNCIO</t>
  </si>
  <si>
    <t>SAMUEL DANTAS MOREIRA</t>
  </si>
  <si>
    <t>LORENA RODRIGUES SALES DANTAS</t>
  </si>
  <si>
    <t>DAVID NASCIMENTO ALEXANDRINO</t>
  </si>
  <si>
    <t>MARYNA RIOS PAIVA</t>
  </si>
  <si>
    <t>FRANCILENE ALVES DE OLIVEIRA BRAGA</t>
  </si>
  <si>
    <t>TAXA AÇÃO ENTRE AMIGOS 2/2 R$ 150,00; TAXA CONFRATERNIZAÇÃO 2024 R$ 5,00; TAXA DE PREPARO 1/2 R$ 13,00</t>
  </si>
  <si>
    <t>ANA ALVES BRAGA</t>
  </si>
  <si>
    <t>RAFAEL CASTELO BRANCO MOURAO DE ANDRADE</t>
  </si>
  <si>
    <t>RAFAEL BARBOSA DE SOUZA</t>
  </si>
  <si>
    <t>SARAH GOMES PINHEIRO</t>
  </si>
  <si>
    <t>YARA FREITAS DE CARVALHO DE AGUIAR</t>
  </si>
  <si>
    <t>ACORDO MENSALIDADE 5/10 R$ 40,23; TAXA CONFRATERNIZAÇÃO 2024 R$ 5,00; TAXA DE PREPARO 1/2 R$ 13,00</t>
  </si>
  <si>
    <t>POLLYANNA APARECIDA BATISTA VIANA</t>
  </si>
  <si>
    <t>JOÃO VIANA FILHO</t>
  </si>
  <si>
    <t>FRANCISCA SONIA COSTA</t>
  </si>
  <si>
    <t>RAQUEL DA SILVA MAIA</t>
  </si>
  <si>
    <t>FRANCISCO ELEILTON MENDONÇA DO NASCIMENTO</t>
  </si>
  <si>
    <t>MARIA ROSINELE FELIX DO NASCIMENTO</t>
  </si>
  <si>
    <t>RARISNEIDE DA SILVA MAIA</t>
  </si>
  <si>
    <t>VITOR BISPO BRAÚNA</t>
  </si>
  <si>
    <t>WESLEY ALESSANDRO RIBEIRO SILVA</t>
  </si>
  <si>
    <t>Pendente R$ 24 de novembro e R$ 24 de janeiro. O valor de R$ 48 pago foi referente a outubro.</t>
  </si>
  <si>
    <t>ANA GEORGINA OLIVEIRA PONTES COSTA</t>
  </si>
  <si>
    <t>MARCOS FELIPE DA SILVA MAIA</t>
  </si>
  <si>
    <t>JALSEY PEREIRA DE NAZARENO</t>
  </si>
  <si>
    <t>SUZANA PAIVA BEZERRA DE NAZARENO</t>
  </si>
  <si>
    <t>PEDRO VICTOR MIRANDA DE OLIVEIRA SALVIANO</t>
  </si>
  <si>
    <t>FRANCISCO RIBEIRO PINTO JÚNIOR</t>
  </si>
  <si>
    <t>MARIA EDUARDA</t>
  </si>
  <si>
    <t>Vendas - Stone</t>
  </si>
  <si>
    <t>6, 28</t>
  </si>
  <si>
    <t>Vendas - Banco Cora</t>
  </si>
  <si>
    <t>Vendas - Pagbank</t>
  </si>
  <si>
    <t>Receita da promoção - Banco</t>
  </si>
  <si>
    <t>24 a 26</t>
  </si>
  <si>
    <t>Receita da promoção - Espécie</t>
  </si>
  <si>
    <t>17 a xxx</t>
  </si>
  <si>
    <t>Camisas</t>
  </si>
  <si>
    <t>5 a ...</t>
  </si>
  <si>
    <t>Até Valdemar</t>
  </si>
  <si>
    <t>Inscrição Expedição Fazenda Bom Conselho</t>
  </si>
  <si>
    <t>2, 22</t>
  </si>
  <si>
    <t>Emanuel (650), M. Vicente (650). Pendente: Francinete (325).</t>
  </si>
  <si>
    <t>Devolução de Pix Obra Cozinha e Refeitório</t>
  </si>
  <si>
    <t>Compra adquirida em dezembro.</t>
  </si>
  <si>
    <t>Bananas do Plantio</t>
  </si>
  <si>
    <t>18 e 19</t>
  </si>
  <si>
    <t>Construção Cozinha e Refeitório</t>
  </si>
  <si>
    <t>2, 11</t>
  </si>
  <si>
    <t>Sérvulo (5000), Fábio (1000)</t>
  </si>
  <si>
    <t>Doação para o núcleo</t>
  </si>
  <si>
    <t>Stone</t>
  </si>
  <si>
    <t>Pagamento realizado em duplicidade considerando que já havia sido pago em 28/12/2024. Solicitada a devolução do pix ao Wesley que informou que já havia gasto o dinheiro. O valor de R$ 709,82 será descontado no pagamento dos salários de fevereiro e março.</t>
  </si>
  <si>
    <t>https://drive.google.com/open?id=1mdcGvPCJ-b56kQcTTnv0NHR9lz6bhKaS&amp;usp=drive_fs</t>
  </si>
  <si>
    <t>20 dias de férias + 10 dias comprados pelo núcleo.</t>
  </si>
  <si>
    <t>https://drive.google.com/open?id=1yfj64PilsAhg2ps6P13cPj6FSWgIed3F&amp;usp=drive_fs</t>
  </si>
  <si>
    <t>https://drive.google.com/open?id=1gRnlDb8DmOVHUU_-CiM9efxoSRDOjTjU&amp;usp=drive_fs</t>
  </si>
  <si>
    <t>https://drive.google.com/open?id=1gVthgjd-xQLy4bzTITepW9-LSo7JZLV9&amp;usp=drive_fs</t>
  </si>
  <si>
    <t>https://drive.google.com/open?id=1gNhVwxUFoN7ZOYPVqARL9Bb276j9U7PY&amp;usp=drive_fs</t>
  </si>
  <si>
    <t>Cesta básica</t>
  </si>
  <si>
    <t>https://drive.google.com/open?id=1IfoI9Iif_r_WmewDu7PzFevppvyzTPGY&amp;usp=drive_fs</t>
  </si>
  <si>
    <t>Diretoria Geral - FP</t>
  </si>
  <si>
    <t>https://drive.google.com/open?id=1qyuapgNjKzGYut8sjI4isL4ao-Dil0W5&amp;usp=drive_fs</t>
  </si>
  <si>
    <t>Diretoria Geral - FS</t>
  </si>
  <si>
    <t>Diretoria Geral - FA</t>
  </si>
  <si>
    <t>Diretoria Geral - FB</t>
  </si>
  <si>
    <t>Diretoria Geral - SUC</t>
  </si>
  <si>
    <t>11a Região - Fundo Regional</t>
  </si>
  <si>
    <t>Pagamento único de R$ 1.176,00</t>
  </si>
  <si>
    <t>https://drive.google.com/open?id=1me6oMu0QuwSOf0672D1h16itpT7CXm8W&amp;usp=drive_fs</t>
  </si>
  <si>
    <t>11a Região - Plantio</t>
  </si>
  <si>
    <t>11a Região - Fundo de Beneficência</t>
  </si>
  <si>
    <t>11a Região - Fundo de Reserva</t>
  </si>
  <si>
    <t>11a Região - Servidor Vreal</t>
  </si>
  <si>
    <t>11a Região - Sala da Região</t>
  </si>
  <si>
    <t>11a Região - Extra</t>
  </si>
  <si>
    <t>https://drive.google.com/open?id=1fneKxS8fcSCEk6941q_y4bYQB-3y2aNp&amp;usp=drive_fs</t>
  </si>
  <si>
    <t>Repasse de dezembro: R$ 2.343,27 realizada em 03/01, sendo R$ 80 referente a lanche do Plantio.</t>
  </si>
  <si>
    <t>https://drive.google.com/open?id=1XlVADbZtcXWzEBTIqPWShhKUtzx-AXoK&amp;usp=drive_fs</t>
  </si>
  <si>
    <t>Memorial José Gabriel da Costa</t>
  </si>
  <si>
    <t>Repasse de janeiro: R$ 1.463,48, sendo R$ 1.383,48 pago pela tesouraria e R$ 80 pelo plantio.</t>
  </si>
  <si>
    <t>https://drive.google.com/open?id=1yEGIa44JRzSyB9hsDq2v5wHpRZ_ExjoJ&amp;usp=drive_fs</t>
  </si>
  <si>
    <t>Outro repasse</t>
  </si>
  <si>
    <t>IR Rendimento Pagbank</t>
  </si>
  <si>
    <t>https://drive.google.com/open?id=1jHVfJCXu0-ZoBNffO1AqvlkvOq2K4JJP&amp;usp=drive_fs</t>
  </si>
  <si>
    <t>Encerramento conta itaú</t>
  </si>
  <si>
    <t>https://drive.google.com/open?id=1ma8w6Q6gU7pvYjO6f4zoUEVNUEMJ0uEg&amp;usp=drive_fs</t>
  </si>
  <si>
    <t>Vigilância - 1a escala</t>
  </si>
  <si>
    <t>https://drive.google.com/open?id=1nYs5-oiWryI6gqMDbVz2yIXNsS9wlpfW&amp;usp=drive_fs</t>
  </si>
  <si>
    <t>Vigilância - 2a escala</t>
  </si>
  <si>
    <t>https://drive.google.com/open?id=1TFH-yvYsU0O4H-HXjX5jxifCZ1CRuV5i&amp;usp=drive_fs</t>
  </si>
  <si>
    <t>https://drive.google.com/open?id=1JiL4IMQV5qgjJVyaHpjfjyHxSF8AtRx5&amp;usp=drive_fs</t>
  </si>
  <si>
    <t>Ar Condicionado Berçário</t>
  </si>
  <si>
    <t>Parcela 7 de 10</t>
  </si>
  <si>
    <t>https://drive.google.com/open?id=1DPX6Bl60DmNnWtEFQvRXFl9BbLOJk8gP&amp;usp=drive_fs</t>
  </si>
  <si>
    <t>Mesa de som</t>
  </si>
  <si>
    <t>Parcela 6 de 10</t>
  </si>
  <si>
    <t>https://drive.google.com/open?id=1kTqwFs699bV9KwPZoXSmRktkBrO9pzuU&amp;usp=drive_fs</t>
  </si>
  <si>
    <t>50% de 3 inscrições + 100% de 1 inscrição</t>
  </si>
  <si>
    <t>https://drive.google.com/open?id=1mpUqEgxj0ZB73Y__9pdBZeufFcqznfb8&amp;usp=drive_fs</t>
  </si>
  <si>
    <t>Compra de geladeira para cantina</t>
  </si>
  <si>
    <t>https://drive.google.com/open?id=1kDFmKoVNN0aixKjQHsg4n42tlMbm3_W3&amp;usp=drive_fs</t>
  </si>
  <si>
    <t>Lanche 1a escala</t>
  </si>
  <si>
    <t>https://drive.google.com/open?id=1hFSIHwRwuaQiYwWsWQxE8pSyVgKFTuLZ&amp;usp=drive_fs</t>
  </si>
  <si>
    <t>https://drive.google.com/open?id=1hJdc66d6kGI8Rp3MXD8dxoc-6x3uS3Vg&amp;usp=drive_fs</t>
  </si>
  <si>
    <t>Água de coco</t>
  </si>
  <si>
    <t>https://drive.google.com/open?id=1Y6W2yJNEpxHpXnLCX9sMGYNQ1oQjsRJR&amp;usp=drive_fs</t>
  </si>
  <si>
    <t>https://drive.google.com/open?id=1hfgQ-3NbxUZ47dvLGHUXcz6AdKYhXVs2&amp;usp=drive_fs</t>
  </si>
  <si>
    <t>https://drive.google.com/open?id=1nGrgfNljyrGW_1JiwA98QtZaCEVme198&amp;usp=drive_fs</t>
  </si>
  <si>
    <t>https://drive.google.com/open?id=1n5Sig2je9s_93XrjjUNd4tGcIoglHbTJ&amp;usp=drive_fs</t>
  </si>
  <si>
    <t>https://drive.google.com/open?id=1_YWVUPgvM0gwIOxfYsT1KfHs92QgjxHH&amp;usp=drive_fs</t>
  </si>
  <si>
    <t>https://drive.google.com/open?id=1nRM5lAsZ2shANLHnOZCz6YEiS8DusuX7&amp;usp=drive_fs</t>
  </si>
  <si>
    <t>Lanche 2a escala</t>
  </si>
  <si>
    <t>Sucos</t>
  </si>
  <si>
    <t>https://drive.google.com/open?id=1mDGly3g1G-oIK4Z7r4AbKZKPss2un1JF&amp;usp=drive_fs</t>
  </si>
  <si>
    <t>https://drive.google.com/open?id=1lc-jV3MDu9Pt6VNBLSE32ETg1AvCE8zW&amp;usp=drive_fs</t>
  </si>
  <si>
    <t>Pix único de R$ 867,42 para a C. Sandra.</t>
  </si>
  <si>
    <t>https://drive.google.com/open?id=1m8TSvmL1_wmdN1UY5ImRRMfsPN415Beu&amp;usp=drive_fs</t>
  </si>
  <si>
    <t>https://drive.google.com/open?id=1lrtlxjHHABv_0lSzyuQdEv0MUg-DHK_B&amp;usp=drive_fs</t>
  </si>
  <si>
    <t>Lanche 2a escala e Mercado</t>
  </si>
  <si>
    <t>https://drive.google.com/open?id=1loYwaTNByUvK_K_8wluh6PeqwuE-Aggz&amp;usp=drive_fs</t>
  </si>
  <si>
    <t>https://drive.google.com/open?id=1hFi3kqDg5CmQZr_L5FGbK_r2kstkObQd&amp;usp=drive_fs</t>
  </si>
  <si>
    <t>https://drive.google.com/open?id=1n8ST-46Lp7fm5G579i1O8uVfNhkLs-cU&amp;usp=drive_fs</t>
  </si>
  <si>
    <t>https://drive.google.com/open?id=1V_yMQKaE-8HrCzyTw6m1CUmmSMgk0Pvq&amp;usp=drive_fs</t>
  </si>
  <si>
    <t>https://drive.google.com/open?id=1lkx6NraSyx_G_Yzr3sATDslJtVm8JaXD&amp;usp=drive_fs</t>
  </si>
  <si>
    <t>https://drive.google.com/open?id=1twIVgKAhncKi0Zxz9x_9R7frN1L99vBe&amp;usp=drive_fs</t>
  </si>
  <si>
    <t>https://drive.google.com/open?id=1fmdjNaVxzj-GwXzVEc7xNRm7tR53xoyu&amp;usp=drive_fs</t>
  </si>
  <si>
    <t>Jantar 1a escala</t>
  </si>
  <si>
    <t>https://drive.google.com/open?id=1nP-aw1axAorqtxZkqW0I4CQUtKTon4Am&amp;usp=drive_fs</t>
  </si>
  <si>
    <t>Jantar 2a escala</t>
  </si>
  <si>
    <t>https://drive.google.com/open?id=1lqlQT10luc3ZSVa28ZmEQpVazP5bSNZr&amp;usp=drive_fs</t>
  </si>
  <si>
    <t>Outra despesa</t>
  </si>
  <si>
    <t>Outras confraternizações</t>
  </si>
  <si>
    <t>Sessão no novo - Vigilância</t>
  </si>
  <si>
    <t>https://drive.google.com/open?id=1gwBeZ6H1nLVGLwiukJEcg3jE-aREBIMl&amp;usp=drive_fs</t>
  </si>
  <si>
    <t>Sessão 6 de janeiro - Lanche</t>
  </si>
  <si>
    <t>https://drive.google.com/open?id=1hMwMj1gPVzaAn6Eb0d_7OIVv74IrNpRL&amp;usp=drive_fs</t>
  </si>
  <si>
    <t>https://drive.google.com/open?id=1hOLW8aRys29Dz7D_krTSIPwkKbWxN2rf&amp;usp=drive_fs</t>
  </si>
  <si>
    <t>https://drive.google.com/open?id=1nACkBiXNK65b8tBh_LWg5ALxCACYpvtR&amp;usp=drive_fs</t>
  </si>
  <si>
    <t>M. Soter</t>
  </si>
  <si>
    <t>Consolidado - Despesas da obra</t>
  </si>
  <si>
    <t>1 a 31</t>
  </si>
  <si>
    <t>https://drive.google.com/open?id=1Ba0O1_G0GcO8prm7BuB2-NyEkjBZUq2J&amp;usp=drive_fs</t>
  </si>
  <si>
    <t>Casa de preparo</t>
  </si>
  <si>
    <t>Fisioterapia C. Fátima Camurça</t>
  </si>
  <si>
    <t>Cestas básicas para comunidade</t>
  </si>
  <si>
    <t>Tampas para vasilhame do Vegetal</t>
  </si>
  <si>
    <t>https://drive.google.com/open?id=1fgWEY9rV9cmFpVN-52CIpkfpQg7cCtAl&amp;usp=drive_fs</t>
  </si>
  <si>
    <t>Repasse Flor Divina - Lanche</t>
  </si>
  <si>
    <t>Açai</t>
  </si>
  <si>
    <t>https://drive.google.com/open?id=1xGfYtmbYoEjCNrh20oKAJs7Mj9xDzqXH&amp;usp=drive_fs</t>
  </si>
  <si>
    <t>Cantina Preparo</t>
  </si>
  <si>
    <t>Cantina do SANA</t>
  </si>
  <si>
    <t>Locação de Estufa para salgados</t>
  </si>
  <si>
    <t>https://drive.google.com/open?id=1piCwfBSe8iLmfdSN_dqU813HQEF4cQjW&amp;usp=drive_fs</t>
  </si>
  <si>
    <t>Salgados Francina (50% de entrada)</t>
  </si>
  <si>
    <t>https://drive.google.com/open?id=1mWgTGAK_PAItjfDSCNCjOYkJ1Nwk8B9i&amp;usp=drive_fs</t>
  </si>
  <si>
    <t>Salgados Francina (50% final)</t>
  </si>
  <si>
    <t>https://drive.google.com/open?id=1pnRl6FYlvq2PtVwCc68JgrFiG5Hbxx6o&amp;usp=drive_fs</t>
  </si>
  <si>
    <t>Salgados Celli</t>
  </si>
  <si>
    <t>Pedido inicial (1850 salgados)</t>
  </si>
  <si>
    <t>https://drive.google.com/open?id=1pmLoKOhchJF02ERjcydVFzpT1gJ80_v7&amp;usp=drive_fs</t>
  </si>
  <si>
    <t>Pedido complementar (150 salgados)</t>
  </si>
  <si>
    <t>https://drive.google.com/open?id=1lalNvA19Elxahysse10_3K8qDIzidrk6&amp;usp=drive_fs</t>
  </si>
  <si>
    <t>https://drive.google.com/open?id=1g9J-n1ezrgL74FdGeAWzG4ps8beql_R3&amp;usp=drive_fs</t>
  </si>
  <si>
    <t>Descartáveis</t>
  </si>
  <si>
    <t>https://drive.google.com/open?id=1pLOHQt3TvyK1_3UlIhYJ9Qo_qoGj7TwU&amp;usp=drive_fs</t>
  </si>
  <si>
    <t>Descartáveis - Potes de açai</t>
  </si>
  <si>
    <t>https://drive.google.com/open?id=1pJxIDTOCZvGAGjMypWsabulU2xbx2Zyo&amp;usp=drive_fs</t>
  </si>
  <si>
    <t>Granola</t>
  </si>
  <si>
    <t>https://drive.google.com/open?id=1pT8oj9iIK8QDJuUILv2IImjBVfugYSOH&amp;usp=drive_fs</t>
  </si>
  <si>
    <t>Bolos Mari Mari</t>
  </si>
  <si>
    <t>5 bolos</t>
  </si>
  <si>
    <t>https://drive.google.com/open?id=1_-QXwdDVIJyladXFPHZIopiaKUOK8wKo&amp;usp=drive_fs</t>
  </si>
  <si>
    <t>Fita adesiva e pincel</t>
  </si>
  <si>
    <t>Pix único de R$ 52,77.</t>
  </si>
  <si>
    <t>https://drive.google.com/open?id=1pTZbtSz7JYI6s4gAOfRmLJzLaSE52Lnj&amp;usp=drive_fs</t>
  </si>
  <si>
    <t>Lona</t>
  </si>
  <si>
    <t>https://drive.google.com/open?id=1pZoXKIvNFzE6oajBsKIee0TZ-_HZZcFu&amp;usp=drive_fs</t>
  </si>
  <si>
    <t>Leite em pó, pão de forma e papel alumínio</t>
  </si>
  <si>
    <t>https://drive.google.com/open?id=1pgOu6736vf6oQYFM-5OvFJe78jvqDqVl&amp;usp=drive_fs</t>
  </si>
  <si>
    <t>Brownies</t>
  </si>
  <si>
    <t>https://drive.google.com/open?id=1rdzI9yYRZa5ScdBgHjZyAC9I4uwyjhIZ&amp;usp=drive_fs</t>
  </si>
  <si>
    <t>Gráfica</t>
  </si>
  <si>
    <t>https://drive.google.com/open?id=1pwjilVpur0GjYfwe_WYd5MsZpcPNFx_4&amp;usp=drive_fs</t>
  </si>
  <si>
    <t>https://drive.google.com/open?id=1uQRGi02CzvSrPfwnP9jvLua9Y-5zSDEf&amp;usp=drive_fs</t>
  </si>
  <si>
    <t>Queijo e presunto</t>
  </si>
  <si>
    <t>Joao Carlos ficou com 2kg de queijo e Francilene com 1kg de queijo</t>
  </si>
  <si>
    <t>https://drive.google.com/open?id=1GC_AV_zi37Tn_YP3ksD8PAFHjWB18M4E&amp;usp=drive_fs</t>
  </si>
  <si>
    <t>Outras promoções</t>
  </si>
  <si>
    <t>Inauguração Cozinha - Material gráfico</t>
  </si>
  <si>
    <t>https://drive.google.com/open?id=1hVk4DWqVmKcg7dmK7YWz6tlRfIkbolkI&amp;usp=drive_fs</t>
  </si>
  <si>
    <t>Inauguração Cozinha - Alimentação</t>
  </si>
  <si>
    <t>https://drive.google.com/open?id=1hP_LEXzyzw0kPQxSQK6Jl_eaQDG10TxE&amp;usp=drive_fs</t>
  </si>
  <si>
    <t>https://drive.google.com/open?id=1hP1CNZnfLiGktgCD62HFqG3j9ps86Lk-&amp;usp=drive_fs</t>
  </si>
  <si>
    <t>https://drive.google.com/open?id=1D_8jc8oxRRyar3_wztfKm046aMM6r-LD&amp;usp=drive_fs</t>
  </si>
  <si>
    <r>
      <rPr>
        <b/>
        <sz val="10"/>
        <color theme="1"/>
        <rFont val="Calibri"/>
        <family val="2"/>
      </rPr>
      <t xml:space="preserve">Observação 1: </t>
    </r>
    <r>
      <rPr>
        <sz val="10"/>
        <color theme="1"/>
        <rFont val="Calibri"/>
        <family val="2"/>
      </rPr>
      <t xml:space="preserve">Foi realizado um pagamento de R$ 100 no dia 11/01 referente ao repasse mensal do valor do aluguel à Casa da União Coração de Maria. No entanto, esse valor foi devolvido no dia 14/01 pois o repasse de janeiro já havia sido realizado em dezembro/24.
</t>
    </r>
    <r>
      <rPr>
        <b/>
        <sz val="10"/>
        <color theme="1"/>
        <rFont val="Calibri"/>
        <family val="2"/>
      </rPr>
      <t xml:space="preserve">Observação 2: </t>
    </r>
    <r>
      <rPr>
        <sz val="10"/>
        <color theme="1"/>
        <rFont val="Calibri"/>
        <family val="2"/>
      </rPr>
      <t>Foi realizado um pagamento de R$ 975 no dia 14/01 referente a 1a parcela da inscrição de 3 irmãos do núcleo para a expedição à Fazenda Bom Conselho. No entanto, este boleto já havia sido pago em dezembro. Dessa forma, a devolução do pix foi realizada no dia 15/01.</t>
    </r>
  </si>
  <si>
    <t>TAXA DE PREPARO 2/2 R$ 13,00</t>
  </si>
  <si>
    <t>COMPRA DE ARCONDICIONADO 8/10 R$ 50,00; TAXA DE PREPARO 2/2 R$ 13,00</t>
  </si>
  <si>
    <t>Este valor está lançado, porém não houve transação bancária. A C. Mônica solicitou que 4 compras da Organ realizadas por ela fossem abatidas do valor da mensalidade de janeiro. As 4 compras totalizam R$ 449,41, enquanto o valor da mensalidade é R$ 472,13. Dessa forma, foi lançado o valor de R$ 449,41 como receita de mensalidade para equiparar esta despesa.
Resta ainda R$ 22,72 da mensalidade de janeiro e R$ 462,13  da mensalidade de fevereiro.</t>
  </si>
  <si>
    <t>COMPRA DE ARCONDICIONADO 8/10 R$ 50,00; TAXA DE PREPARO 2/2 R$ 13,00; DOAÇÃO CANTINA SANA R$ 100,00</t>
  </si>
  <si>
    <t>Realizado o pagamento das mensalidades de dezembro e janeiro.
Permane pendente fevereiro.</t>
  </si>
  <si>
    <t>TAXA DE PREPARO 2/2 R$ 13,00; JANTAR 1 ESCALA FEV R$ 20,00</t>
  </si>
  <si>
    <t>TAXA DE PREPARO 2/2 R$ 13,00; 2 Parcela Expedição Bom Conselho R$ 325,00; DOAÇÃO CANTINA SANA R$ 100,00</t>
  </si>
  <si>
    <t>Pagamento em 01/02 referente a mensalidade de novembro.
Fevereiro ainda está pendente.</t>
  </si>
  <si>
    <t>Realizado o pagamento das mensalidades de janeiro e fevereiro.</t>
  </si>
  <si>
    <t>TAXA AÇÃO ENTRE AMIGOS 3/4 R$ 50,00; TAXA DE PREPARO 2/2 R$ 13,00</t>
  </si>
  <si>
    <t>TAXA DE PREPARO 2/2 R$ 13,00; DOAÇÃO CANTINA SANA R$ 50,00</t>
  </si>
  <si>
    <t>Pagamento das mensalidades de janeiro e fevereiro</t>
  </si>
  <si>
    <t>TAXA DOAÇÃO CONSTRUÇÃO R$ 150,00; TAXA DE PREPARO 2/2 R$ 13,00</t>
  </si>
  <si>
    <t>ACORDO MENSALIDADE 6/10 R$ 40,23; TAXA DE PREPARO 2/2 R$ 13,00</t>
  </si>
  <si>
    <t>TAXA DE PREPARO 2/2 R$ 13,00; DOAÇÃO CANTINA SANA R$ 30,00</t>
  </si>
  <si>
    <t>MARIA EDUARDA ARAUJO HOLANDA PINTO</t>
  </si>
  <si>
    <t>1 a 30</t>
  </si>
  <si>
    <t>M. Vicente (40)</t>
  </si>
  <si>
    <t>Vendas - Espécie</t>
  </si>
  <si>
    <t>Venda de queijo mussarela</t>
  </si>
  <si>
    <t>C. Francilene (46,00)</t>
  </si>
  <si>
    <t>M. Cassio (65), Flora (130)</t>
  </si>
  <si>
    <t>15 e 20</t>
  </si>
  <si>
    <t>Taxa Direção Encontro de Casais</t>
  </si>
  <si>
    <t>Lindayana (60)</t>
  </si>
  <si>
    <t>Contribuição para sobremesa - 10 de fevereiro</t>
  </si>
  <si>
    <t>Rose (50)</t>
  </si>
  <si>
    <t>Almoço mutirão para 10 de fevereiro</t>
  </si>
  <si>
    <t>9 a 12</t>
  </si>
  <si>
    <t>Rafael H. (40), Raquel (20), Wallace (40), M. Cassio (50), Tony (10), Pollyana (30), Rose (10), Vicente (40), Rarisneide (10), Emanuel (10), Lucas Caldas (30), Hugo (10), Salomão (20), Ana Georgina (30), M. Vicente (30), João Carlos, Gilardo (30), Rafael CB (10), Jalsey (20)</t>
  </si>
  <si>
    <t>Jantar 10 de fevereiro</t>
  </si>
  <si>
    <t>12 a 15</t>
  </si>
  <si>
    <t>Hugo (30), Ramon (20), Salomão (20), Marcelo B. (30), M. Vicente (30), Rose (10), Rafael CB (10), Thamires (10), M. Cassio (50), Mateus Lessa (20), Ana Alves (30)</t>
  </si>
  <si>
    <t>Devolução de pix</t>
  </si>
  <si>
    <t>Devolução referente a um pagamento realizado a maior para a conta da Aline.</t>
  </si>
  <si>
    <t>Reembolso - Compra de lembrancinha M. Cassio</t>
  </si>
  <si>
    <t>Contribuição para compra da talha</t>
  </si>
  <si>
    <t>Doação dos irmãos holandeses</t>
  </si>
  <si>
    <t>Doação para ressarcimento da cesta básica (Beneficência)</t>
  </si>
  <si>
    <t>https://drive.google.com/open?id=1O6wt_FJqQeu9sRaLffH-7f8S0G1oTxGT&amp;usp=drive_fs</t>
  </si>
  <si>
    <t>FGTS</t>
  </si>
  <si>
    <t>https://drive.google.com/open?id=1_6Fp_ExyTvjqF1-M_cFw6x_XHF5SBwfd&amp;usp=drive_fs</t>
  </si>
  <si>
    <t>INSS e PIS</t>
  </si>
  <si>
    <t>https://drive.google.com/open?id=1PRSSbRhljf-e9cOSeCLfcLlcya7A-WGn&amp;usp=drive_fs</t>
  </si>
  <si>
    <t>Darf Previdenciário Complementar</t>
  </si>
  <si>
    <t>https://drive.google.com/open?id=1C0yr4ScNd5mr0j4PNPd0eYK7pwse8o-v&amp;usp=drive_fs</t>
  </si>
  <si>
    <t>https://drive.google.com/open?id=1hHruZaR6cC30sU6q-7R-YHFyKmrXFSAy&amp;usp=drive_fs</t>
  </si>
  <si>
    <t>Pagmento único de R$ 2.742,72</t>
  </si>
  <si>
    <t>https://drive.google.com/open?id=1BV1TM7EJJOxGzv3O6dWUL6FCUk_S1IqE&amp;usp=drive_fs</t>
  </si>
  <si>
    <t>Pagamento único de R$ 1.152,00</t>
  </si>
  <si>
    <t>https://drive.google.com/open?id=1Qev215rRAFtb-WX8wlSxfiZmjf01B-uq&amp;usp=drive_fs</t>
  </si>
  <si>
    <t>https://drive.google.com/open?id=1a5hTa8y0XMozRz-dSa0UfTNgd1TXVSNN&amp;usp=drive_fs</t>
  </si>
  <si>
    <t>11a Região - Taxa Extra - Fazenda Bom Conselho</t>
  </si>
  <si>
    <t>Parcela 1 de 5</t>
  </si>
  <si>
    <t>https://drive.google.com/open?id=1yMIEbscznedImJATd1aMtLmE74IOR5Pc&amp;usp=drive_fs</t>
  </si>
  <si>
    <t>https://drive.google.com/open?id=1EZKxuF5v6r4e1MWObNeB-OSTAhOjh2so&amp;usp=drive_fs</t>
  </si>
  <si>
    <t>Tarifa 2</t>
  </si>
  <si>
    <t>https://drive.google.com/open?id=1lkLy44LTEH8bIakW8xjzsl2Dvq7Pj4nw&amp;usp=drive_fs</t>
  </si>
  <si>
    <t>https://drive.google.com/open?id=1DkfAoPGLAksRJx39XhQZ5I7U-PW2DCPH&amp;usp=drive_fs</t>
  </si>
  <si>
    <t>Vigilância - Extra</t>
  </si>
  <si>
    <t>https://drive.google.com/open?id=1zcTOhjziZmZOazHr9soDf0vj6t6FzluS&amp;usp=drive_fs</t>
  </si>
  <si>
    <t>Parcela 8 de 10</t>
  </si>
  <si>
    <t>https://drive.google.com/open?id=1qM0bmoZb2tRtYR_dkQ9EOIt2CY2QrEgp&amp;usp=drive_fs</t>
  </si>
  <si>
    <t>https://drive.google.com/open?id=1fv7DPHWgAJ90vz5Z9Nz1vYkK6QuHHFIC&amp;usp=drive_fs</t>
  </si>
  <si>
    <t>Cafeteira para cozinha</t>
  </si>
  <si>
    <t>https://drive.google.com/open?id=1SWRPL_XQ4U3I_el6ODCAtdMV9hiBqS0C&amp;usp=drive_fs</t>
  </si>
  <si>
    <t>Almoço mutirão 10 de fevereiro</t>
  </si>
  <si>
    <t>https://drive.google.com/open?id=1RERbl7w2UXAn8Ac0mJoHHC54Q4ufAls7&amp;usp=drive_fs</t>
  </si>
  <si>
    <t>https://drive.google.com/open?id=1UcpZH2PTAFgTZ04X04oZikW8sWlTBVHr&amp;usp=drive_fs</t>
  </si>
  <si>
    <t>Conserto bicicietas recebidas de doação</t>
  </si>
  <si>
    <t>Marcelo</t>
  </si>
  <si>
    <t>https://drive.google.com/open?id=1yPQau5DqlkuT8rzI-LREwJYI2W27Wi0X&amp;usp=drive_fs</t>
  </si>
  <si>
    <t>https://drive.google.com/open?id=1AaH7sYx4Us13jdMCTKjkWbtzMP-EAgqB&amp;usp=drive_fs</t>
  </si>
  <si>
    <t>Lembrancinha Aniv. M. Cassio</t>
  </si>
  <si>
    <t>Gabi</t>
  </si>
  <si>
    <t>https://drive.google.com/open?id=1ixgRGpDpS0EhZzTfMdQBWWsyol3anVpR&amp;usp=drive_fs</t>
  </si>
  <si>
    <t>Frete de doações recebidas da receita federal</t>
  </si>
  <si>
    <t>https://drive.google.com/open?id=1vrjrq3eoP7iM4XdbTcyIheWhbMVvzfiD&amp;usp=drive_fs</t>
  </si>
  <si>
    <t>Conserto de 3 celulares recebidos de doação</t>
  </si>
  <si>
    <t>https://drive.google.com/open?id=1QtmrmcrHAkMPqWUwvUavu2A0tPnRZ9Vo&amp;usp=drive_fs</t>
  </si>
  <si>
    <t>https://drive.google.com/open?id=1XSPaxZsHs2ETNkZoubdK1KuQGDslR2YT&amp;usp=drive_fs</t>
  </si>
  <si>
    <t>Bolos</t>
  </si>
  <si>
    <t>https://drive.google.com/open?id=1wxOUDpvD9hlGn7MskIi_K76SpL1YDx_2&amp;usp=drive_fs</t>
  </si>
  <si>
    <t>https://drive.google.com/open?id=14jgG_XXs40B0Jlmq5Yxj--UPkQR2N7Na&amp;usp=drive_fs</t>
  </si>
  <si>
    <t>Este valor está lançado, porém não houve transação bancária. A C. Mônica solicitou que 4 compras da Organ realizadas por ela fossem abatidas do valor da mensalidade de janeiro. As 4 compras totalizam R$ 449,41, enquanto o valor da mensalidade é R$ 472,13. Dessa forma, foi lançado o valor de R$ 449,41 como receita de mensalidade para equiparar esta despesa.</t>
  </si>
  <si>
    <t>https://drive.google.com/open?id=1vN2OKmi72TDB89I6IjHdlHYd4Z1gYPqY&amp;usp=drive_fs</t>
  </si>
  <si>
    <t>https://drive.google.com/open?id=1XFikbqKy32SczPI25V1bLCLRh10mhQrw&amp;usp=drive_fs</t>
  </si>
  <si>
    <t>https://drive.google.com/open?id=12uTj9_HSjfZGk17GE1L7DM8xHNgbjwjm&amp;usp=drive_fs</t>
  </si>
  <si>
    <t>https://drive.google.com/open?id=1QAB4baNTSUL2lGZqyEa8DpuraAYJ5o6G&amp;usp=drive_fs</t>
  </si>
  <si>
    <t>https://drive.google.com/open?id=1hmXMNMTl1tTJibMrNkII57pzEc9QhNLq&amp;usp=drive_fs</t>
  </si>
  <si>
    <t>Euzanira</t>
  </si>
  <si>
    <t>Lanche 1a escala de março + feriado</t>
  </si>
  <si>
    <t>Sucos. Desse valor, temos R$ 90 referente a sessão de escala e R$ 245 referente ao feriado.</t>
  </si>
  <si>
    <t>https://drive.google.com/open?id=1Mngk9E_Ns0wD52FbMvIKCsvUQGplnmZk&amp;usp=drive_fs</t>
  </si>
  <si>
    <t>https://drive.google.com/open?id=1aoGS2cof2HrfgBlzqg1FKHIxtXyOSVP-&amp;usp=drive_fs</t>
  </si>
  <si>
    <t>https://drive.google.com/open?id=1GkzUtyqCyzEFSaSKpa1622qQTh5RlHTg&amp;usp=drive_fs</t>
  </si>
  <si>
    <t>Lanche reunião de diretoria e tira gosto</t>
  </si>
  <si>
    <t>https://drive.google.com/open?id=1bKloDsyijPDLPydlWzB_LxxuX_EuElZV&amp;usp=drive_fs</t>
  </si>
  <si>
    <t>Sacos de lixo</t>
  </si>
  <si>
    <t>https://drive.google.com/open?id=1OT9YzvdI1mWv1rx0oVZ4jJLktVxkSDdK&amp;usp=drive_fs</t>
  </si>
  <si>
    <t>https://drive.google.com/open?id=1pB6eTF_KtxS_i5oNsKg3N36kF7mtycv2&amp;usp=drive_fs</t>
  </si>
  <si>
    <t>https://drive.google.com/open?id=1O8g7NtH-cgVJu5t9f-0d8ZdEkyEIYQmH&amp;usp=drive_fs</t>
  </si>
  <si>
    <t>https://drive.google.com/open?id=1ALkyGby2dS61gylsutVZ8UFpExH25KBF&amp;usp=drive_fs</t>
  </si>
  <si>
    <t>https://drive.google.com/open?id=1snO2Uwa30PnDb8AlJxmSmHoolqxnp2Lf&amp;usp=drive_fs</t>
  </si>
  <si>
    <t>https://drive.google.com/open?id=1bfkKkev6CsRLnMhwPksk3ZmEBVsrgOOE&amp;usp=drive_fs</t>
  </si>
  <si>
    <t>https://drive.google.com/open?id=1PColXYGRBBEw6Ey2f2UV0Tcb5uDUB4Yc&amp;usp=drive_fs</t>
  </si>
  <si>
    <t>1 Botijão de gás</t>
  </si>
  <si>
    <t>https://drive.google.com/open?id=1mfOvRjwW3fWcb9QDBEjTSfh9L2jIGf24&amp;usp=drive_fs</t>
  </si>
  <si>
    <t>Mercado - Sucos</t>
  </si>
  <si>
    <t>Mercado - Alimentação</t>
  </si>
  <si>
    <t>Mercado - Jantar sexta-feira</t>
  </si>
  <si>
    <t>Mercado - Café da manhã</t>
  </si>
  <si>
    <t>Mercado - Almoço sábado</t>
  </si>
  <si>
    <t>Mercado - Jantar sábado</t>
  </si>
  <si>
    <t>Gás de cozinha</t>
  </si>
  <si>
    <t>DEMEC - Materiais para higienização dos frascos</t>
  </si>
  <si>
    <t>DEMEC - Impressão de etiquetas para vidros de Vegetal</t>
  </si>
  <si>
    <t>DEMEC - Capacetes</t>
  </si>
  <si>
    <t>Repasse FD - Tampas, Luvas e Limpeza pós preparo</t>
  </si>
  <si>
    <t>10 de Fevereiro</t>
  </si>
  <si>
    <t>Segurança</t>
  </si>
  <si>
    <t>Lanche - Salgados</t>
  </si>
  <si>
    <t>C. Sandra</t>
  </si>
  <si>
    <t>https://drive.google.com/open?id=1RaRLgBJ0MZ6pTZRpu5eFBQclsKnLWDny&amp;usp=drive_fs</t>
  </si>
  <si>
    <t>Lanche - Empadas</t>
  </si>
  <si>
    <t>C. Mônica</t>
  </si>
  <si>
    <t>https://drive.google.com/open?id=1ju2VdDn5dYFTK9ikvfIioHPvI5UvzkRE&amp;usp=drive_fs</t>
  </si>
  <si>
    <t>Lanche - Iogurte</t>
  </si>
  <si>
    <t>Aline. A compra foi de R$ 29,72, porém foi realizado o pix com o valor errado de R$ 45,51. Desta forma, a diferença de R$ 15,79 foi devolvida para a conta do núcleo no dia 20/02/2025.</t>
  </si>
  <si>
    <t>https://drive.google.com/open?id=1_TWPCUVzLwWKHlX-88PTaaeEBZ_ujD-5&amp;usp=drive_fs</t>
  </si>
  <si>
    <t>Lanche - Supermercado</t>
  </si>
  <si>
    <t>Juliana Teixeira</t>
  </si>
  <si>
    <t>https://drive.google.com/open?id=1LOpjoV75K40D3b6N1YDOnCKt30AC0tZA&amp;usp=drive_fs</t>
  </si>
  <si>
    <t>https://drive.google.com/open?id=1Jg6q5ZIPIJd2UFg9KWyCPz2kQeqS_BmL&amp;usp=drive_fs</t>
  </si>
  <si>
    <t>Lanche - Sucos</t>
  </si>
  <si>
    <t>Carol</t>
  </si>
  <si>
    <t>https://drive.google.com/open?id=1d7-T7EdJDqrYYholeAwwMsolyxHWvcGC&amp;usp=drive_fs</t>
  </si>
  <si>
    <t>https://drive.google.com/open?id=12N3VS1kyj0K-JZ15H6D8Q-Dc3vmKHE83&amp;usp=drive_fs</t>
  </si>
  <si>
    <t>Lanche - Bananas</t>
  </si>
  <si>
    <t>https://drive.google.com/open?id=1nxjkDBVWYQE2DunT3pK3jW0FJ3AJP_t_&amp;usp=drive_fs</t>
  </si>
  <si>
    <t>Lanche - Água de coco e mel</t>
  </si>
  <si>
    <t>C. Gilardo</t>
  </si>
  <si>
    <t>Getúlio</t>
  </si>
  <si>
    <t>Parcela 1 de 4</t>
  </si>
  <si>
    <t>https://drive.google.com/open?id=1GK5pxJVo6nBsCc-qqDyMmiBWE_av7GvX&amp;usp=drive_fs</t>
  </si>
  <si>
    <t>Lixas</t>
  </si>
  <si>
    <t>https://drive.google.com/open?id=105G3h7ysijD6VtOreWfw2TXY8x5NAIgF&amp;usp=drive_fs</t>
  </si>
  <si>
    <t>Madeira para guarda corpo</t>
  </si>
  <si>
    <t>Parcela 1 de 10 - Cartão Wallace</t>
  </si>
  <si>
    <t>https://drive.google.com/open?id=1mFbBXTGg2N9BsiYV4iBqvHD0YVlVDECs&amp;usp=drive_fs</t>
  </si>
  <si>
    <t>Manta impermeabilizante</t>
  </si>
  <si>
    <t>Parcela 4 de 5 - Cartão Salomão</t>
  </si>
  <si>
    <t>https://drive.google.com/open?id=1Evsb34W9f55DQQ_PplvtHzv9WqsdsFjZ&amp;usp=drive_fs</t>
  </si>
  <si>
    <t>Portas e madeiras da escada</t>
  </si>
  <si>
    <t>Parcela 2 de 7 - Cartão Salomão</t>
  </si>
  <si>
    <t>https://drive.google.com/open?id=1iMuv3-WaovSp2-_OfKHDR8AB3aOIpfFn&amp;usp=drive_fs</t>
  </si>
  <si>
    <t>Material elétrico</t>
  </si>
  <si>
    <t>Parcela 3 de 3 - Cartão Marcelo</t>
  </si>
  <si>
    <t>https://drive.google.com/open?id=1TxffYxWhye3P4I3Nvk3RkuONabNYvNPn&amp;usp=drive_fs</t>
  </si>
  <si>
    <t>Granito</t>
  </si>
  <si>
    <t>Parcela 2 de 4 - Cheque Marcelo</t>
  </si>
  <si>
    <t>https://drive.google.com/open?id=1zr2oV5_ndmu6HWU2hIdTM-Vv8-RDfa4l&amp;usp=drive_fs</t>
  </si>
  <si>
    <t>Depósito Itaitinga</t>
  </si>
  <si>
    <t>Parcela 1 de 2 - Depósito itaitinga. Constam 2 notas fiscais, uma de R$ 1.933,10 e outra de R$ 163,00 que somadas dá R$ 2.096,10.</t>
  </si>
  <si>
    <t>https://drive.google.com/open?id=1H-Zwh5q9hnnzWG6yszV-6s-jsPljVrgW&amp;usp=drive_fs</t>
  </si>
  <si>
    <t>Produto para limpeza cadeiras verdes</t>
  </si>
  <si>
    <t>https://drive.google.com/open?id=1I7L4jAF_omtn4RinazhSocnFgKHTW8sE&amp;usp=drive_fs</t>
  </si>
  <si>
    <t>Combustível para roçadeira</t>
  </si>
  <si>
    <t>https://drive.google.com/open?id=122i0I7wm6O6-epUyDacT0Jj4KqI9rU0y&amp;usp=drive_fs</t>
  </si>
  <si>
    <t>Aluguel espaço Caracanga</t>
  </si>
  <si>
    <t>https://drive.google.com/open?id=1_oZcJkqSTGdAnZ9xtOtEGy_jqIpctnPW&amp;usp=drive_fs</t>
  </si>
  <si>
    <t>Alimentação para feriado do carnaval</t>
  </si>
  <si>
    <t>Contratação de cozinheira para período do carnaval</t>
  </si>
  <si>
    <t>Sucos para feriado do carnaval</t>
  </si>
  <si>
    <t>Impressões OE cartões apadrinhamento</t>
  </si>
  <si>
    <t>Camisas Aniv. - Envio para Salvador</t>
  </si>
  <si>
    <t>Envio por correios, não possui nota fiscal, apenas o comprovante emitido pelo Correios.</t>
  </si>
  <si>
    <t>https://drive.google.com/open?id=1idwxXUenUSIBIw_F3q624K83GqrLqRx0&amp;usp=drive_fs</t>
  </si>
  <si>
    <t>Camisas Igrejinha - Confecção</t>
  </si>
  <si>
    <t>https://drive.google.com/open?id=1PsoTTDdrvVABgPMQYjPKx3uW-SKUNGbI&amp;usp=drive_fs</t>
  </si>
  <si>
    <t>Camisas Igrejinha - Estampagem</t>
  </si>
  <si>
    <t>Régis</t>
  </si>
  <si>
    <t>https://drive.google.com/open?id=1KdCqwEoeLcVmY5ubxWHf_ztPnsvSOfaB&amp;usp=drive_fs</t>
  </si>
  <si>
    <t>https://drive.google.com/open?id=1OBzidJYfKfV2VLztIIVPpIpErUW60QEZ&amp;usp=drive_fs</t>
  </si>
  <si>
    <t>10 DE FEVEREIRO R$ 18,00; TAXA PREPARO 1/2 R$ 25,00; TAXA ENCONTRO CASAL DIREÇÃO R$ 30,00</t>
  </si>
  <si>
    <t>10 DE FEVEREIRO R$ 18,00; TAXA PREPARO 1/2 R$ 25,00</t>
  </si>
  <si>
    <t>10 DE FEVEREIRO R$ 18,00; TAXA PREPARO 1/2 R$ 25,00; TAXA ENCONTRO CASAL DIREÇÃO R$ 15,00</t>
  </si>
  <si>
    <t>COMPRA DE ARCONDICIONADO 9/10 R$ 50,00; 10 DE FEVEREIRO R$ 18,00; TAXA PREPARO 1/2 R$ 25,00; TAXA ENCONTRO CASAL DIREÇÃO R$ 30,00</t>
  </si>
  <si>
    <t>Mensalidades de janeiro a março totaliza R$ 1.036,98, adicionando R$ 170 da taxa do feriado do carnaval dá R$ 1.206,98. Deste valor, foi abatido R$ 866,29 de compras da Organ realizadas pela C. Mônica, restando um saldo a pagar de R$ 340,69.</t>
  </si>
  <si>
    <t>COMPRA DE ARCONDICIONADO 9/10 R$ 50,00; 10 DE FEVEREIRO R$ 18,00; TAXA PREPARO 1/2 R$ 25,00; TAXA ENCONTRO CASAL DIREÇÃO R$ 15,00</t>
  </si>
  <si>
    <t>DOAÇÃO CANTINA SANA R$ 92,00; 10 DE FEVEREIRO R$ 18,00; TAXA PREPARO 1/2 R$ 25,00</t>
  </si>
  <si>
    <t>ACORDO 2/4 R$ 396,40</t>
  </si>
  <si>
    <t>COMPRA DE ARCONDICIONADO 9/10 R$ 50,00; 10 DE FEVEREIRO R$ 18,00; TAXA PREPARO 1/2 R$ 25,00</t>
  </si>
  <si>
    <t>10 DE FEVEREIRO R$ 18,00; TAXA PREPARO 1/2 R$ 25,00; DOAÇÃO R$ 400,00</t>
  </si>
  <si>
    <t>TAXA AÇÃO ENTRE AMIGOS 4/4 R$ 50,00; 10 DE FEVEREIRO R$ 18,00; TAXA PREPARO 1/2 R$ 25,00</t>
  </si>
  <si>
    <t>Pagamento referente a Dezembro. Março ainda pendente.</t>
  </si>
  <si>
    <t>10 DE FEVEREIRO R$ 18,00; TAXA PREPARO 1/2 R$ 25,00; CANTINA SANA R$ 50,00</t>
  </si>
  <si>
    <t>ACORDO MENSALIDADE 7/10 R$ 40,23</t>
  </si>
  <si>
    <t>RAMIDE MIRANDA DINO</t>
  </si>
  <si>
    <t>PÉROLLA ALVES SOUZA FELIX DINO</t>
  </si>
  <si>
    <t>Vendas - Maquinetas</t>
  </si>
  <si>
    <t>15 a 31</t>
  </si>
  <si>
    <t>4 a 10</t>
  </si>
  <si>
    <t>Doações e vendas</t>
  </si>
  <si>
    <t>Feira de Novos e Usados</t>
  </si>
  <si>
    <t>Vendas antecipadas - Stone</t>
  </si>
  <si>
    <t>1 a 21</t>
  </si>
  <si>
    <t>Vendas antecipadas - Pagbank</t>
  </si>
  <si>
    <t>Vendas na feira - Pagbank</t>
  </si>
  <si>
    <t>Vendas na feira - Dinheiro em espécie</t>
  </si>
  <si>
    <t>Doação - Cora</t>
  </si>
  <si>
    <t>Doação - Pagbank</t>
  </si>
  <si>
    <t>15 a 18</t>
  </si>
  <si>
    <t>Cota feriado carnaval</t>
  </si>
  <si>
    <t>2 a 15</t>
  </si>
  <si>
    <t>Até M. Régis</t>
  </si>
  <si>
    <t>Devolução de pagamento a maior</t>
  </si>
  <si>
    <t>Devolução de R$ 1 pago a mais pela tesouraria na compra de lembrancinha do dia da mulher.</t>
  </si>
  <si>
    <t>Rafael Honório (50)</t>
  </si>
  <si>
    <t>Aplicação financeira</t>
  </si>
  <si>
    <t>https://drive.google.com/open?id=1fmOa5s2GyDuKg45561JpFUSxt65QzzOb&amp;usp=drive_fs</t>
  </si>
  <si>
    <t>https://drive.google.com/open?id=1ujI8a_oqLUc7rBoVDx2ID3eC7bRUnfiA&amp;usp=drive_fs</t>
  </si>
  <si>
    <t>Previdenciário</t>
  </si>
  <si>
    <t>https://drive.google.com/open?id=1h8bEikVp70kfoP7PSGh-yFuZOL5F9XL2&amp;usp=drive_fs</t>
  </si>
  <si>
    <t>https://drive.google.com/open?id=1RjGAo_VKAbbsi5CPsU_l7wiuv07SFlId&amp;usp=drive_fs</t>
  </si>
  <si>
    <t>https://drive.google.com/open?id=1HZeT-0vjuUnvsLH1BVHF24c9WWwKRCMN&amp;usp=drive_fs</t>
  </si>
  <si>
    <t>Pagamento único de R$ 2.799,86</t>
  </si>
  <si>
    <t>https://drive.google.com/open?id=1H7R8gAec_-3_KmmdeGkNCXwj7r1Ool6Z&amp;usp=drive_fs</t>
  </si>
  <si>
    <t>https://drive.google.com/open?id=1_w3yvOraYiL9W74LOHJAwwS1SUtF0bvu&amp;usp=drive_fs</t>
  </si>
  <si>
    <t>60% do valor arrecadado em fevereiro.</t>
  </si>
  <si>
    <t>https://drive.google.com/open?id=1ZA8Eu3RD1CVG-OALm-lLaz8oRin4YY-h&amp;usp=drive_fs</t>
  </si>
  <si>
    <t>Repasse de fevereiro. Pagamento de R$ 2.128, sendo R$ 2.048 da tesouraria e R$ 80 do plantio.</t>
  </si>
  <si>
    <t>https://drive.google.com/open?id=1V6WBjREGSD7_ubezViKIoWUVeQCYJVEW&amp;usp=drive_fs</t>
  </si>
  <si>
    <t>Repasse de março. Pagamento de R$ 2.641,82, sendo R$ 1.921,82 da tesouraria e R$ 720 do plantio.</t>
  </si>
  <si>
    <t>https://drive.google.com/open?id=1yyelNGxZjCmazl_yfQhTwTuW8lQ8fvKc&amp;usp=drive_fs</t>
  </si>
  <si>
    <t>11a Região - Taxa Extra - Encontro de Casais</t>
  </si>
  <si>
    <t>Parcela 1 de 2</t>
  </si>
  <si>
    <t>https://drive.google.com/open?id=1Gc8-Qpk12tJJ_wmZPKelNBjv30Ab7bBi&amp;usp=drive_fs</t>
  </si>
  <si>
    <t>Parcela 2 de 5</t>
  </si>
  <si>
    <t>https://drive.google.com/open?id=1VRZP7gs3U0fw_iGlSf54lAyYvdmCSMc_&amp;usp=drive_fs</t>
  </si>
  <si>
    <t>https://drive.google.com/open?id=1oy9tBo7fUsPW6jDP0L6i6vCJc21DHrxm&amp;usp=drive_fs</t>
  </si>
  <si>
    <t>https://drive.google.com/open?id=1sEhktvxUnQlyX6DU1arvU_nUpKPO_HYa&amp;usp=drive_fs</t>
  </si>
  <si>
    <t>https://drive.google.com/open?id=1sOMlr0Qp62v23MFr9Ze4sJPNGGB2VW_H&amp;usp=drive_fs</t>
  </si>
  <si>
    <t>https://drive.google.com/open?id=1Or3Q7XhqjMYfiOfmMAIDggZaQN9hNSf3&amp;usp=drive_fs</t>
  </si>
  <si>
    <t>Parcela 9 de 10</t>
  </si>
  <si>
    <t>https://drive.google.com/open?id=17hEaooT4ucV9iKNYornCBHsuoWscC0pT&amp;usp=drive_fs</t>
  </si>
  <si>
    <t>https://drive.google.com/open?id=1d_bbK1dhE9Eai7Yk2CjZ84ksB092AqlO&amp;usp=drive_fs</t>
  </si>
  <si>
    <t>Lembrancinhas dia da mulher</t>
  </si>
  <si>
    <t>Foi realizado o pix de R$ 66,95, porém o cupom e recibo é de R$ 65,95. Foi realizada a devolução de R$ 1 em dinheiro.</t>
  </si>
  <si>
    <t>https://drive.google.com/open?id=1xOKm4Ot2q3UTCvRZuoMSd8uGlxj0K37E&amp;usp=drive_fs</t>
  </si>
  <si>
    <t>https://drive.google.com/open?id=1Sq_xNV3din5fFxqX4lH0caI6L3PTCcO-&amp;usp=drive_fs</t>
  </si>
  <si>
    <t>https://drive.google.com/open?id=1y-p9-lG1XFZ7aF3EvQcBgbO4F1gk0qfc&amp;usp=drive_fs</t>
  </si>
  <si>
    <t>Valor descontado das mensalidades de janeiro, fevereiro e março do M. Cassio.</t>
  </si>
  <si>
    <t>https://drive.google.com/open?id=1_JHnJJk7UBPOl3fGLzVvbdlom0eze2di&amp;usp=drive_fs</t>
  </si>
  <si>
    <t>https://drive.google.com/open?id=1kiGnYxitYMqkzIOoCSGIZQUnTCJqqTBr&amp;usp=drive_fs</t>
  </si>
  <si>
    <t>https://drive.google.com/open?id=1uCkrRpjS3H0ytof71IfnD5oItG2Km5ch&amp;usp=drive_fs</t>
  </si>
  <si>
    <t>Mix</t>
  </si>
  <si>
    <t>https://drive.google.com/open?id=1ntGxVOIQkvHJHSp48qxqP2GZLM18XQnp&amp;usp=drive_fs</t>
  </si>
  <si>
    <t>https://drive.google.com/open?id=1oM3KLcnd8tq9RDMA5nJpUM5OatHGqR6j&amp;usp=drive_fs</t>
  </si>
  <si>
    <t>Lanche reunião de diretoria</t>
  </si>
  <si>
    <t>https://drive.google.com/open?id=14pZceNRMOPJo9VyTXvH1MjP8oO5tR5ei&amp;usp=drive_fs</t>
  </si>
  <si>
    <t>https://drive.google.com/open?id=19OCpZtKoc2-fXBrLLzS2K8DvDA7irdV8&amp;usp=drive_fs</t>
  </si>
  <si>
    <t>https://drive.google.com/open?id=1ijJUdGpbtHb5OimNrr_Z_TGHvpyJzHqS&amp;usp=drive_fs</t>
  </si>
  <si>
    <t>https://drive.google.com/open?id=1VCpDae0NkLBpWAkga8_wv_8DMlMCHfu3&amp;usp=drive_fs</t>
  </si>
  <si>
    <t>https://drive.google.com/open?id=1MVn5m26XBsy-rCtBpXHPgRQNx6A5cH8n&amp;usp=drive_fs</t>
  </si>
  <si>
    <t>https://drive.google.com/open?id=1Hi9MLyopnibbCMvW7cQTgLet-OR4mjre&amp;usp=drive_fs</t>
  </si>
  <si>
    <t>https://drive.google.com/open?id=1o0GErQ6OLMu7dLCG_4bZFoPdnK-0oP_h&amp;usp=drive_fs</t>
  </si>
  <si>
    <t>https://drive.google.com/open?id=1FTRc57VnPh0jK2TKTGP9hPekh6D0sdv4&amp;usp=drive_fs</t>
  </si>
  <si>
    <t>https://drive.google.com/open?id=1RlkGl09sAsY1zYNlNRE04aWmL_azr_zx&amp;usp=drive_fs</t>
  </si>
  <si>
    <t>https://drive.google.com/open?id=1l_RnGkvrrKfDvbjPJCF34TTvYQS2ozIT&amp;usp=drive_fs</t>
  </si>
  <si>
    <t>https://drive.google.com/open?id=1qRZPy3tRa86OWLWSbJtRIlHAbVKEjlJK&amp;usp=drive_fs</t>
  </si>
  <si>
    <t>Almoço de domingo</t>
  </si>
  <si>
    <t>https://drive.google.com/open?id=1kRsnOIIcYjfqZUpr1Lcvo-IPm9980pKo&amp;usp=drive_fs</t>
  </si>
  <si>
    <t>Diárias da cozinheira</t>
  </si>
  <si>
    <t>https://drive.google.com/open?id=1vtfGThki1D96lsNtD_4heypUL_dyAwpB&amp;usp=drive_fs</t>
  </si>
  <si>
    <t>https://drive.google.com/open?id=10JUSSJKeNHq86EJmHsobMYgj9e-zP6m1&amp;usp=drive_fs</t>
  </si>
  <si>
    <t>https://drive.google.com/open?id=1yPzkqx1vP1KrZO1mr0rm2axlEi7xqk0W&amp;usp=drive_fs</t>
  </si>
  <si>
    <t>https://drive.google.com/open?id=12C3nswHQ4kNxkAtze4u2EXvzqgXrgHWu&amp;usp=drive_fs</t>
  </si>
  <si>
    <t>Pães</t>
  </si>
  <si>
    <t>https://drive.google.com/open?id=1c03QkjV-6fT9VC6qe9L1FplNIBZPAh5k&amp;usp=drive_fs</t>
  </si>
  <si>
    <t>Materiais e serviços</t>
  </si>
  <si>
    <t>Materiais do DEMEC</t>
  </si>
  <si>
    <t>https://drive.google.com/open?id=1YKCcSiOdWUNKunuWtMUhNbcc_W8DU2XO&amp;usp=drive_fs</t>
  </si>
  <si>
    <t>Lenha</t>
  </si>
  <si>
    <t>https://drive.google.com/open?id=1Y-hAVItXEI66dUIXv0B6c4USWqH6WKd8&amp;usp=drive_fs</t>
  </si>
  <si>
    <t>Diária de limpeza da casa de preparo</t>
  </si>
  <si>
    <t>Organização e limpeza da casa de preparo e materiais</t>
  </si>
  <si>
    <t>https://drive.google.com/open?id=1mHICL6uiYMQuPIzxm53PUjiawaxkPV8m&amp;usp=drive_fs</t>
  </si>
  <si>
    <t>https://drive.google.com/open?id=1Y4O9wGLxmUEmYmvmYFnzRBPckRNxKIco&amp;usp=drive_fs</t>
  </si>
  <si>
    <t>Lanche</t>
  </si>
  <si>
    <t>https://drive.google.com/open?id=1TvYSXT2wcVdYFxors7ow2TucmE8fIY5w&amp;usp=drive_fs</t>
  </si>
  <si>
    <t>Pães e torta</t>
  </si>
  <si>
    <t>https://drive.google.com/open?id=1m1hKSntVlzotRRX9xAUh0RrWedSlxfpR&amp;usp=drive_fs</t>
  </si>
  <si>
    <t>https://drive.google.com/open?id=1hF3zelfEsnLBZCaCP6NLiHrcmWgFpd5W&amp;usp=drive_fs</t>
  </si>
  <si>
    <t>https://drive.google.com/open?id=1nJ35Kbkv8FNi8m6KxCWKc0hZNbihAiw2&amp;usp=drive_fs</t>
  </si>
  <si>
    <t>Feriado do carnaval - Cozinheira</t>
  </si>
  <si>
    <t>Diária de cozinheira</t>
  </si>
  <si>
    <t>Feriado do carnaval - Alimentação</t>
  </si>
  <si>
    <t>https://drive.google.com/open?id=1m5vmAlh97_Y7zQEp3ntVygez_Cn8gZBU&amp;usp=drive_fs</t>
  </si>
  <si>
    <t>https://drive.google.com/open?id=12TYc6zFLipcq97ZsAxzkkXiTx8lsWUZX&amp;usp=drive_fs</t>
  </si>
  <si>
    <t>https://drive.google.com/open?id=1tWUb-AaDrteFcf9SmDTWQTAAUmcxouQ3&amp;usp=drive_fs</t>
  </si>
  <si>
    <t>https://drive.google.com/open?id=1yurchXUoD7f2_ZI1-ORy17peozU-e-zg&amp;usp=drive_fs</t>
  </si>
  <si>
    <t>https://drive.google.com/open?id=15a6t3mMUwwsUCq8aD2LxkDUx6Y_9Cz_6&amp;usp=drive_fs</t>
  </si>
  <si>
    <t>https://drive.google.com/open?id=1V-yjGBi62eIWDSDWi9pRRAaKRSHIkbQI&amp;usp=drive_fs</t>
  </si>
  <si>
    <t>https://drive.google.com/open?id=1Y5bTo2B2PUcaI3yKUkyAoy_m33-rMlPi&amp;usp=drive_fs</t>
  </si>
  <si>
    <t>Parcela 2 de 4</t>
  </si>
  <si>
    <t>https://drive.google.com/open?id=1PyQ9_b4Uu_pEqMDCwk_xGfibhibHSyue&amp;usp=drive_fs</t>
  </si>
  <si>
    <t>Parcela 2 de 10 - Cartão Wallace</t>
  </si>
  <si>
    <t>https://drive.google.com/open?id=1Kr9DNbBRkzlkOc0QaJvPf_S2pRbKOP5V&amp;usp=drive_fs</t>
  </si>
  <si>
    <t>Parcela 5 de 5 - Cartão Salomão</t>
  </si>
  <si>
    <t>https://drive.google.com/open?id=1Jr8uYzRwRQ-oI8yB9FTSWHB1BL5x0iRY&amp;usp=drive_fs</t>
  </si>
  <si>
    <t>Parcela 3 de 7 - Cartão Salomão</t>
  </si>
  <si>
    <t>https://drive.google.com/open?id=1nKvdcRb9teOUIqe0IwSf72KyIw4-R4mo&amp;usp=drive_fs</t>
  </si>
  <si>
    <t>Parcela 3 de 4 - Cheque Marcelo</t>
  </si>
  <si>
    <t>https://drive.google.com/open?id=118c-PovRQANfnBTIOc7xFIDg8B_roEn6&amp;usp=drive_fs</t>
  </si>
  <si>
    <t>Parcela 2 de 2 - Depósito itaitinga. Constam 2 notas fiscais, uma de R$ 1.933,10 e outra de R$ 163,00 que somadas dá R$ 2.096,10.</t>
  </si>
  <si>
    <t>https://drive.google.com/open?id=1QQSujWV9WD-xp_RpnZrJ9hSglfCFxAdg&amp;usp=drive_fs</t>
  </si>
  <si>
    <t>Compra de materiais para colocação de plaquetas</t>
  </si>
  <si>
    <t>Materiais diversos de manutenção</t>
  </si>
  <si>
    <t>https://drive.google.com/open?id=1wvjfgdRbMG8xFuk5rVkhd6fjg7w8SaAE&amp;usp=drive_fs</t>
  </si>
  <si>
    <t>https://drive.google.com/open?id=1fuvlSOX2yCOS5OCJ-p2hnDPW-5w8cqBs&amp;usp=drive_fs</t>
  </si>
  <si>
    <t>Diária de eletricista</t>
  </si>
  <si>
    <t>https://drive.google.com/open?id=1tS73BhX93PvfljCmvOfLhL6CHe2En50Q&amp;usp=drive_fs</t>
  </si>
  <si>
    <t>https://drive.google.com/open?id=1K5mFp7A3FVxcYMHbb3k8zNur6m80cR8F&amp;usp=drive_fs</t>
  </si>
  <si>
    <t>Repasse mensal NFD - Café da manhã</t>
  </si>
  <si>
    <t>Repasse mensal NFD - Limpeza terreno</t>
  </si>
  <si>
    <t>Porta copos de alumínio</t>
  </si>
  <si>
    <t>Feira de novos e usados</t>
  </si>
  <si>
    <t>Ovos de páscoa</t>
  </si>
  <si>
    <t>TAXA PREPARO 2/2 R$ 35,00</t>
  </si>
  <si>
    <t>TAXA PREPARO 2/2 R$ 35,00; SESSÃO DE CASAL MARÇO R$ 41,00</t>
  </si>
  <si>
    <t>COMPRA DE ARCONDICIONADO 10/10 R$ 50,00; TAXA PREPARO 2/2 R$ 35,00; SESSÃO DE CASAL MARÇO R$ 41,00</t>
  </si>
  <si>
    <t>23, 30</t>
  </si>
  <si>
    <t>COMPRA DE ARCONDICIONADO 10/10 R$ 50,00; TAXA PREPARO 2/2 R$ 35,00</t>
  </si>
  <si>
    <t>ACORODO 3/4 R$ 396,40</t>
  </si>
  <si>
    <t>TAXA PREPARO 2/2 R$ 5,00</t>
  </si>
  <si>
    <t>ACORDO MENSALIDADE 8/10 R$ 40,23; TAXA PREPARO 2/2 R$ 35,00</t>
  </si>
  <si>
    <t>JOSÉ CARLOS</t>
  </si>
  <si>
    <t>20 a 30</t>
  </si>
  <si>
    <t>Vendas antecipadas - Cora</t>
  </si>
  <si>
    <t>Sarah (50)</t>
  </si>
  <si>
    <t>1 a 11</t>
  </si>
  <si>
    <t>12 a 16</t>
  </si>
  <si>
    <t>Vendas na feira - Cora</t>
  </si>
  <si>
    <t>Vendas na feira - Espécie</t>
  </si>
  <si>
    <t>Vendas de materiais recebidos de doação</t>
  </si>
  <si>
    <t>Thamires (celular) - Parcela 1 de 3</t>
  </si>
  <si>
    <t>5, 7 e 17</t>
  </si>
  <si>
    <t>5 e 17</t>
  </si>
  <si>
    <t>Doação para pagamento da obra da cozinha e refeitório</t>
  </si>
  <si>
    <t>17, 19 e 20</t>
  </si>
  <si>
    <t>https://drive.google.com/open?id=1RvkO-7c-uW6wZ2Sfo6MNuVGD6mbkkHv_&amp;usp=drive_fs</t>
  </si>
  <si>
    <t>https://drive.google.com/open?id=1u4KazLleMGK0KpPDssEd2p1O2DHlKfa2&amp;usp=drive_fs</t>
  </si>
  <si>
    <t>https://drive.google.com/open?id=1TJOUmYE9fiQcjUVMAkNGiedb2jmHEnru&amp;usp=drive_fs</t>
  </si>
  <si>
    <t>https://drive.google.com/open?id=17M5gDsHLW2Q71pP8rDrwXOiWgc4hLcL_&amp;usp=drive_fs</t>
  </si>
  <si>
    <t>Solicitação de adiantamento (vale)</t>
  </si>
  <si>
    <t>https://drive.google.com/open?id=1WgavmHoEFi7uen8N09_rqzlaqsLjFcfA&amp;usp=drive_fs</t>
  </si>
  <si>
    <t>Pagamento único de R$ 2.828,43</t>
  </si>
  <si>
    <t>https://drive.google.com/open?id=1hbzosf11pZcG_etLi_nUtMaXzIKHahdK&amp;usp=drive_fs</t>
  </si>
  <si>
    <t>Pagamento único de R$ 1.188,00</t>
  </si>
  <si>
    <t>https://drive.google.com/open?id=1v7H994GbiHZXaRLt0mczP6YxnXlTmc4e&amp;usp=drive_fs</t>
  </si>
  <si>
    <t>https://drive.google.com/open?id=1odUmahm6zRdMS4_eARcyAyfprwHwDRiz&amp;usp=drive_fs</t>
  </si>
  <si>
    <t>Pagamento toal de R$ 3.335,30, sendo R$ 2.095,30 pago do caixa da Tesouraria e R$ 1.240,00 pago pelo caixa do Plantio.</t>
  </si>
  <si>
    <t>https://drive.google.com/open?id=1HVo3w40oFp4NP-X1IgXPwzwIJuVasjD5&amp;usp=drive_fs</t>
  </si>
  <si>
    <t>Parcela 2 de 2</t>
  </si>
  <si>
    <t>https://drive.google.com/open?id=11p0-Ck2K51_c6H1aXAptZ6Nu1lDXxm0L&amp;usp=drive_fs</t>
  </si>
  <si>
    <t>Parcela 3 de 5</t>
  </si>
  <si>
    <t>https://drive.google.com/open?id=1obcjfohXSZasuQzF7NgduORTLP4SSS8-&amp;usp=drive_fs</t>
  </si>
  <si>
    <t>https://drive.google.com/open?id=1g7ZmxkgE-Pcpp_CWD4JIpxowTnut1SLv&amp;usp=drive_fs</t>
  </si>
  <si>
    <t>23 e 29</t>
  </si>
  <si>
    <t>Obs: Pagamento em duplicidade no dia 29/04.</t>
  </si>
  <si>
    <t>https://drive.google.com/open?id=1xTBBjmys9W-C6DjjozMqC614xzPRLOPi&amp;usp=drive_fs</t>
  </si>
  <si>
    <t>https://drive.google.com/open?id=1j_1DlCU0Idtq9FhitWgmur-g-56Fb8pH&amp;usp=drive_fs</t>
  </si>
  <si>
    <t>https://drive.google.com/open?id=1UCiFvx3MILIl11HQFXFnnWYKfLEj7Nhb&amp;usp=drive_fs</t>
  </si>
  <si>
    <t>Parcela 10 de 10</t>
  </si>
  <si>
    <t>https://drive.google.com/open?id=1W_ulAYrr4sSWbuKur_qIoQPmDbxSnJdw&amp;usp=drive_fs</t>
  </si>
  <si>
    <t>https://drive.google.com/open?id=1RmAfwN3_oT2KTr59TgjbbNa0mLIKLDwl&amp;usp=drive_fs</t>
  </si>
  <si>
    <t>Conserto Bicicleta</t>
  </si>
  <si>
    <t>Conserto de bicicleta para venda</t>
  </si>
  <si>
    <t>https://drive.google.com/open?id=1IXFCZxIRFbhi4rsl4krBykiNXYSwN3rR&amp;usp=drive_fs</t>
  </si>
  <si>
    <t>https://drive.google.com/open?id=1u-8PlcHX1ol-0bbGfIGW9za3vMgKYOl3&amp;usp=drive_fs</t>
  </si>
  <si>
    <t>Câmeras de segurança - Fonte</t>
  </si>
  <si>
    <t>https://drive.google.com/open?id=1n4NRzF61foviqEhL_J-pLm9YZHnKgKtY&amp;usp=drive_fs</t>
  </si>
  <si>
    <t>Câmeras de segurança - Serviço de instalação</t>
  </si>
  <si>
    <t>https://drive.google.com/open?id=15nTbCiyJWzBoMmMRCI6kphwxcdWmoIoF&amp;usp=drive_fs</t>
  </si>
  <si>
    <t>Alimentação M. Anchieta e C. Aurenita</t>
  </si>
  <si>
    <t>Almoço no dia em que chegaram em Fortaleza</t>
  </si>
  <si>
    <t>https://drive.google.com/open?id=1sWCArhTeuzaNcQBvm8dZdszN38DzwZrD&amp;usp=drive_fs</t>
  </si>
  <si>
    <t>Alimentação - Lanche - 1a escala</t>
  </si>
  <si>
    <t>https://drive.google.com/open?id=1rbE6c1RO3Pq9veoFYM4hw19M7m_w-k1w&amp;usp=drive_fs</t>
  </si>
  <si>
    <t>https://drive.google.com/open?id=1cI56F2xxZ6tEK-Qnn_xWH8mrpwW019yp&amp;usp=drive_fs</t>
  </si>
  <si>
    <t>Alimentação - Lanche - 2a escala</t>
  </si>
  <si>
    <t>https://drive.google.com/open?id=1KepkIkMmjuXwTcsYaYaeHWbgzl8Wnq46&amp;usp=drive_fs</t>
  </si>
  <si>
    <t>NF de R$ 200. Boleto foi pago com atraso, gerando R$ 2,40 de juros.</t>
  </si>
  <si>
    <t>https://drive.google.com/open?id=1_AP_KFcoiE0fuXwmNi38eZXszSgArqe5&amp;usp=drive_fs</t>
  </si>
  <si>
    <t>https://drive.google.com/open?id=1lXcuXaz9K1yV4R_G4Rq4rRIcg9ERyxnm&amp;usp=drive_fs</t>
  </si>
  <si>
    <t>https://drive.google.com/open?id=1nA_GZf-ly8DSKk71z8jMuobC9U4pjOVo&amp;usp=drive_fs</t>
  </si>
  <si>
    <t>https://drive.google.com/open?id=1g-1buuvp7XQPLiuA90tYXArSZYNk_rau&amp;usp=drive_fs</t>
  </si>
  <si>
    <t>Gás de cozinha e Lanche Mutirão</t>
  </si>
  <si>
    <t>https://drive.google.com/open?id=1MHuaVt3ecki1CZf1SW2uwfUZ0WxjxJ9J&amp;usp=drive_fs</t>
  </si>
  <si>
    <t>Lanche Sessão 27 de março</t>
  </si>
  <si>
    <t>https://drive.google.com/open?id=1myHBvgDWheNE2gZ2z5WKazLQm48VKwTG&amp;usp=drive_fs</t>
  </si>
  <si>
    <t>https://drive.google.com/open?id=1S2JmM1y44O142VVM-JblzkSNl9PrzrQ6&amp;usp=drive_fs</t>
  </si>
  <si>
    <t>Lanche Aniversário do Núcleo</t>
  </si>
  <si>
    <t>https://drive.google.com/open?id=1rH4iyYokSOy3J3hWXyVSq-YR9hguOT_Y&amp;usp=drive_fs</t>
  </si>
  <si>
    <t>Lembrancinha M. Anchieta</t>
  </si>
  <si>
    <t>https://drive.google.com/open?id=1nyqywGT9C9tsE8v9a-YnjpT5A7Rwu0kB&amp;usp=drive_fs</t>
  </si>
  <si>
    <t>Despesas CONACE</t>
  </si>
  <si>
    <t>https://drive.google.com/open?id=1cxCkqEjlUWStp2-T-iOV8BSpqc0NQTp0&amp;usp=drive_fs</t>
  </si>
  <si>
    <t>https://drive.google.com/open?id=1jh0XzEWfNzrQfL-pYfQBpKP2pgB30-Z8&amp;usp=drive_fs</t>
  </si>
  <si>
    <t>Vigilância (Lucas Caldas)</t>
  </si>
  <si>
    <t>https://drive.google.com/open?id=1GLSEjfAEqn873Bg5dvBwtbNUqhGBZu-H&amp;usp=drive_fs</t>
  </si>
  <si>
    <t>Parcela 3 de 4</t>
  </si>
  <si>
    <t>https://drive.google.com/open?id=1wvA0i1ND5MokCUuxZaRSyDegpf20pyoR&amp;usp=drive_fs</t>
  </si>
  <si>
    <t>Parcela 3 de 10 - Cartão Wallace</t>
  </si>
  <si>
    <t>https://drive.google.com/open?id=1cANSGmgXQvn9V6ooLOSZP4zqCL8cwTLY&amp;usp=drive_fs</t>
  </si>
  <si>
    <t>Parcela 4 de 7 - Cartão Salomão</t>
  </si>
  <si>
    <t>https://drive.google.com/open?id=1o44aHFcEaPHOPXlTReK4nPLjoUG1ZSEa&amp;usp=drive_fs</t>
  </si>
  <si>
    <t>Parcela 4 de 4 - Cheque Marcelo</t>
  </si>
  <si>
    <t>https://drive.google.com/open?id=1CXBCMoY-ZdqPNPptgDmtjS3EByr5AiS8&amp;usp=drive_fs</t>
  </si>
  <si>
    <t>Pagamento de empréstimo</t>
  </si>
  <si>
    <t>50% do empréstimo de R$ 10.000 - C. Hugo (Parcela 1 de 2)</t>
  </si>
  <si>
    <t>https://drive.google.com/open?id=19UwExT1TGIGGIvcoUpthcnqn6BvNcBv1&amp;usp=drive_fs</t>
  </si>
  <si>
    <t>50% do empréstimo de R$ 10.000 - C. Hugo (Parcela 2 de 2)</t>
  </si>
  <si>
    <t>Foi realizado o pix de R$ 60, porém o cupom é de R$ 64. R$ 4 ficou de doação para o núcleo.</t>
  </si>
  <si>
    <t>https://drive.google.com/open?id=1w9eV6LGck8yq52XUAp0MXjBTsB6O6Ty5&amp;usp=drive_fs</t>
  </si>
  <si>
    <t>Conserto dos ventiladores</t>
  </si>
  <si>
    <t>https://drive.google.com/open?id=1QbeXO2DoFcgWNeXmtTXQYEDGOj1fq6zt&amp;usp=drive_fs</t>
  </si>
  <si>
    <t>Serviço Eletricista</t>
  </si>
  <si>
    <t>https://drive.google.com/open?id=17aiOmdLypcdI-2_amEn2UFk5pl4LtJhM&amp;usp=drive_fs</t>
  </si>
  <si>
    <t>https://drive.google.com/open?id=14dxKdBrO8M-O-YqHAu4pGyylunhXLUEY&amp;usp=drive_fs</t>
  </si>
  <si>
    <t>Manutenção para o aniversário do núcleo</t>
  </si>
  <si>
    <t>Tintas</t>
  </si>
  <si>
    <t>https://drive.google.com/open?id=1eH2tWzB0Q5HmY66H8c1T_lnJTlPxx3iZ&amp;usp=drive_fs</t>
  </si>
  <si>
    <t>Casa Soares</t>
  </si>
  <si>
    <t>https://drive.google.com/open?id=1AHtHlx_Gj2rA2EBcFJnH6dMdy8ZrTXNw&amp;usp=drive_fs</t>
  </si>
  <si>
    <t>Adiantamento Pintores</t>
  </si>
  <si>
    <t>https://drive.google.com/open?id=1COGmuFXIdDHPWGi_pmfA98cAZHYm5402&amp;usp=drive_fs</t>
  </si>
  <si>
    <t>Pintores</t>
  </si>
  <si>
    <t>Almoço pintores</t>
  </si>
  <si>
    <t>Materiais diversos</t>
  </si>
  <si>
    <t>https://drive.google.com/open?id=1B6k8UMUEpOWkDZ7lM53UkDBSdNdzr1vI&amp;usp=drive_fs</t>
  </si>
  <si>
    <t>Materiais de iluminação (contém duas notas fiscais que somadas dá esse valor)</t>
  </si>
  <si>
    <t>https://drive.google.com/open?id=1JL92FJ8RQ1zqW-_Bi1YKwFm7t1SGDBjL&amp;usp=drive_fs</t>
  </si>
  <si>
    <t>https://drive.google.com/open?id=1iPLSJChTWm-7F8dG0b1iuf8j0LtG6DRu&amp;usp=drive_fs</t>
  </si>
  <si>
    <t>https://drive.google.com/open?id=1_9Dkd1vUD6BjqUDD4tr2LLVQstHWm5jC&amp;usp=drive_fs</t>
  </si>
  <si>
    <t>Aluguel Espaço Caracanga</t>
  </si>
  <si>
    <t>https://drive.google.com/open?id=19x6_RXsVYiE_nhchICRpScAnAM__PLkS&amp;usp=drive_fs</t>
  </si>
  <si>
    <t>Locação Ônibus Viagem dos Jovens ao Cariri</t>
  </si>
  <si>
    <t>Alimentação - Viagem dos Jovens ao Cariri</t>
  </si>
  <si>
    <t>Limpeza do terreno</t>
  </si>
  <si>
    <t>Café da manhã</t>
  </si>
  <si>
    <t>Aluguel do espaço para cantina</t>
  </si>
  <si>
    <t>Camisas Aniversário do Núcleo</t>
  </si>
  <si>
    <t>https://drive.google.com/open?id=1a5MPHrO60u173kF8IR2BPWtoVhD-u_bB&amp;usp=drive_fs</t>
  </si>
  <si>
    <t>https://drive.google.com/open?id=1bT3kyFPnL2X6_LTHyiudGLsMGcWTeJ4x&amp;usp=drive_fs</t>
  </si>
  <si>
    <t>8 ano do NLT R$ 30,00; CONACE ABR 25 R$ 25,00</t>
  </si>
  <si>
    <t>8 ano do NLT R$ 30,00</t>
  </si>
  <si>
    <t>ACORODO 4/4 R$ 396,40; 8 ano do NLT R$ 30,00</t>
  </si>
  <si>
    <t>9 e 26</t>
  </si>
  <si>
    <t>EMILIANA</t>
  </si>
  <si>
    <t>Pagamento referente a abril</t>
  </si>
  <si>
    <t>EDINI</t>
  </si>
  <si>
    <t>TOMAZ</t>
  </si>
  <si>
    <t>Vendas - Cora</t>
  </si>
  <si>
    <t>Bazar no núcleo</t>
  </si>
  <si>
    <t>Vendas de itens recebidos de doação</t>
  </si>
  <si>
    <t>Parcela 2 de 3 - Celular Thamires</t>
  </si>
  <si>
    <t>17 e 19</t>
  </si>
  <si>
    <t>Ressarcimento despesas CONACE</t>
  </si>
  <si>
    <t>Inscrição Encontro de Pais 11a Região Setor 2</t>
  </si>
  <si>
    <t>M. Vicente</t>
  </si>
  <si>
    <t>Cozinha e refeitório</t>
  </si>
  <si>
    <t>Klecius (400)</t>
  </si>
  <si>
    <t>https://drive.google.com/open?id=1Tyoflpzuo4KRqt6sFef6d6ntELBZmvSf&amp;usp=drive_fs</t>
  </si>
  <si>
    <t>INSS.PIS</t>
  </si>
  <si>
    <t>https://drive.google.com/open?id=1LwVn2N7-GWCVvIY_P2U17Ja3_uboW2JN&amp;usp=drive_fs</t>
  </si>
  <si>
    <t>https://drive.google.com/open?id=1cJKwZbrPHxJdlem5Vhs68R6Fn5X9L6ME&amp;usp=drive_fs</t>
  </si>
  <si>
    <t>https://drive.google.com/open?id=1_2jwUWDh4AkTxh5L3LxKxM8LvyLniSPh&amp;usp=drive_fs</t>
  </si>
  <si>
    <t>2 cestas básicas (abril e maio)</t>
  </si>
  <si>
    <t>https://drive.google.com/open?id=1uNhwZLmKk7CkQbTE00zixPQNN8D9LO4C&amp;usp=drive_fs</t>
  </si>
  <si>
    <t>Adiantamento de salário de maio</t>
  </si>
  <si>
    <t>https://drive.google.com/open?id=1BinfwRC6010n7GICWQOAQPYKlFiIv2Dm&amp;usp=drive_fs</t>
  </si>
  <si>
    <t>Pagamento único de R$ 2.857,00</t>
  </si>
  <si>
    <t>https://drive.google.com/open?id=1jh70J8_VZhhxU80PH3orbkiJeq_8uITc&amp;usp=drive_fs</t>
  </si>
  <si>
    <t>Pagamento único de R$ 1.300,00</t>
  </si>
  <si>
    <t>https://drive.google.com/open?id=1KxN4YaW8Rfi54sbnGkWv231gdSCL3koF&amp;usp=drive_fs</t>
  </si>
  <si>
    <t>11a Região - Extra (taxa Conace)</t>
  </si>
  <si>
    <t>https://drive.google.com/open?id=1nKdwA3GzdAQcOA5xx2enpRuYaaEQ6GBt&amp;usp=drive_fs</t>
  </si>
  <si>
    <t>https://drive.google.com/open?id=1aDs9IiE48SOv82KTfBwRzOesXE7n2Se7&amp;usp=drive_fs</t>
  </si>
  <si>
    <t>Parcela 4 de 5</t>
  </si>
  <si>
    <t>https://drive.google.com/open?id=1D92hYoFoefGb-TAZUP8micYulmkAcUnC&amp;usp=drive_fs</t>
  </si>
  <si>
    <t>https://drive.google.com/open?id=1yQm9X4KwxzwcqvP-F6d46f8wsfCE-ZG_&amp;usp=drive_fs</t>
  </si>
  <si>
    <t>https://drive.google.com/open?id=1yYQmXmlSJAorAIJ5_gsi8lOZk2OtxPT5&amp;usp=drive_fs</t>
  </si>
  <si>
    <t>https://drive.google.com/open?id=1ZfeZXLZeIFG7q1UOE36KE0xGjX34cELE&amp;usp=drive_fs</t>
  </si>
  <si>
    <t>https://drive.google.com/open?id=1dzlxGS2gPpsicSwaLD2xnNpBGUYM6YTF&amp;usp=drive_fs</t>
  </si>
  <si>
    <t>Câmeras de segurança</t>
  </si>
  <si>
    <t>Parcela 1 de 10</t>
  </si>
  <si>
    <t>https://drive.google.com/open?id=1fhkNtw-cxSZQdC7i06BLYemn_ms2-60f&amp;usp=drive_fs</t>
  </si>
  <si>
    <t>Bebedouro</t>
  </si>
  <si>
    <t>Pacela 1 de 6</t>
  </si>
  <si>
    <t>https://drive.google.com/open?id=1bIL526VpKXfLw8VLMz8lnqpu0_-PE_vx&amp;usp=drive_fs</t>
  </si>
  <si>
    <t>Lanche - 1a escala</t>
  </si>
  <si>
    <t>Lanche, Jantar e Reunião de Diretoria - 2a escala</t>
  </si>
  <si>
    <t>https://drive.google.com/open?id=10W-gj7i_0VI2RqLLTHEMjoUKWDECGcBB&amp;usp=drive_fs</t>
  </si>
  <si>
    <t>Lanche - 2a escala</t>
  </si>
  <si>
    <t>https://drive.google.com/open?id=1nNG0sa8OpAkLDm4Y3gUvl3o6TCjPFzYS&amp;usp=drive_fs</t>
  </si>
  <si>
    <t>Mercado - 2a escala</t>
  </si>
  <si>
    <t>https://drive.google.com/open?id=1Ob0SxModW5pm-JTnoChr2-8x8yjHFYxu&amp;usp=drive_fs</t>
  </si>
  <si>
    <t>https://drive.google.com/open?id=16JMxKe1HBNimxzQDuQqf1OHgUtO-K-di&amp;usp=drive_fs</t>
  </si>
  <si>
    <t>https://drive.google.com/open?id=13lIKcXKFmwy17RNEZbxClY3nEdBoohNX&amp;usp=drive_fs</t>
  </si>
  <si>
    <t>Material para a cozinha</t>
  </si>
  <si>
    <t>https://drive.google.com/open?id=1FVQX6oq1Tgkbzp0Q2rWcdPboQV7bQhxu&amp;usp=drive_fs</t>
  </si>
  <si>
    <t>https://drive.google.com/open?id=1uEXywt0ep61mTqwRQ0II9dezhAAWl_Nl&amp;usp=drive_fs</t>
  </si>
  <si>
    <t>Pix único de R$ 525,80.</t>
  </si>
  <si>
    <t>https://drive.google.com/open?id=1n2tN5fn4mH2B3kD6cxntBAbAtzlfACTB&amp;usp=drive_fs</t>
  </si>
  <si>
    <t>https://drive.google.com/open?id=1Og2vJDqzXn4P3ETGiYbaffHgPy83HaD8&amp;usp=drive_fs</t>
  </si>
  <si>
    <t>https://drive.google.com/open?id=1fcbgaBw-N68YvcHRafNKpm4rPvV4z7CQ&amp;usp=drive_fs</t>
  </si>
  <si>
    <t>Lembrancinha</t>
  </si>
  <si>
    <t>https://drive.google.com/open?id=1TSv6SHD3tUmjSYBMi-_J5uRLc4uY9U2u&amp;usp=drive_fs</t>
  </si>
  <si>
    <t>Vigilância - Aniversário do Núcleo</t>
  </si>
  <si>
    <t>https://drive.google.com/open?id=195oDXBnZuTb4a4onOXzBFTRjVQsOiA3N&amp;usp=drive_fs</t>
  </si>
  <si>
    <t>Lanche - Aniversário do Núcleo</t>
  </si>
  <si>
    <t>Pães e tortas</t>
  </si>
  <si>
    <t>https://drive.google.com/open?id=1wz9N8E-K6H7u2qvRXfHeJMVxAyM_9kuk&amp;usp=drive_fs</t>
  </si>
  <si>
    <t>https://drive.google.com/open?id=1EvhbQts6Rc83okD-SmT5XSM2rQMgs4-n&amp;usp=drive_fs</t>
  </si>
  <si>
    <t>https://drive.google.com/open?id=1EfOizv-k3nJ4Y_R9P2OXNPmyBjsdKhcb&amp;usp=drive_fs</t>
  </si>
  <si>
    <t>https://drive.google.com/open?id=1koCJI_hn8RQ5Fs9LgWqjxLCYu9KsPbii&amp;usp=drive_fs</t>
  </si>
  <si>
    <t>https://drive.google.com/open?id=1E6syI8In2O1--voIfa7e4Vy2LcThKLI8&amp;usp=drive_fs</t>
  </si>
  <si>
    <t>Aluguel de cadeiras - Aniversário do Núcleo</t>
  </si>
  <si>
    <t>M. Rogério</t>
  </si>
  <si>
    <t>https://drive.google.com/open?id=1c5uKuKbx7IpnQOTplaCOGJ1qIC4-ly1k&amp;usp=drive_fs</t>
  </si>
  <si>
    <t>Auxílio combustível - Aniversário do Núcleo</t>
  </si>
  <si>
    <t>https://drive.google.com/open?id=1L_fbzPgXDv_sqTu5xQ4epB4rC7jbPSfZ&amp;usp=drive_fs</t>
  </si>
  <si>
    <t>https://drive.google.com/open?id=1V7mjHzZ3sFcBJaKzM_mT1Ax0I4UbOMcU&amp;usp=drive_fs</t>
  </si>
  <si>
    <t>https://drive.google.com/open?id=1MvRJVqnaFV_UkGDyEj5HHLaBrfdcppyj&amp;usp=drive_fs</t>
  </si>
  <si>
    <t>Lanche - Sessão dia das Mães</t>
  </si>
  <si>
    <t>https://drive.google.com/open?id=1RLC3Tn7k43Uze9jhcKMsqyFM12qPgKTk&amp;usp=drive_fs</t>
  </si>
  <si>
    <t>https://drive.google.com/open?id=1bLTz5YEHr6kAXEUn-VQ_HQ9VBi5Y0oAq&amp;usp=drive_fs</t>
  </si>
  <si>
    <t>Lembrancinha - Sessão dia das Mães</t>
  </si>
  <si>
    <t>Chocolates</t>
  </si>
  <si>
    <t>https://drive.google.com/open?id=1GZPLtfH-1_uvlwXEPz8cmuDRhPXHhaMx&amp;usp=drive_fs</t>
  </si>
  <si>
    <t>https://drive.google.com/open?id=1bK8fgTiJr0arK2XFJY6Ff2FrtiWAPy4r&amp;usp=drive_fs</t>
  </si>
  <si>
    <t>https://drive.google.com/open?id=17_Bw0Apvdx_b11hOYczq_SpgJlZSvJCN&amp;usp=drive_fs</t>
  </si>
  <si>
    <t>Lanche - Sessão CONACE</t>
  </si>
  <si>
    <t>https://drive.google.com/open?id=1_3Jw1-czQRAhXauGTgqZZW2JorrQEN2F&amp;usp=drive_fs</t>
  </si>
  <si>
    <t>https://drive.google.com/open?id=1R3BEAQW6YI89k5nbQz_pSxuh6h0J6oxN&amp;usp=drive_fs</t>
  </si>
  <si>
    <t>https://drive.google.com/open?id=1IAbH9A3Zw9PBVzpTc9temdTJGLC9BIJv&amp;usp=drive_fs</t>
  </si>
  <si>
    <t>https://drive.google.com/open?id=1IOdbA81qbIHofE3ZoIdz-8MbxtLmrviT&amp;usp=drive_fs</t>
  </si>
  <si>
    <t>https://drive.google.com/open?id=16c792T_aDUgpu1iaVLfd1MS5UxOEoVC1&amp;usp=drive_fs</t>
  </si>
  <si>
    <t>https://drive.google.com/open?id=1CeQdTMcu6cDtLdBPkT0z2U1sSefEZQXb&amp;usp=drive_fs</t>
  </si>
  <si>
    <t>https://drive.google.com/open?id=1FcW4As_P2nq4F5T_vobZcwZbLlArY9FJ&amp;usp=drive_fs</t>
  </si>
  <si>
    <t>https://drive.google.com/open?id=12K3qIa89LoitTUYIi-uYc2yJwOOYkXST&amp;usp=drive_fs</t>
  </si>
  <si>
    <t>https://drive.google.com/open?id=10JlNE5LCNAeV6R3vGziTwdC5MAuj603g&amp;usp=drive_fs</t>
  </si>
  <si>
    <t>Bilhete Getúlio</t>
  </si>
  <si>
    <t>Parcela 4 de 4</t>
  </si>
  <si>
    <t>https://drive.google.com/open?id=1MM11De9kWB8i2twqWmJErj3oct0-jD-6&amp;usp=drive_fs</t>
  </si>
  <si>
    <t>Parcela 4 de 10 - Cartão Wallace</t>
  </si>
  <si>
    <t>https://drive.google.com/open?id=1ekFu8WQNboSA6sD6bSW6M4SSzRLtEdE_&amp;usp=drive_fs</t>
  </si>
  <si>
    <t>Parcela 5 de 7 - Cartão Salomão</t>
  </si>
  <si>
    <t>https://drive.google.com/open?id=1iEQ1EHDPJs4K5JcD6bDzo4XQx7YV8A1X&amp;usp=drive_fs</t>
  </si>
  <si>
    <t>Insumos máquina de lavar copos</t>
  </si>
  <si>
    <t>https://drive.google.com/open?id=1TROqm3K5o6TgxbHzWqcYKrn7bgr6vX5F&amp;usp=drive_fs</t>
  </si>
  <si>
    <t>Aluguel mensal do espaço</t>
  </si>
  <si>
    <t>https://drive.google.com/open?id=1RK1ztO5kn3PRWhtHf3aDMEaCgmPPcJc5&amp;usp=drive_fs</t>
  </si>
  <si>
    <t>Chocolates - Atividade OE</t>
  </si>
  <si>
    <t>Placa de PVC</t>
  </si>
  <si>
    <t>Alimentação para cantina</t>
  </si>
  <si>
    <t>https://drive.google.com/open?id=1EXsnt67Mh6gYJfFjQsGQYNhUJWypa5GT&amp;usp=drive_fs</t>
  </si>
  <si>
    <t xml:space="preserve">Promoção </t>
  </si>
  <si>
    <t>https://drive.google.com/open?id=177nY7pxSx_a_8fhpKJpZEr3tushQ1iF9&amp;usp=drive_fs</t>
  </si>
  <si>
    <t>GERAL</t>
  </si>
  <si>
    <t>DESPESA</t>
  </si>
  <si>
    <t>RECEITA</t>
  </si>
  <si>
    <t>SALDO MENSAL</t>
  </si>
  <si>
    <t>SALDO AO FINAL DO MÊS</t>
  </si>
  <si>
    <t>SALDO INICIAL</t>
  </si>
  <si>
    <t>JANEIRO</t>
  </si>
  <si>
    <t>FEVEREIRO</t>
  </si>
  <si>
    <t>MARÇO</t>
  </si>
  <si>
    <t>ABRIL</t>
  </si>
  <si>
    <t>MAIO</t>
  </si>
  <si>
    <t>JUNHO</t>
  </si>
  <si>
    <t>JULHO</t>
  </si>
  <si>
    <t>AGOSTO</t>
  </si>
  <si>
    <t>SETEMBRO</t>
  </si>
  <si>
    <t>OUTUBRO</t>
  </si>
  <si>
    <t>NOVEMBRO</t>
  </si>
  <si>
    <t>DEZEMBRO</t>
  </si>
  <si>
    <t>TOTAL
2024</t>
  </si>
  <si>
    <t>Promoção 1</t>
  </si>
  <si>
    <t>Tarifa 1</t>
  </si>
  <si>
    <t>Vigilância</t>
  </si>
  <si>
    <t>Bilhete aéreo</t>
  </si>
  <si>
    <t>Outra despesa (4)</t>
  </si>
  <si>
    <t>Outra despesa (5)</t>
  </si>
  <si>
    <t>Outra despesa (6)</t>
  </si>
  <si>
    <t>Evento 1</t>
  </si>
  <si>
    <t>Evento 2</t>
  </si>
  <si>
    <t>Outras datas</t>
  </si>
  <si>
    <t>8 ano do NLT R$ 15,00</t>
  </si>
  <si>
    <t>8 ano do NLT R$ 15,00; Sessão de Casal Maio R$ 57,00</t>
  </si>
  <si>
    <t>Sessão de Casal Maio R$ 28,50; Sessão Dia das Mães R$ 55,00</t>
  </si>
  <si>
    <t>8 ano do NLT R$ 15,00; Sessão de Casal Maio R$ 57,00; Sessão Dia das Mães R$ 65,00</t>
  </si>
  <si>
    <t>3, 23</t>
  </si>
  <si>
    <t>8 ano do NLT R$ 15,00; Sessão de Casal Maio R$ 57,00; Sessão Dia das Mães R$ 95,00</t>
  </si>
  <si>
    <t>10, 16</t>
  </si>
  <si>
    <t>8 ano do NLT R$ 15,00; Sessão Dia das Mães R$ 8,00</t>
  </si>
  <si>
    <t>8 ano do NLT R$ 15,00; Sessão de Casal Maio R$ 57,00; Sessão Dia das Mães R$ 80,00</t>
  </si>
  <si>
    <t>8 ano do NLT R$ 15,00; Sessão de Casal Maio R$ 57,00; Sessão Dia das Mães R$ 50,00</t>
  </si>
  <si>
    <t>8 ano do NLT R$ 15,00; Sessão Dia das Mães R$ 65,00</t>
  </si>
  <si>
    <t>8 ano do NLT R$ 15,00; Sessão Dia das Mães R$ 25,00</t>
  </si>
  <si>
    <t>Pagou a mensalidade de maio, ainda pendente a de junho.</t>
  </si>
  <si>
    <t>8 ano do NLT R$ 15,00; Sessão Dia das Mães R$ 95,00</t>
  </si>
  <si>
    <t>8 ano do NLT R$ 15,00; Sessão de Casal Maio R$ 57,00; Sessão Dia das Mães R$ 25,00</t>
  </si>
  <si>
    <t>8 ano do NLT R$ 15,00; Sessão Dia das Mães R$ 40,00</t>
  </si>
  <si>
    <t>2 e 10</t>
  </si>
  <si>
    <t>Pago os meses de maio e junho.</t>
  </si>
  <si>
    <t>8 ano do NLT R$ 15,00; Sessão Dia das Mães R$ 50,00</t>
  </si>
  <si>
    <t>JOSÉ CARLOS CALDAS DE MIRANDA NETO</t>
  </si>
  <si>
    <t>8 ano do NLT R$ 45,00</t>
  </si>
  <si>
    <t>TOMÁS NOGUEIRA FAÇANHA</t>
  </si>
  <si>
    <t>Sarah (160)</t>
  </si>
  <si>
    <t>Camisas - Aniversário do Núcleo - Cora</t>
  </si>
  <si>
    <t>Camisas - Aniversário do Núcleo - Pagbank</t>
  </si>
  <si>
    <t>Camisas - Aniversário do Núcleo - Espécie</t>
  </si>
  <si>
    <t>Ação entre amigos - Pagbank</t>
  </si>
  <si>
    <t>Ação entre amigos - Cora</t>
  </si>
  <si>
    <t>22, 23</t>
  </si>
  <si>
    <t>21, 23</t>
  </si>
  <si>
    <t>Taxa Encontro de Pais da Região</t>
  </si>
  <si>
    <t>9, 10, 15</t>
  </si>
  <si>
    <t xml:space="preserve">Rafael Honório (150), Rafael Castelo (80), M. Mauricio (80), Hilton Jr (75), </t>
  </si>
  <si>
    <t>Camisa Encontro Plantio</t>
  </si>
  <si>
    <t>Junior (55)</t>
  </si>
  <si>
    <t>https://drive.google.com/open?id=1E80IgLB_wgbtrbAWBRtL0b76U3NM22yS&amp;usp=drive_fs</t>
  </si>
  <si>
    <t>https://drive.google.com/open?id=1GK9rA3Y1N2QuWmjbr8Z2aQVOIDUbT7bx&amp;usp=drive_fs</t>
  </si>
  <si>
    <t>https://drive.google.com/open?id=17_fRHWQksGmiepl3aj-x_m6cBT5F0eCb&amp;usp=drive_fs</t>
  </si>
  <si>
    <t>DARF Previdenciário complementar</t>
  </si>
  <si>
    <t>https://drive.google.com/open?id=1tXyS2wdGZ8QEA34Ki7f1yZq3yYPY35e0&amp;usp=drive_fs</t>
  </si>
  <si>
    <t>https://drive.google.com/open?id=1HWvnsusiZfTSRxlwQepCNsCdW4DjE2xl&amp;usp=drive_fs</t>
  </si>
  <si>
    <t>Adiantamento de salário</t>
  </si>
  <si>
    <t>https://drive.google.com/open?id=1Mpch8dBkoCf5cmY8KZnkm8wDGkvLVGMV&amp;usp=drive_fs</t>
  </si>
  <si>
    <t>Pagamento único de R$ 2.742,72</t>
  </si>
  <si>
    <t>https://drive.google.com/open?id=1r-wsC7ZpTyapKu9aOx9TXVw-pwOYgFAn&amp;usp=drive_fs</t>
  </si>
  <si>
    <t>https://drive.google.com/open?id=1NzSgNP2R-fQkx1_TK-va3OYeVixZz67v&amp;usp=drive_fs</t>
  </si>
  <si>
    <t>https://drive.google.com/open?id=15TLCQRv2jqCRVt9aF3ATYpiW38RTGKCj&amp;usp=drive_fs</t>
  </si>
  <si>
    <t>Parcela 5 de 5</t>
  </si>
  <si>
    <t>https://drive.google.com/open?id=1B-1ZnRi6sCw8Ugjpi6mKy4mKh2e3cFdR&amp;usp=drive_fs</t>
  </si>
  <si>
    <t>https://drive.google.com/open?id=1JNtkajY3kFmHmnaT8C2hQBNluUWS0f3c&amp;usp=drive_fs</t>
  </si>
  <si>
    <t>https://drive.google.com/open?id=1F5ECpxTUGsgancrbnA1u0oIRJI4DbGEq&amp;usp=drive_fs</t>
  </si>
  <si>
    <t>https://drive.google.com/open?id=12WxnqtBPF8PXCnLcU_7HNkf5-nbNQeTp&amp;usp=drive_fs</t>
  </si>
  <si>
    <t>Parcela 2 de 10</t>
  </si>
  <si>
    <t>https://drive.google.com/open?id=1SfFkvnX-TrcuzUDlpWEn62vMc8avyU3o&amp;usp=drive_fs</t>
  </si>
  <si>
    <t>Pacela 2 de 6</t>
  </si>
  <si>
    <t>https://drive.google.com/open?id=1lrldO1eU1KGhQ5RQsXWjO4cAWws1uyQs&amp;usp=drive_fs</t>
  </si>
  <si>
    <t>Renovação certificado digital</t>
  </si>
  <si>
    <t>https://drive.google.com/open?id=1M6MXdrIDHSE9vFbYIZTF87jVWEYBav-f&amp;usp=drive_fs</t>
  </si>
  <si>
    <t>Conserto notebook</t>
  </si>
  <si>
    <t>https://drive.google.com/open?id=1BL5bI2vOj8u-8WYHhloqgGBx_hdNcinW&amp;usp=drive_fs</t>
  </si>
  <si>
    <t>Expositor para sala do Vegetal</t>
  </si>
  <si>
    <t>https://drive.google.com/open?id=16OKL-y9BqSuuvk703lVEEV-JXQyVNQy7&amp;usp=drive_fs</t>
  </si>
  <si>
    <t>Frete expositor</t>
  </si>
  <si>
    <t>https://drive.google.com/open?id=15JccZoDLWzsuE2MqLtQq2yoPW95AcdCg&amp;usp=drive_fs</t>
  </si>
  <si>
    <t>https://drive.google.com/open?id=1Cvp6709fvi8Byjn7d7JYGWarCRjRMYq5&amp;usp=drive_fs</t>
  </si>
  <si>
    <t>https://drive.google.com/open?id=1h5WRCOLW4Q-YAf83vXLFOqT1_nFlSdcW&amp;usp=drive_fs</t>
  </si>
  <si>
    <t>https://drive.google.com/open?id=1zRIzp_Cd_yWKzcCngZLeQig8U-x2zEjC&amp;usp=drive_fs</t>
  </si>
  <si>
    <t>https://drive.google.com/open?id=12mCPkK2W23-GB0wXV6u9PQI4ZSJRV1UQ&amp;usp=drive_fs</t>
  </si>
  <si>
    <t>https://drive.google.com/open?id=10mgxjb9E5XlocaZTxIFYEqB6ztyOQN-z&amp;usp=drive_fs</t>
  </si>
  <si>
    <t>Tira gosto</t>
  </si>
  <si>
    <t>https://drive.google.com/open?id=1z06JUPq5lJ3ovVRb6BZuT4gc8GSbFNsW&amp;usp=drive_fs</t>
  </si>
  <si>
    <t>https://drive.google.com/open?id=1-JbCmvgKQcxgirPggOhXYiO7dZtYi5aZ&amp;usp=drive_fs</t>
  </si>
  <si>
    <t>https://drive.google.com/open?id=1HIlG_KEAtNJlCSoLaEuIZ2i5I-6OtLA3&amp;usp=drive_fs</t>
  </si>
  <si>
    <t>Pix único de R$ 504,14</t>
  </si>
  <si>
    <t>https://drive.google.com/open?id=1haXZk2sP_QbWy4c4Vs-_o7LsiL70SlSv&amp;usp=drive_fs</t>
  </si>
  <si>
    <t>https://drive.google.com/open?id=1M30Q0HgbThZYCViRnKEzolHYryjNt8NW&amp;usp=drive_fs</t>
  </si>
  <si>
    <t>Auxílio combustível - Colheita de Mariri</t>
  </si>
  <si>
    <t>Diária de limpeza NFD pós preparo</t>
  </si>
  <si>
    <t>Parcela 5 de 10 - Cartão Wallace</t>
  </si>
  <si>
    <t>https://drive.google.com/open?id=1SNMvmG3eEmU3bA28Nf7LpNpOL34euGfZ&amp;usp=drive_fs</t>
  </si>
  <si>
    <t>Parcela 6 de 7 - Cartão Salomão</t>
  </si>
  <si>
    <t>https://drive.google.com/open?id=1fqPR71GOVo0G73akYepcQPazRphIFb-M&amp;usp=drive_fs</t>
  </si>
  <si>
    <t>https://drive.google.com/open?id=1CL9bVw5vxIa4qJpNmgUghe-9SrJi9621&amp;usp=drive_fs</t>
  </si>
  <si>
    <t>Laje</t>
  </si>
  <si>
    <t>Pago R$ 3.000 de um total de R$ 9.000</t>
  </si>
  <si>
    <t>https://drive.google.com/open?id=1Oyw0_oTTWNlmjTtXhV459lT4V04CX85X&amp;usp=drive_fs</t>
  </si>
  <si>
    <t>Compra de materiais para tombamento</t>
  </si>
  <si>
    <t>https://drive.google.com/open?id=1lgT-vturcgzf4V1aLzQfli4w411onkme&amp;usp=drive_fs</t>
  </si>
  <si>
    <t>Wesley</t>
  </si>
  <si>
    <t>https://drive.google.com/open?id=1GE3lmOPexQMpRqNbk-vx_sGma8ORKwPm&amp;usp=drive_fs</t>
  </si>
  <si>
    <t>Diária eletricista</t>
  </si>
  <si>
    <t>Balanceamento de carga - instalações elétricas</t>
  </si>
  <si>
    <t>https://drive.google.com/open?id=1X-FseHH5sExZofhqjXqaQSFMxyVayBFV&amp;usp=drive_fs</t>
  </si>
  <si>
    <t>Materiais para casa do motor</t>
  </si>
  <si>
    <t>https://drive.google.com/open?id=1C8XjTOHg-ik8H9_FGMPC_g3j6q-zUUJi&amp;usp=drive_fs</t>
  </si>
  <si>
    <t>Cestas básicas para o são joão da comunidade</t>
  </si>
  <si>
    <t>https://drive.google.com/open?id=19rxLXUzLIRJYmj4Yu8NMSBEcTIAq8bzy&amp;usp=drive_fs</t>
  </si>
  <si>
    <t>https://drive.google.com/open?id=1vraC1XMb-SrWkCJvT3r2wk-kyAP0qHx4&amp;usp=drive_fs</t>
  </si>
  <si>
    <t>Serviço de capinagem</t>
  </si>
  <si>
    <t>https://drive.google.com/open?id=1WxvChJ6fGSAqMbNGVD6yettVeuU8_D7W&amp;usp=drive_fs</t>
  </si>
  <si>
    <t>Material para Preparo</t>
  </si>
  <si>
    <t>Frete Mudas de Sabiá</t>
  </si>
  <si>
    <t>Davi Silvino</t>
  </si>
  <si>
    <t>https://drive.google.com/open?id=1CqW1SrktV4RVWz-sRYRJyIb9WcVGgHyJ&amp;usp=drive_fs</t>
  </si>
  <si>
    <t>Ação entre amigos</t>
  </si>
  <si>
    <t>Maquinetas de cartão de crédito</t>
  </si>
  <si>
    <t>https://drive.google.com/open?id=1vUcjzZ5v_0JqcoUqNtFMDU-MrQT5D9gD&amp;usp=drive_fs</t>
  </si>
  <si>
    <t>Jantar Nucleo R$ 20,00</t>
  </si>
  <si>
    <t>Jantar Nucleo R$ 20,00; Encontro dos Pais R$ 40,00</t>
  </si>
  <si>
    <t>Encontro dos Pais R$ 40,00</t>
  </si>
  <si>
    <t>8 ano do NLT R$ 15,00; Sessão de Casal Maio R$ 28,50; Sessão Dia das Mães R$ 55,00; Encontro dos Pais R$ 40,00</t>
  </si>
  <si>
    <t>MÔNICA DE ARAÚJO CAMPOS COSTA SOUSA</t>
  </si>
  <si>
    <t>REGIS BEZERRA GOMES</t>
  </si>
  <si>
    <t>Pagou junto com a mensalidade R$ 100 para auxilio combustível ao M. Alexandre.</t>
  </si>
  <si>
    <t>HUGO UCHÔA PASSOS ALENCAR</t>
  </si>
  <si>
    <t>Pagou as mensalidades de maio e junho.</t>
  </si>
  <si>
    <t>Encontro Plantio R$ 25,00</t>
  </si>
  <si>
    <t>Encontro Plantio R$ 25,00; Jantar Nucleo R$ 30,00</t>
  </si>
  <si>
    <t>Encontro Plantio R$ 25,00; Camisas Encontro Plantio R$ 495,00</t>
  </si>
  <si>
    <t>Encontro Plantio R$ 25,00; Camisas Encontro Plantio R$ 110,00</t>
  </si>
  <si>
    <t>Encontro Plantio R$ 25,00; Encontro dos Pais R$ 40,00</t>
  </si>
  <si>
    <t>Pago Julho e mensalidades pendentes</t>
  </si>
  <si>
    <t>Parcelamento 2/6 R$ 121,90</t>
  </si>
  <si>
    <t>Pagou junho e julho.</t>
  </si>
  <si>
    <t>MÁRCIO WALLACE EVANGELISTA TEIXEIRA</t>
  </si>
  <si>
    <t>Jantar Nucleo R$ 10,00; Encontro dos Pais R$ 40,00</t>
  </si>
  <si>
    <t>RAFAEL CASTELO BRANCO MOURÃO DE ANDRADE</t>
  </si>
  <si>
    <t>EMILIANA CAROLINA DA ROCHA CAVALCANTE</t>
  </si>
  <si>
    <t>Encontro Plantio R$ 25,00; Camisas Encontro Plantio R$ 55,00</t>
  </si>
  <si>
    <t>Encontro Plantio R$ 25,00; Jantar Nucleo R$ 20,00</t>
  </si>
  <si>
    <t>LUCAS PINTO ASSUNÇÃO</t>
  </si>
  <si>
    <t>LUIZA ALVES BRAGA</t>
  </si>
  <si>
    <t>JOSERLAN GOMES FURTADO</t>
  </si>
  <si>
    <t>1 a 22</t>
  </si>
  <si>
    <t>Lorena (24), Sarah (80), M. Cassio (300)</t>
  </si>
  <si>
    <t>Grupo Desapego</t>
  </si>
  <si>
    <t>23 a 30</t>
  </si>
  <si>
    <t>19, 20</t>
  </si>
  <si>
    <t>Venda de itens recebidos de doação</t>
  </si>
  <si>
    <t>Caixas de som</t>
  </si>
  <si>
    <t>Cota sobremessa almoço 22 de julho</t>
  </si>
  <si>
    <t>22 a 23</t>
  </si>
  <si>
    <t>Rafael Souza (100), Wallace (100)</t>
  </si>
  <si>
    <t>Doação para o Jardim</t>
  </si>
  <si>
    <t>M. Mauricio</t>
  </si>
  <si>
    <t>Auxílio Combustível M. Alexandre</t>
  </si>
  <si>
    <t>6, 13</t>
  </si>
  <si>
    <t>Wallace (100), M. Marcelo (100), C. Vicente (200), C. Hugo (70), M. Mauricio (50), M. Elpidio (100), C. Franco (100), M. Cassio (70), M. Régis (50)</t>
  </si>
  <si>
    <t>Devolução de valores para o núcleo</t>
  </si>
  <si>
    <t>1 item de supermercado para uso próprio comprado junto com coisas do núcleo.</t>
  </si>
  <si>
    <t>https://drive.google.com/open?id=1i3DPAjnlahffP6q7DAOfBDogmI58sNxO&amp;usp=drive_fs</t>
  </si>
  <si>
    <t>https://drive.google.com/open?id=1dZR1CH0gDhBP7LcP6UganfJUY_7xZd-u&amp;usp=drive_fs</t>
  </si>
  <si>
    <t>https://drive.google.com/open?id=1tBJShTh12P7twa3I0iJ0uW8Sbbvd9NYl&amp;usp=drive_fs</t>
  </si>
  <si>
    <t>https://drive.google.com/open?id=1zCeeyP7sO_vrw1-ezM1xCztrsEIdcAe5&amp;usp=drive_fs</t>
  </si>
  <si>
    <t>https://drive.google.com/open?id=1qHnjPyzHlIOcZs84P30tBYYGdBgz9XkE&amp;usp=drive_fs</t>
  </si>
  <si>
    <t>https://drive.google.com/open?id=1OzRuA7UJgi-P1h8K9RDr-q5qYhxhcVSA&amp;usp=drive_fs</t>
  </si>
  <si>
    <t>https://drive.google.com/open?id=1SbXZnVPcMmncvmAb6tylDoIB0XZoH0dR&amp;usp=drive_fs</t>
  </si>
  <si>
    <t>https://drive.google.com/open?id=1CXj_K_xdPHqc0w1XlUum0JmIBQbE8MaV&amp;usp=drive_fs</t>
  </si>
  <si>
    <t>Repasse de junho</t>
  </si>
  <si>
    <t>Elaborar recibo</t>
  </si>
  <si>
    <t>Repasse de julho</t>
  </si>
  <si>
    <t>https://drive.google.com/open?id=1wnN9zYI_4ktZD50dIV-wUv6W1_aVfWfT&amp;usp=drive_fs</t>
  </si>
  <si>
    <t>Desconto Maquina Conta Pagbank 1</t>
  </si>
  <si>
    <t>Desconto Maquina Conta Pagbank 2</t>
  </si>
  <si>
    <t>https://drive.google.com/open?id=1iVjMWDstTK7JNaeNheOTVwdG4_82JDCT&amp;usp=drive_fs</t>
  </si>
  <si>
    <t>https://drive.google.com/open?id=15DLQwNKkeQ0KUCS01IcWWYJMrTu5XqhA&amp;usp=drive_fs</t>
  </si>
  <si>
    <t>https://drive.google.com/open?id=1Y1jGSOzRPWq_BUndPG88v6hvd4kJ52Xe&amp;usp=drive_fs</t>
  </si>
  <si>
    <t>NF única de R$ 397,00.</t>
  </si>
  <si>
    <t>https://drive.google.com/open?id=1s_bZ5iGJjlaVsDVQExlElFarm3HUNZG3&amp;usp=drive_fs</t>
  </si>
  <si>
    <t>Parcela 3 de 10</t>
  </si>
  <si>
    <t>https://drive.google.com/open?id=1Is-kyAPZ-ACRo82Qt6-XLQndqUAMY5Qd&amp;usp=drive_fs</t>
  </si>
  <si>
    <t>Pacela 3 de 6</t>
  </si>
  <si>
    <t>https://drive.google.com/open?id=1wPnqgplqpzK_A59W5A1yWgA5Ys3dBoqW&amp;usp=drive_fs</t>
  </si>
  <si>
    <t>4 cupons</t>
  </si>
  <si>
    <t>https://drive.google.com/open?id=1Z3FH87fixSEbS0vvyQ58o6iaIKSfiCbQ&amp;usp=drive_fs</t>
  </si>
  <si>
    <t>https://drive.google.com/open?id=1MS20EQl0eTi4UTpO7hwbB59_YAH5WqRA&amp;usp=drive_fs</t>
  </si>
  <si>
    <t>https://drive.google.com/open?id=1AhHoKi7Q6G23rEN71YRkdS2xnMleJBn_&amp;usp=drive_fs</t>
  </si>
  <si>
    <t>https://drive.google.com/open?id=1tdpYrNpN6r8ZCWxYPaVQQ6OlGn_7f3qh&amp;usp=drive_fs</t>
  </si>
  <si>
    <t>Bolos Maninha</t>
  </si>
  <si>
    <t>https://drive.google.com/open?id=1c9l-YNt59Vx6Or9R2btlByD7P1nqMXiC&amp;usp=drive_fs</t>
  </si>
  <si>
    <t>Castanha</t>
  </si>
  <si>
    <t>https://drive.google.com/open?id=1ilroCuC9C8rv9lhOyBTpu68tuVeNhDFc&amp;usp=drive_fs</t>
  </si>
  <si>
    <t>https://drive.google.com/open?id=1o27sULfsFHq8k2geGDoHLDWiWi8ll5ET&amp;usp=drive_fs</t>
  </si>
  <si>
    <t>https://drive.google.com/open?id=1HnBWVYRzVFskiaOUl4KEKZG0Elo1CXGu&amp;usp=drive_fs</t>
  </si>
  <si>
    <t>Iogurte</t>
  </si>
  <si>
    <t>https://drive.google.com/open?id=1EmjSXKdzlGlv6JQGBwE5m2KxfwZy3bPS&amp;usp=drive_fs</t>
  </si>
  <si>
    <t>https://drive.google.com/open?id=1PCs7M_9eBqvGcv7LyHrN2nyk0yqLQpMQ&amp;usp=drive_fs</t>
  </si>
  <si>
    <t>https://drive.google.com/open?id=1aLzGO_KjDQc6zlW4zQMa18mvk-pDhZkD&amp;usp=drive_fs</t>
  </si>
  <si>
    <t>Solicitado ao Salomão</t>
  </si>
  <si>
    <t>https://drive.google.com/open?id=1M9teVU09qFH_diIRN2cajTmZW0csaYtK&amp;usp=drive_fs</t>
  </si>
  <si>
    <t>https://drive.google.com/open?id=1Ge8GTKtcCwWDldEvEL57fr9CEiHloqWP&amp;usp=drive_fs</t>
  </si>
  <si>
    <t>https://drive.google.com/open?id=1iwMGBiU_0LcPe80KVYYpWm5gSEe8nKZa&amp;usp=drive_fs</t>
  </si>
  <si>
    <t>https://drive.google.com/open?id=1YtadT9LkjJJxvt8of2ZlxPw7MELK_yha&amp;usp=drive_fs</t>
  </si>
  <si>
    <t>https://drive.google.com/open?id=1hBaKQkh39uF20rAqmdOOXLCev4wFN_8l&amp;usp=drive_fs</t>
  </si>
  <si>
    <t>https://drive.google.com/open?id=1SoPOJ_yYA1m3dUL7HxwRu25N_yp2HHvo&amp;usp=drive_fs</t>
  </si>
  <si>
    <t>Lenha para preparo</t>
  </si>
  <si>
    <t>Lanche 22 de julho</t>
  </si>
  <si>
    <t>https://drive.google.com/open?id=1bXY8-Jk2WcwO3ONMMmR4Cr81I8tx5z52&amp;usp=drive_fs</t>
  </si>
  <si>
    <t>Bolo 22 de julho</t>
  </si>
  <si>
    <t>https://drive.google.com/open?id=1fmRb2yesCpUMtRXcgnEyxspW_d8lKiih&amp;usp=drive_fs</t>
  </si>
  <si>
    <t>Sobremesa almoço 22 de julho</t>
  </si>
  <si>
    <t>https://drive.google.com/open?id=1bY6Y83nlB1drlfKN45rqPtyLS76KchaQ&amp;usp=drive_fs</t>
  </si>
  <si>
    <t>https://drive.google.com/open?id=1Zh-pCayg6r3nboG1LqKZeEM8E7SSdpQo&amp;usp=drive_fs</t>
  </si>
  <si>
    <t>https://drive.google.com/open?id=1JnFMcaV2wGUCL2d5C3FCxEnLTYSh1IhZ&amp;usp=drive_fs</t>
  </si>
  <si>
    <t>https://drive.google.com/open?id=120EZacOjNqjxZRV1eSJwZo3MsRfRv5Yv&amp;usp=drive_fs</t>
  </si>
  <si>
    <t>https://drive.google.com/open?id=1u7zDVbZu9XPLdhKFyHrPDXRVJmtXO-Ju&amp;usp=drive_fs</t>
  </si>
  <si>
    <t>Auxílio combusível M. Alexandre</t>
  </si>
  <si>
    <t>Parcela 6 de 10 - Cartão Wallace</t>
  </si>
  <si>
    <t>https://drive.google.com/open?id=1Rp1Xm3iorOkUjSxawgN1vMrBdEo22zbi&amp;usp=drive_fs</t>
  </si>
  <si>
    <t>Parcela 7 de 7</t>
  </si>
  <si>
    <t>https://drive.google.com/open?id=17B3_qNEQftZ9Z3BIHuktwqgF5tI0rK3u&amp;usp=drive_fs</t>
  </si>
  <si>
    <t>Foi realizado o pagamento de R$ 6.000, porém foi devolvido via pix no dia 28 o valor de R$ 317,00. Com isso, a nota fiscal foi emitida apenas com o valor da diferença (R$ 5.683,00)</t>
  </si>
  <si>
    <t>https://drive.google.com/open?id=1ypnQDHDArPxCrdr5G6wHuKhnJWr77OOQ&amp;usp=drive_fs</t>
  </si>
  <si>
    <t>Materiais diversos de manuntenção</t>
  </si>
  <si>
    <t>https://drive.google.com/open?id=1jY0cM25q_KLDgdcp-saaIc4in_ZgYkFz&amp;usp=drive_fs</t>
  </si>
  <si>
    <t>Diárias de pedreiro</t>
  </si>
  <si>
    <t>Diárias de servente</t>
  </si>
  <si>
    <t>Realizado 1 pix de R$ 60 e outro pix de R$ 1,87</t>
  </si>
  <si>
    <t>https://drive.google.com/open?id=1m_54gx5klPgdJ3poTCgU4_MGTG6qZLuP&amp;usp=drive_fs</t>
  </si>
  <si>
    <t>Diárias roço do terreno</t>
  </si>
  <si>
    <t>Compra da bomba dagua</t>
  </si>
  <si>
    <t>https://drive.google.com/open?id=1vOEaJY-pZCaNev5SFn4wTDja1noNLGRN&amp;usp=drive_fs</t>
  </si>
  <si>
    <t>Compra da bomba dagua (acessórios)</t>
  </si>
  <si>
    <t>https://drive.google.com/open?id=1VmEQUugMjeFd_GXbvNRHHoUtjXLjZBNf&amp;usp=drive_fs</t>
  </si>
  <si>
    <t>https://drive.google.com/open?id=1yqda_SXTPBjBO2eyQaSwDqzIMTtQylqr&amp;usp=drive_fs</t>
  </si>
  <si>
    <t>https://drive.google.com/open?id=1EeElcToUxJSWO3RKIuPW5A4Dm0Lw51GF&amp;usp=drive_fs</t>
  </si>
  <si>
    <t>Diária de pedreiro e servente</t>
  </si>
  <si>
    <t>https://drive.google.com/open?id=1aa6siCGhQjjeUFbc3n9rJGbtE-YBZJ8q&amp;usp=drive_fs</t>
  </si>
  <si>
    <t>Café da manhã - Dias de mutirão</t>
  </si>
  <si>
    <t>https://drive.google.com/open?id=1RAD7JC0d_hFXvGXtOKOcjgNvLYxh-Dkk&amp;usp=drive_fs</t>
  </si>
  <si>
    <t>Salgados</t>
  </si>
  <si>
    <t>https://drive.google.com/open?id=1R8-8Ebl5hVr7Jf3A2BoGeVEDQeMIZZCD&amp;usp=drive_fs</t>
  </si>
  <si>
    <t>Ação entre amigos - Ingressos Beach Park</t>
  </si>
  <si>
    <t>Solicitado à C. Mônica</t>
  </si>
  <si>
    <t>https://drive.google.com/open?id=1SvcAUGA-rW3nxrpD52wbwMLIa5fSoR9F&amp;usp=drive_fs</t>
  </si>
  <si>
    <t>Bilhetes Promoção Nucleo R$ 60,00; Taxa 22 de Julho R$ 22,00</t>
  </si>
  <si>
    <t>Bilhetes Promoção Nucleo R$ 300,00; Taxa 22 de Julho R$ 22,00</t>
  </si>
  <si>
    <t>Taxa 22 de Julho R$ 22,00</t>
  </si>
  <si>
    <t>Bilhetes Promoção Nucleo 1/5 R$ 125,00; Taxa 22 de Julho R$ 22,00</t>
  </si>
  <si>
    <t>Bilhetes Promoção Nucleo 1/4 R$ 96,00; Taxa 22 de Julho R$ 22,00</t>
  </si>
  <si>
    <t>16, 29</t>
  </si>
  <si>
    <t>Bilhetes Promoção Nucleo R$ 100,00; Taxa 22 de Julho R$ 22,00</t>
  </si>
  <si>
    <t>Bilhetes Promoção Nucleo R$ 240,00; Taxa 22 de Julho R$ 22,00</t>
  </si>
  <si>
    <t>Bilhetes Promoção Nucleo 1/2 R$ 50,00; Taxa 22 de Julho R$ 22,00</t>
  </si>
  <si>
    <t>Bilhetes Promoção Nucleo 1/2 R$ 150,00; Taxa 22 de Julho R$ 22,00</t>
  </si>
  <si>
    <t>Bilhetes Promoção Nucleo 1/3 R$ 200,00; Taxa 22 de Julho R$ 22,00</t>
  </si>
  <si>
    <t>Bilhetes Promoção Nucleo 1/6 R$ 50,00; Taxa 22 de Julho R$ 22,00</t>
  </si>
  <si>
    <t>Bilhetes Promoção Nucleo 1/6 R$ 100,00; Taxa 22 de Julho R$ 22,00</t>
  </si>
  <si>
    <t>Pagamento referente à mensalidade de Junho/25.</t>
  </si>
  <si>
    <t>Bilhetes Promoção Nucleo 1/6 R$ 44,00; Taxa 22 de Julho R$ 22,00</t>
  </si>
  <si>
    <t>Bilhetes Promoção Nucleo 1/6 R$ 48,00; Taxa 22 de Julho R$ 22,00</t>
  </si>
  <si>
    <t>Bilhetes Promoção Nucleo 1/2 R$ 100,00; Taxa 22 de Julho R$ 22,00</t>
  </si>
  <si>
    <t>Bilhetes Promoção Nucleo 1/2 R$ 30,00; Taxa 22 de Julho R$ 22,00</t>
  </si>
  <si>
    <t>Parcelamento 3/6 R$ 121,90</t>
  </si>
  <si>
    <t>Bilhetes Promoção Nucleo 1/3 R$ 100,00; Taxa 22 de Julho R$ 22,00</t>
  </si>
  <si>
    <t>Bilhetes Promoção Nucleo R$ 150,00; Taxa 22 de Julho R$ 22,00</t>
  </si>
  <si>
    <t>Bilhetes Promoção Nucleo 1/3 R$ 40,00; Taxa 22 de Julho R$ 22,00</t>
  </si>
  <si>
    <t>4, 22</t>
  </si>
  <si>
    <t>Taxa 22 de Julho R$ 22,00 / Pontos ação entre amigos</t>
  </si>
  <si>
    <t>Bilhetes Promoção Nucleo 1/5 R$ 40,80; Taxa 22 de Julho R$ 22,00</t>
  </si>
  <si>
    <t>Bilhetes Promoção Nucleo 1/2 R$ 60,00; Taxa 22 de Julho R$ 22,00</t>
  </si>
  <si>
    <t>Bilhetes Promoção Nucleo 1/6 R$ 84,00; Taxa 22 de Julho R$ 22,00</t>
  </si>
  <si>
    <t>Bilhetes Promoção Nucleo 1/3 R$ 88,00; Taxa 22 de Julho R$ 22,00</t>
  </si>
  <si>
    <t>Bilhetes Promoção Nucleo 1/4 R$ 50,00; Taxa 22 de Julho R$ 22,00</t>
  </si>
  <si>
    <t>Bilhetes Promoção Nucleo 1/2 R$ 78,00; Taxa 22 de Julho R$ 22,00</t>
  </si>
  <si>
    <t>Bilhetes Promoção Nucleo 1/2 R$ 72,00; Taxa 22 de Julho R$ 22,00</t>
  </si>
  <si>
    <t>Taxa 22 de Julho R$ 10,00</t>
  </si>
  <si>
    <t>Venda de camisas</t>
  </si>
  <si>
    <t>Jonatas</t>
  </si>
  <si>
    <t>15, 20</t>
  </si>
  <si>
    <t>Thiarles</t>
  </si>
  <si>
    <t>16 e 21</t>
  </si>
  <si>
    <t>2, 3 e 4</t>
  </si>
  <si>
    <t>Contribuição para encontro da irmandade</t>
  </si>
  <si>
    <t>21, 24</t>
  </si>
  <si>
    <t>- C. Marilza (50), C. Maninha (20)</t>
  </si>
  <si>
    <t>Livro M. Florencio</t>
  </si>
  <si>
    <t>- M. Vicente (106)</t>
  </si>
  <si>
    <t>Compra mesa Ping Pong e Totó</t>
  </si>
  <si>
    <t>- Emanuel (150)</t>
  </si>
  <si>
    <t>Doação Casa de Preparo</t>
  </si>
  <si>
    <t>- M. Cassio (250)</t>
  </si>
  <si>
    <t>27 a 30</t>
  </si>
  <si>
    <t>Pagbank (conta encerrada em agosto/24)</t>
  </si>
  <si>
    <t>https://drive.google.com/open?id=1WqdwF7U_FLEmZCGKZR-AOUSSV86gSnKN&amp;usp=drive_fs</t>
  </si>
  <si>
    <t>https://drive.google.com/open?id=1ioJFSYW0bNNMRQnyQajrE5OQrPyigSWk&amp;usp=drive_fs</t>
  </si>
  <si>
    <t>https://drive.google.com/open?id=1Yzd1PIJw_MNFxo0nDVDCuGjdE8DpMf9e&amp;usp=drive_fs</t>
  </si>
  <si>
    <t>https://drive.google.com/open?id=1gvEl1GwcBQLAKdjbJJJboSUiJL6rMNTx&amp;usp=drive_fs</t>
  </si>
  <si>
    <t>https://drive.google.com/open?id=1sgGP3SpDoHZBywWNND39iAtziOhQLy_l&amp;usp=drive_fs</t>
  </si>
  <si>
    <t>https://drive.google.com/open?id=1HlXX3S_Sq-x-dMKfZ2yzTkzqTfTIXhR1&amp;usp=drive_fs</t>
  </si>
  <si>
    <t>11a Região - Extra (taxa encontro plantio)</t>
  </si>
  <si>
    <t>https://drive.google.com/open?id=1N-8_29jxHcpAfW7eCbt9vQxzlyRnleOq&amp;usp=drive_fs</t>
  </si>
  <si>
    <t>https://drive.google.com/open?id=1yJ2bznJZtPWTfYDwxz_vEDufvepPqio6&amp;usp=drive_fs</t>
  </si>
  <si>
    <t>https://drive.google.com/open?id=1OU3ow40ZdYPuSjgf7NIiHXhPnW1ytO7n&amp;usp=drive_fs</t>
  </si>
  <si>
    <t>https://drive.google.com/open?id=1mZclsXSXYFBfFcaPgMY9JtaIKeXMt0R4&amp;usp=drive_fs</t>
  </si>
  <si>
    <t>Parcela 4 de 10</t>
  </si>
  <si>
    <t>https://drive.google.com/open?id=1MTwWgJf-Skmlcr24aEP2C0jAeuGwqVFp&amp;usp=drive_fs</t>
  </si>
  <si>
    <t>Pacela 4 de 6</t>
  </si>
  <si>
    <t>https://drive.google.com/open?id=1UlS9mqcU0YZLUY68EY6z5C8Oye5rsskb&amp;usp=drive_fs</t>
  </si>
  <si>
    <t>Ramide</t>
  </si>
  <si>
    <t>https://drive.google.com/open?id=1NRgonWn3ijpYRK41nmq2WEwWQoRZgw_3&amp;usp=drive_fs</t>
  </si>
  <si>
    <t>Didi</t>
  </si>
  <si>
    <t>https://drive.google.com/open?id=1MDIqsthNhV2VEQrdxqOcP_fLvsJ-kinl&amp;usp=drive_fs</t>
  </si>
  <si>
    <t>https://drive.google.com/open?id=1IcpFM11Anu9ycwliOV6zwGrbTYj_eFsN&amp;usp=drive_fs</t>
  </si>
  <si>
    <t>https://drive.google.com/open?id=1PZq3Oyw6oxaBzKS4hqVsWIW1L4yS3lJQ&amp;usp=drive_fs</t>
  </si>
  <si>
    <t>https://drive.google.com/open?id=188uWobEu8uInm3AMcni8bGj6H-SWDg0R&amp;usp=drive_fs</t>
  </si>
  <si>
    <t>https://drive.google.com/open?id=1JP8boRuEtOekxLTWAlCdHY86oQNvNwHq&amp;usp=drive_fs</t>
  </si>
  <si>
    <t>https://drive.google.com/open?id=1EYngs8-lmVzMgYif4IRHmCfLSgTLtoNv&amp;usp=drive_fs</t>
  </si>
  <si>
    <t>https://drive.google.com/open?id=1Ppzbl1l6FnVEEmox0pDEqZagEl0icRnW&amp;usp=drive_fs</t>
  </si>
  <si>
    <t>Salomão</t>
  </si>
  <si>
    <t>https://drive.google.com/open?id=1YDeVrMWAxJKf49reGTBjwQ7lSgtB8_dk&amp;usp=drive_fs</t>
  </si>
  <si>
    <t>Sandra</t>
  </si>
  <si>
    <t>https://drive.google.com/open?id=1QV-hYm65_9VjD7ozGB9mGTQMHoH5YKKb&amp;usp=drive_fs</t>
  </si>
  <si>
    <t>https://drive.google.com/open?id=1kMiOt4N33VAqY2J-50KhdqaaEEjceaQn&amp;usp=drive_fs</t>
  </si>
  <si>
    <t>Auxílio combustível</t>
  </si>
  <si>
    <t>Diária de serviço de faxineira</t>
  </si>
  <si>
    <t>Pendente assinatura</t>
  </si>
  <si>
    <t>https://drive.google.com/open?id=1gOk7FPf1WFUGFX2OFAT4vuCVoyVEG67R&amp;usp=drive_fs</t>
  </si>
  <si>
    <t>https://drive.google.com/open?id=1L3eOiUPmf-B54uXO-cuiFxgp-qrYpwjF&amp;usp=drive_fs</t>
  </si>
  <si>
    <t>https://drive.google.com/open?id=1zBaRCY9L54mObWkVAKSaoHJ_Xa6v2SrQ&amp;usp=drive_fs</t>
  </si>
  <si>
    <t>https://drive.google.com/open?id=1CHewQ4ZHFFS-5JggwkLVFaKgmzlsKDqH&amp;usp=drive_fs</t>
  </si>
  <si>
    <t>https://drive.google.com/open?id=1qgugX8noce6IymQUhbZJ5QVdFC9I_qOo&amp;usp=drive_fs</t>
  </si>
  <si>
    <t>https://drive.google.com/open?id=1Hrgh8dI6VaXafJ8IFpDmsevxJhyHBGX9&amp;usp=drive_fs</t>
  </si>
  <si>
    <t>Encontro da irmandade - Aluguel brinquedos</t>
  </si>
  <si>
    <t>50% do valor total - NF única de R$ 665,00</t>
  </si>
  <si>
    <t>https://drive.google.com/open?id=1KB5Wya-cl_w1E09T27jBbxZ_xQ8eoxbh&amp;usp=drive_fs</t>
  </si>
  <si>
    <t>Encontro da irmandade - Dominó</t>
  </si>
  <si>
    <t>https://drive.google.com/open?id=1Wu0rh1Obu4ZDldj1BFd1Db4QDiIhP1FO&amp;usp=drive_fs</t>
  </si>
  <si>
    <t>Encontro da irmandade - Alimentação</t>
  </si>
  <si>
    <t>https://drive.google.com/open?id=1qRSL7tgqKPcJuIu4XF3QC2QNZ8CEGrIL&amp;usp=drive_fs</t>
  </si>
  <si>
    <t>https://drive.google.com/open?id=1-6hHDcGc5NZkMpwUWhkpiri7pUsjenGw&amp;usp=drive_fs</t>
  </si>
  <si>
    <t>https://drive.google.com/open?id=1wmLceIJILyyBqbMeG46oOyT5NzaGoytV&amp;usp=drive_fs</t>
  </si>
  <si>
    <t>https://drive.google.com/open?id=1qKQHgMHVPjIJtfRu0QlqOrqEIMV6d25d&amp;usp=drive_fs</t>
  </si>
  <si>
    <t>Tony</t>
  </si>
  <si>
    <t>https://drive.google.com/open?id=1JvHFnrIeZTPhFiHbUINaE_65-FJ3SUE6&amp;usp=drive_fs</t>
  </si>
  <si>
    <t>https://drive.google.com/open?id=1yOsZAktNg4f8QIPYEEuiJM_F4J8wYy5M&amp;usp=drive_fs</t>
  </si>
  <si>
    <t>Encontro da irmandade - Churrasqueiro</t>
  </si>
  <si>
    <t>Pendente Wallace</t>
  </si>
  <si>
    <t>Encontro da irmandade - Diária Cozinheira</t>
  </si>
  <si>
    <t>https://drive.google.com/open?id=1d_ym_KkARo6VPFwXLq7THWLQHrCm7Zmi&amp;usp=drive_fs</t>
  </si>
  <si>
    <t>https://drive.google.com/open?id=1lqYLk5YZ0W3PvMXnNQ0VyJMFxFndflZ_&amp;usp=drive_fs</t>
  </si>
  <si>
    <t>Sucos (Flora)</t>
  </si>
  <si>
    <t>https://drive.google.com/open?id=1MIra0NBs7iCUG9MV8sUsI0ozR7QUSWFb&amp;usp=drive_fs</t>
  </si>
  <si>
    <t>Parcela 7 de 10 - Cartão Wallace</t>
  </si>
  <si>
    <t>Pendente elaborar recibo</t>
  </si>
  <si>
    <t>C. Cavalcante</t>
  </si>
  <si>
    <t>Pendente Samuel</t>
  </si>
  <si>
    <t>Alimentação dos funcionários</t>
  </si>
  <si>
    <t>Brita e areia</t>
  </si>
  <si>
    <t>Diárias Pedreiro Aldonso</t>
  </si>
  <si>
    <t>Pendente Wesley</t>
  </si>
  <si>
    <t>Aluguel do espaço</t>
  </si>
  <si>
    <t>https://drive.google.com/open?id=1BFn_da6KLD4InXAYx3T6vfes8ivIoRkN&amp;usp=drive_fs</t>
  </si>
  <si>
    <t>Bazar Chic</t>
  </si>
  <si>
    <t>Pagamento de 50% da locação do espaço.</t>
  </si>
  <si>
    <t>Pendente Mônica</t>
  </si>
  <si>
    <t>Compra de materiais para o bazar</t>
  </si>
  <si>
    <t>Caixas de papelão</t>
  </si>
  <si>
    <t>https://drive.google.com/open?id=1rklmQUawKjOo4QQ0vc6tLJul3V3XzD3L&amp;usp=drive_fs</t>
  </si>
  <si>
    <t>Fitas adesivas e papel kraft</t>
  </si>
  <si>
    <t>https://drive.google.com/open?id=1z6gg3wBYpCdhCNFC02i-rWykGqK_FAOP&amp;usp=drive_fs</t>
  </si>
  <si>
    <t>Impressões</t>
  </si>
  <si>
    <t>https://drive.google.com/open?id=1cHsVCC0GCPmliFGsAOcPx8fd0PpB89kd&amp;usp=drive_fs</t>
  </si>
  <si>
    <t>Despesa 10</t>
  </si>
  <si>
    <t>Despesa 11</t>
  </si>
  <si>
    <t>Despesa 12</t>
  </si>
  <si>
    <t>Despesa 13</t>
  </si>
  <si>
    <t>Despesa 14</t>
  </si>
  <si>
    <t>Despesa 15</t>
  </si>
  <si>
    <t>Despesa 16</t>
  </si>
  <si>
    <t>Despesa 17</t>
  </si>
  <si>
    <t>Despesa 18</t>
  </si>
  <si>
    <t>Despesa 19</t>
  </si>
  <si>
    <t>Despesa 20</t>
  </si>
  <si>
    <t>Despesa 21</t>
  </si>
  <si>
    <t>Encontro do Plantio R$ 100,00; Encontro Irmandade R$ 40,00; Doação Mesas de Jogos 1/10 R$ 15,00; Taxa de preparo 1/2 R$ 20,00; Sessão de casal R$ 51,62; CAMISA ENCONTRO R$ 60,00</t>
  </si>
  <si>
    <t>Taxa de preparo 1/2 R$ 20,00</t>
  </si>
  <si>
    <t>Bilhetes Promoção Nucleo 2/5 R$ 125,00; Encontro Irmandade R$ 40,00; Doação Mesas de Jogos 1/10 R$ 15,00; Taxa de preparo 1/2 R$ 20,00</t>
  </si>
  <si>
    <t>Taxa de preparo 1/2 R$ 20,00; Sessão de casal R$ 51,62</t>
  </si>
  <si>
    <t>Pagamento referente à mensalidade de agosto</t>
  </si>
  <si>
    <t>Encontro do Plantio 1/2 R$ 50,00; Encontro Irmandade R$ 52,00; Taxa de preparo 1/2 R$ 20,00; Sessão de casal R$ 51,62; CAMISA ENCONTRO R$ 60,00</t>
  </si>
  <si>
    <t>Bilhetes Promoção Nucleo 2/4 R$ 96,00; Taxa de preparo 1/2 R$ 20,00</t>
  </si>
  <si>
    <t>Encontro do Plantio R$ 80,00; Encontro Irmandade R$ 92,00; Doação Mesas de Jogos 1/10 R$ 20,00; Taxa de preparo 1/2 R$ 20,00; Sessão de casal R$ 51,62</t>
  </si>
  <si>
    <t>Encontro do Plantio R$ 80,00; Taxa de preparo 1/2 R$ 20,00</t>
  </si>
  <si>
    <t>Encontro Irmandade R$ 40,00; Doação Mesas de Jogos 1/10 R$ 15,00; Taxa de preparo 1/2 R$ 20,00; Sessão de casal R$ 51,62</t>
  </si>
  <si>
    <t>Encontro Irmandade R$ 40,00; Taxa de preparo 1/2 R$ 20,00</t>
  </si>
  <si>
    <t>Bilhetes Promoção Nucleo 2/2 R$ 50,00; Encontro Irmandade R$ 52,00; Doação Mesas de Jogos 1/10 R$ 15,00; Taxa de preparo 1/2 R$ 20,00</t>
  </si>
  <si>
    <t>Bilhetes Promoção Nucleo 2/2 R$ 50,00; Taxa de preparo 1/2 R$ 20,00</t>
  </si>
  <si>
    <t>Pago agosto e setembro</t>
  </si>
  <si>
    <t>Encontro Irmandade R$ 52,00; Taxa de preparo 1/2 R$ 20,00</t>
  </si>
  <si>
    <t>Encontro Irmandade R$ 20,00; Taxa de preparo 1/2 R$ 20,00</t>
  </si>
  <si>
    <t>Bilhetes Promoção Nucleo 2/2 R$ 150,00; Encontro Irmandade R$ 64,00; Doação Mesas de Jogos 1/10 R$ 15,00; Taxa de preparo 1/2 R$ 20,00; Sessão de casal R$ 51,62</t>
  </si>
  <si>
    <t>Bilhetes Promoção Nucleo 2/2 R$ 150,00; Taxa de preparo 1/2 R$ 20,00</t>
  </si>
  <si>
    <t>Bilhetes Promoção Nucleo 2/3 R$ 200,00; Encontro Irmandade R$ 40,00; Doação Mesas de Jogos 1/10 R$ 15,00; Taxa de preparo 1/2 R$ 20,00</t>
  </si>
  <si>
    <t>Encontro Irmandade R$ 64,00; Taxa de preparo 1/2 R$ 20,00</t>
  </si>
  <si>
    <t>Encontro do Plantio R$ 100,00; Taxa de preparo 1/2 R$ 20,00; CAMISA ENCONTRO R$ 60,00</t>
  </si>
  <si>
    <t>Bilhetes Promoção Nucleo 2/6 R$ 50,00; Encontro do Plantio 1/2 R$ 50,00; Encontro Irmandade R$ 72,00; Doação Mesas de Jogos 1/10 R$ 15,00; Taxa de preparo 1/2 R$ 20,00; CAMISA ENCONTRO R$ 60,00</t>
  </si>
  <si>
    <t>Verificar com o Didi o porque da diferença</t>
  </si>
  <si>
    <t>Bilhetes Promoção Nucleo 2/6 R$ 100,00; Encontro Irmandade R$ 40,00; Taxa de preparo 1/2 R$ 20,00; Sessão de casal R$ 51,62</t>
  </si>
  <si>
    <t>Encontro do Plantio R$ 100,00; Encontro Irmandade R$ 60,00; Doação Mesas de Jogos 1/10 R$ 15,00; Taxa de preparo 1/2 R$ 20,00; CAMISA ENCONTRO R$ 60,00</t>
  </si>
  <si>
    <t>Encontro do Plantio R$ 100,00; Encontro do Plantio vitor santos R$ 100,00; Taxa de preparo 1/2 R$ 20,00; CAMISA ENCONTRO R$ 60,00</t>
  </si>
  <si>
    <t>Bilhetes Promoção Nucleo 2/2 R$ 150,00; Encontro do Plantio R$ 100,00; Encontro Irmandade R$ 20,00; Taxa de preparo 1/2 R$ 20,00; CAMISA ENCONTRO R$ 60,00</t>
  </si>
  <si>
    <t>Pago julho</t>
  </si>
  <si>
    <t>Bilhetes Promoção Nucleo 2/6 R$ 50,00; Encontro Irmandade R$ 20,00; Doação Mesas de Jogos 1/10 R$ 15,00; Taxa de preparo 1/2 R$ 20,00; Sessão de casal R$ 51,62</t>
  </si>
  <si>
    <t>Bilhetes Promoção Nucleo 2/6 R$ 44,00; Encontro do Plantio 1/2 R$ 50,00; Encontro Irmandade R$ 64,00; Doação Mesas de Jogos 1/10 R$ 15,00; Taxa de preparo 1/2 R$ 20,00</t>
  </si>
  <si>
    <t>Bilhetes Promoção Nucleo 2/6 R$ 48,00; Taxa de preparo 1/2 R$ 20,00</t>
  </si>
  <si>
    <t>Bilhetes Promoção Nucleo 2/2 R$ 100,00; Encontro Irmandade R$ 40,00; Taxa de preparo 1/2 R$ 20,00</t>
  </si>
  <si>
    <t>Doação Mesas de Jogos 1/10 R$ 15,00; Taxa de preparo 1/2 R$ 20,00; Sessão de casal R$ 51,62</t>
  </si>
  <si>
    <t>Encontro Irmandade R$ 32,00; Taxa de preparo 1/2 R$ 20,00</t>
  </si>
  <si>
    <t>Bilhetes Promoção Nucleo 2/2 R$ 30,00; Encontro Irmandade R$ 40,00; Taxa de preparo 1/2 R$ 20,00; Sessão de casal R$ 51,62</t>
  </si>
  <si>
    <t>Bilhetes Promoção Nucleo 2/2 R$ 30,00; Doação Mesas de Jogos 1/10 R$ 15,00; Taxa de preparo 1/2 R$ 20,00</t>
  </si>
  <si>
    <t>Parcelamento 4/6 R$ 121,90; Encontro Irmandade R$ 40,00; Taxa de preparo 1/2 R$ 20,00</t>
  </si>
  <si>
    <t>Bilhetes Promoção Nucleo 1/6 R$ 34,00; Encontro Irmandade R$ 40,00; Taxa de preparo 1/2 R$ 20,00</t>
  </si>
  <si>
    <t>Bilhetes Promoção Nucleo 2/6 R$ 50,00; Encontro Irmandade R$ 20,00; Taxa de preparo 1/2 R$ 20,00</t>
  </si>
  <si>
    <t>Bilhetes Promoção Nucleo 2/3 R$ 100,00; Encontro Irmandade R$ 64,00; Doação Mesas de Jogos 1/10 R$ 15,00; Taxa de preparo 1/2 R$ 20,00; Sessão de casal R$ 51,62</t>
  </si>
  <si>
    <t>Bilhetes Promoção Nucleo 2/3 R$ 100,00; Taxa de preparo 1/2 R$ 20,00</t>
  </si>
  <si>
    <t>Bilhetes Promoção Nucleo R$ 150,00; Encontro Irmandade R$ 40,00; Doação Mesas de Jogos 1/10 R$ 15,00; Taxa de preparo 1/2 R$ 20,00</t>
  </si>
  <si>
    <t>Bilhetes Promoção Nucleo 2/3 R$ 40,00; Encontro do Plantio 1/2 R$ 90,00; Taxa de preparo 1/2 R$ 20,00</t>
  </si>
  <si>
    <t>Encontro Irmandade R$ 60,00; Taxa de preparo 1/2 R$ 20,00</t>
  </si>
  <si>
    <t>Bilhetes Promoção Nucleo 2/3 R$ 100,00; Encontro do Plantio 1/2 R$ 90,00; Encontro Irmandade R$ 40,00; Taxa de preparo 1/2 R$ 20,00</t>
  </si>
  <si>
    <t>9, 17</t>
  </si>
  <si>
    <t>Encontro Irmandade R$ 40,00; Doação Mesas de Jogos 1/10 R$ 10,00; Taxa de preparo 1/2 R$ 20,00; Sessão de casal R$ 51,62</t>
  </si>
  <si>
    <t>Doação Mesas de Jogos 1/10 R$ 15,00; Taxa de preparo 1/2 R$ 20,00</t>
  </si>
  <si>
    <t>Encontro do Plantio R$ 100,00; Encontro Irmandade R$ 40,00; Taxa de preparo 1/2 R$ 20,00</t>
  </si>
  <si>
    <t>Bilhetes Promoção Nucleo 2/3 R$ 100,00; Encontro Irmandade R$ 40,00; Doação Mesas de Jogos 1/10 R$ 15,00; Taxa de preparo 1/2 R$ 20,00</t>
  </si>
  <si>
    <t>Bilhetes Promoção Nucleo 2/3 R$ 100,00; Doação Mesas de Jogos 1/10 R$ 15,00; Taxa de preparo 1/2 R$ 20,00</t>
  </si>
  <si>
    <t>Encontro do Plantio 1/2 R$ 50,00; Doação Mesas de Jogos 1/10 R$ 15,00; Taxa de preparo 1/2 R$ 20,00; CAMISA ENCONTRO R$ 60,00</t>
  </si>
  <si>
    <t>Encontro Irmandade R$ 100,00; Taxa de preparo 1/2 R$ 20,00</t>
  </si>
  <si>
    <t>Encontro Irmandade R$ 100,00; Doação Mesas de Jogos 1/10 R$ 15,00; Taxa de preparo 1/2 R$ 20,00; Sessão de casal R$ 51,62</t>
  </si>
  <si>
    <t>Bilhetes Promoção Nucleo 2/6 R$ 50,00; Taxa de preparo 1/2 R$ 20,00</t>
  </si>
  <si>
    <t>Bilhetes Promoção Nucleo 2/6 R$ 50,00; Encontro Irmandade R$ 52,00; Taxa de preparo 1/2 R$ 20,00; Sessão de casal R$ 51,62</t>
  </si>
  <si>
    <t>Bilhetes Promoção Nucleo 2/5 R$ 40,80; Encontro do Plantio 1/2 R$ 50,00; Encontro Irmandade R$ 40,00; Taxa de preparo 1/2 R$ 20,00; CAMISA ENCONTRO R$ 60,00</t>
  </si>
  <si>
    <t>Bilhetes Promoção Nucleo 1/3 R$ 100,00; Encontro Irmandade R$ 20,00; Taxa de preparo 1/2 R$ 20,00</t>
  </si>
  <si>
    <t>Bilhetes Promoção Nucleo 2/6 R$ 50,00; Encontro do Plantio R$ 40,00; Encontro Irmandade R$ 40,00; Taxa de preparo 1/2 R$ 20,00</t>
  </si>
  <si>
    <t>Bilhetes Promoção Nucleo 2/2 R$ 60,00; Encontro Irmandade R$ 32,00; Taxa de preparo 1/2 R$ 20,00</t>
  </si>
  <si>
    <t>Encontro Irmandade R$ 40,00; Doação Mesas de Jogos 1/10 R$ 15,00; Taxa de preparo 1/2 R$ 20,00</t>
  </si>
  <si>
    <t>Bilhetes Promoção Nucleo 2/6 R$ 84,00; Encontro do Plantio 1/2 R$ 50,00; Doação Mesas de Jogos 1/10 R$ 15,00; Taxa de preparo 1/2 R$ 20,00; Sessão de casal R$ 51,62</t>
  </si>
  <si>
    <t>Bilhetes Promoção Nucleo 2/3 R$ 88,00; Taxa de preparo 1/2 R$ 20,00</t>
  </si>
  <si>
    <t>Bilhetes Promoção Nucleo 2/4 R$ 50,00; Taxa de preparo 1/2 R$ 20,00</t>
  </si>
  <si>
    <t>Bilhetes Promoção Nucleo 2/2 R$ 78,00; Encontro Irmandade R$ 40,00; Doação Mesas de Jogos 1/10 R$ 15,00; Taxa de preparo 1/2 R$ 20,00; Sessão de casal R$ 51,62</t>
  </si>
  <si>
    <t>Bilhetes Promoção Nucleo 2/2 R$ 72,00; Taxa de preparo 1/2 R$ 20,00</t>
  </si>
  <si>
    <t>Taxa 22 de Julho R$ 10,00; Taxa de preparo 1/2 R$ 20,00</t>
  </si>
  <si>
    <t>LEANDRO ANDRADE FONSECA</t>
  </si>
  <si>
    <t>AGDA SUELD DE CARVALHO OLIVEIRA FONSECA</t>
  </si>
  <si>
    <t>FRANCISCO AGRILBERTO SAMPAIO DE OLIVEIRA</t>
  </si>
  <si>
    <t>Prêmio do sorteio</t>
  </si>
  <si>
    <t>Doações</t>
  </si>
  <si>
    <t>Feiras das pratas</t>
  </si>
  <si>
    <t>Vendas - Pagbank (Pratas)</t>
  </si>
  <si>
    <t>28 e 29</t>
  </si>
  <si>
    <t>Vendas - Stone (Cantina)</t>
  </si>
  <si>
    <t>Rarisneide (1.110,00)</t>
  </si>
  <si>
    <t>Camisas do Preparo - Cora</t>
  </si>
  <si>
    <t>19, 22, 23</t>
  </si>
  <si>
    <t>M. Cassio (130), Klecius (65), Junior (180)</t>
  </si>
  <si>
    <t>Camisas do Preparo - Pagbank</t>
  </si>
  <si>
    <t>17 a 30</t>
  </si>
  <si>
    <t>6, 10</t>
  </si>
  <si>
    <t>Ana Georgina, Carmem, Rafael Barbosa, Carol, Wallace, Dani Rios, Mônica</t>
  </si>
  <si>
    <t>Frete Livro M. Florencio</t>
  </si>
  <si>
    <t>Ana Georgina, Wallace, Dani Rios, Mônica</t>
  </si>
  <si>
    <t>Fotos M. Gabriel</t>
  </si>
  <si>
    <t>Mônica</t>
  </si>
  <si>
    <t>Pollyana</t>
  </si>
  <si>
    <t>Empréstimo para Casa de Preparo</t>
  </si>
  <si>
    <t>4, 8</t>
  </si>
  <si>
    <t>C. Vicente (5.000), C. João Carlos (5.000), C. Hugo (2.000), C. Franco (5.000), M. Marcelo (10.000), M. Maurício (5.000)</t>
  </si>
  <si>
    <t>M. Maurício (5.000)</t>
  </si>
  <si>
    <t>Doação para construção da Casa de Preparo</t>
  </si>
  <si>
    <t>3, 8, 10, 17, 22, 23, 25, 26</t>
  </si>
  <si>
    <t>C. Vicente, C. Franco, Ramide, M. Cassio, Klecius (2x), Agrilberto, Hugo</t>
  </si>
  <si>
    <t>1, 3, 4, 9, 13</t>
  </si>
  <si>
    <t>Leandro (250), M. Régis (400), M. Elpidio (1000), Davi Silvino (250), Ana Georgina (250), C. Francilene (1000)</t>
  </si>
  <si>
    <t>https://drive.google.com/open?id=1BBwSUljtF221AJUkLRX7lZKUXas8AAKx&amp;usp=drive_fs</t>
  </si>
  <si>
    <t>https://drive.google.com/open?id=1LOIUFNh66yOlMi2nq0M8rvtuAUhsPLAH&amp;usp=drive_fs</t>
  </si>
  <si>
    <t>https://drive.google.com/open?id=1S3GwZtZ7whOF1AKkuWSdhZT6u_eAOhTB&amp;usp=drive_fs</t>
  </si>
  <si>
    <t>https://drive.google.com/open?id=1tNsyVnjhfKmV47eUdnn2dqoHnslCSi_g&amp;usp=drive_fs</t>
  </si>
  <si>
    <t>pagamento único de R$ 2.828,43</t>
  </si>
  <si>
    <t>https://drive.google.com/open?id=1rPoQxPgwXiRrblvIz2dxgMSrzP3SdlQI&amp;usp=drive_fs</t>
  </si>
  <si>
    <t>Pagamento único de R$ 2.618,00</t>
  </si>
  <si>
    <t>https://drive.google.com/open?id=12wT8lB1AgN-Vu1FQslFSb6hBHb1Umawz&amp;usp=drive_fs</t>
  </si>
  <si>
    <t>11a Região - Extra (pagamento das camisas + 1/2 das inscrições no encontro)</t>
  </si>
  <si>
    <t>https://drive.google.com/open?id=1WJLTbe0ivRXHTPbZhfuzTSAs832RzaQm&amp;usp=drive_fs</t>
  </si>
  <si>
    <t>Repasse referente a Agosto</t>
  </si>
  <si>
    <t>https://drive.google.com/open?id=1EwaGcMksOU81Bnh3gXCJvf0hEAX0EvQ7&amp;usp=drive_fs</t>
  </si>
  <si>
    <t>Contribuição região - bilhete C. Sueli (Esposa M. Florêncio)</t>
  </si>
  <si>
    <t>https://drive.google.com/open?id=1c4nIyIkuFejQrJdmvw2754NeDxD8yhch&amp;usp=drive_fs</t>
  </si>
  <si>
    <t>https://drive.google.com/open?id=1TAsSOHr4vTmFHj8oiROTwoPJriB97Nly&amp;usp=drive_fs</t>
  </si>
  <si>
    <t>Desconto Maquina Conta Pagbank</t>
  </si>
  <si>
    <t>https://drive.google.com/open?id=1X0pfRR8zqSE6GUvGPQcPf4jpWub4x4N9&amp;usp=drive_fs</t>
  </si>
  <si>
    <t>https://drive.google.com/open?id=1OP0jnT0PV7rXa4w2r0O3AaATHQW90y6t&amp;usp=drive_fs</t>
  </si>
  <si>
    <t>https://drive.google.com/open?id=1QRm7hi2OpJXQswYvdlSQeFu8gIm7PMOW&amp;usp=drive_fs</t>
  </si>
  <si>
    <t>Capas para totó</t>
  </si>
  <si>
    <t>https://drive.google.com/open?id=12NS19EFYFH7oUxGujwBEN8i2v7Y9mtx3&amp;usp=drive_fs</t>
  </si>
  <si>
    <t>Capas para mesa de ping pong</t>
  </si>
  <si>
    <t>Livros M. Florencio e Fotos M. Gabriel</t>
  </si>
  <si>
    <t>https://drive.google.com/open?id=1bChmwWPwfSbN-yur1THCv3v37uadmgzH&amp;usp=drive_fs</t>
  </si>
  <si>
    <t>Parcela 5 de 10</t>
  </si>
  <si>
    <t>https://drive.google.com/open?id=1QI8HBhxtFP_JFoxauxGuATnoECXgHiW6&amp;usp=drive_fs</t>
  </si>
  <si>
    <t>Parcela 5 de 6</t>
  </si>
  <si>
    <t>https://drive.google.com/open?id=1qdYWdxX3qnkW8geq34_gUFrUu_StjssY&amp;usp=drive_fs</t>
  </si>
  <si>
    <t>Mesa ping pong e totó</t>
  </si>
  <si>
    <t>https://drive.google.com/open?id=1vRmyfocJiVdXqJ5QTz4Bv3ju6eOmurXP&amp;usp=drive_fs</t>
  </si>
  <si>
    <t>Plaquetas patrimônio</t>
  </si>
  <si>
    <t>Parcela 1 de 3</t>
  </si>
  <si>
    <t>https://drive.google.com/open?id=1XpyNl2FaONkJlIAE0gvaMbP8jVMAKhc5&amp;usp=drive_fs</t>
  </si>
  <si>
    <t>https://drive.google.com/open?id=1r5ZV-bItzRrGW14kkOiiB5gYIJY8_pUT&amp;usp=drive_fs</t>
  </si>
  <si>
    <t>https://drive.google.com/open?id=19tpj7g0-gqThSPp-P0S4NMwfANF3xjM4&amp;usp=drive_fs</t>
  </si>
  <si>
    <t>https://drive.google.com/open?id=1XJDPfEVPo9jPmJKmh8Co97tWmVV5PCoL&amp;usp=drive_fs</t>
  </si>
  <si>
    <t>https://drive.google.com/open?id=19ONfqqEEtzN4EHKSVTSTKWHkyw0l5SSX&amp;usp=drive_fs</t>
  </si>
  <si>
    <t>Pendente solicitar no Atacadão</t>
  </si>
  <si>
    <t>https://drive.google.com/open?id=12IW_VH44uPLUWG5K0D7H0UzUAsnZ0SbV&amp;usp=drive_fs</t>
  </si>
  <si>
    <t>Aline</t>
  </si>
  <si>
    <t>https://drive.google.com/open?id=1oFK04OaAYUycvO3oGEYkrnF8KAyzVJoc&amp;usp=drive_fs</t>
  </si>
  <si>
    <t>https://drive.google.com/open?id=15eSQ6jYqa0VfhGN3QdU8eM7R-rVK3dkn&amp;usp=drive_fs</t>
  </si>
  <si>
    <t>https://drive.google.com/open?id=1rxzzA3U5Y6K-fXf1w1vLAkL3srCb2nKD&amp;usp=drive_fs</t>
  </si>
  <si>
    <t>https://drive.google.com/open?id=1DzO8pHj9mNqxaKPK_W0Kr2BIJ7ZIg2qs&amp;usp=drive_fs</t>
  </si>
  <si>
    <t>https://drive.google.com/open?id=12EDnD8sMN1-yg9IgmqCW76Pc6iccr_6r&amp;usp=drive_fs</t>
  </si>
  <si>
    <t>https://drive.google.com/open?id=1UK_a3KhQ9BF7zf6aKX1xXBPb9f4AdkJt&amp;usp=drive_fs</t>
  </si>
  <si>
    <t>https://drive.google.com/open?id=1SjJq0aS358EIar0eT99vop0keWXB_z5t&amp;usp=drive_fs</t>
  </si>
  <si>
    <t>Preparo de março - Lenha</t>
  </si>
  <si>
    <t>Valor estava pendente de pagamento e foi quitado este mês</t>
  </si>
  <si>
    <t>Preparo de outubro - Lenha</t>
  </si>
  <si>
    <t>Luvas</t>
  </si>
  <si>
    <t>Pendente M. Vicente</t>
  </si>
  <si>
    <t>Lanche sessão de casal</t>
  </si>
  <si>
    <t>Sessão Cosme e Damião - Lanche</t>
  </si>
  <si>
    <t>https://drive.google.com/open?id=1NgHo6BH7s76Z6u3jkZslmW2QNTvw2LYZ&amp;usp=drive_fs</t>
  </si>
  <si>
    <t>https://drive.google.com/open?id=138RCOgjrCSWCBEpX5ibtaP9IJocDlL58&amp;usp=drive_fs</t>
  </si>
  <si>
    <t>https://drive.google.com/open?id=1NH1uxHqtkhsffW0wuV6H0sDCBqtv_Vc0&amp;usp=drive_fs</t>
  </si>
  <si>
    <t>https://drive.google.com/open?id=1d4_NxpiLW4IwojC0H2Ov0VPlZNbWVlOf&amp;usp=drive_fs</t>
  </si>
  <si>
    <t>https://drive.google.com/open?id=10bcWfJJ_jAABr9yFPhy_tfer43yQ29ta&amp;usp=drive_fs</t>
  </si>
  <si>
    <t>Madeira guarda corpo</t>
  </si>
  <si>
    <t>https://drive.google.com/open?id=1ULxas7dzAfYCbnG6ejZRhWBUkYtcWlAh&amp;usp=drive_fs</t>
  </si>
  <si>
    <t>Pendente Tony assinar</t>
  </si>
  <si>
    <t>Despesas casa de preparo - CORA</t>
  </si>
  <si>
    <t>Link da planilha</t>
  </si>
  <si>
    <t>Despesas casa de preparo - Pagbank</t>
  </si>
  <si>
    <t>Reposição de peças para o banheiro feminino</t>
  </si>
  <si>
    <t>Pagamento mensal CDUCM - Rateio aluguel</t>
  </si>
  <si>
    <t>https://drive.google.com/open?id=18K4WP2a5-yDoaKvqjahX52HXAvNUIl8y&amp;usp=drive_fs</t>
  </si>
  <si>
    <t>Encontro de pais - Impressão</t>
  </si>
  <si>
    <t>Encontro de pais - Cozinheira</t>
  </si>
  <si>
    <t>Encontro de pais - Lanche</t>
  </si>
  <si>
    <t>Agosto</t>
  </si>
  <si>
    <t>Leite em pó</t>
  </si>
  <si>
    <t>https://drive.google.com/open?id=1EoXym9YLJPnMu5bsqyBS0kLNAKwoQ2rz&amp;usp=drive_fs</t>
  </si>
  <si>
    <t>https://drive.google.com/open?id=1n1FE_jOzvmLITtEEoReZCvqB4JC94Gkk&amp;usp=drive_fs</t>
  </si>
  <si>
    <t>Potes de açai</t>
  </si>
  <si>
    <t>https://drive.google.com/open?id=1ejJhS3FJ5YtLjER2tZwVzZvfXmW-HbM8&amp;usp=drive_fs</t>
  </si>
  <si>
    <t>https://drive.google.com/open?id=1EGRpwC0XsQKcSoBoJQzzmc_mwqkJvcBU&amp;usp=drive_fs</t>
  </si>
  <si>
    <t>https://drive.google.com/open?id=1CcEssLgFSemeO2UnqkAE8BoxY4l-Gr5m&amp;usp=drive_fs</t>
  </si>
  <si>
    <t>Cantina Feira das Pratas</t>
  </si>
  <si>
    <t>https://drive.google.com/open?id=1qHppYxbOQVwfPGbpkkQENcuGs_HuVEbF&amp;usp=drive_fs</t>
  </si>
  <si>
    <t>Direito de uso de imagem - Arte para Camisa</t>
  </si>
  <si>
    <t>Pendente M. Régis</t>
  </si>
  <si>
    <t>Camisas - 1a parte</t>
  </si>
  <si>
    <t>Observação:</t>
  </si>
  <si>
    <t>Bilhetes Promoção Nucleo 3/5 R$ 125,00; Doação Mesas de Jogos 2/10 R$ 15,00; Taxa de preparo 2/3 R$ 26,00; Camisa Preparo R$ 130,00</t>
  </si>
  <si>
    <t>Taxa de preparo 2/3 R$ 26,00</t>
  </si>
  <si>
    <t>Pagamento referente ao mês de setembro. Outubro: R$ 374,49</t>
  </si>
  <si>
    <t>Encontro do Plantio 2/2 R$ 50,00; Taxa de preparo 2/3 R$ 26,00</t>
  </si>
  <si>
    <t>Pagamento referente ao mês de setembro. Outubro: R$ 313,29</t>
  </si>
  <si>
    <t>Bilhetes Promoção Nucleo 3/4 R$ 96,00; Taxa de preparo 2/3 R$ 26,00</t>
  </si>
  <si>
    <t>Doação Mesas de Jogos 2/10 R$ 20,00; Taxa de preparo 2/3 R$ 26,00</t>
  </si>
  <si>
    <t>Taxa de preparo 2/3 R$ 26,00; Camisa Preparo 1/2 R$ 65,00</t>
  </si>
  <si>
    <t>Doação Mesas de Jogos 2/10 R$ 15,00; Taxa de preparo 2/3 R$ 26,00</t>
  </si>
  <si>
    <t>Pagamento referente a julho a outubro (4 meses)</t>
  </si>
  <si>
    <t>Bilhetes Promoção Nucleo 3/3 R$ 200,00; Doação Mesas de Jogos 2/10 R$ 15,00; Taxa de preparo 2/3 R$ 26,00</t>
  </si>
  <si>
    <t>Bilhetes Promoção Nucleo 3/6 R$ 50,00; Encontro do Plantio 2/2 R$ 50,00; Doação Mesas de Jogos 2/10 R$ 15,00; Taxa de preparo 2/3 R$ 26,00; Camisa Preparo 1/3 R$ 81,67</t>
  </si>
  <si>
    <t>Bilhetes Promoção Nucleo 3/6 R$ 100,00; Taxa de preparo 2/3 R$ 26,00</t>
  </si>
  <si>
    <t>Bilhetes Promoção Nucleo 3/6 R$ 50,00; Doação Mesas de Jogos 2/10 R$ 15,00; Taxa de preparo 2/3 R$ 26,00; Camisa Preparo 1/2 R$ 65,00</t>
  </si>
  <si>
    <t>Taxa de preparo 2/2 R$ 16,00</t>
  </si>
  <si>
    <t>Bilhetes Promoção Nucleo 3/6 R$ 44,00; Encontro do Plantio 2/2 R$ 50,00; Doação Mesas de Jogos 2/10 R$ 15,00; Taxa de preparo 2/3 R$ 26,00; Camisa Preparo 1/3 R$ 76,67</t>
  </si>
  <si>
    <t>Bilhetes Promoção Nucleo 3/6 R$ 48,00; Taxa de preparo 2/3 R$ 26,00</t>
  </si>
  <si>
    <t>Mensalidade de setembro.</t>
  </si>
  <si>
    <t>Taxa de preparo 2/3 R$ 26,00; Camisa Preparo R$ 115,00</t>
  </si>
  <si>
    <t>Parcelamento 5/6 R$ 121,90; Taxa de preparo 2/3 R$ 26,00; Camisa Preparo 1/2 R$ 65,00</t>
  </si>
  <si>
    <t>Bilhetes Promoção Nucleo 2/6 R$ 34,00; Taxa de preparo 2/3 R$ 26,00</t>
  </si>
  <si>
    <t>Bilhetes Promoção Nucleo 3/6 R$ 50,00; Taxa de preparo 2/3 R$ 26,00; Camisa Preparo 1/2 R$ 65,00</t>
  </si>
  <si>
    <t>Bilhetes Promoção Nucleo 3/3 R$ 100,00; Doação Mesas de Jogos 2/10 R$ 15,00; Taxa de preparo 2/3 R$ 26,00</t>
  </si>
  <si>
    <t>Bilhetes Promoção Nucleo 3/3 R$ 100,00; Taxa de preparo 2/3 R$ 26,00</t>
  </si>
  <si>
    <t>Bilhetes Promoção Nucleo 3/3 R$ 40,00; Encontro do Plantio 2/2 R$ 50,00; Taxa de preparo 2/3 R$ 26,00; Camisa Preparo 1/2 R$ 32,50; Foto Meste R$ 20,00</t>
  </si>
  <si>
    <t>Bilhetes Promoção Nucleo 3/6 R$ 50,00; Taxa de preparo 2/3 R$ 26,00; Camisa Preparo R$ 65,00</t>
  </si>
  <si>
    <t>Bilhetes Promoção Nucleo 3/3 R$ 100,00; Encontro do Plantio 2/2 R$ 50,00; Taxa de preparo 2/3 R$ 26,00</t>
  </si>
  <si>
    <t>Doação Mesas de Jogos 2/10 R$ 10,00; Taxa de preparo 2/3 R$ 26,00</t>
  </si>
  <si>
    <t>Encontro do Plantio 2/2 R$ 50,00; Doação Mesas de Jogos 2/10 R$ 15,00; Taxa de preparo 2/3 R$ 26,00</t>
  </si>
  <si>
    <t>Bilhetes Promoção Nucleo 3/6 R$ 50,00; Taxa de preparo 2/3 R$ 26,00</t>
  </si>
  <si>
    <t>Bilhetes Promoção Nucleo 3/5 R$ 40,80; Encontro do Plantio 2/2 R$ 50,00; Taxa de preparo 2/3 R$ 26,00; Camisa Preparo 1/3 R$ 21,67</t>
  </si>
  <si>
    <t>Bilhetes Promoção Nucleo 2/3 R$ 100,00; Taxa de preparo 2/3 R$ 26,00</t>
  </si>
  <si>
    <t>Taxa de preparo 2/3 R$ 26,00; Camisa Preparo 1/2 R$ 32,50</t>
  </si>
  <si>
    <t>Pagou as mensalidades de out, nov e dez</t>
  </si>
  <si>
    <t>ANA VIVIAN SOUZA DE FREITAS</t>
  </si>
  <si>
    <t>Bilhetes Promoção Nucleo 3/6 R$ 84,00; Encontro do Plantio 2/2 R$ 50,00; Doação Mesas de Jogos 2/10 R$ 15,00; Taxa de preparo 2/3 R$ 26,00</t>
  </si>
  <si>
    <t>Bilhetes Promoção Nucleo 3/3 R$ 88,00; Taxa de preparo 2/3 R$ 26,00</t>
  </si>
  <si>
    <t>Bilhetes Promoção Nucleo 3/4 R$ 50,00; Taxa de preparo 2/3 R$ 26,00; Camisa Preparo R$ 65,00</t>
  </si>
  <si>
    <t>parcela 1 da taxa de preparo</t>
  </si>
  <si>
    <t>MARIA MARILZA DA SILVA PESSOA</t>
  </si>
  <si>
    <t>VANIA MARIA CHAVES DE CASTRO</t>
  </si>
  <si>
    <t>Emanuel (10)</t>
  </si>
  <si>
    <t>10 a 31</t>
  </si>
  <si>
    <t>Observação: Foi deduzido dos valores recebidos o valor de R$ 38,50 referente à devolução de um pix pago em duplicidade pela C. Silvane no dia 06/10.</t>
  </si>
  <si>
    <t>1, 23</t>
  </si>
  <si>
    <t>Samuel (16)</t>
  </si>
  <si>
    <t>1 a 9</t>
  </si>
  <si>
    <t>Camisas - Pagbank</t>
  </si>
  <si>
    <t>Pratas</t>
  </si>
  <si>
    <t>18, 24</t>
  </si>
  <si>
    <t>Empréstimo para casa de preparo</t>
  </si>
  <si>
    <t>Contribuição Sobremesa 01 de novembro</t>
  </si>
  <si>
    <t>29, 30</t>
  </si>
  <si>
    <t>Promoção NFD - Empréstimo nas maquinetas</t>
  </si>
  <si>
    <t>- Agrilberto (250)</t>
  </si>
  <si>
    <t>Casa de preparo - telhas</t>
  </si>
  <si>
    <t>- Edini (70), Joserlan (80)</t>
  </si>
  <si>
    <t>Dia das crianças na Caracanga</t>
  </si>
  <si>
    <t>- Pollyana (50), Dani Rios (50), Ramide (30)</t>
  </si>
  <si>
    <t>https://drive.google.com/open?id=1fwkA3XrcPLGGbIA--xQdWeavewLm84RL&amp;usp=drive_fs</t>
  </si>
  <si>
    <t>https://drive.google.com/open?id=1Lx6LCVW6PjzV1667qxmAm5nbn5jtI6Y3&amp;usp=drive_fs</t>
  </si>
  <si>
    <t>https://drive.google.com/open?id=1XBk7ujN-qov_2jKFCHvQI9r84Ze_Dd2w&amp;usp=drive_fs</t>
  </si>
  <si>
    <t>INSS</t>
  </si>
  <si>
    <t>https://drive.google.com/open?id=1yLWJMHUboi7NhjkML6HihCFPQWLd0Qfj&amp;usp=drive_fs</t>
  </si>
  <si>
    <t>https://drive.google.com/open?id=1IjPVDoaxUKKyjn8dW4awSGBJohBo2JaL&amp;usp=drive_fs</t>
  </si>
  <si>
    <t>Darf Previdenciário</t>
  </si>
  <si>
    <t>https://drive.google.com/open?id=11KpsjB-GxlTjnvjIDdXVGjS0zWSLph0e&amp;usp=drive_fs</t>
  </si>
  <si>
    <t>https://drive.google.com/open?id=1wdPaMlWKEylIilBi0Zf88XnEKhoTjxZU&amp;usp=drive_fs</t>
  </si>
  <si>
    <t>https://drive.google.com/open?id=1v4rHoyv9GoqjmdzZ-IB21omkTTA5hmoh&amp;usp=drive_fs</t>
  </si>
  <si>
    <t>Pagamento único de R$ 2.090,00</t>
  </si>
  <si>
    <t>https://drive.google.com/open?id=1PFz0ACRwkkyzWCzgb7q8btFmwzyjCC_f&amp;usp=drive_fs</t>
  </si>
  <si>
    <t>11a Região - Extra (taxa encontro Plantio)</t>
  </si>
  <si>
    <t>https://drive.google.com/open?id=1rxWXAORfPejwZ48CqtNcB0GKbgxfVrGE&amp;usp=drive_fs</t>
  </si>
  <si>
    <t>Referente a setembro</t>
  </si>
  <si>
    <t>https://drive.google.com/open?id=1-eRcXqOPl62z8S9TvrjZrLiJI6nwseQM&amp;usp=drive_fs</t>
  </si>
  <si>
    <t>Referente a outubro</t>
  </si>
  <si>
    <t>https://drive.google.com/open?id=1i4yZC1fAocUTIWDlwdIzjCYaH4ul01LO&amp;usp=drive_fs</t>
  </si>
  <si>
    <t>https://drive.google.com/open?id=1haObgdFGMyxOxIt2Uzxa-FfVZYOvpUhq&amp;usp=drive_fs</t>
  </si>
  <si>
    <t>https://drive.google.com/open?id=1_SZAmC8fZhLa-zE2AhZI_0pblToGJlxX&amp;usp=drive_fs</t>
  </si>
  <si>
    <t>https://drive.google.com/open?id=1Fo6x6iq2Fpjlxd27S4pkR0-1SMqXgfD1&amp;usp=drive_fs</t>
  </si>
  <si>
    <t>https://drive.google.com/open?id=1tLs9dzfsnU9Ig2J33E2Hv51FJJok3Hbe&amp;usp=drive_fs</t>
  </si>
  <si>
    <t>https://drive.google.com/open?id=1-R5BKGyx6siT-niVbLRkcSjZSVecNDe-&amp;usp=drive_fs</t>
  </si>
  <si>
    <t>Parcela 6 de 6</t>
  </si>
  <si>
    <t>https://drive.google.com/open?id=181c1tE1k8DSKgIYla1wDI7z5GeDsDdJd&amp;usp=drive_fs</t>
  </si>
  <si>
    <t>https://drive.google.com/open?id=14AtHZFgyWL3j3CRhWzE8DA6fVX3P28Xq&amp;usp=drive_fs</t>
  </si>
  <si>
    <t>Parcela 2 de 3</t>
  </si>
  <si>
    <t>https://drive.google.com/open?id=1hE7HRzkkZ3hAmf532R2dqGbtv4Vmu3ZW&amp;usp=drive_fs</t>
  </si>
  <si>
    <t>Ônibus Viagem Viçosa</t>
  </si>
  <si>
    <t>Pagamento de sinal para reserva de ônibos - Viagem a Viçosa</t>
  </si>
  <si>
    <t>https://drive.google.com/open?id=19c2UlmvnkgOdwPb5J7ZS8tSCkYRs7H5h&amp;usp=drive_fs</t>
  </si>
  <si>
    <t>Repasse Promoção NFD - Empréstimo das maquinetas</t>
  </si>
  <si>
    <t>https://drive.google.com/open?id=1PaIUCHrPBuE0os7TojSok9aLKq25x2us&amp;usp=drive_fs</t>
  </si>
  <si>
    <t>Lanche - Sessão Extra</t>
  </si>
  <si>
    <t>https://drive.google.com/open?id=1IzBMsHkIx1PQlK-tCNQCnCUxMNZWMLcZ&amp;usp=drive_fs</t>
  </si>
  <si>
    <t>https://drive.google.com/open?id=1iA6IEsajXhK1eUk0Se8JWIn7q-4HD1NA&amp;usp=drive_fs</t>
  </si>
  <si>
    <t>https://drive.google.com/open?id=1V-yXKPueBptu-mNnBdJtBEzG3keffe6-&amp;usp=drive_fs</t>
  </si>
  <si>
    <t>https://drive.google.com/open?id=1Vreot9BjOktZsMnoU0XBMHLoeQALxv_q&amp;usp=drive_fs</t>
  </si>
  <si>
    <t>https://drive.google.com/open?id=1BK8IoctQTelJ6Lwmph_7JTki9bHjR4LF&amp;usp=drive_fs</t>
  </si>
  <si>
    <t>https://drive.google.com/open?id=1Nlh-OKJWr7tHaiCOgW8Ig-P0b_sOEBRk&amp;usp=drive_fs</t>
  </si>
  <si>
    <t>Jantar (mês passado)</t>
  </si>
  <si>
    <t>https://drive.google.com/open?id=1U617lWKaZ7q2j1cltST9nIcq2K80OG3h&amp;usp=drive_fs</t>
  </si>
  <si>
    <t>https://drive.google.com/open?id=123eAfValioyF20Slfo0xxKNCBnd-ZNuR&amp;usp=drive_fs</t>
  </si>
  <si>
    <t>Jantar 2a escala de setembro</t>
  </si>
  <si>
    <t>https://drive.google.com/open?id=1Og33X9GPHyWw314SKayRrSFGix1-VN6_&amp;usp=drive_fs</t>
  </si>
  <si>
    <t>https://drive.google.com/open?id=1eLQYB5hAZyA0TYJSQ0bAnfF_Lj6x39au&amp;usp=drive_fs</t>
  </si>
  <si>
    <t>https://drive.google.com/open?id=1aRrWO8WD8dPp11_jNboGsi84NiKwNx0X&amp;usp=drive_fs</t>
  </si>
  <si>
    <t>https://drive.google.com/open?id=1gt3kHnYbYHmPOLD143vG1qMcuuDwaGko&amp;usp=drive_fs</t>
  </si>
  <si>
    <t>https://drive.google.com/open?id=125g4NMYm2dy0wR3C8jxu70s7I3mErM2x&amp;usp=drive_fs</t>
  </si>
  <si>
    <t>https://drive.google.com/open?id=1Pd5veX4gp6WqA0pkcE-k9eS707KNexMN&amp;usp=drive_fs</t>
  </si>
  <si>
    <t>https://drive.google.com/open?id=1M-dVJb19yUDr8JVfSVnAQZQPS3U2ypPB&amp;usp=drive_fs</t>
  </si>
  <si>
    <t>https://drive.google.com/open?id=1bbcHiFZewCoN_M-9ZnpcvNeyohZmzfV5&amp;usp=drive_fs</t>
  </si>
  <si>
    <t>https://drive.google.com/open?id=1mCXMOloy-z5juGLyBLA6luHQKQIyHJw8&amp;usp=drive_fs</t>
  </si>
  <si>
    <t>https://drive.google.com/open?id=14cpQ0-2CJoShbGIQI6NxeoYLKu64l4MM&amp;usp=drive_fs</t>
  </si>
  <si>
    <t>https://drive.google.com/open?id=1kJcBJ2l_7jNnVxGpwBQDtPwUarb-3TtT&amp;usp=drive_fs</t>
  </si>
  <si>
    <t>https://drive.google.com/open?id=1KSihAvjFtFwnI13a-SZNDiH9ACEjrYpF&amp;usp=drive_fs</t>
  </si>
  <si>
    <t>https://drive.google.com/open?id=16VBQPNsRCqSS-fYNiciIJ16Chy2-h0cD&amp;usp=drive_fs</t>
  </si>
  <si>
    <t>https://drive.google.com/open?id=15IJo5u-9CVSo1NzcHCH4k-j3111DLVfj&amp;usp=drive_fs</t>
  </si>
  <si>
    <t>https://drive.google.com/open?id=1jWsieOcqse8RyYihKUVF6q-1XI-dblSj&amp;usp=drive_fs</t>
  </si>
  <si>
    <t>https://drive.google.com/open?id=1Rr7GsGhDfmzZQi4Y-UD0vJcBGm3Z-_wQ&amp;usp=drive_fs</t>
  </si>
  <si>
    <t>https://drive.google.com/open?id=155ATY-u_fHPIb3RAtWFCThZP8viTwzxL&amp;usp=drive_fs</t>
  </si>
  <si>
    <t>Bacias de alumínio para lavagem da Chacrona</t>
  </si>
  <si>
    <t>https://drive.google.com/open?id=1cFu8fiR05HjKXkR67uhrBOGMTUk9WFte&amp;usp=drive_fs</t>
  </si>
  <si>
    <t>https://drive.google.com/open?id=194FGfeZGMijhZHVidiG0JGp1jw1iT19a&amp;usp=drive_fs</t>
  </si>
  <si>
    <t>https://drive.google.com/open?id=1zHjLdjHOX77QTe9YzMZAcvgcgWTDFxUu&amp;usp=drive_fs</t>
  </si>
  <si>
    <t>Itens para máquina de lavar o Mariri</t>
  </si>
  <si>
    <t>https://drive.google.com/open?id=1TUaEFGM10IGG45EBVCcDEOnolENNGWk4&amp;usp=drive_fs</t>
  </si>
  <si>
    <t>Serviço manutenção reboque João Viana</t>
  </si>
  <si>
    <t>https://drive.google.com/open?id=1YRN6zhP5mFtfaSgyEZ4b_mEyTXxnZSmD&amp;usp=drive_fs</t>
  </si>
  <si>
    <t>Sessão de Casal</t>
  </si>
  <si>
    <t>Sobremesas Almoço 1 de novembro</t>
  </si>
  <si>
    <t>https://drive.google.com/open?id=1l3ZR9qxIYsVDrL3YyjA6pokPW39hot_9&amp;usp=drive_fs</t>
  </si>
  <si>
    <t>Lanche Sessão 1 de novembro</t>
  </si>
  <si>
    <t>https://drive.google.com/open?id=1g0gVGGk-u8DY2CIooq4gxUul4MqlqTmi&amp;usp=drive_fs</t>
  </si>
  <si>
    <t>Quitação do empréstimo</t>
  </si>
  <si>
    <t>https://drive.google.com/open?id=1neyqTAnpXbluBQ5bDeAQfpXx8JtSSmp8&amp;usp=drive_fs</t>
  </si>
  <si>
    <t>Despesas da obra - Pagbank</t>
  </si>
  <si>
    <t>https://docs.google.com/spreadsheets/d/1Ace-3C_oNrjr7ccZ6w4O0F58nWWQSrkpUNh5zUPLNSI/edit?usp=sharing</t>
  </si>
  <si>
    <t>https://drive.google.com/open?id=1MBvpl7URjFVekjr13OSp-ebizoua775B&amp;usp=drive_fs</t>
  </si>
  <si>
    <t>Tela de proteção para fornalha</t>
  </si>
  <si>
    <t>https://drive.google.com/open?id=1jpg5Gt2u9dFNaN3qeaf9DXsHJoPPlSE0&amp;usp=drive_fs</t>
  </si>
  <si>
    <t>Itens de manutenção do núcleo</t>
  </si>
  <si>
    <t>https://drive.google.com/open?id=1aRKln23fXPWcIDaNRQMOxQJ6KRf4BnW4&amp;usp=drive_fs</t>
  </si>
  <si>
    <t>https://drive.google.com/open?id=13xLPeIrCbHXMpJN8eF5xni53Unyaxe_m&amp;usp=drive_fs</t>
  </si>
  <si>
    <t>https://drive.google.com/open?id=10rrx1DE-mOJKmT0g4c01pS3H54w3_pKp&amp;usp=drive_fs</t>
  </si>
  <si>
    <t>https://drive.google.com/open?id=1J8OXPacWMGzsvNL9hRodqf8RXYDDC0Zr&amp;usp=drive_fs</t>
  </si>
  <si>
    <t>https://drive.google.com/open?id=17RpEnZ0RVDICnpnshPiC2ABMdq9oQyrN&amp;usp=drive_fs</t>
  </si>
  <si>
    <t>https://drive.google.com/open?id=1LxEAcmCQwxxBCXdni39xsviYEwvlGwRj&amp;usp=drive_fs</t>
  </si>
  <si>
    <t>https://drive.google.com/open?id=1Haszh-pkRNy6DvEJcpQB81d9j_fMGGjk&amp;usp=drive_fs</t>
  </si>
  <si>
    <t>https://drive.google.com/open?id=1Xg0ipISe9-VBPZwt5XUBYocQdPMnzMK1&amp;usp=drive_fs</t>
  </si>
  <si>
    <t>https://drive.google.com/open?id=1ets5GE_EtNgcKd9MRMYG8mJpbOXKJLDX&amp;usp=drive_fs</t>
  </si>
  <si>
    <t>Alimentação para dia das crianças na Caracanga</t>
  </si>
  <si>
    <t>https://drive.google.com/open?id=18DMpWVNeII9Fa-RECgyAHbDoCOjKgnsw&amp;usp=drive_fs</t>
  </si>
  <si>
    <t>Brinquedos dia das crianças</t>
  </si>
  <si>
    <t>https://drive.google.com/open?id=1OciQnacS0RwJllfipazrfD9sERaIoeux&amp;usp=drive_fs</t>
  </si>
  <si>
    <t>Cama elástica (locação)</t>
  </si>
  <si>
    <t>https://drive.google.com/open?id=1Y4nWcCcP-d6NhBb7-mqoRWCuKbaKTzJW&amp;usp=drive_fs</t>
  </si>
  <si>
    <t>Adesivos para copos</t>
  </si>
  <si>
    <t>Compra de copos de alumínio</t>
  </si>
  <si>
    <t>Despesas da cantina</t>
  </si>
  <si>
    <t>https://drive.google.com/open?id=12fjc81eUSqpDUUGbGiapFRqXGublMFA6&amp;usp=drive_fs</t>
  </si>
  <si>
    <t>Materiais descartáveis</t>
  </si>
  <si>
    <t>https://drive.google.com/open?id=12NVGRRrpoGqzCg1Q8kYQtWjvuzmrxfNa&amp;usp=drive_fs</t>
  </si>
  <si>
    <t>https://drive.google.com/open?id=1P4AGlKiYuV2oJAZV5RpEwZHjy-NpTHTP&amp;usp=drive_fs</t>
  </si>
  <si>
    <t>https://drive.google.com/open?id=1y_PSFwxAg15gvZzpFTf5Twk2mb8jcF71&amp;usp=drive_fs</t>
  </si>
  <si>
    <t>https://drive.google.com/open?id=1R_Pr31gsjLbQA6kZZ5cRgLSi1w3gPgQ_&amp;usp=drive_fs</t>
  </si>
  <si>
    <t>https://drive.google.com/open?id=1djpy0s_qwXZYvD5S21Kcs5pqbTdvw-hy&amp;usp=drive_fs</t>
  </si>
  <si>
    <t>https://drive.google.com/open?id=12m-Tv1QeqeQ_hmmA1EC-A-_AOI_TWYPm&amp;usp=drive_fs</t>
  </si>
  <si>
    <t>https://drive.google.com/open?id=1oTwDZJ_XW91bIMb_6bLxEqQsP78jOve5&amp;usp=drive_fs</t>
  </si>
  <si>
    <t>https://drive.google.com/open?id=1rpieBimWJQd2G7TuyVXwwoVID-j3b6iS&amp;usp=drive_fs</t>
  </si>
  <si>
    <t>https://drive.google.com/open?id=1FNpSMRy9hz6qxqEvaJKqvOldYhqbClj_&amp;usp=drive_fs</t>
  </si>
  <si>
    <t>Camisas - Estampagem</t>
  </si>
  <si>
    <t>NF foi faturada com valor a maior.</t>
  </si>
  <si>
    <t>https://drive.google.com/open?id=1KqccG-GrMYgDP3QiT7AXOrCwhijPNNHL&amp;usp=drive_fs</t>
  </si>
  <si>
    <t>Camisas - Compra</t>
  </si>
  <si>
    <t>https://drive.google.com/open?id=1FU_h3rDoJqbF4BHQ_Y4CUDJVodP58IBF&amp;usp=drive_fs</t>
  </si>
  <si>
    <t>Cabides e araras</t>
  </si>
  <si>
    <t>https://drive.google.com/open?id=1_4lPYbCNMkRDhkfXP1tyJpkEO20EwbbL&amp;usp=drive_fs</t>
  </si>
  <si>
    <t>https://drive.google.com/open?id=1aYO6LThgWS6K-tCnpgsH4GaDpUSSeBxO&amp;usp=drive_fs</t>
  </si>
  <si>
    <t>Etiquetas</t>
  </si>
  <si>
    <t>https://drive.google.com/open?id=15LPMsVYhjxU2iw76wlETHw1w6DJGzoUZ&amp;usp=drive_fs</t>
  </si>
  <si>
    <t>https://drive.google.com/open?id=12v6Q7ArVpMsUzUDiCmcCV_e4-wFNEFYX&amp;usp=drive_fs</t>
  </si>
  <si>
    <t>https://drive.google.com/open?id=18-RvlbuUC-BnKV9g0WxVsqTMWuV_As_E&amp;usp=drive_fs</t>
  </si>
  <si>
    <t>https://drive.google.com/open?id=1IC6gaUn_F6u1EAtK2i9QHZYfadNNesbF&amp;usp=drive_fs</t>
  </si>
  <si>
    <t>Bilhetes Promoção Nucleo 4/5 R$ 125,00; Doação Mesas de Jogos 3/10 R$ 15,00; Taxa de preparo 3/3 R$ 26,00</t>
  </si>
  <si>
    <t>Taxa de preparo 3/3 R$ 26,00</t>
  </si>
  <si>
    <t>Taxa de preparo 3/3 R$ 26,00; Viagem Viçosa 1/3 R$ 125,00</t>
  </si>
  <si>
    <t>Bilhetes Promoção Nucleo 4/4 R$ 96,00; Taxa de preparo 3/3 R$ 26,00</t>
  </si>
  <si>
    <t>Doação Mesas de Jogos 3/10 R$ 20,00; Taxa de preparo 3/3 R$ 26,00; Viagem Viçosa 1/3 R$ 208,33</t>
  </si>
  <si>
    <t>1, 10</t>
  </si>
  <si>
    <t>Mensalidade paga em duplicidade, será abatido em dezembro</t>
  </si>
  <si>
    <t>Taxa de preparo 3/3 R$ 26,00; Camisa Preparo 2/2 R$ 65,00</t>
  </si>
  <si>
    <t>Doação Mesas de Jogos 3/10 R$ 15,00; Taxa de preparo 3/3 R$ 26,00; Viagem Viçosa 1/3 R$ 125,00</t>
  </si>
  <si>
    <t>Doação Mesas de Jogos 3/10 R$ 15,00; Taxa de preparo 3/3 R$ 26,00</t>
  </si>
  <si>
    <t>Doação Mesas de Jogos 3/10 R$ 15,00; Taxa de preparo 3/3 R$ 26,00; Viagem Viçosa 1/3 R$ 83,33</t>
  </si>
  <si>
    <t>Taxa de preparo 3/3 R$ 26,00; Viagem Viçosa 1/3 R$ 166,67</t>
  </si>
  <si>
    <t>Bilhetes Promoção Nucleo 4/6 R$ 50,00; Doação Mesas de Jogos 3/10 R$ 15,00; Taxa de preparo 3/3 R$ 26,00; Camisa Preparo 2/3 R$ 81,67</t>
  </si>
  <si>
    <t>Bilhetes Promoção Nucleo 4/6 R$ 100,00; Taxa de preparo 3/3 R$ 26,00; Viagem Viçosa 1/3 R$ 83,33</t>
  </si>
  <si>
    <t>Bilhetes Promoção Nucleo 4/6 R$ 50,00; Doação Mesas de Jogos 3/10 R$ 15,00; Taxa de preparo 3/3 R$ 26,00; Camisa Preparo 2/2 R$ 65,00; Viagem Viçosa 1/3 R$ 41,67</t>
  </si>
  <si>
    <t>1, 30</t>
  </si>
  <si>
    <t>Pagamento referente a outubro e novembro</t>
  </si>
  <si>
    <t>Bilhetes Promoção Nucleo 4/6 R$ 44,00; Doação Mesas de Jogos 3/10 R$ 15,00; Taxa de preparo 3/3 R$ 26,00; Camisa Preparo 2/3 R$ 76,67</t>
  </si>
  <si>
    <t>Bilhetes Promoção Nucleo 4/6 R$ 48,00; Taxa de preparo 3/3 R$ 26,00</t>
  </si>
  <si>
    <t>Taxa de preparo 3/3 R$ 26,00; Viagem Viçosa 1/3 R$ 83,33</t>
  </si>
  <si>
    <t>Está pendente a mensalidade de outubro</t>
  </si>
  <si>
    <t>Pendente o pagamento da 1a parcela da viagem para Viçosa (41,67)</t>
  </si>
  <si>
    <t>Taxa de preparo 3/3 R$ 26,00; Viagem Viçosa 1/3 R$ 41,67</t>
  </si>
  <si>
    <t>Parcelamento 6/6 R$ 121,90; Taxa de preparo 3/3 R$ 26,00; Camisa Preparo 2/2 R$ 65,00</t>
  </si>
  <si>
    <t>Bilhetes Promoção Nucleo 3/6 R$ 34,00; Taxa de preparo 3/3 R$ 26,00</t>
  </si>
  <si>
    <t>Bilhetes Promoção Nucleo 4/6 R$ 50,00; Taxa de preparo 3/3 R$ 26,00; Camisa Preparo 2/2 R$ 65,00; Viagem Viçosa 1/3 R$ 41,67</t>
  </si>
  <si>
    <t>Doação Mesas de Jogos 3/10 R$ 15,00; Taxa de preparo 3/3 R$ 26,00; Viagem Viçosa 1/3 R$ 208,33</t>
  </si>
  <si>
    <t>Taxa de preparo 3/3 R$ 26,00; Camisa Preparo 2/2 R$ 32,50; Viagem Viçosa 1/3 R$ 41,67</t>
  </si>
  <si>
    <t>Bilhetes Promoção Nucleo 4/6 R$ 50,00; Taxa de preparo 3/3 R$ 26,00; Viagem Viçosa 1/3 R$ 41,67</t>
  </si>
  <si>
    <t>Doação Mesas de Jogos 3/10 R$ 10,00; Taxa de preparo 3/3 R$ 26,00; Viagem Viçosa 1/3 R$ 83,33</t>
  </si>
  <si>
    <t>Pago a mensalidade de outubro</t>
  </si>
  <si>
    <t>Bilhetes Promoção Nucleo 4/6 R$ 50,00; Taxa de preparo 3/3 R$ 26,00</t>
  </si>
  <si>
    <t>Bilhetes Promoção Nucleo 4/6 R$ 50,00; Taxa de preparo 3/3 R$ 26,00; Camisa Preparo 1/2 R$ 97,50</t>
  </si>
  <si>
    <t>Bilhetes Promoção Nucleo 4/5 R$ 40,80; Taxa de preparo 3/3 R$ 26,00; Camisa Preparo 2/3 R$ 21,67; Viagem Viçosa 1/3 R$ 41,67</t>
  </si>
  <si>
    <t>Bilhetes Promoção Nucleo 3/3 R$ 100,00; Taxa de preparo 3/3 R$ 26,00; Viagem Viçosa 1/3 R$ 41,67</t>
  </si>
  <si>
    <t>Taxa de preparo 3/3 R$ 26,00; Camisa Preparo 2/2 R$ 32,50; Viagem Viçosa 1/3 R$ 83,33</t>
  </si>
  <si>
    <t>MARIA DA PENHA GALVAO ARAUJO</t>
  </si>
  <si>
    <t>Bilhetes Promoção Nucleo 4/6 R$ 84,00; Doação Mesas de Jogos 3/10 R$ 15,00; Taxa de preparo 3/3 R$ 26,00; Viagem Viçosa 1/3 R$ 83,33</t>
  </si>
  <si>
    <t>Bilhetes Promoção Nucleo 4/4 R$ 50,00; Taxa de preparo 3/3 R$ 26,00</t>
  </si>
  <si>
    <t>Taxa de preparo 2/3 R$ 26,00; Taxa de preparo 3/3 R$ 26,00</t>
  </si>
  <si>
    <t>Viagem Viçosa 1/3 R$ 166,67</t>
  </si>
  <si>
    <t>CLAUDEMIR DA SILVA ESTEVAM</t>
  </si>
  <si>
    <t>1, 6</t>
  </si>
  <si>
    <t>Bazar Chic - Camisas</t>
  </si>
  <si>
    <t>2, 4</t>
  </si>
  <si>
    <t>Deduzido R$ 84,10 referente a devoluções de valores pagos a maior</t>
  </si>
  <si>
    <t>Bazar Chic - Vendas de Roupas</t>
  </si>
  <si>
    <t>Bazar Chic - Vendas de Roupas e pratas</t>
  </si>
  <si>
    <t>Bazar Chic - Vendas de Pratas</t>
  </si>
  <si>
    <t>Camisas Preparo</t>
  </si>
  <si>
    <t>2, 3</t>
  </si>
  <si>
    <t>7, 17</t>
  </si>
  <si>
    <t>Eduardo Luiz de Lima - Valor não identificado</t>
  </si>
  <si>
    <t>Contribuição Almoço 01 de Novembro</t>
  </si>
  <si>
    <t>Contribuição Jantar 01 de Novembro</t>
  </si>
  <si>
    <t>Contribuição sobremesa - Almoço 01 de novembro</t>
  </si>
  <si>
    <t>Samuel (50)</t>
  </si>
  <si>
    <t>Casa de preparo - Telhas</t>
  </si>
  <si>
    <t>M. Cassio</t>
  </si>
  <si>
    <t>16, 25</t>
  </si>
  <si>
    <t>Decoração</t>
  </si>
  <si>
    <t>9, 15</t>
  </si>
  <si>
    <t>Ton</t>
  </si>
  <si>
    <t>https://drive.google.com/open?id=11YDwGkJnbnHjhaKXoxJNGDpVHrqqtEqp&amp;usp=drive_fs</t>
  </si>
  <si>
    <t>13° Salário</t>
  </si>
  <si>
    <t>https://drive.google.com/open?id=1n5W6VkZoeUUzQgI5OuY5Z1Lo9wOewuHA&amp;usp=drive_fs</t>
  </si>
  <si>
    <t>https://drive.google.com/open?id=13XOVq35LL-7_3SSTNa7wPrHVCWFecWQY&amp;usp=drive_fs</t>
  </si>
  <si>
    <t>https://drive.google.com/open?id=1ZUQ8dmWclP_lIu-elhahNAn4qH3smB_2&amp;usp=drive_fs</t>
  </si>
  <si>
    <t>https://drive.google.com/open?id=1b5Afn1P9bidXeZTDoOlzGVClMmymaHMr&amp;usp=drive_fs</t>
  </si>
  <si>
    <t>Pagamento total no valor de R$ 2.914,14</t>
  </si>
  <si>
    <t>https://drive.google.com/open?id=1Z5mHWAzJww57NFaClbs_mP5woEnoNQTM&amp;usp=drive_fs</t>
  </si>
  <si>
    <t>Pagamento total no valor de R$ 1.224,00</t>
  </si>
  <si>
    <t>https://drive.google.com/open?id=10uukCRRoGe64uKJT91E5hOaLYYJLCNGM&amp;usp=drive_fs</t>
  </si>
  <si>
    <t>https://drive.google.com/open?id=1C43pcDD2-yRr7yAFFC203EuOP0nc3Evq&amp;usp=drive_fs</t>
  </si>
  <si>
    <t>https://drive.google.com/open?id=160QX4wNbH8zeULDqFIkcW5siNlctixnv&amp;usp=drive_fs</t>
  </si>
  <si>
    <t>https://drive.google.com/open?id=1_8hpACrv_6Tp7qc7BHJvwizIchdbKHXu&amp;usp=drive_fs</t>
  </si>
  <si>
    <t>https://drive.google.com/open?id=1WHX3qu-sXuVI9k9KPvKe5WyfFpIg3upG&amp;usp=drive_fs</t>
  </si>
  <si>
    <t>https://drive.google.com/open?id=1-Z4xsHNBH6LIfkv9Crrmo2p47lYn2Psm&amp;usp=drive_fs</t>
  </si>
  <si>
    <t>https://drive.google.com/open?id=1Kkyao-ErtVFfzhioRUCt2_-fATo2KbYJ&amp;usp=drive_fs</t>
  </si>
  <si>
    <t>https://drive.google.com/open?id=1nK7uj-JEr3tLN9D5m2uhAbe7UK5GbU4o&amp;usp=drive_fs</t>
  </si>
  <si>
    <t>Parcela 3 de 3</t>
  </si>
  <si>
    <t>https://drive.google.com/open?id=1x7ZZ3HAyAWwx9FvceX3IMfd6zbAbUu_P&amp;usp=drive_fs</t>
  </si>
  <si>
    <t>Frete para retirada de material no depósito público</t>
  </si>
  <si>
    <t>Genilson</t>
  </si>
  <si>
    <t>https://drive.google.com/open?id=19SqFu-NnuOrzVuJPuYBiTeAldxXFt3uY&amp;usp=drive_fs</t>
  </si>
  <si>
    <t>https://drive.google.com/open?id=1zSi_OF5TYIVSvL5MBbutEyXqTl0UdQ4E&amp;usp=drive_fs</t>
  </si>
  <si>
    <t>https://drive.google.com/open?id=1BPy0OypUqBWDgwFcx8qBcD69Wc2VSI8-&amp;usp=drive_fs</t>
  </si>
  <si>
    <t>Lanche - 1a escala (e jantar)</t>
  </si>
  <si>
    <t>https://drive.google.com/open?id=19m3V0kK5UyHzgcDLU9gHItCbY_AUPdLH&amp;usp=drive_fs</t>
  </si>
  <si>
    <t>https://drive.google.com/open?id=1Z64atKiqcf5yUYXQg0Pez_B2MH-jnxWW&amp;usp=drive_fs</t>
  </si>
  <si>
    <t>https://drive.google.com/open?id=1QF8dY0lYwq_2JdKddhnYvn8e5IgPaoDB&amp;usp=drive_fs</t>
  </si>
  <si>
    <t>Lanche - 2a escala e jantar</t>
  </si>
  <si>
    <t>https://drive.google.com/open?id=1ZZrg4nX5jWT0qv2kuyxI7aQ7bzFgTaVX&amp;usp=drive_fs</t>
  </si>
  <si>
    <t>https://drive.google.com/open?id=1Id8EEdGAkSLpAyG4GFhHyKUIYI3zUmdw&amp;usp=drive_fs</t>
  </si>
  <si>
    <t>Material de limpeza - Salomão</t>
  </si>
  <si>
    <t>https://drive.google.com/open?id=1TF_Oyy7fcT_4X_HyjEAXEaLxHXer8Unz&amp;usp=drive_fs</t>
  </si>
  <si>
    <t>https://drive.google.com/open?id=1KACH0bC1NU765MT0JNNgWqy35UnDO86e&amp;usp=drive_fs</t>
  </si>
  <si>
    <t>https://drive.google.com/open?id=1zynbqTgLQRFM-JzCIh7sYRf4ZewTt1HC&amp;usp=drive_fs</t>
  </si>
  <si>
    <t>https://drive.google.com/open?id=1iXUVoC2CJzfxbWCYGzkCTulj2rgAAkAH&amp;usp=drive_fs</t>
  </si>
  <si>
    <t>Aluguel de mesas e cadeiras de plástico</t>
  </si>
  <si>
    <t>Escala Anual</t>
  </si>
  <si>
    <t>Sessão de casal - Alimentação</t>
  </si>
  <si>
    <t>https://drive.google.com/open?id=1kbBwULRVGRYyTpbFP_u7AoK9kQYsauct&amp;usp=drive_fs</t>
  </si>
  <si>
    <t>https://drive.google.com/open?id=1Oejz1_qDJc1n7akMk-GQgwHrxHmnDs5b&amp;usp=drive_fs</t>
  </si>
  <si>
    <t>Sessão de casal - Seguranças</t>
  </si>
  <si>
    <t>https://drive.google.com/open?id=11e9bLR0EkZzwxQPR1TELBlxS0qZJ9YLh&amp;usp=drive_fs</t>
  </si>
  <si>
    <t>https://drive.google.com/open?id=1YSHmXwjpU4n748Cgmnjc9E8f2pectbU8&amp;usp=drive_fs</t>
  </si>
  <si>
    <t>Cartão de crédito - compras parceladas</t>
  </si>
  <si>
    <t>Pendente comprovantes da obra</t>
  </si>
  <si>
    <t>C. João Carlos - Resta R$ 2.000 a pagar.</t>
  </si>
  <si>
    <t>https://drive.google.com/open?id=1W9apMQ2yybq0AasQhUiz3juTRXrNgypX&amp;usp=drive_fs</t>
  </si>
  <si>
    <t>C. Hugo - quitado</t>
  </si>
  <si>
    <t>https://drive.google.com/open?id=1Nn-74dgTBZvXNUwEIyORb_NwxmThDAG7&amp;usp=drive_fs</t>
  </si>
  <si>
    <t>C. Franco - quitado</t>
  </si>
  <si>
    <t>Aguardando M. Marcelo assinar</t>
  </si>
  <si>
    <t>M. Marcelo - Resta R$ 5.000 a pagar.</t>
  </si>
  <si>
    <t>Aguardando M. Marcelo e M. Maurício assinar</t>
  </si>
  <si>
    <t>Wallace - Resta R$ 5.000 a pagar.</t>
  </si>
  <si>
    <t>https://drive.google.com/open?id=1CWIfO27zacm4VKH9HY2GbgMqdC8P8PcV&amp;usp=drive_fs</t>
  </si>
  <si>
    <t>C. Vicente - quitado</t>
  </si>
  <si>
    <t>https://drive.google.com/open?id=1p3UwiJCOHZKyTzLrjaF8oIJcodBurb68&amp;usp=drive_fs</t>
  </si>
  <si>
    <t>M. Maurício - Resta R$ 5.000 a pagar.</t>
  </si>
  <si>
    <t>https://drive.google.com/open?id=1lY3HBLGYG05oOnUv29XtkRtRhHazba0D&amp;usp=drive_fs</t>
  </si>
  <si>
    <t>Serviço Poda de Árvores</t>
  </si>
  <si>
    <t>Pagamento inicial. Marcellio de Sousa Batista</t>
  </si>
  <si>
    <t>Segundo pagamento. Marcellio de Sousa Batista</t>
  </si>
  <si>
    <t>Diárias de serviço - Limpeza do núcleo</t>
  </si>
  <si>
    <t>Jonas</t>
  </si>
  <si>
    <t>Evaristo</t>
  </si>
  <si>
    <t>Poda dos cajueiros</t>
  </si>
  <si>
    <t>Marcellio de Sousa Batista</t>
  </si>
  <si>
    <t>Iluminação do jardim</t>
  </si>
  <si>
    <t>https://drive.google.com/open?id=1ppKgdstRYwlfNw3Z0skiJts03PpG0w90&amp;usp=drive_fs</t>
  </si>
  <si>
    <t>Diária de serviço</t>
  </si>
  <si>
    <t>Limpeza do terreno após a poda dos cajueiros</t>
  </si>
  <si>
    <t>Alimentação da equipe de poda dos cajueiros</t>
  </si>
  <si>
    <t>Almoços. Wesley.</t>
  </si>
  <si>
    <t>Valor do comprovante está a maior porque a diferença (R$ 402,90) corresponde a doação de um irmão.</t>
  </si>
  <si>
    <t>https://drive.google.com/open?id=1PuUXBuFcSK1D8It_UAOCFpk3dwqS3bJF&amp;usp=drive_fs</t>
  </si>
  <si>
    <t>Retirada do tronco do cajueiro</t>
  </si>
  <si>
    <t>Seu Cavalcante</t>
  </si>
  <si>
    <t>https://drive.google.com/open?id=1iID4oWOv3EPhoG7WolITBy7Njlc2JjoK&amp;usp=drive_fs</t>
  </si>
  <si>
    <t>Adesivos para copos dos sócios</t>
  </si>
  <si>
    <t>https://drive.google.com/open?id=1pA62WpS8tlnX6IuPpwvU_TQ01gXnDd76&amp;usp=drive_fs</t>
  </si>
  <si>
    <t>Compra de materiais</t>
  </si>
  <si>
    <t>https://drive.google.com/open?id=1PqzbbbRmNAs7TWSBtu6-DyHQ5I5OZlT1&amp;usp=drive_fs</t>
  </si>
  <si>
    <t>Air Frayer</t>
  </si>
  <si>
    <t>https://drive.google.com/open?id=1J8zYkC5W_t3QIe6RAUseemWx-X707kgb&amp;usp=drive_fs</t>
  </si>
  <si>
    <t>https://drive.google.com/open?id=1IUrlPL0j58qn25UKFuDtam_BVuoFL2y9&amp;usp=drive_fs</t>
  </si>
  <si>
    <t>https://drive.google.com/open?id=1A3KowXktdF2QI58CWXBNxR6kSp4Fqalb&amp;usp=drive_fs</t>
  </si>
  <si>
    <t>Pistolas de colocação de etiqueta nas roupas</t>
  </si>
  <si>
    <t>https://drive.google.com/open?id=1q0ztxqT01UuxLGYFL2mBsNnA8TrTPw0y&amp;usp=drive_fs</t>
  </si>
  <si>
    <t>Araras</t>
  </si>
  <si>
    <t>https://drive.google.com/open?id=180Vs4Dvp3eDrUo1NcM21TdmtZ6xRWwRb&amp;usp=drive_fs</t>
  </si>
  <si>
    <t>https://drive.google.com/open?id=1gpmjhoyNARquYX6toOlM86HlBLBzxq-5&amp;usp=drive_fs</t>
  </si>
  <si>
    <t>Araras e cabides</t>
  </si>
  <si>
    <t>https://drive.google.com/open?id=1rR2Z-581uEWHrYWcTnBPgYzcW948XvBC&amp;usp=drive_fs</t>
  </si>
  <si>
    <t>Sacolas</t>
  </si>
  <si>
    <t>https://drive.google.com/open?id=1HDtfi_5ymG1rVtn75ttnMnOZbioAJda6&amp;usp=drive_fs</t>
  </si>
  <si>
    <t>https://drive.google.com/open?id=1pGbGoVOnJxN9BsO53CYRfv-zYLjzdi1H&amp;usp=drive_fs</t>
  </si>
  <si>
    <t>Cabides</t>
  </si>
  <si>
    <t>https://drive.google.com/open?id=1FiyFlHmOYPNanCvXKdfdmFwSCRohKGF4&amp;usp=drive_fs</t>
  </si>
  <si>
    <t>Aluguel do buffet</t>
  </si>
  <si>
    <t>https://drive.google.com/open?id=1qz78J1S6AKE1-xFjmgJF0PMUH8B6Eu3G&amp;usp=drive_fs</t>
  </si>
  <si>
    <t>Camisas - Preparo</t>
  </si>
  <si>
    <t>https://drive.google.com/open?id=1zWhUdHkMlPUKqxzkixoSpwCpKtwZV_z4&amp;usp=drive_fs</t>
  </si>
  <si>
    <t>Camisas - Bazar Chic</t>
  </si>
  <si>
    <t>https://drive.google.com/open?id=1orqgXbcDghIKP16NoizI_6MStn3--sBy&amp;usp=drive_fs</t>
  </si>
  <si>
    <t>https://drive.google.com/open?id=1xI3JIBDGQzC3uS6xKFx0NDxEi1uFWp0k&amp;usp=drive_fs</t>
  </si>
  <si>
    <t>https://drive.google.com/open?id=1nDTYgSi0BPPh7G-s1joXIjktMOH-yCmY&amp;usp=drive_fs</t>
  </si>
  <si>
    <t>Itens diversos de decoração de natal para o núcleo</t>
  </si>
  <si>
    <t>https://drive.google.com/open?id=19MpF_GOWOl51jvSMyDgYYC0Fa15IJV7N&amp;usp=drive_fs</t>
  </si>
  <si>
    <r>
      <rPr>
        <b/>
        <sz val="10"/>
        <color theme="1"/>
        <rFont val="Calibri"/>
        <family val="2"/>
      </rPr>
      <t xml:space="preserve">Observação: </t>
    </r>
    <r>
      <rPr>
        <sz val="10"/>
        <color theme="1"/>
        <rFont val="Calibri"/>
        <family val="2"/>
      </rPr>
      <t xml:space="preserve">
</t>
    </r>
  </si>
  <si>
    <t>Ana Claudia (130)</t>
  </si>
  <si>
    <t>6, 19</t>
  </si>
  <si>
    <t>Venda de item recebido de doação</t>
  </si>
  <si>
    <t>Máquina recebida de doação do depósito público</t>
  </si>
  <si>
    <t>2a parcela</t>
  </si>
  <si>
    <t>Imposto referente ao 13° salário</t>
  </si>
  <si>
    <t>Diárias Evaristo</t>
  </si>
  <si>
    <t>Rescisão Wesley (multa)</t>
  </si>
  <si>
    <t>Pagamento único de R$ 2.914,14</t>
  </si>
  <si>
    <t>Pagamento único de R$ 1.224,00</t>
  </si>
  <si>
    <t>Novembro. Valor total do repasse: R$ 4.283,57, porém R$ 80 é pago a partir do caixa do plantio.</t>
  </si>
  <si>
    <t>Coroa de flores Klecius</t>
  </si>
  <si>
    <t>Lanche - 2a escala e Adventícios</t>
  </si>
  <si>
    <t>Acampamento</t>
  </si>
  <si>
    <t>Confraternização do núcleo</t>
  </si>
  <si>
    <t>Serviço de diarista</t>
  </si>
  <si>
    <t>Sessão ano novo</t>
  </si>
  <si>
    <t>Compras parceladas no cartão de crédito</t>
  </si>
  <si>
    <t>Parcela 3</t>
  </si>
  <si>
    <t>Portão - valor de entrada</t>
  </si>
  <si>
    <t>Incluso no pix de R$ 4.283,57 para o Flor divina</t>
  </si>
  <si>
    <t>Bazar - itens diversos</t>
  </si>
  <si>
    <r>
      <rPr>
        <b/>
        <sz val="10"/>
        <color theme="1"/>
        <rFont val="Calibri"/>
        <family val="2"/>
      </rPr>
      <t xml:space="preserve">Observação: </t>
    </r>
    <r>
      <rPr>
        <sz val="10"/>
        <color theme="1"/>
        <rFont val="Calibri"/>
        <family val="2"/>
      </rPr>
      <t xml:space="preserve">
</t>
    </r>
  </si>
  <si>
    <t>TOTAL
2025</t>
  </si>
  <si>
    <t>Cantina núcleo</t>
  </si>
  <si>
    <t>Cantina preparo</t>
  </si>
  <si>
    <t>IR Pagbank</t>
  </si>
  <si>
    <t>Desconto maquininhas Pagbank</t>
  </si>
  <si>
    <t>Lanche após a sessão</t>
  </si>
  <si>
    <t>APRESENTAÇÃO DO BALANCETE
NÚCLEO LINHA DE TUCUNACÁ</t>
  </si>
  <si>
    <t>SALDO INICIAL:</t>
  </si>
  <si>
    <t>MENSALIDADES</t>
  </si>
  <si>
    <t>PROMOÇÃO</t>
  </si>
  <si>
    <t>Mensalidade líquida........................................................................................</t>
  </si>
  <si>
    <t>Camisas....................................................</t>
  </si>
  <si>
    <t>Repasse Diretoria Geral........................................................................................</t>
  </si>
  <si>
    <t>OUTRAS RECEITAS</t>
  </si>
  <si>
    <t>Repasse 11a Região........................................................................................</t>
  </si>
  <si>
    <t>Caixa da boa vontade........................................................................................</t>
  </si>
  <si>
    <t>Contribuintes Beneficência........................................................................................</t>
  </si>
  <si>
    <t>Caixa do jantar........................................................................................</t>
  </si>
  <si>
    <t>Contribuintes Novo Encanto........................................................................................</t>
  </si>
  <si>
    <t>Contribuintes Plantio........................................................................................</t>
  </si>
  <si>
    <t>Fundo de Reserva - Bilhete Aéreo........................................................................................</t>
  </si>
  <si>
    <t>Fundo de Reserva - Construção........................................................................................</t>
  </si>
  <si>
    <t>Taxas extras........................................................................................</t>
  </si>
  <si>
    <t>RENDIMENTO FINANCEIRO</t>
  </si>
  <si>
    <t>DOAÇÃO</t>
  </si>
  <si>
    <t>Rendimento conta bancária........................................................................................</t>
  </si>
  <si>
    <t>TOTAL DE ENTRADAS:</t>
  </si>
  <si>
    <t>ADMINISTRATIVAS</t>
  </si>
  <si>
    <t>ORGAN</t>
  </si>
  <si>
    <t>Salário Zelador........................................................................................</t>
  </si>
  <si>
    <t>Mercado........................................................................................</t>
  </si>
  <si>
    <t>Encargos sociais........................................................................................</t>
  </si>
  <si>
    <t>Lanche........................................................................................</t>
  </si>
  <si>
    <t>Água mineral........................................................................................</t>
  </si>
  <si>
    <t>Energia Elétrica........................................................................................</t>
  </si>
  <si>
    <t>Vigilância........................................................................................</t>
  </si>
  <si>
    <t>REPASSES</t>
  </si>
  <si>
    <t>Diretoria Geral........................................................................................</t>
  </si>
  <si>
    <t>Internet........................................................................................</t>
  </si>
  <si>
    <t>11a Região........................................................................................</t>
  </si>
  <si>
    <t>Novo Encanto........................................................................................</t>
  </si>
  <si>
    <t>AQUISIÇÕES</t>
  </si>
  <si>
    <t>Flor Divina........................................................................................</t>
  </si>
  <si>
    <t>DEPARTAMENTOS</t>
  </si>
  <si>
    <t>Beneficência........................................................................................</t>
  </si>
  <si>
    <t>Plantio........................................................</t>
  </si>
  <si>
    <t>MANUTENÇÃO</t>
  </si>
  <si>
    <t>CONSTRUÇÃO</t>
  </si>
  <si>
    <t>TOTAL DE SAÍDAS:</t>
  </si>
  <si>
    <t>SALDO FINANCEIRO</t>
  </si>
  <si>
    <t>ORGANIZAÇÃO DOS RECURSOS</t>
  </si>
  <si>
    <t>Saldo Inicial........................................................................................</t>
  </si>
  <si>
    <t>Banco........................................................................................</t>
  </si>
  <si>
    <t>Receitas........................................................................................</t>
  </si>
  <si>
    <t>Dinheiro em caixa........................................................................................</t>
  </si>
  <si>
    <t>Despesas........................................................................................</t>
  </si>
  <si>
    <t>Saldo mensal...................................................</t>
  </si>
  <si>
    <t>CAIXAS - TESOURARIA / DEPARTAMENTOS</t>
  </si>
  <si>
    <t>Taxa de inadimplência no mês........................................................................................</t>
  </si>
  <si>
    <t>Operacional Tesouraria........................................................................................</t>
  </si>
  <si>
    <t>Taxa de atrasos no mês........................................................................................</t>
  </si>
  <si>
    <t>Plantio........................................................................................</t>
  </si>
  <si>
    <t>Fundo de Reserva - Construções........................................................................................</t>
  </si>
  <si>
    <t>Caixa</t>
  </si>
  <si>
    <t>Comprovante</t>
  </si>
  <si>
    <t>Plano de contas DG</t>
  </si>
  <si>
    <t>CONTAS DE RECEITAS</t>
  </si>
  <si>
    <t>1.1</t>
  </si>
  <si>
    <t>1.1.2001</t>
  </si>
  <si>
    <t>RECEITAS OPERACIONAIS</t>
  </si>
  <si>
    <t>1.1.1.01</t>
  </si>
  <si>
    <t>RECEITAS DE ASSOCIADOS</t>
  </si>
  <si>
    <t>1.1.1.01.0001</t>
  </si>
  <si>
    <t>Mensalidades</t>
  </si>
  <si>
    <t>1.1.1.01.0002</t>
  </si>
  <si>
    <t>1.1.1.01.0003</t>
  </si>
  <si>
    <t>Dízimos</t>
  </si>
  <si>
    <t>1.1.1.01.0004</t>
  </si>
  <si>
    <t>Contribuição Plantio</t>
  </si>
  <si>
    <t>1.1.1.01.0005</t>
  </si>
  <si>
    <t>Contribuição Festividades</t>
  </si>
  <si>
    <t>1.1.1.01.0006</t>
  </si>
  <si>
    <t>Contribuição Alimentação</t>
  </si>
  <si>
    <t>1.1.1.01.0007</t>
  </si>
  <si>
    <t>Contribuição Preparo</t>
  </si>
  <si>
    <t>1.1.1.01.0008</t>
  </si>
  <si>
    <t>Contribuição Segurança</t>
  </si>
  <si>
    <t>1.1.1.01.0009</t>
  </si>
  <si>
    <t>Outras Receitas de Associados</t>
  </si>
  <si>
    <t>1.1.1.02</t>
  </si>
  <si>
    <t>RECEITAS DE CONTRIBUIÇÕES</t>
  </si>
  <si>
    <t>1.1.1.02.0001</t>
  </si>
  <si>
    <t>Fundo Participação</t>
  </si>
  <si>
    <t>1.1.1.02.0002</t>
  </si>
  <si>
    <t>Fundo de Saúde</t>
  </si>
  <si>
    <t>1.1.1.02.0003</t>
  </si>
  <si>
    <t>Fundo Ambiental</t>
  </si>
  <si>
    <t>1.1.1.02.0004</t>
  </si>
  <si>
    <t>Fundo Beneficente</t>
  </si>
  <si>
    <t>1.1.1.02.0005</t>
  </si>
  <si>
    <t>Fundo Regional</t>
  </si>
  <si>
    <t>1.1.1.02.0006</t>
  </si>
  <si>
    <t>Mensalidades Novo Encanto</t>
  </si>
  <si>
    <t>1.1.1.02.0007</t>
  </si>
  <si>
    <t>Mensalidades Casa da União</t>
  </si>
  <si>
    <t>1.1.1.02.0008</t>
  </si>
  <si>
    <t>Contribuição Eventos/Encontros</t>
  </si>
  <si>
    <t>1.1.1.03</t>
  </si>
  <si>
    <t>RECEITAS ADMINITRATIVAS</t>
  </si>
  <si>
    <t>1.1.1.03.0001</t>
  </si>
  <si>
    <t>Bazar</t>
  </si>
  <si>
    <t>1.1.1.03.0002</t>
  </si>
  <si>
    <t>Alugueis</t>
  </si>
  <si>
    <t>1.1.1.03.0003</t>
  </si>
  <si>
    <t>Encontros</t>
  </si>
  <si>
    <t>1.1.1.03.0004</t>
  </si>
  <si>
    <t>Promoções</t>
  </si>
  <si>
    <t>1.1.1.03.0005</t>
  </si>
  <si>
    <t>Cantina</t>
  </si>
  <si>
    <t>1.1.1.03.0006</t>
  </si>
  <si>
    <t>Outras Receitas Administrativas</t>
  </si>
  <si>
    <t>1.1.1.04</t>
  </si>
  <si>
    <t>RECUPERAÇÕES DE DESPESAS</t>
  </si>
  <si>
    <t>1.1.1.04.0001</t>
  </si>
  <si>
    <t>Reembolso de Funcionários</t>
  </si>
  <si>
    <t>1.1.1.04.0002</t>
  </si>
  <si>
    <t>Desconto de Faltas</t>
  </si>
  <si>
    <t>1.1.1.04.0003</t>
  </si>
  <si>
    <t>Desconto de Aviso Prévio</t>
  </si>
  <si>
    <t>1.1.1.05</t>
  </si>
  <si>
    <t>RECEITAS FINANCEIRAS</t>
  </si>
  <si>
    <t>1.1.1.05.0001</t>
  </si>
  <si>
    <t>Rendimentos de Poupança</t>
  </si>
  <si>
    <t>1.1.1.05.0002</t>
  </si>
  <si>
    <t>Rendimentos de Aplicações</t>
  </si>
  <si>
    <t>1.1.1.06</t>
  </si>
  <si>
    <t>1.1.1.06.0001</t>
  </si>
  <si>
    <t>Empréstimos</t>
  </si>
  <si>
    <t>CONTAS DE DESPESAS</t>
  </si>
  <si>
    <t>2.1</t>
  </si>
  <si>
    <t>2.1.2001</t>
  </si>
  <si>
    <t>DESPESAS OPERACIONAIS</t>
  </si>
  <si>
    <t>2.1.1.01</t>
  </si>
  <si>
    <t>DESPESAS COM PESSOAL</t>
  </si>
  <si>
    <t>2.1.1.01.0001</t>
  </si>
  <si>
    <t>Salários e Ordenados</t>
  </si>
  <si>
    <t>2.1.1.01.0002</t>
  </si>
  <si>
    <t>2.1.1.01.0003</t>
  </si>
  <si>
    <t>2.1.1.01.0004</t>
  </si>
  <si>
    <t>PIS sobre Folha</t>
  </si>
  <si>
    <t>2.1.1.01.0005</t>
  </si>
  <si>
    <t>Indenizações e Aviso Prévio</t>
  </si>
  <si>
    <t>2.1.1.01.0006</t>
  </si>
  <si>
    <t>Plano de Saúde</t>
  </si>
  <si>
    <t>2.1.1.01.0007</t>
  </si>
  <si>
    <t>Plano Odontológico</t>
  </si>
  <si>
    <t>2.1.1.01.0008</t>
  </si>
  <si>
    <t>Seguro de Vida</t>
  </si>
  <si>
    <t>2.1.1.01.0009</t>
  </si>
  <si>
    <t>2.1.1.01.0010</t>
  </si>
  <si>
    <t>2.1.1.01.0011</t>
  </si>
  <si>
    <t>FGTS Rescisório</t>
  </si>
  <si>
    <t>2.1.1.01.0012</t>
  </si>
  <si>
    <t>INSS Patronal</t>
  </si>
  <si>
    <t>2.1.1.01.0013</t>
  </si>
  <si>
    <t>FGTS s/ Férias</t>
  </si>
  <si>
    <t>2.1.1.01.0014</t>
  </si>
  <si>
    <t>INSS s/ Férias</t>
  </si>
  <si>
    <t>2.1.1.01.0015</t>
  </si>
  <si>
    <t>FGTS s/ 13° Salário</t>
  </si>
  <si>
    <t>2.1.1.01.0016</t>
  </si>
  <si>
    <t>INSS s/ 13° Salário</t>
  </si>
  <si>
    <t>2.1.1.01.0017</t>
  </si>
  <si>
    <t>Vale Alimentação</t>
  </si>
  <si>
    <t>2.1.1.01.0018</t>
  </si>
  <si>
    <t>Vale Transporte</t>
  </si>
  <si>
    <t>2.1.1.01.0019</t>
  </si>
  <si>
    <t>Contribuição Sindical</t>
  </si>
  <si>
    <t>2.1.1.01.0020</t>
  </si>
  <si>
    <t>Prêmios e Gratificações</t>
  </si>
  <si>
    <t>2.1.1.01.0021</t>
  </si>
  <si>
    <t>Bolsa Auxílio</t>
  </si>
  <si>
    <t>2.1.1.01.0022</t>
  </si>
  <si>
    <t>IRRF</t>
  </si>
  <si>
    <t>2.1.1.02</t>
  </si>
  <si>
    <t>DESPESAS COM CONTRIBUIÇÕES</t>
  </si>
  <si>
    <t>2.1.1.02.0001</t>
  </si>
  <si>
    <t>2.1.1.02.0002</t>
  </si>
  <si>
    <t>2.1.1.02.0003</t>
  </si>
  <si>
    <t>2.1.1.02.0004</t>
  </si>
  <si>
    <t>2.1.1.02.0005</t>
  </si>
  <si>
    <t>2.1.1.02.0006</t>
  </si>
  <si>
    <t>2.1.1.02.0007</t>
  </si>
  <si>
    <t>2.1.1.02.0008</t>
  </si>
  <si>
    <t>2.1.1.02.0009</t>
  </si>
  <si>
    <t>Repasses</t>
  </si>
  <si>
    <t>2.1.1.02.0010</t>
  </si>
  <si>
    <t>Associação Prosperar</t>
  </si>
  <si>
    <t>2.1.1.02.0011</t>
  </si>
  <si>
    <t>Eventos/Encontros</t>
  </si>
  <si>
    <t>2.1.1.02.0012</t>
  </si>
  <si>
    <t>Departamentos</t>
  </si>
  <si>
    <t>2.1.1.03</t>
  </si>
  <si>
    <t>DESPESAS ADMINISTRATIVAS</t>
  </si>
  <si>
    <t>2.1.1.03.0001</t>
  </si>
  <si>
    <t>2.1.1.03.0002</t>
  </si>
  <si>
    <t>Água</t>
  </si>
  <si>
    <t>2.1.1.03.0003</t>
  </si>
  <si>
    <t>Telefone</t>
  </si>
  <si>
    <t>2.1.1.03.0004</t>
  </si>
  <si>
    <t>Celular</t>
  </si>
  <si>
    <t>2.1.1.03.0005</t>
  </si>
  <si>
    <t>2.1.1.03.0006</t>
  </si>
  <si>
    <t>Combustíveis e Lubrificantes</t>
  </si>
  <si>
    <t>2.1.1.03.0007</t>
  </si>
  <si>
    <t>Material de Expediente</t>
  </si>
  <si>
    <t>2.1.1.03.0008</t>
  </si>
  <si>
    <t>Despesas Postais</t>
  </si>
  <si>
    <t>2.1.1.03.0009</t>
  </si>
  <si>
    <t>Despesas c/Cartório</t>
  </si>
  <si>
    <t>2.1.1.03.0010</t>
  </si>
  <si>
    <t>Despesas Gráficas</t>
  </si>
  <si>
    <t>2.1.1.03.0011</t>
  </si>
  <si>
    <t>Fretes</t>
  </si>
  <si>
    <t>2.1.1.03.0012</t>
  </si>
  <si>
    <t>2.1.1.03.0013</t>
  </si>
  <si>
    <t>Aluguel ou Arrendamento</t>
  </si>
  <si>
    <t>2.1.1.03.0014</t>
  </si>
  <si>
    <t>Honorários Contábeis</t>
  </si>
  <si>
    <t>2.1.1.03.0015</t>
  </si>
  <si>
    <t>Serviços Prestados PJ</t>
  </si>
  <si>
    <t>2.1.1.03.0016</t>
  </si>
  <si>
    <t>Serviços Prestados PF</t>
  </si>
  <si>
    <t>2.1.1.03.0017</t>
  </si>
  <si>
    <t>ISS Autônomos</t>
  </si>
  <si>
    <t>2.1.1.03.0018</t>
  </si>
  <si>
    <t>Manutenção Predial</t>
  </si>
  <si>
    <t>2.1.1.03.0019</t>
  </si>
  <si>
    <t>Manutenção de Sistemas</t>
  </si>
  <si>
    <t>2.1.1.03.0020</t>
  </si>
  <si>
    <t>Manuntenção de Máq e Equipamentos</t>
  </si>
  <si>
    <t>2.1.1.03.0021</t>
  </si>
  <si>
    <t>Equipamento de Informática</t>
  </si>
  <si>
    <t>2.1.1.03.0022</t>
  </si>
  <si>
    <t>Material Uso e Consumo</t>
  </si>
  <si>
    <t>2.1.1.03.0023</t>
  </si>
  <si>
    <t>Material de Limpeza e Conservação</t>
  </si>
  <si>
    <t>2.1.1.03.0024</t>
  </si>
  <si>
    <t>2.1.1.03.0025</t>
  </si>
  <si>
    <t>Viagens e Estadias</t>
  </si>
  <si>
    <t>2.1.1.03.0026</t>
  </si>
  <si>
    <t>Plantio</t>
  </si>
  <si>
    <t>2.1.1.03.0027</t>
  </si>
  <si>
    <t>Preparo</t>
  </si>
  <si>
    <t>2.1.1.03.0028</t>
  </si>
  <si>
    <t>Consórcios</t>
  </si>
  <si>
    <t>2.1.1.03.0029</t>
  </si>
  <si>
    <t>2.1.1.03.0030</t>
  </si>
  <si>
    <t>2.1.1.03.0031</t>
  </si>
  <si>
    <t>Depreciação</t>
  </si>
  <si>
    <t>2.1.1.03.0032</t>
  </si>
  <si>
    <t>Amortização</t>
  </si>
  <si>
    <t>2.1.1.03.0033</t>
  </si>
  <si>
    <t>Custas Processuais</t>
  </si>
  <si>
    <t>2.1.1.03.0034</t>
  </si>
  <si>
    <t>Acordo Judicial</t>
  </si>
  <si>
    <t>2.1.1.03.0035</t>
  </si>
  <si>
    <t>TLF Alvará</t>
  </si>
  <si>
    <t>2.1.1.03.0036</t>
  </si>
  <si>
    <t>Gás de Cozinha</t>
  </si>
  <si>
    <t>2.1.1.03.0037</t>
  </si>
  <si>
    <t>Alimentação Preparo</t>
  </si>
  <si>
    <t>2.1.1.03.0038</t>
  </si>
  <si>
    <t>Bens de Pequeno Valor</t>
  </si>
  <si>
    <t>2.1.1.03.0039</t>
  </si>
  <si>
    <t>Outras Despesas Administrativas</t>
  </si>
  <si>
    <t>2.1.1.04</t>
  </si>
  <si>
    <t>DESPESAS FINANCEIRAS</t>
  </si>
  <si>
    <t>2.1.1.04.0001</t>
  </si>
  <si>
    <t>Taxas Diversas</t>
  </si>
  <si>
    <t>2.1.1.04.0002</t>
  </si>
  <si>
    <t>Tarifas Bancárias</t>
  </si>
  <si>
    <t>2.1.1.04.0003</t>
  </si>
  <si>
    <t>Taxas Municipais</t>
  </si>
  <si>
    <t>2.1.1.04.0004</t>
  </si>
  <si>
    <t>Multa/Juros Diversos</t>
  </si>
  <si>
    <t>2.1.1.04.0005</t>
  </si>
  <si>
    <t>Multa/Juros s/ Empréstimos</t>
  </si>
  <si>
    <t>2.1.1.04.0006</t>
  </si>
  <si>
    <t>IR s/ Aplicação Financeira</t>
  </si>
  <si>
    <t>2.1.1.04.0007</t>
  </si>
  <si>
    <t>IOF s/ Aplicação Financeira</t>
  </si>
  <si>
    <t>2.1.1.05</t>
  </si>
  <si>
    <t>ADIANTAMENTOS</t>
  </si>
  <si>
    <t>2.1.1.05.0001</t>
  </si>
  <si>
    <t>Adiantamento a Terceiros</t>
  </si>
  <si>
    <t>2.1.1.05.0002</t>
  </si>
  <si>
    <t>Adiantamento Presidente</t>
  </si>
  <si>
    <t>2.1.1.05.0003</t>
  </si>
  <si>
    <t>Adiantamento Organ</t>
  </si>
  <si>
    <t>2.1.1.05.0004</t>
  </si>
  <si>
    <t>Adiantamento aos Departamentos</t>
  </si>
  <si>
    <t>2.1.1.05.0005</t>
  </si>
  <si>
    <t>Adiantamento a Empregados</t>
  </si>
  <si>
    <t>2.1.1.05.0006</t>
  </si>
  <si>
    <t>Adiantamento a Fornecedores</t>
  </si>
  <si>
    <t>2.1.1.06</t>
  </si>
  <si>
    <t>IMOBILIZADO: BENS MÓVEIS</t>
  </si>
  <si>
    <t>2.1.1.06.0001</t>
  </si>
  <si>
    <t>Móveis e Utensílios</t>
  </si>
  <si>
    <t>2.1.1.06.0002</t>
  </si>
  <si>
    <t>Máquinas e Equipamentos</t>
  </si>
  <si>
    <t>2.1.1.06.0003</t>
  </si>
  <si>
    <t>Aparelhos Eletrônicos</t>
  </si>
  <si>
    <t>2.1.1.06.0004</t>
  </si>
  <si>
    <t>Ferramentas</t>
  </si>
  <si>
    <t>2.1.1.06.0005</t>
  </si>
  <si>
    <t>Sistemas</t>
  </si>
  <si>
    <t>2.1.1.06.0006</t>
  </si>
  <si>
    <t>Agrícola</t>
  </si>
  <si>
    <t>2.1.1.06.0007</t>
  </si>
  <si>
    <t>Outros</t>
  </si>
  <si>
    <t>2.1.1.07</t>
  </si>
  <si>
    <t>IMOBILIZADO: BENS IMÓVEIS</t>
  </si>
  <si>
    <t>2.1.1.07.0001</t>
  </si>
  <si>
    <t>Construções em Andamento</t>
  </si>
  <si>
    <t>2.1.1.07.0002</t>
  </si>
  <si>
    <t>Benfeitoria em Imóveis de Terceiro</t>
  </si>
  <si>
    <t>2.1.1.07.0003</t>
  </si>
  <si>
    <t>Edificações</t>
  </si>
  <si>
    <t>2.1.1.07.0004</t>
  </si>
  <si>
    <t>Terrenos</t>
  </si>
  <si>
    <r>
      <t>Observação:</t>
    </r>
    <r>
      <rPr>
        <sz val="10"/>
        <color theme="1"/>
        <rFont val="Calibri"/>
        <family val="2"/>
      </rPr>
      <t xml:space="preserve"> Não houve movimentação financeira na conta bancária da TON.</t>
    </r>
  </si>
  <si>
    <t>https://drive.google.com/open?id=1o7wyaKi1n1FMJlenmGeCwBYfi0UlNTM1&amp;usp=drive_fs</t>
  </si>
  <si>
    <t>https://drive.google.com/open?id=19ZEYm3HhTtZFpUQX99FGgX5zSeIxvOOb&amp;usp=drive_fs</t>
  </si>
  <si>
    <t>https://drive.google.com/open?id=1cayrb24Kbb38ksa7Qe4vRnMDAEwowWNs&amp;usp=drive_fs</t>
  </si>
  <si>
    <t>https://drive.google.com/open?id=1pmDzLHCzDw97bqXOpsOUvzimrIcAmGDP&amp;usp=drive_fs</t>
  </si>
  <si>
    <t>https://drive.google.com/open?id=1REKa9gPlZOCTKJltjheiIbvXZwmtCWcU&amp;usp=drive_fs</t>
  </si>
  <si>
    <t>https://drive.google.com/open?id=1-QbooxcfwHrj5Acc7Pu08dCxj97mzs8s&amp;usp=drive_fs</t>
  </si>
  <si>
    <t>https://drive.google.com/open?id=1NK6jWk9Ew7r7tjfhw__rIKFDisKnJTde&amp;usp=drive_fs</t>
  </si>
  <si>
    <t>https://drive.google.com/open?id=1Fo7AehOS62nXD4dwVDgEO6M1KFQk36rr&amp;usp=drive_fs</t>
  </si>
  <si>
    <t>https://drive.google.com/open?id=1CwcbHFcLs9c5jtMexrk9QAKmM-dk-beA&amp;usp=drive_fs</t>
  </si>
  <si>
    <t>https://drive.google.com/open?id=1alqkdHoTzN9-gUFesrstqsmHVsOt1kz_&amp;usp=drive_fs</t>
  </si>
  <si>
    <t>https://drive.google.com/open?id=10Qyly8J1CL61dzyQ-zI5rRP7b--vPGzW&amp;usp=drive_fs</t>
  </si>
  <si>
    <t>https://drive.google.com/open?id=1WmvktmUBfFS8FP4rGthCGEJVEEspv8us&amp;usp=drive_fs</t>
  </si>
  <si>
    <t>https://drive.google.com/open?id=11GGJY96kWwiSsV2bHW0h9smj0taNLD8d&amp;usp=drive_fs</t>
  </si>
  <si>
    <t>https://drive.google.com/open?id=11CSagB7-MTvxYmD7B9lobO9l7F8wUhbj&amp;usp=drive_fs</t>
  </si>
  <si>
    <t>https://drive.google.com/open?id=1eT4M-p7MAPDEBXGInbDzuzLORdTmmaML&amp;usp=drive_fs</t>
  </si>
  <si>
    <t>https://drive.google.com/open?id=19LJpUjJpsQeJbJnOKxbOcAzZNkmAxh4j&amp;usp=drive_fs</t>
  </si>
  <si>
    <t>https://drive.google.com/open?id=1AmIq3fMPh9lC3w_QJeJ7IFJmrKRdsZoG&amp;usp=drive_fs</t>
  </si>
  <si>
    <t>https://drive.google.com/open?id=1IzcyuX2m4PUc_01BRMHpO_mjS-iBu40o&amp;usp=drive_fs</t>
  </si>
  <si>
    <t>https://drive.google.com/open?id=12TO3LeyMV2s8vKVSuUKrw2Ty84ElqhON&amp;usp=drive_fs</t>
  </si>
  <si>
    <t>https://drive.google.com/open?id=1OulidxtkKtFSJy75ncjYg2r8Ylhc0sqx&amp;usp=drive_fs</t>
  </si>
  <si>
    <t>https://drive.google.com/open?id=17pomqv8wWfk4GiY2vzKeUF2H0khH84o7&amp;usp=drive_fs</t>
  </si>
  <si>
    <t>https://drive.google.com/open?id=1eAZvjfd1-EWMPP4XUov-ygluxfxXt9C2&amp;usp=drive_fs</t>
  </si>
  <si>
    <t>https://drive.google.com/open?id=1oAKY9tvuq1UHfcdliWwfEHuHXKFfnIBo&amp;usp=drive_fs</t>
  </si>
  <si>
    <t>https://drive.google.com/open?id=1SuttEyEfrYIb7itFeSmeti2EW1OJ4As8&amp;usp=drive_fs</t>
  </si>
  <si>
    <t>https://drive.google.com/open?id=13ny3dsN1L_XyItfKatJQhIhew77IsAqO&amp;usp=drive_fs</t>
  </si>
  <si>
    <t>https://drive.google.com/open?id=1-9VT2_0yECvtMXng_4Ytx_o_Hdu9YiOB&amp;usp=drive_fs</t>
  </si>
  <si>
    <t>https://drive.google.com/open?id=1I_TjNJAX-vJnSJ1NtvsMoEZj5_JToxiI&amp;usp=drive_fs</t>
  </si>
  <si>
    <t>https://drive.google.com/open?id=1Zm6OmJGSnykG_aNF7wqBaQwzgDdCgGlC&amp;usp=drive_fs</t>
  </si>
  <si>
    <t>https://drive.google.com/open?id=1wjG_Z0VFksZQ9smqXdTOv6grt4nK6v2z&amp;usp=drive_fs</t>
  </si>
  <si>
    <t>https://drive.google.com/open?id=1xJ7Oj8CbCi7Q6BC6KFFTYnrr_COOX9Dt&amp;usp=drive_fs</t>
  </si>
  <si>
    <t>https://drive.google.com/open?id=1f3ATX7k8xouY0mYG3WPszcOrAhIR2909&amp;usp=drive_fs</t>
  </si>
  <si>
    <t>https://drive.google.com/open?id=1w9tp3UJxmMbQPhXluybUzfIbs-w5kvxw&amp;usp=drive_fs</t>
  </si>
  <si>
    <t>https://drive.google.com/open?id=1FHHfAIz5kVmp5NitDwOC6bWysTruoMdM&amp;usp=drive_fs</t>
  </si>
  <si>
    <t>https://drive.google.com/open?id=1aeGYdAwW1FdjWUMY5_5y3Df6HTfKpBay&amp;usp=drive_fs</t>
  </si>
  <si>
    <t>https://drive.google.com/open?id=1SqyZEy2slvfCasUbc7Z1UV5FKSfPTJjS&amp;usp=drive_fs</t>
  </si>
  <si>
    <t>https://drive.google.com/open?id=1-8bsnEhhE_p3nY3RWp59pKL8xTmmE27x&amp;usp=drive_fs</t>
  </si>
  <si>
    <t>https://drive.google.com/open?id=1KrbXEpyeXmENEGReeLumfkuIaYVz3K_8&amp;usp=drive_fs</t>
  </si>
  <si>
    <t>https://drive.google.com/open?id=13KN2_t6Febywk-bzTIHaL8pLIN47qpUG&amp;usp=drive_fs</t>
  </si>
  <si>
    <t>https://drive.google.com/open?id=1GDUw5QdZmO5QE7Cv7DWGMdOZV1QVCsHy&amp;usp=drive_fs</t>
  </si>
  <si>
    <t>https://drive.google.com/open?id=1mEbzVG_ZmQd8TdIQjDO9pkW1Xw_GBN4n&amp;usp=drive_fs</t>
  </si>
  <si>
    <t>Pendente. Apenas pedido de venda. Aguardando retorno da Sarah.</t>
  </si>
  <si>
    <t>https://drive.google.com/open?id=1oUiibOo7jZvb2NqKOJ7jM5u6IrZDbMr-&amp;usp=drive_fs</t>
  </si>
  <si>
    <t>https://drive.google.com/open?id=1ZUr65mmCG2NqWTsBp2_Za6RmnZ0wNrie&amp;usp=drive_fs</t>
  </si>
  <si>
    <t>https://drive.google.com/open?id=1YzSbhF2G76vaDU4kXIE8dtrN8FiV1JnH&amp;usp=drive_fs</t>
  </si>
  <si>
    <t>https://drive.google.com/open?id=1i7I0Z9d3ExTEg__kKmo2TJqQ-WMwb-Qr&amp;usp=drive_fs</t>
  </si>
  <si>
    <t>https://drive.google.com/open?id=1ortp6lK9cATtv9hWyt5k9J8fQtycL0HQ&amp;usp=drive_fs</t>
  </si>
  <si>
    <t>Pendente M. Marcelo enviar</t>
  </si>
  <si>
    <t>https://drive.google.com/open?id=1gz8LjjeA6A0ePp8d2PTrgeA1nV1mc7WL&amp;usp=drive_fs</t>
  </si>
  <si>
    <t>https://drive.google.com/open?id=1MCVI3wsm_Njl4-4oOuwK9Ys0B-og8KU6&amp;usp=drive_fs</t>
  </si>
  <si>
    <t>https://drive.google.com/open?id=1HYebcHYfDoh1f0I_hfGoCXLAy0SY0T1p&amp;usp=drive_fs</t>
  </si>
  <si>
    <t>https://drive.google.com/open?id=1ElyhftUr_nqORbXzmbMayNk7N6r2M0AV&amp;usp=drive_fs</t>
  </si>
  <si>
    <t>https://drive.google.com/open?id=1_zdDayTz-Qn6IROcdfdrr1LwVZ2oOvos&amp;usp=drive_fs</t>
  </si>
  <si>
    <t>https://drive.google.com/open?id=1aTec5512pyDmYJys7s7GHJ_3kD0iph0I&amp;usp=drive_fs</t>
  </si>
  <si>
    <t>https://drive.google.com/open?id=1xJaB3ek8X6pqfqN8ukoXV_irrcN9dMSa&amp;usp=drive_fs</t>
  </si>
  <si>
    <t>Casa de preparo........................................................................................</t>
  </si>
  <si>
    <t>Bazar Chic........................................................................................</t>
  </si>
  <si>
    <t>Sessão de casal........................................................................................</t>
  </si>
  <si>
    <t>13° salário Zelador........................................................................................</t>
  </si>
  <si>
    <t>Doações para casa de preparo........................................................................................</t>
  </si>
  <si>
    <t>Cantina....................................................</t>
  </si>
  <si>
    <t>Programa sua nota tem valor....................................................</t>
  </si>
  <si>
    <t>NOVEMBRO DE  2025</t>
  </si>
  <si>
    <t>Saldo em 31/12/2025........................................................................................</t>
  </si>
  <si>
    <t>Taxa atual de inadimplência........................................................................................</t>
  </si>
  <si>
    <t>Venda de máquina recebida de doação........................................................................................</t>
  </si>
  <si>
    <t>Rescisão Wesley........................................................................................</t>
  </si>
  <si>
    <t>Diárias novo zelador........................................................................................</t>
  </si>
  <si>
    <t>I.R. Rendimento Financeiro........................................................................................</t>
  </si>
  <si>
    <t>Coroa de flores Klecius........................................................................................</t>
  </si>
  <si>
    <t>Câmeras de segurança (parcela 8 de 10).....................</t>
  </si>
  <si>
    <t>Mesa de ping pong e totó (parcela 4 de 10)..........................</t>
  </si>
  <si>
    <t>Confraternização da irmandade........................................................................................</t>
  </si>
  <si>
    <t>OE (Acampamento)........................................................</t>
  </si>
  <si>
    <t>Portão do núcleo (entrada)........................................................................................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</si>
</sst>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R$&quot;\ #,##0;[Red]\-&quot;R$&quot;\ #,##0"/>
    <numFmt numFmtId="44" formatCode="_-&quot;R$&quot;\ * #,##0.00_-;\-&quot;R$&quot;\ * #,##0.00_-;_-&quot;R$&quot;\ * &quot;-&quot;??_-;_-@_-"/>
    <numFmt numFmtId="164" formatCode="_-&quot;R$&quot;\ * #,##0.00_-;\-&quot;R$&quot;\ * #,##0.00_-;_-&quot;R$&quot;\ * &quot;-&quot;??_-;_-@"/>
    <numFmt numFmtId="165" formatCode="0.0%"/>
    <numFmt numFmtId="166" formatCode="&quot;R$&quot;\ #,##0.00"/>
  </numFmts>
  <fonts count="57" x14ac:knownFonts="1">
    <font>
      <sz val="11"/>
      <color theme="1"/>
      <name val="Calibri"/>
      <scheme val="minor"/>
    </font>
    <font>
      <sz val="11"/>
      <color theme="1"/>
      <name val="Calibri"/>
      <family val="2"/>
      <scheme val="minor"/>
    </font>
    <font>
      <sz val="11"/>
      <color theme="1"/>
      <name val="Calibri"/>
      <family val="2"/>
    </font>
    <font>
      <b/>
      <sz val="14"/>
      <color theme="1"/>
      <name val="Calibri"/>
      <family val="2"/>
    </font>
    <font>
      <b/>
      <sz val="14"/>
      <color theme="0"/>
      <name val="Calibri"/>
      <family val="2"/>
    </font>
    <font>
      <sz val="11"/>
      <name val="Calibri"/>
      <family val="2"/>
    </font>
    <font>
      <sz val="10"/>
      <color theme="1"/>
      <name val="Calibri"/>
      <family val="2"/>
    </font>
    <font>
      <b/>
      <sz val="22"/>
      <color theme="1"/>
      <name val="Bahnschrift"/>
      <family val="2"/>
    </font>
    <font>
      <b/>
      <sz val="10"/>
      <color theme="0"/>
      <name val="Calibri"/>
      <family val="2"/>
    </font>
    <font>
      <b/>
      <sz val="16"/>
      <color theme="1"/>
      <name val="Bahnschrift"/>
      <family val="2"/>
    </font>
    <font>
      <b/>
      <sz val="9"/>
      <color theme="1"/>
      <name val="Calibri"/>
      <family val="2"/>
    </font>
    <font>
      <b/>
      <sz val="10"/>
      <color theme="1"/>
      <name val="Calibri"/>
      <family val="2"/>
    </font>
    <font>
      <sz val="9"/>
      <color theme="1"/>
      <name val="Calibri"/>
      <family val="2"/>
    </font>
    <font>
      <sz val="11"/>
      <color rgb="FFFF0000"/>
      <name val="Calibri"/>
      <family val="2"/>
    </font>
    <font>
      <b/>
      <sz val="11"/>
      <color theme="1"/>
      <name val="Calibri"/>
      <family val="2"/>
    </font>
    <font>
      <b/>
      <sz val="16"/>
      <color rgb="FFFFFF00"/>
      <name val="Bahnschrift"/>
      <family val="2"/>
    </font>
    <font>
      <b/>
      <sz val="9"/>
      <color rgb="FFFFFF00"/>
      <name val="Calibri"/>
      <family val="2"/>
    </font>
    <font>
      <b/>
      <sz val="9"/>
      <color rgb="FFDEEAF6"/>
      <name val="Calibri"/>
      <family val="2"/>
    </font>
    <font>
      <b/>
      <sz val="18"/>
      <color theme="1"/>
      <name val="Bahnschrift"/>
      <family val="2"/>
    </font>
    <font>
      <sz val="10"/>
      <color rgb="FFFF0000"/>
      <name val="Calibri"/>
      <family val="2"/>
    </font>
    <font>
      <b/>
      <sz val="10"/>
      <color rgb="FFFFFF00"/>
      <name val="Bahnschrift"/>
      <family val="2"/>
    </font>
    <font>
      <b/>
      <sz val="12"/>
      <color theme="1"/>
      <name val="Bahnschrift"/>
      <family val="2"/>
    </font>
    <font>
      <u/>
      <sz val="9"/>
      <color theme="1"/>
      <name val="Calibri"/>
      <family val="2"/>
    </font>
    <font>
      <u/>
      <sz val="9"/>
      <color theme="1"/>
      <name val="Calibri"/>
      <family val="2"/>
    </font>
    <font>
      <sz val="9"/>
      <color rgb="FFFF0000"/>
      <name val="Calibri"/>
      <family val="2"/>
    </font>
    <font>
      <u/>
      <sz val="11"/>
      <color theme="10"/>
      <name val="Calibri"/>
      <family val="2"/>
    </font>
    <font>
      <u/>
      <sz val="11"/>
      <color theme="10"/>
      <name val="Calibri"/>
      <family val="2"/>
    </font>
    <font>
      <b/>
      <sz val="9"/>
      <color theme="0"/>
      <name val="Calibri"/>
      <family val="2"/>
    </font>
    <font>
      <u/>
      <sz val="11"/>
      <color theme="10"/>
      <name val="Calibri"/>
      <family val="2"/>
    </font>
    <font>
      <u/>
      <sz val="11"/>
      <color theme="10"/>
      <name val="Calibri"/>
      <family val="2"/>
    </font>
    <font>
      <b/>
      <sz val="22"/>
      <color theme="0"/>
      <name val="Bahnschrift"/>
      <family val="2"/>
    </font>
    <font>
      <b/>
      <sz val="11"/>
      <color theme="0"/>
      <name val="Calibri"/>
      <family val="2"/>
    </font>
    <font>
      <b/>
      <sz val="11"/>
      <color rgb="FF7F7F7F"/>
      <name val="Calibri"/>
      <family val="2"/>
    </font>
    <font>
      <u/>
      <sz val="11"/>
      <color theme="10"/>
      <name val="Calibri"/>
      <family val="2"/>
    </font>
    <font>
      <sz val="9"/>
      <color theme="10"/>
      <name val="Calibri"/>
      <family val="2"/>
    </font>
    <font>
      <u/>
      <sz val="9"/>
      <color theme="10"/>
      <name val="Calibri"/>
      <family val="2"/>
    </font>
    <font>
      <sz val="11"/>
      <color theme="1"/>
      <name val="Roboto"/>
    </font>
    <font>
      <b/>
      <sz val="48"/>
      <color rgb="FFFFD965"/>
      <name val="Roboto"/>
    </font>
    <font>
      <b/>
      <sz val="36"/>
      <color rgb="FFFEF2CB"/>
      <name val="Roboto"/>
    </font>
    <font>
      <b/>
      <sz val="20"/>
      <color rgb="FFFFD44B"/>
      <name val="Roboto"/>
    </font>
    <font>
      <b/>
      <sz val="26"/>
      <color theme="0"/>
      <name val="Roboto"/>
    </font>
    <font>
      <b/>
      <sz val="20"/>
      <color theme="1"/>
      <name val="Roboto"/>
    </font>
    <font>
      <sz val="20"/>
      <color theme="1"/>
      <name val="Roboto"/>
    </font>
    <font>
      <b/>
      <sz val="20"/>
      <color rgb="FFFFD965"/>
      <name val="Roboto"/>
    </font>
    <font>
      <b/>
      <sz val="18"/>
      <color rgb="FFFFD965"/>
      <name val="Roboto"/>
    </font>
    <font>
      <sz val="18"/>
      <color theme="1"/>
      <name val="Roboto"/>
    </font>
    <font>
      <b/>
      <sz val="18"/>
      <color theme="0"/>
      <name val="Roboto"/>
    </font>
    <font>
      <b/>
      <sz val="16"/>
      <color theme="0"/>
      <name val="Roboto"/>
    </font>
    <font>
      <b/>
      <sz val="17"/>
      <color theme="0"/>
      <name val="Roboto"/>
    </font>
    <font>
      <b/>
      <sz val="28"/>
      <color theme="0"/>
      <name val="Roboto"/>
    </font>
    <font>
      <b/>
      <sz val="18"/>
      <color rgb="FFFFD44B"/>
      <name val="Roboto"/>
    </font>
    <font>
      <sz val="10"/>
      <color theme="0"/>
      <name val="Roboto"/>
    </font>
    <font>
      <b/>
      <sz val="9"/>
      <color rgb="FFFFFF00"/>
      <name val="Calibri"/>
      <family val="2"/>
    </font>
    <font>
      <u/>
      <sz val="11"/>
      <color theme="10"/>
      <name val="Calibri"/>
      <family val="2"/>
      <scheme val="minor"/>
    </font>
    <font>
      <b/>
      <sz val="10"/>
      <color theme="1"/>
      <name val="Calibri"/>
      <family val="2"/>
    </font>
    <font>
      <sz val="9"/>
      <color rgb="FFFF0000"/>
      <name val="Calibri"/>
      <family val="2"/>
    </font>
    <font>
      <sz val="11"/>
      <color theme="0"/>
      <name val="Calibri"/>
      <family val="2"/>
    </font>
  </fonts>
  <fills count="23">
    <fill>
      <patternFill patternType="none"/>
    </fill>
    <fill>
      <patternFill patternType="gray125"/>
    </fill>
    <fill>
      <patternFill patternType="solid">
        <fgColor rgb="FF44546A"/>
        <bgColor rgb="FF44546A"/>
      </patternFill>
    </fill>
    <fill>
      <patternFill patternType="solid">
        <fgColor theme="7"/>
        <bgColor theme="7"/>
      </patternFill>
    </fill>
    <fill>
      <patternFill patternType="solid">
        <fgColor theme="9"/>
        <bgColor theme="9"/>
      </patternFill>
    </fill>
    <fill>
      <patternFill patternType="solid">
        <fgColor theme="5"/>
        <bgColor theme="5"/>
      </patternFill>
    </fill>
    <fill>
      <patternFill patternType="solid">
        <fgColor rgb="FFFF0000"/>
        <bgColor rgb="FFFF0000"/>
      </patternFill>
    </fill>
    <fill>
      <patternFill patternType="solid">
        <fgColor theme="6"/>
        <bgColor theme="6"/>
      </patternFill>
    </fill>
    <fill>
      <patternFill patternType="solid">
        <fgColor theme="8"/>
        <bgColor theme="8"/>
      </patternFill>
    </fill>
    <fill>
      <patternFill patternType="solid">
        <fgColor rgb="FF595959"/>
        <bgColor rgb="FF595959"/>
      </patternFill>
    </fill>
    <fill>
      <patternFill patternType="solid">
        <fgColor rgb="FFFFE598"/>
        <bgColor rgb="FFFFE598"/>
      </patternFill>
    </fill>
    <fill>
      <patternFill patternType="solid">
        <fgColor rgb="FFF2F2F2"/>
        <bgColor rgb="FFF2F2F2"/>
      </patternFill>
    </fill>
    <fill>
      <patternFill patternType="solid">
        <fgColor theme="0"/>
        <bgColor theme="0"/>
      </patternFill>
    </fill>
    <fill>
      <patternFill patternType="solid">
        <fgColor rgb="FFFF9C85"/>
        <bgColor rgb="FFFF9C85"/>
      </patternFill>
    </fill>
    <fill>
      <patternFill patternType="solid">
        <fgColor rgb="FFA8D08D"/>
        <bgColor rgb="FFA8D08D"/>
      </patternFill>
    </fill>
    <fill>
      <patternFill patternType="solid">
        <fgColor rgb="FFD8D8D8"/>
        <bgColor rgb="FFD8D8D8"/>
      </patternFill>
    </fill>
    <fill>
      <patternFill patternType="solid">
        <fgColor rgb="FFD0CECE"/>
        <bgColor rgb="FFD0CECE"/>
      </patternFill>
    </fill>
    <fill>
      <patternFill patternType="solid">
        <fgColor rgb="FFC5E0B3"/>
        <bgColor rgb="FFC5E0B3"/>
      </patternFill>
    </fill>
    <fill>
      <patternFill patternType="solid">
        <fgColor rgb="FFF7CAAC"/>
        <bgColor rgb="FFF7CAAC"/>
      </patternFill>
    </fill>
    <fill>
      <patternFill patternType="solid">
        <fgColor rgb="FFFBE4D5"/>
        <bgColor rgb="FFFBE4D5"/>
      </patternFill>
    </fill>
    <fill>
      <patternFill patternType="solid">
        <fgColor theme="4"/>
        <bgColor theme="4"/>
      </patternFill>
    </fill>
    <fill>
      <patternFill patternType="solid">
        <fgColor rgb="FF7F7F7F"/>
        <bgColor rgb="FF7F7F7F"/>
      </patternFill>
    </fill>
    <fill>
      <patternFill patternType="solid">
        <fgColor rgb="FF328ECC"/>
        <bgColor rgb="FF328ECC"/>
      </patternFill>
    </fill>
  </fills>
  <borders count="80">
    <border>
      <left/>
      <right/>
      <top/>
      <bottom/>
      <diagonal/>
    </border>
    <border>
      <left/>
      <right/>
      <top/>
      <bottom/>
      <diagonal/>
    </border>
    <border>
      <left/>
      <right/>
      <top/>
      <bottom/>
      <diagonal/>
    </border>
    <border>
      <left style="thin">
        <color rgb="FF595959"/>
      </left>
      <right style="thin">
        <color theme="0"/>
      </right>
      <top style="thin">
        <color rgb="FF595959"/>
      </top>
      <bottom/>
      <diagonal/>
    </border>
    <border>
      <left style="thin">
        <color theme="0"/>
      </left>
      <right style="thin">
        <color theme="0"/>
      </right>
      <top style="thin">
        <color rgb="FF595959"/>
      </top>
      <bottom/>
      <diagonal/>
    </border>
    <border>
      <left/>
      <right/>
      <top/>
      <bottom style="thin">
        <color theme="0"/>
      </bottom>
      <diagonal/>
    </border>
    <border>
      <left style="thin">
        <color rgb="FF595959"/>
      </left>
      <right style="thin">
        <color theme="0"/>
      </right>
      <top/>
      <bottom style="medium">
        <color theme="0"/>
      </bottom>
      <diagonal/>
    </border>
    <border>
      <left style="thin">
        <color theme="0"/>
      </left>
      <right style="thin">
        <color theme="0"/>
      </right>
      <top/>
      <bottom style="medium">
        <color theme="0"/>
      </bottom>
      <diagonal/>
    </border>
    <border>
      <left/>
      <right style="thin">
        <color theme="0"/>
      </right>
      <top style="thin">
        <color theme="0"/>
      </top>
      <bottom style="medium">
        <color theme="0"/>
      </bottom>
      <diagonal/>
    </border>
    <border>
      <left/>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rgb="FF595959"/>
      </left>
      <right style="thin">
        <color rgb="FF595959"/>
      </right>
      <top style="thin">
        <color rgb="FF595959"/>
      </top>
      <bottom style="thin">
        <color rgb="FF595959"/>
      </bottom>
      <diagonal/>
    </border>
    <border>
      <left/>
      <right style="thin">
        <color rgb="FF595959"/>
      </right>
      <top style="medium">
        <color theme="0"/>
      </top>
      <bottom style="medium">
        <color theme="0"/>
      </bottom>
      <diagonal/>
    </border>
    <border>
      <left style="thin">
        <color rgb="FF595959"/>
      </left>
      <right style="thin">
        <color rgb="FF595959"/>
      </right>
      <top style="medium">
        <color theme="0"/>
      </top>
      <bottom style="medium">
        <color theme="0"/>
      </bottom>
      <diagonal/>
    </border>
    <border>
      <left style="thin">
        <color rgb="FF595959"/>
      </left>
      <right style="thin">
        <color rgb="FF595959"/>
      </right>
      <top/>
      <bottom style="thin">
        <color rgb="FF595959"/>
      </bottom>
      <diagonal/>
    </border>
    <border>
      <left style="thin">
        <color rgb="FF595959"/>
      </left>
      <right style="thin">
        <color rgb="FF595959"/>
      </right>
      <top style="thin">
        <color rgb="FF595959"/>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595959"/>
      </right>
      <top style="thin">
        <color theme="0"/>
      </top>
      <bottom style="medium">
        <color theme="0"/>
      </bottom>
      <diagonal/>
    </border>
    <border>
      <left style="thin">
        <color theme="0"/>
      </left>
      <right/>
      <top/>
      <bottom/>
      <diagonal/>
    </border>
    <border>
      <left/>
      <right/>
      <top/>
      <bottom/>
      <diagonal/>
    </border>
    <border>
      <left style="thin">
        <color theme="0"/>
      </left>
      <right/>
      <top/>
      <bottom style="medium">
        <color theme="0"/>
      </bottom>
      <diagonal/>
    </border>
    <border>
      <left/>
      <right/>
      <top/>
      <bottom style="medium">
        <color theme="0"/>
      </bottom>
      <diagonal/>
    </border>
    <border>
      <left/>
      <right/>
      <top style="medium">
        <color theme="0"/>
      </top>
      <bottom/>
      <diagonal/>
    </border>
    <border>
      <left style="thin">
        <color rgb="FF595959"/>
      </left>
      <right style="thin">
        <color theme="0"/>
      </right>
      <top style="medium">
        <color theme="0"/>
      </top>
      <bottom style="medium">
        <color theme="0"/>
      </bottom>
      <diagonal/>
    </border>
    <border>
      <left style="thin">
        <color theme="0"/>
      </left>
      <right style="thin">
        <color theme="0"/>
      </right>
      <top style="medium">
        <color theme="0"/>
      </top>
      <bottom/>
      <diagonal/>
    </border>
    <border>
      <left style="thin">
        <color theme="0"/>
      </left>
      <right/>
      <top style="medium">
        <color theme="0"/>
      </top>
      <bottom/>
      <diagonal/>
    </border>
    <border>
      <left style="thin">
        <color theme="0"/>
      </left>
      <right style="thin">
        <color rgb="FF595959"/>
      </right>
      <top style="medium">
        <color theme="0"/>
      </top>
      <bottom style="medium">
        <color theme="0"/>
      </bottom>
      <diagonal/>
    </border>
    <border>
      <left/>
      <right/>
      <top/>
      <bottom style="medium">
        <color theme="0"/>
      </bottom>
      <diagonal/>
    </border>
    <border>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top/>
      <bottom style="medium">
        <color theme="0"/>
      </bottom>
      <diagonal/>
    </border>
    <border>
      <left style="thin">
        <color rgb="FF595959"/>
      </left>
      <right style="thin">
        <color rgb="FF595959"/>
      </right>
      <top style="thin">
        <color rgb="FF595959"/>
      </top>
      <bottom/>
      <diagonal/>
    </border>
    <border>
      <left style="thin">
        <color rgb="FF595959"/>
      </left>
      <right/>
      <top style="thin">
        <color rgb="FF595959"/>
      </top>
      <bottom style="thin">
        <color rgb="FF595959"/>
      </bottom>
      <diagonal/>
    </border>
    <border>
      <left style="thin">
        <color rgb="FF595959"/>
      </left>
      <right style="thin">
        <color rgb="FF000000"/>
      </right>
      <top style="thin">
        <color rgb="FF595959"/>
      </top>
      <bottom/>
      <diagonal/>
    </border>
    <border>
      <left style="thin">
        <color rgb="FF000000"/>
      </left>
      <right style="thin">
        <color rgb="FF000000"/>
      </right>
      <top style="thin">
        <color rgb="FF000000"/>
      </top>
      <bottom style="thin">
        <color rgb="FF000000"/>
      </bottom>
      <diagonal/>
    </border>
    <border>
      <left/>
      <right style="thin">
        <color rgb="FF595959"/>
      </right>
      <top style="thin">
        <color rgb="FF595959"/>
      </top>
      <bottom style="thin">
        <color rgb="FF595959"/>
      </bottom>
      <diagonal/>
    </border>
    <border>
      <left style="thin">
        <color rgb="FF595959"/>
      </left>
      <right style="thin">
        <color rgb="FF000000"/>
      </right>
      <top/>
      <bottom/>
      <diagonal/>
    </border>
    <border>
      <left style="thin">
        <color rgb="FF595959"/>
      </left>
      <right style="thin">
        <color rgb="FF000000"/>
      </right>
      <top/>
      <bottom style="thin">
        <color rgb="FF595959"/>
      </bottom>
      <diagonal/>
    </border>
    <border>
      <left style="thin">
        <color rgb="FF595959"/>
      </left>
      <right/>
      <top style="thin">
        <color rgb="FF595959"/>
      </top>
      <bottom style="thin">
        <color rgb="FF595959"/>
      </bottom>
      <diagonal/>
    </border>
    <border>
      <left style="thin">
        <color theme="0"/>
      </left>
      <right/>
      <top/>
      <bottom/>
      <diagonal/>
    </border>
    <border>
      <left style="thin">
        <color theme="0"/>
      </left>
      <right/>
      <top/>
      <bottom style="medium">
        <color theme="0"/>
      </bottom>
      <diagonal/>
    </border>
    <border>
      <left/>
      <right/>
      <top/>
      <bottom style="medium">
        <color theme="0"/>
      </bottom>
      <diagonal/>
    </border>
    <border>
      <left/>
      <right/>
      <top/>
      <bottom style="medium">
        <color theme="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95959"/>
      </left>
      <right/>
      <top/>
      <bottom style="thin">
        <color rgb="FF595959"/>
      </bottom>
      <diagonal/>
    </border>
    <border>
      <left style="thin">
        <color rgb="FF595959"/>
      </left>
      <right/>
      <top style="thin">
        <color rgb="FF595959"/>
      </top>
      <bottom/>
      <diagonal/>
    </border>
    <border>
      <left style="thin">
        <color rgb="FF262626"/>
      </left>
      <right style="thin">
        <color rgb="FF262626"/>
      </right>
      <top style="thin">
        <color rgb="FF262626"/>
      </top>
      <bottom/>
      <diagonal/>
    </border>
    <border>
      <left style="thin">
        <color rgb="FF262626"/>
      </left>
      <right style="thin">
        <color rgb="FF262626"/>
      </right>
      <top/>
      <bottom/>
      <diagonal/>
    </border>
    <border>
      <left style="thin">
        <color rgb="FF262626"/>
      </left>
      <right style="thin">
        <color rgb="FF262626"/>
      </right>
      <top/>
      <bottom style="thin">
        <color rgb="FF262626"/>
      </bottom>
      <diagonal/>
    </border>
    <border>
      <left style="thin">
        <color rgb="FF262626"/>
      </left>
      <right style="thin">
        <color rgb="FF262626"/>
      </right>
      <top style="thin">
        <color rgb="FF262626"/>
      </top>
      <bottom style="thin">
        <color rgb="FF262626"/>
      </bottom>
      <diagonal/>
    </border>
    <border>
      <left/>
      <right/>
      <top/>
      <bottom/>
      <diagonal/>
    </border>
    <border>
      <left style="hair">
        <color theme="0"/>
      </left>
      <right/>
      <top/>
      <bottom style="hair">
        <color theme="0"/>
      </bottom>
      <diagonal/>
    </border>
    <border>
      <left/>
      <right/>
      <top/>
      <bottom style="hair">
        <color theme="0"/>
      </bottom>
      <diagonal/>
    </border>
    <border>
      <left/>
      <right/>
      <top/>
      <bottom style="hair">
        <color theme="0"/>
      </bottom>
      <diagonal/>
    </border>
    <border>
      <left style="thin">
        <color theme="0"/>
      </left>
      <right/>
      <top/>
      <bottom/>
      <diagonal/>
    </border>
    <border>
      <left/>
      <right/>
      <top/>
      <bottom style="thin">
        <color rgb="FF595959"/>
      </bottom>
      <diagonal/>
    </border>
    <border>
      <left style="hair">
        <color theme="0"/>
      </left>
      <right style="hair">
        <color theme="0"/>
      </right>
      <top style="hair">
        <color theme="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595959"/>
      </left>
      <right style="thin">
        <color rgb="FF595959"/>
      </right>
      <top style="thin">
        <color rgb="FF595959"/>
      </top>
      <bottom style="thin">
        <color rgb="FF000000"/>
      </bottom>
      <diagonal/>
    </border>
    <border>
      <left/>
      <right style="thin">
        <color theme="0"/>
      </right>
      <top style="thin">
        <color rgb="FF595959"/>
      </top>
      <bottom/>
      <diagonal/>
    </border>
    <border>
      <left/>
      <right/>
      <top style="thin">
        <color rgb="FF595959"/>
      </top>
      <bottom/>
      <diagonal/>
    </border>
    <border>
      <left/>
      <right/>
      <top style="thin">
        <color rgb="FF595959"/>
      </top>
      <bottom/>
      <diagonal/>
    </border>
    <border>
      <left/>
      <right style="thin">
        <color rgb="FF595959"/>
      </right>
      <top style="thin">
        <color rgb="FF595959"/>
      </top>
      <bottom/>
      <diagonal/>
    </border>
    <border>
      <left/>
      <right style="thin">
        <color theme="0"/>
      </right>
      <top/>
      <bottom style="medium">
        <color theme="0"/>
      </bottom>
      <diagonal/>
    </border>
    <border>
      <left style="thin">
        <color theme="0"/>
      </left>
      <right/>
      <top style="thin">
        <color rgb="FF595959"/>
      </top>
      <bottom style="thin">
        <color theme="0"/>
      </bottom>
      <diagonal/>
    </border>
    <border>
      <left/>
      <right/>
      <top style="thin">
        <color rgb="FF595959"/>
      </top>
      <bottom style="thin">
        <color theme="0"/>
      </bottom>
      <diagonal/>
    </border>
    <border>
      <left/>
      <right style="thin">
        <color rgb="FF595959"/>
      </right>
      <top style="thin">
        <color rgb="FF595959"/>
      </top>
      <bottom style="thin">
        <color theme="0"/>
      </bottom>
      <diagonal/>
    </border>
    <border>
      <left/>
      <right/>
      <top/>
      <bottom/>
      <diagonal/>
    </border>
    <border>
      <left/>
      <right/>
      <top/>
      <bottom style="thin">
        <color theme="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3" fillId="0" borderId="0" applyNumberFormat="0" applyFill="0" applyBorder="0" applyAlignment="0" applyProtection="0"/>
    <xf numFmtId="0" fontId="1" fillId="0" borderId="77"/>
    <xf numFmtId="0" fontId="1" fillId="0" borderId="77"/>
  </cellStyleXfs>
  <cellXfs count="305">
    <xf numFmtId="0" fontId="0" fillId="0" borderId="0" xfId="0"/>
    <xf numFmtId="0" fontId="2"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center"/>
    </xf>
    <xf numFmtId="0" fontId="8" fillId="9" borderId="8" xfId="0" applyFont="1" applyFill="1" applyBorder="1" applyAlignment="1">
      <alignment horizontal="center" vertical="center"/>
    </xf>
    <xf numFmtId="0" fontId="8" fillId="9" borderId="9" xfId="0" applyFont="1" applyFill="1" applyBorder="1" applyAlignment="1">
      <alignment horizontal="center" vertical="center"/>
    </xf>
    <xf numFmtId="0" fontId="8" fillId="9" borderId="10" xfId="0" applyFont="1" applyFill="1" applyBorder="1" applyAlignment="1">
      <alignment horizontal="center" vertical="center"/>
    </xf>
    <xf numFmtId="0" fontId="9" fillId="10" borderId="11" xfId="0" applyFont="1" applyFill="1" applyBorder="1" applyAlignment="1">
      <alignment horizontal="left" vertical="center"/>
    </xf>
    <xf numFmtId="164" fontId="10" fillId="10" borderId="11" xfId="0" applyNumberFormat="1" applyFont="1" applyFill="1" applyBorder="1" applyAlignment="1">
      <alignment horizontal="center" vertical="center"/>
    </xf>
    <xf numFmtId="0" fontId="11" fillId="11" borderId="11" xfId="0" applyFont="1" applyFill="1" applyBorder="1" applyAlignment="1">
      <alignment vertical="center"/>
    </xf>
    <xf numFmtId="164" fontId="10" fillId="11" borderId="11" xfId="0" applyNumberFormat="1" applyFont="1" applyFill="1" applyBorder="1" applyAlignment="1">
      <alignment horizontal="center" vertical="center"/>
    </xf>
    <xf numFmtId="164" fontId="12" fillId="0" borderId="11" xfId="0" applyNumberFormat="1" applyFont="1" applyBorder="1" applyAlignment="1">
      <alignment horizontal="center" vertical="center"/>
    </xf>
    <xf numFmtId="164" fontId="12" fillId="12" borderId="11" xfId="0" applyNumberFormat="1" applyFont="1" applyFill="1" applyBorder="1" applyAlignment="1">
      <alignment horizontal="center" vertical="center"/>
    </xf>
    <xf numFmtId="0" fontId="11" fillId="0" borderId="0" xfId="0" applyFont="1" applyAlignment="1">
      <alignment vertical="center"/>
    </xf>
    <xf numFmtId="164" fontId="2" fillId="0" borderId="0" xfId="0" applyNumberFormat="1" applyFont="1"/>
    <xf numFmtId="164" fontId="13" fillId="0" borderId="0" xfId="0" applyNumberFormat="1" applyFont="1"/>
    <xf numFmtId="0" fontId="2" fillId="0" borderId="0" xfId="0" applyFont="1"/>
    <xf numFmtId="0" fontId="15" fillId="9" borderId="12" xfId="0" applyFont="1" applyFill="1" applyBorder="1" applyAlignment="1">
      <alignment horizontal="left" vertical="center"/>
    </xf>
    <xf numFmtId="164" fontId="16" fillId="9" borderId="13" xfId="0" applyNumberFormat="1" applyFont="1" applyFill="1" applyBorder="1" applyAlignment="1">
      <alignment horizontal="center" vertical="center"/>
    </xf>
    <xf numFmtId="0" fontId="9" fillId="4" borderId="14" xfId="0" applyFont="1" applyFill="1" applyBorder="1" applyAlignment="1">
      <alignment horizontal="left" vertical="center"/>
    </xf>
    <xf numFmtId="164" fontId="10" fillId="4" borderId="11" xfId="0" applyNumberFormat="1" applyFont="1" applyFill="1" applyBorder="1" applyAlignment="1">
      <alignment horizontal="center" vertical="center"/>
    </xf>
    <xf numFmtId="164" fontId="10" fillId="4" borderId="14" xfId="0" applyNumberFormat="1" applyFont="1" applyFill="1" applyBorder="1" applyAlignment="1">
      <alignment horizontal="center" vertical="center"/>
    </xf>
    <xf numFmtId="0" fontId="9" fillId="13" borderId="11" xfId="0" applyFont="1" applyFill="1" applyBorder="1" applyAlignment="1">
      <alignment horizontal="left" vertical="center"/>
    </xf>
    <xf numFmtId="164" fontId="10" fillId="13" borderId="11" xfId="0" applyNumberFormat="1" applyFont="1" applyFill="1" applyBorder="1" applyAlignment="1">
      <alignment horizontal="center" vertical="center"/>
    </xf>
    <xf numFmtId="164" fontId="17" fillId="9" borderId="13"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13" borderId="11" xfId="0" applyFont="1" applyFill="1" applyBorder="1" applyAlignment="1">
      <alignment horizontal="center" vertical="center"/>
    </xf>
    <xf numFmtId="0" fontId="8" fillId="9" borderId="25" xfId="0" applyFont="1" applyFill="1" applyBorder="1" applyAlignment="1">
      <alignment horizontal="center" vertical="center"/>
    </xf>
    <xf numFmtId="0" fontId="6"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wrapText="1"/>
    </xf>
    <xf numFmtId="0" fontId="13" fillId="0" borderId="0" xfId="0" applyFont="1" applyAlignment="1">
      <alignment vertical="center"/>
    </xf>
    <xf numFmtId="0" fontId="12" fillId="0" borderId="0" xfId="0" applyFont="1" applyAlignment="1">
      <alignment vertical="center"/>
    </xf>
    <xf numFmtId="0" fontId="8" fillId="4" borderId="26" xfId="0" applyFont="1" applyFill="1" applyBorder="1" applyAlignment="1">
      <alignment vertical="center"/>
    </xf>
    <xf numFmtId="0" fontId="8" fillId="4" borderId="27" xfId="0" applyFont="1" applyFill="1" applyBorder="1" applyAlignment="1">
      <alignment vertical="center"/>
    </xf>
    <xf numFmtId="0" fontId="19" fillId="0" borderId="0" xfId="0" applyFont="1" applyAlignment="1">
      <alignment vertical="center"/>
    </xf>
    <xf numFmtId="0" fontId="8" fillId="4" borderId="28" xfId="0" applyFont="1" applyFill="1" applyBorder="1" applyAlignment="1">
      <alignment vertical="center"/>
    </xf>
    <xf numFmtId="0" fontId="8" fillId="4" borderId="29" xfId="0" applyFont="1" applyFill="1" applyBorder="1" applyAlignment="1">
      <alignment vertical="center"/>
    </xf>
    <xf numFmtId="164" fontId="12" fillId="0" borderId="0" xfId="0" applyNumberFormat="1" applyFont="1" applyAlignment="1">
      <alignment vertical="center"/>
    </xf>
    <xf numFmtId="0" fontId="16" fillId="9" borderId="13" xfId="0" applyFont="1" applyFill="1" applyBorder="1" applyAlignment="1">
      <alignment horizontal="center" vertical="center"/>
    </xf>
    <xf numFmtId="0" fontId="16" fillId="9" borderId="31" xfId="0" applyFont="1" applyFill="1" applyBorder="1" applyAlignment="1">
      <alignment horizontal="center" vertical="center"/>
    </xf>
    <xf numFmtId="0" fontId="16" fillId="9" borderId="34" xfId="0" applyFont="1" applyFill="1" applyBorder="1" applyAlignment="1">
      <alignment horizontal="center" vertical="center"/>
    </xf>
    <xf numFmtId="164" fontId="19" fillId="0" borderId="0" xfId="0" applyNumberFormat="1" applyFont="1" applyAlignment="1">
      <alignment vertical="center"/>
    </xf>
    <xf numFmtId="0" fontId="8" fillId="9" borderId="36" xfId="0" applyFont="1" applyFill="1" applyBorder="1" applyAlignment="1">
      <alignment horizontal="center" vertical="center"/>
    </xf>
    <xf numFmtId="0" fontId="8" fillId="9" borderId="37" xfId="0" applyFont="1" applyFill="1" applyBorder="1" applyAlignment="1">
      <alignment horizontal="center" vertical="center"/>
    </xf>
    <xf numFmtId="0" fontId="10" fillId="0" borderId="0" xfId="0" applyFont="1" applyAlignment="1">
      <alignment horizontal="center" vertical="center"/>
    </xf>
    <xf numFmtId="0" fontId="9" fillId="14" borderId="39" xfId="0" applyFont="1" applyFill="1" applyBorder="1" applyAlignment="1">
      <alignment vertical="center"/>
    </xf>
    <xf numFmtId="0" fontId="10" fillId="14" borderId="11" xfId="0" applyFont="1" applyFill="1" applyBorder="1" applyAlignment="1">
      <alignment horizontal="center" vertical="center"/>
    </xf>
    <xf numFmtId="164" fontId="10" fillId="14" borderId="11" xfId="0" applyNumberFormat="1" applyFont="1" applyFill="1" applyBorder="1" applyAlignment="1">
      <alignment horizontal="center" vertical="center"/>
    </xf>
    <xf numFmtId="0" fontId="10" fillId="14" borderId="40" xfId="0" applyFont="1" applyFill="1" applyBorder="1" applyAlignment="1">
      <alignment horizontal="center" vertical="center"/>
    </xf>
    <xf numFmtId="0" fontId="10" fillId="14" borderId="39" xfId="0" applyFont="1" applyFill="1" applyBorder="1" applyAlignment="1">
      <alignment horizontal="center" vertical="center"/>
    </xf>
    <xf numFmtId="165" fontId="10" fillId="14" borderId="11" xfId="0" applyNumberFormat="1" applyFont="1" applyFill="1" applyBorder="1" applyAlignment="1">
      <alignment horizontal="center" vertical="center"/>
    </xf>
    <xf numFmtId="0" fontId="11" fillId="15" borderId="11" xfId="0" applyFont="1" applyFill="1" applyBorder="1" applyAlignment="1">
      <alignment vertical="center"/>
    </xf>
    <xf numFmtId="0" fontId="12" fillId="0" borderId="11" xfId="0" applyFont="1" applyBorder="1" applyAlignment="1">
      <alignment horizontal="center" vertical="center"/>
    </xf>
    <xf numFmtId="0" fontId="12" fillId="0" borderId="42" xfId="0" applyFont="1" applyBorder="1" applyAlignment="1">
      <alignment horizontal="left" vertical="center"/>
    </xf>
    <xf numFmtId="0" fontId="12" fillId="0" borderId="43" xfId="0" applyFont="1" applyBorder="1" applyAlignment="1">
      <alignment horizontal="center" vertical="center"/>
    </xf>
    <xf numFmtId="0" fontId="12" fillId="0" borderId="11" xfId="0" applyFont="1" applyBorder="1" applyAlignment="1">
      <alignment horizontal="left" vertical="center"/>
    </xf>
    <xf numFmtId="0" fontId="12" fillId="0" borderId="46" xfId="0" quotePrefix="1" applyFont="1" applyBorder="1" applyAlignment="1">
      <alignment horizontal="left" vertical="center"/>
    </xf>
    <xf numFmtId="0" fontId="12" fillId="0" borderId="46" xfId="0" applyFont="1" applyBorder="1" applyAlignment="1">
      <alignment horizontal="center" vertical="center"/>
    </xf>
    <xf numFmtId="0" fontId="12" fillId="0" borderId="46" xfId="0" applyFont="1" applyBorder="1" applyAlignment="1">
      <alignment horizontal="left" vertical="top" wrapText="1"/>
    </xf>
    <xf numFmtId="0" fontId="12" fillId="0" borderId="46" xfId="0" applyFont="1" applyBorder="1" applyAlignment="1">
      <alignment horizontal="left" vertical="center" wrapText="1"/>
    </xf>
    <xf numFmtId="0" fontId="12" fillId="0" borderId="46" xfId="0" applyFont="1" applyBorder="1" applyAlignment="1">
      <alignment horizontal="left" vertical="center"/>
    </xf>
    <xf numFmtId="0" fontId="12" fillId="0" borderId="46" xfId="0" quotePrefix="1" applyFont="1" applyBorder="1" applyAlignment="1">
      <alignment horizontal="left" vertical="center" wrapText="1"/>
    </xf>
    <xf numFmtId="0" fontId="11" fillId="16" borderId="11" xfId="0" applyFont="1" applyFill="1" applyBorder="1" applyAlignment="1">
      <alignment vertical="center"/>
    </xf>
    <xf numFmtId="0" fontId="9" fillId="14" borderId="11" xfId="0" applyFont="1" applyFill="1" applyBorder="1" applyAlignment="1">
      <alignment horizontal="left" vertical="center"/>
    </xf>
    <xf numFmtId="0" fontId="10" fillId="14" borderId="42" xfId="0" applyFont="1" applyFill="1" applyBorder="1" applyAlignment="1">
      <alignment horizontal="center" vertical="center"/>
    </xf>
    <xf numFmtId="0" fontId="21" fillId="17" borderId="11" xfId="0" applyFont="1" applyFill="1" applyBorder="1" applyAlignment="1">
      <alignment horizontal="left" vertical="center"/>
    </xf>
    <xf numFmtId="0" fontId="10" fillId="17" borderId="11" xfId="0" applyFont="1" applyFill="1" applyBorder="1" applyAlignment="1">
      <alignment horizontal="center" vertical="center"/>
    </xf>
    <xf numFmtId="164" fontId="10" fillId="17" borderId="11" xfId="0" applyNumberFormat="1" applyFont="1" applyFill="1" applyBorder="1" applyAlignment="1">
      <alignment horizontal="center" vertical="center"/>
    </xf>
    <xf numFmtId="0" fontId="10" fillId="17" borderId="40" xfId="0" applyFont="1" applyFill="1" applyBorder="1" applyAlignment="1">
      <alignment horizontal="center" vertical="center"/>
    </xf>
    <xf numFmtId="0" fontId="10" fillId="17" borderId="42" xfId="0" applyFont="1" applyFill="1" applyBorder="1" applyAlignment="1">
      <alignment horizontal="center" vertical="center"/>
    </xf>
    <xf numFmtId="0" fontId="12" fillId="0" borderId="11" xfId="0" applyFont="1" applyBorder="1" applyAlignment="1">
      <alignment horizontal="center" vertical="center" wrapText="1"/>
    </xf>
    <xf numFmtId="0" fontId="2" fillId="0" borderId="0" xfId="0" applyFont="1" applyAlignment="1">
      <alignment horizontal="left" vertical="center" wrapText="1"/>
    </xf>
    <xf numFmtId="0" fontId="8" fillId="5" borderId="27" xfId="0" applyFont="1" applyFill="1" applyBorder="1" applyAlignment="1">
      <alignment horizontal="left" vertical="center"/>
    </xf>
    <xf numFmtId="0" fontId="8" fillId="5" borderId="27" xfId="0" applyFont="1" applyFill="1" applyBorder="1" applyAlignment="1">
      <alignment horizontal="left" vertical="center" wrapText="1"/>
    </xf>
    <xf numFmtId="0" fontId="9" fillId="18" borderId="40" xfId="0" applyFont="1" applyFill="1" applyBorder="1" applyAlignment="1">
      <alignment horizontal="left" vertical="center"/>
    </xf>
    <xf numFmtId="0" fontId="10" fillId="18" borderId="11" xfId="0" applyFont="1" applyFill="1" applyBorder="1" applyAlignment="1">
      <alignment horizontal="center" vertical="center"/>
    </xf>
    <xf numFmtId="164" fontId="10" fillId="18" borderId="11" xfId="0" applyNumberFormat="1" applyFont="1" applyFill="1" applyBorder="1" applyAlignment="1">
      <alignment horizontal="center" vertical="center"/>
    </xf>
    <xf numFmtId="0" fontId="10" fillId="18" borderId="11" xfId="0" applyFont="1" applyFill="1" applyBorder="1" applyAlignment="1">
      <alignment horizontal="left" vertical="center"/>
    </xf>
    <xf numFmtId="0" fontId="10" fillId="18" borderId="11" xfId="0" applyFont="1" applyFill="1" applyBorder="1" applyAlignment="1">
      <alignment horizontal="left" vertical="center" wrapText="1"/>
    </xf>
    <xf numFmtId="0" fontId="12" fillId="0" borderId="11" xfId="0" applyFont="1" applyBorder="1" applyAlignment="1">
      <alignment horizontal="left" vertical="center" wrapText="1"/>
    </xf>
    <xf numFmtId="0" fontId="22" fillId="0" borderId="11" xfId="0" applyFont="1" applyBorder="1" applyAlignment="1">
      <alignment horizontal="left" vertical="center" wrapText="1"/>
    </xf>
    <xf numFmtId="0" fontId="21" fillId="19" borderId="40" xfId="0" applyFont="1" applyFill="1" applyBorder="1" applyAlignment="1">
      <alignment horizontal="left" vertical="center"/>
    </xf>
    <xf numFmtId="0" fontId="10" fillId="19" borderId="11" xfId="0" applyFont="1" applyFill="1" applyBorder="1" applyAlignment="1">
      <alignment horizontal="center" vertical="center"/>
    </xf>
    <xf numFmtId="164" fontId="10" fillId="19" borderId="11" xfId="0" applyNumberFormat="1" applyFont="1" applyFill="1" applyBorder="1" applyAlignment="1">
      <alignment horizontal="center" vertical="center"/>
    </xf>
    <xf numFmtId="0" fontId="10" fillId="19" borderId="11" xfId="0" applyFont="1" applyFill="1" applyBorder="1" applyAlignment="1">
      <alignment horizontal="left" vertical="center"/>
    </xf>
    <xf numFmtId="0" fontId="10" fillId="19" borderId="11" xfId="0" applyFont="1" applyFill="1" applyBorder="1" applyAlignment="1">
      <alignment horizontal="left" vertical="center" wrapText="1"/>
    </xf>
    <xf numFmtId="0" fontId="12" fillId="0" borderId="11" xfId="0" quotePrefix="1" applyFont="1" applyBorder="1" applyAlignment="1">
      <alignment horizontal="left" vertical="center" wrapText="1"/>
    </xf>
    <xf numFmtId="0" fontId="23" fillId="0" borderId="11" xfId="0" quotePrefix="1" applyFont="1" applyBorder="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9" fontId="10" fillId="14" borderId="11" xfId="0" applyNumberFormat="1" applyFont="1" applyFill="1" applyBorder="1" applyAlignment="1">
      <alignment horizontal="center" vertical="center"/>
    </xf>
    <xf numFmtId="164" fontId="12" fillId="0" borderId="46" xfId="0" applyNumberFormat="1" applyFont="1" applyBorder="1" applyAlignment="1">
      <alignment horizontal="center" vertical="center"/>
    </xf>
    <xf numFmtId="0" fontId="12" fillId="0" borderId="51" xfId="0" applyFont="1" applyBorder="1" applyAlignment="1">
      <alignment horizontal="left" vertical="center"/>
    </xf>
    <xf numFmtId="0" fontId="12" fillId="0" borderId="11" xfId="0" applyFont="1" applyBorder="1" applyAlignment="1">
      <alignment vertical="center"/>
    </xf>
    <xf numFmtId="0" fontId="2" fillId="0" borderId="11" xfId="0" applyFont="1" applyBorder="1" applyAlignment="1">
      <alignment vertical="center"/>
    </xf>
    <xf numFmtId="0" fontId="24" fillId="0" borderId="11" xfId="0" applyFont="1" applyBorder="1" applyAlignment="1">
      <alignment horizontal="left" vertical="center"/>
    </xf>
    <xf numFmtId="0" fontId="12" fillId="0" borderId="52" xfId="0" applyFont="1" applyBorder="1" applyAlignment="1">
      <alignment horizontal="center" vertical="center"/>
    </xf>
    <xf numFmtId="0" fontId="12" fillId="0" borderId="42" xfId="0" applyFont="1" applyBorder="1" applyAlignment="1">
      <alignment horizontal="center" vertical="center"/>
    </xf>
    <xf numFmtId="0" fontId="6" fillId="11" borderId="11" xfId="0" applyFont="1" applyFill="1" applyBorder="1" applyAlignment="1">
      <alignment vertical="center"/>
    </xf>
    <xf numFmtId="0" fontId="12" fillId="0" borderId="53" xfId="0" applyFont="1" applyBorder="1" applyAlignment="1">
      <alignment horizontal="center" vertical="center"/>
    </xf>
    <xf numFmtId="164" fontId="6" fillId="0" borderId="0" xfId="0" applyNumberFormat="1" applyFont="1" applyAlignment="1">
      <alignment horizontal="center" vertical="center"/>
    </xf>
    <xf numFmtId="0" fontId="25" fillId="0" borderId="11" xfId="0" applyFont="1" applyBorder="1" applyAlignment="1">
      <alignment horizontal="left" vertical="center" wrapText="1"/>
    </xf>
    <xf numFmtId="0" fontId="12" fillId="0" borderId="0" xfId="0" applyFont="1" applyAlignment="1">
      <alignment horizontal="center" vertical="center" wrapText="1"/>
    </xf>
    <xf numFmtId="0" fontId="27" fillId="4" borderId="27" xfId="0" applyFont="1" applyFill="1" applyBorder="1" applyAlignment="1">
      <alignment vertical="center"/>
    </xf>
    <xf numFmtId="0" fontId="27" fillId="4" borderId="29" xfId="0" applyFont="1" applyFill="1" applyBorder="1" applyAlignment="1">
      <alignment vertical="center"/>
    </xf>
    <xf numFmtId="0" fontId="27" fillId="9" borderId="36" xfId="0" applyFont="1" applyFill="1" applyBorder="1" applyAlignment="1">
      <alignment horizontal="center" vertical="center"/>
    </xf>
    <xf numFmtId="0" fontId="10" fillId="14" borderId="54" xfId="0" applyFont="1" applyFill="1" applyBorder="1" applyAlignment="1">
      <alignment horizontal="center" vertical="center"/>
    </xf>
    <xf numFmtId="0" fontId="12" fillId="0" borderId="58" xfId="0" applyFont="1" applyBorder="1" applyAlignment="1">
      <alignment horizontal="left" vertical="center"/>
    </xf>
    <xf numFmtId="0" fontId="12" fillId="0" borderId="58" xfId="0" applyFont="1" applyBorder="1" applyAlignment="1">
      <alignment vertical="center"/>
    </xf>
    <xf numFmtId="0" fontId="12" fillId="0" borderId="58" xfId="0" applyFont="1" applyBorder="1" applyAlignment="1">
      <alignment horizontal="left" vertical="center" wrapText="1"/>
    </xf>
    <xf numFmtId="0" fontId="12" fillId="0" borderId="51" xfId="0" applyFont="1" applyBorder="1" applyAlignment="1">
      <alignment vertical="center"/>
    </xf>
    <xf numFmtId="0" fontId="12" fillId="0" borderId="0" xfId="0" applyFont="1" applyAlignment="1">
      <alignment horizontal="center" vertical="center"/>
    </xf>
    <xf numFmtId="6" fontId="12" fillId="0" borderId="11" xfId="0" applyNumberFormat="1" applyFont="1" applyBorder="1" applyAlignment="1">
      <alignment horizontal="left" vertical="center"/>
    </xf>
    <xf numFmtId="0" fontId="11" fillId="11" borderId="40" xfId="0" applyFont="1" applyFill="1" applyBorder="1" applyAlignment="1">
      <alignment vertical="center"/>
    </xf>
    <xf numFmtId="0" fontId="28" fillId="0" borderId="11" xfId="0" applyFont="1" applyBorder="1" applyAlignment="1">
      <alignment horizontal="left" vertical="center"/>
    </xf>
    <xf numFmtId="164" fontId="6" fillId="0" borderId="0" xfId="0" applyNumberFormat="1" applyFont="1" applyAlignment="1">
      <alignment vertical="center"/>
    </xf>
    <xf numFmtId="0" fontId="24" fillId="0" borderId="11" xfId="0" applyFont="1" applyBorder="1" applyAlignment="1">
      <alignment horizontal="left" vertical="center" wrapText="1"/>
    </xf>
    <xf numFmtId="0" fontId="24" fillId="0" borderId="58" xfId="0" applyFont="1" applyBorder="1" applyAlignment="1">
      <alignment horizontal="left" vertical="center" wrapText="1"/>
    </xf>
    <xf numFmtId="0" fontId="2" fillId="0" borderId="53" xfId="0" applyFont="1" applyBorder="1"/>
    <xf numFmtId="0" fontId="24" fillId="0" borderId="46" xfId="0" applyFont="1" applyBorder="1" applyAlignment="1">
      <alignment horizontal="center" vertical="center"/>
    </xf>
    <xf numFmtId="0" fontId="2" fillId="0" borderId="63" xfId="0" applyFont="1" applyBorder="1" applyAlignment="1">
      <alignment vertical="center"/>
    </xf>
    <xf numFmtId="0" fontId="31" fillId="9" borderId="65" xfId="0" applyFont="1" applyFill="1" applyBorder="1" applyAlignment="1">
      <alignment horizontal="center" vertical="center" wrapText="1"/>
    </xf>
    <xf numFmtId="0" fontId="32" fillId="11" borderId="40" xfId="0" applyFont="1" applyFill="1" applyBorder="1" applyAlignment="1">
      <alignment vertical="center"/>
    </xf>
    <xf numFmtId="0" fontId="14" fillId="11" borderId="11" xfId="0" applyFont="1" applyFill="1" applyBorder="1" applyAlignment="1">
      <alignment vertical="center"/>
    </xf>
    <xf numFmtId="164" fontId="6" fillId="0" borderId="17" xfId="0" applyNumberFormat="1" applyFont="1" applyBorder="1" applyAlignment="1">
      <alignment horizontal="center" vertical="center" wrapText="1"/>
    </xf>
    <xf numFmtId="166" fontId="6" fillId="0" borderId="17" xfId="0" applyNumberFormat="1" applyFont="1" applyBorder="1" applyAlignment="1">
      <alignment horizontal="center" vertical="center" wrapText="1"/>
    </xf>
    <xf numFmtId="166" fontId="2" fillId="0" borderId="0" xfId="0" applyNumberFormat="1" applyFont="1" applyAlignment="1">
      <alignment vertical="center"/>
    </xf>
    <xf numFmtId="164" fontId="6" fillId="0" borderId="11" xfId="0" applyNumberFormat="1" applyFont="1" applyBorder="1" applyAlignment="1">
      <alignment horizontal="center" vertical="center" wrapText="1"/>
    </xf>
    <xf numFmtId="166" fontId="6" fillId="0" borderId="11" xfId="0" applyNumberFormat="1" applyFont="1" applyBorder="1" applyAlignment="1">
      <alignment horizontal="center" vertical="center" wrapText="1"/>
    </xf>
    <xf numFmtId="0" fontId="2" fillId="0" borderId="0" xfId="0" applyFont="1" applyAlignment="1">
      <alignment horizontal="center" vertical="center"/>
    </xf>
    <xf numFmtId="0" fontId="14" fillId="0" borderId="0" xfId="0" applyFont="1" applyAlignment="1">
      <alignment vertical="center"/>
    </xf>
    <xf numFmtId="0" fontId="14" fillId="11" borderId="68" xfId="0" applyFont="1" applyFill="1" applyBorder="1" applyAlignment="1">
      <alignment vertical="center"/>
    </xf>
    <xf numFmtId="164" fontId="11" fillId="0" borderId="68" xfId="0" applyNumberFormat="1" applyFont="1" applyBorder="1" applyAlignment="1">
      <alignment horizontal="center" vertical="center" wrapText="1"/>
    </xf>
    <xf numFmtId="0" fontId="14" fillId="0" borderId="0" xfId="0" applyFont="1" applyAlignment="1">
      <alignment horizontal="center" vertical="center" wrapText="1"/>
    </xf>
    <xf numFmtId="0" fontId="15" fillId="21" borderId="14" xfId="0" applyFont="1" applyFill="1" applyBorder="1" applyAlignment="1">
      <alignment horizontal="left" vertical="center"/>
    </xf>
    <xf numFmtId="164" fontId="16" fillId="21" borderId="14" xfId="0" applyNumberFormat="1" applyFont="1" applyFill="1" applyBorder="1" applyAlignment="1">
      <alignment horizontal="center" vertical="center"/>
    </xf>
    <xf numFmtId="0" fontId="11" fillId="0" borderId="0" xfId="0" applyFont="1" applyAlignment="1">
      <alignment horizontal="center" vertical="center"/>
    </xf>
    <xf numFmtId="0" fontId="10" fillId="11" borderId="11" xfId="0" applyFont="1" applyFill="1" applyBorder="1" applyAlignment="1">
      <alignment vertical="center"/>
    </xf>
    <xf numFmtId="0" fontId="6" fillId="15" borderId="11" xfId="0" applyFont="1" applyFill="1" applyBorder="1" applyAlignment="1">
      <alignment vertical="center"/>
    </xf>
    <xf numFmtId="0" fontId="33" fillId="0" borderId="0" xfId="0" applyFont="1"/>
    <xf numFmtId="0" fontId="12" fillId="0" borderId="55" xfId="0" applyFont="1" applyBorder="1" applyAlignment="1">
      <alignment vertical="center"/>
    </xf>
    <xf numFmtId="0" fontId="2" fillId="0" borderId="45" xfId="0" applyFont="1" applyBorder="1"/>
    <xf numFmtId="0" fontId="12" fillId="0" borderId="45" xfId="0" applyFont="1" applyBorder="1"/>
    <xf numFmtId="0" fontId="34" fillId="0" borderId="11" xfId="0" applyFont="1" applyBorder="1" applyAlignment="1">
      <alignment horizontal="left" vertical="center" wrapText="1"/>
    </xf>
    <xf numFmtId="0" fontId="35" fillId="0" borderId="11" xfId="0" applyFont="1" applyBorder="1" applyAlignment="1">
      <alignment horizontal="left" vertical="center" wrapText="1"/>
    </xf>
    <xf numFmtId="0" fontId="11" fillId="11" borderId="11" xfId="0" applyFont="1" applyFill="1" applyBorder="1" applyAlignment="1">
      <alignment vertical="center" wrapText="1"/>
    </xf>
    <xf numFmtId="0" fontId="34" fillId="0" borderId="0" xfId="0" applyFont="1"/>
    <xf numFmtId="164" fontId="12" fillId="12" borderId="40" xfId="0" applyNumberFormat="1" applyFont="1" applyFill="1" applyBorder="1" applyAlignment="1">
      <alignment horizontal="center" vertical="center"/>
    </xf>
    <xf numFmtId="0" fontId="34" fillId="0" borderId="11" xfId="0" applyFont="1" applyBorder="1" applyAlignment="1">
      <alignment horizontal="left" vertical="center"/>
    </xf>
    <xf numFmtId="0" fontId="12" fillId="0" borderId="11" xfId="0" applyFont="1" applyBorder="1" applyAlignment="1">
      <alignment vertical="center" wrapText="1"/>
    </xf>
    <xf numFmtId="0" fontId="12" fillId="0" borderId="0" xfId="0" applyFont="1" applyAlignment="1">
      <alignment horizontal="left" vertical="center" wrapText="1"/>
    </xf>
    <xf numFmtId="0" fontId="27" fillId="4" borderId="27" xfId="0" applyFont="1" applyFill="1" applyBorder="1" applyAlignment="1">
      <alignment horizontal="left" vertical="center"/>
    </xf>
    <xf numFmtId="0" fontId="27" fillId="4" borderId="29" xfId="0" applyFont="1" applyFill="1" applyBorder="1" applyAlignment="1">
      <alignment horizontal="left" vertical="center"/>
    </xf>
    <xf numFmtId="0" fontId="16" fillId="9" borderId="31" xfId="0" applyFont="1" applyFill="1" applyBorder="1" applyAlignment="1">
      <alignment horizontal="left" vertical="center"/>
    </xf>
    <xf numFmtId="0" fontId="10" fillId="14" borderId="54" xfId="0" applyFont="1" applyFill="1" applyBorder="1" applyAlignment="1">
      <alignment horizontal="left" vertical="center"/>
    </xf>
    <xf numFmtId="0" fontId="10" fillId="14" borderId="40" xfId="0" applyFont="1" applyFill="1" applyBorder="1" applyAlignment="1">
      <alignment horizontal="left" vertical="center"/>
    </xf>
    <xf numFmtId="0" fontId="10" fillId="17" borderId="40" xfId="0" applyFont="1" applyFill="1" applyBorder="1" applyAlignment="1">
      <alignment horizontal="left" vertical="center"/>
    </xf>
    <xf numFmtId="0" fontId="12" fillId="0" borderId="0" xfId="0" applyFont="1" applyAlignment="1">
      <alignment horizontal="left" vertical="center"/>
    </xf>
    <xf numFmtId="0" fontId="2" fillId="0" borderId="0" xfId="0" applyFont="1" applyAlignment="1">
      <alignment horizontal="left"/>
    </xf>
    <xf numFmtId="164" fontId="2" fillId="0" borderId="0" xfId="0" applyNumberFormat="1" applyFont="1" applyAlignment="1">
      <alignment horizontal="center" vertical="center" wrapText="1"/>
    </xf>
    <xf numFmtId="164" fontId="2" fillId="0" borderId="0" xfId="0" applyNumberFormat="1" applyFont="1" applyAlignment="1">
      <alignment vertical="center"/>
    </xf>
    <xf numFmtId="164" fontId="31" fillId="9" borderId="65" xfId="0" applyNumberFormat="1" applyFont="1" applyFill="1" applyBorder="1" applyAlignment="1">
      <alignment horizontal="center" vertical="center" wrapText="1"/>
    </xf>
    <xf numFmtId="164" fontId="14" fillId="0" borderId="0" xfId="0" applyNumberFormat="1" applyFont="1" applyAlignment="1">
      <alignment horizontal="center" vertical="center" wrapText="1"/>
    </xf>
    <xf numFmtId="164" fontId="14" fillId="0" borderId="0" xfId="0" applyNumberFormat="1" applyFont="1" applyAlignment="1">
      <alignment vertical="center"/>
    </xf>
    <xf numFmtId="164" fontId="8" fillId="9" borderId="9" xfId="0" applyNumberFormat="1" applyFont="1" applyFill="1" applyBorder="1" applyAlignment="1">
      <alignment horizontal="center" vertical="center"/>
    </xf>
    <xf numFmtId="164" fontId="8" fillId="9" borderId="10" xfId="0" applyNumberFormat="1" applyFont="1" applyFill="1" applyBorder="1" applyAlignment="1">
      <alignment horizontal="center" vertical="center"/>
    </xf>
    <xf numFmtId="164" fontId="11" fillId="0" borderId="0" xfId="0" applyNumberFormat="1" applyFont="1" applyAlignment="1">
      <alignment horizontal="center" vertical="center"/>
    </xf>
    <xf numFmtId="0" fontId="11" fillId="0" borderId="0" xfId="0" applyFont="1" applyAlignment="1">
      <alignment horizontal="center" vertical="center" wrapText="1"/>
    </xf>
    <xf numFmtId="0" fontId="8" fillId="9" borderId="36" xfId="0" applyFont="1" applyFill="1" applyBorder="1" applyAlignment="1">
      <alignment horizontal="left" vertical="center" wrapText="1"/>
    </xf>
    <xf numFmtId="0" fontId="14" fillId="0" borderId="0" xfId="0" applyFont="1" applyAlignment="1">
      <alignment horizontal="left"/>
    </xf>
    <xf numFmtId="0" fontId="14" fillId="0" borderId="0" xfId="0" applyFont="1"/>
    <xf numFmtId="164" fontId="52" fillId="9" borderId="13" xfId="0" applyNumberFormat="1" applyFont="1" applyFill="1" applyBorder="1" applyAlignment="1">
      <alignment horizontal="center" vertical="center"/>
    </xf>
    <xf numFmtId="44" fontId="0" fillId="0" borderId="0" xfId="0" applyNumberFormat="1"/>
    <xf numFmtId="0" fontId="5" fillId="0" borderId="5" xfId="0" applyFont="1" applyBorder="1"/>
    <xf numFmtId="0" fontId="55" fillId="0" borderId="11" xfId="0" applyFont="1" applyBorder="1" applyAlignment="1">
      <alignment horizontal="left" vertical="center" wrapText="1"/>
    </xf>
    <xf numFmtId="0" fontId="53" fillId="0" borderId="11" xfId="1" applyBorder="1" applyAlignment="1">
      <alignment horizontal="left" vertical="center" wrapText="1"/>
    </xf>
    <xf numFmtId="0" fontId="53" fillId="0" borderId="0" xfId="1" applyAlignment="1">
      <alignment wrapText="1"/>
    </xf>
    <xf numFmtId="0" fontId="0" fillId="0" borderId="0" xfId="0" applyAlignment="1">
      <alignment wrapText="1"/>
    </xf>
    <xf numFmtId="0" fontId="16" fillId="9" borderId="13" xfId="0" applyFont="1" applyFill="1" applyBorder="1" applyAlignment="1">
      <alignment horizontal="center" vertical="center" wrapText="1"/>
    </xf>
    <xf numFmtId="0" fontId="8" fillId="9" borderId="36" xfId="0" applyFont="1" applyFill="1" applyBorder="1" applyAlignment="1">
      <alignment horizontal="center" vertical="center" wrapText="1"/>
    </xf>
    <xf numFmtId="0" fontId="2" fillId="0" borderId="0" xfId="0" applyFont="1" applyAlignment="1">
      <alignment vertical="center" wrapText="1"/>
    </xf>
    <xf numFmtId="0" fontId="9" fillId="18" borderId="40" xfId="0" applyFont="1" applyFill="1" applyBorder="1" applyAlignment="1">
      <alignment horizontal="left" vertical="center" wrapText="1"/>
    </xf>
    <xf numFmtId="0" fontId="54" fillId="11" borderId="11" xfId="0" applyFont="1" applyFill="1" applyBorder="1" applyAlignment="1">
      <alignment vertical="center" wrapText="1"/>
    </xf>
    <xf numFmtId="0" fontId="21" fillId="19" borderId="40" xfId="0" applyFont="1" applyFill="1" applyBorder="1" applyAlignment="1">
      <alignment horizontal="left" vertical="center" wrapText="1"/>
    </xf>
    <xf numFmtId="0" fontId="6" fillId="0" borderId="0" xfId="0" applyFont="1" applyAlignment="1">
      <alignment vertical="center" wrapText="1"/>
    </xf>
    <xf numFmtId="0" fontId="8" fillId="9" borderId="79" xfId="0" applyFont="1" applyFill="1" applyBorder="1" applyAlignment="1">
      <alignment horizontal="center" vertical="center"/>
    </xf>
    <xf numFmtId="0" fontId="8" fillId="9" borderId="79" xfId="0" applyFont="1" applyFill="1" applyBorder="1" applyAlignment="1">
      <alignment horizontal="left" vertical="center" wrapText="1"/>
    </xf>
    <xf numFmtId="0" fontId="2" fillId="0" borderId="79" xfId="0" applyFont="1" applyBorder="1" applyAlignment="1">
      <alignment vertical="center"/>
    </xf>
    <xf numFmtId="0" fontId="2" fillId="0" borderId="79" xfId="0" applyFont="1" applyBorder="1" applyAlignment="1">
      <alignment horizontal="center" vertical="center" wrapText="1"/>
    </xf>
    <xf numFmtId="0" fontId="2" fillId="0" borderId="79" xfId="0" applyFont="1" applyBorder="1" applyAlignment="1">
      <alignment horizontal="center" vertical="center"/>
    </xf>
    <xf numFmtId="164" fontId="2" fillId="0" borderId="79" xfId="0" applyNumberFormat="1" applyFont="1" applyBorder="1" applyAlignment="1">
      <alignment vertical="center"/>
    </xf>
    <xf numFmtId="0" fontId="2" fillId="0" borderId="79" xfId="0" applyFont="1" applyBorder="1" applyAlignment="1">
      <alignment horizontal="left" vertical="center" wrapText="1"/>
    </xf>
    <xf numFmtId="0" fontId="3" fillId="6" borderId="1" xfId="0" applyFont="1" applyFill="1" applyBorder="1" applyAlignment="1">
      <alignment horizontal="left" vertical="top" wrapText="1"/>
    </xf>
    <xf numFmtId="0" fontId="5" fillId="0" borderId="2" xfId="0" applyFont="1" applyBorder="1"/>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7" fillId="3" borderId="3" xfId="0" applyFont="1" applyFill="1" applyBorder="1" applyAlignment="1">
      <alignment horizontal="center" vertical="center"/>
    </xf>
    <xf numFmtId="0" fontId="5" fillId="0" borderId="6" xfId="0" applyFont="1" applyBorder="1"/>
    <xf numFmtId="0" fontId="8" fillId="9" borderId="4" xfId="0" applyFont="1" applyFill="1" applyBorder="1" applyAlignment="1">
      <alignment horizontal="center" vertical="center" wrapText="1"/>
    </xf>
    <xf numFmtId="0" fontId="5" fillId="0" borderId="7" xfId="0" applyFont="1" applyBorder="1"/>
    <xf numFmtId="0" fontId="54" fillId="11" borderId="18" xfId="0" applyFont="1" applyFill="1" applyBorder="1" applyAlignment="1">
      <alignment horizontal="left" vertical="center" wrapText="1"/>
    </xf>
    <xf numFmtId="0" fontId="5" fillId="0" borderId="19" xfId="0" applyFont="1" applyBorder="1"/>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8" fillId="8" borderId="4" xfId="0" applyFont="1" applyFill="1" applyBorder="1" applyAlignment="1">
      <alignment horizontal="center" vertical="center" wrapText="1"/>
    </xf>
    <xf numFmtId="164" fontId="10" fillId="11" borderId="15" xfId="0" applyNumberFormat="1" applyFont="1" applyFill="1" applyBorder="1" applyAlignment="1">
      <alignment horizontal="center" vertical="center"/>
    </xf>
    <xf numFmtId="0" fontId="5" fillId="0" borderId="16" xfId="0" applyFont="1" applyBorder="1"/>
    <xf numFmtId="0" fontId="5" fillId="0" borderId="17" xfId="0" applyFont="1" applyBorder="1"/>
    <xf numFmtId="0" fontId="11" fillId="11" borderId="18"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5" fillId="0" borderId="24" xfId="0" applyFont="1" applyBorder="1"/>
    <xf numFmtId="0" fontId="18"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15" fillId="9" borderId="30" xfId="0" applyFont="1" applyFill="1" applyBorder="1" applyAlignment="1">
      <alignment horizontal="left" vertical="center"/>
    </xf>
    <xf numFmtId="0" fontId="5" fillId="0" borderId="35" xfId="0" applyFont="1" applyBorder="1"/>
    <xf numFmtId="0" fontId="20" fillId="9" borderId="32" xfId="0" applyFont="1" applyFill="1" applyBorder="1" applyAlignment="1">
      <alignment horizontal="center" vertical="center"/>
    </xf>
    <xf numFmtId="0" fontId="20" fillId="9" borderId="33" xfId="0" applyFont="1" applyFill="1" applyBorder="1" applyAlignment="1">
      <alignment horizontal="center" vertical="center" wrapText="1"/>
    </xf>
    <xf numFmtId="0" fontId="5" fillId="0" borderId="38" xfId="0" applyFont="1" applyBorder="1"/>
    <xf numFmtId="0" fontId="12" fillId="0" borderId="41" xfId="0" applyFont="1" applyBorder="1" applyAlignment="1">
      <alignment horizontal="left" vertical="center"/>
    </xf>
    <xf numFmtId="0" fontId="5" fillId="0" borderId="44" xfId="0" applyFont="1" applyBorder="1"/>
    <xf numFmtId="0" fontId="5" fillId="0" borderId="45" xfId="0" applyFont="1" applyBorder="1"/>
    <xf numFmtId="0" fontId="12" fillId="0" borderId="41" xfId="0" applyFont="1" applyBorder="1" applyAlignment="1">
      <alignment horizontal="left" vertical="center" wrapText="1"/>
    </xf>
    <xf numFmtId="0" fontId="12" fillId="0" borderId="41" xfId="0" quotePrefix="1" applyFont="1" applyBorder="1" applyAlignment="1">
      <alignment horizontal="left" vertical="center" wrapText="1"/>
    </xf>
    <xf numFmtId="0" fontId="20" fillId="9" borderId="30" xfId="0" applyFont="1" applyFill="1" applyBorder="1" applyAlignment="1">
      <alignment horizontal="center" vertical="center"/>
    </xf>
    <xf numFmtId="0" fontId="7" fillId="5" borderId="3" xfId="0" applyFont="1" applyFill="1" applyBorder="1" applyAlignment="1">
      <alignment horizontal="center" vertical="center"/>
    </xf>
    <xf numFmtId="0" fontId="8" fillId="5" borderId="47" xfId="0" applyFont="1" applyFill="1" applyBorder="1" applyAlignment="1">
      <alignment horizontal="center" vertical="center"/>
    </xf>
    <xf numFmtId="0" fontId="5" fillId="0" borderId="48" xfId="0" applyFont="1" applyBorder="1"/>
    <xf numFmtId="0" fontId="5" fillId="0" borderId="49" xfId="0" applyFont="1" applyBorder="1"/>
    <xf numFmtId="0" fontId="5" fillId="0" borderId="50" xfId="0" applyFont="1" applyBorder="1"/>
    <xf numFmtId="0" fontId="20" fillId="9" borderId="30" xfId="0" applyFont="1" applyFill="1" applyBorder="1" applyAlignment="1">
      <alignment horizontal="center" vertical="center" wrapText="1"/>
    </xf>
    <xf numFmtId="0" fontId="12" fillId="0" borderId="15" xfId="0" applyFont="1" applyBorder="1" applyAlignment="1">
      <alignment horizontal="left" vertical="center" wrapText="1"/>
    </xf>
    <xf numFmtId="0" fontId="2" fillId="0" borderId="15" xfId="0" applyFont="1" applyBorder="1" applyAlignment="1">
      <alignment horizontal="left" vertical="center"/>
    </xf>
    <xf numFmtId="0" fontId="26" fillId="0" borderId="15" xfId="0" applyFont="1" applyBorder="1" applyAlignment="1">
      <alignment horizontal="left" vertical="center" wrapText="1"/>
    </xf>
    <xf numFmtId="0" fontId="6" fillId="0" borderId="0" xfId="0" applyFont="1" applyAlignment="1">
      <alignment horizontal="left" vertical="center" wrapText="1"/>
    </xf>
    <xf numFmtId="0" fontId="0" fillId="0" borderId="0" xfId="0"/>
    <xf numFmtId="0" fontId="12" fillId="0" borderId="15" xfId="0" applyFont="1" applyBorder="1" applyAlignment="1">
      <alignment horizontal="left" vertical="center"/>
    </xf>
    <xf numFmtId="0" fontId="12" fillId="0" borderId="55" xfId="0" applyFont="1" applyBorder="1" applyAlignment="1">
      <alignment horizontal="left" vertical="center"/>
    </xf>
    <xf numFmtId="0" fontId="5" fillId="0" borderId="56" xfId="0" applyFont="1" applyBorder="1"/>
    <xf numFmtId="0" fontId="5" fillId="0" borderId="57" xfId="0" applyFont="1" applyBorder="1"/>
    <xf numFmtId="0" fontId="12" fillId="0" borderId="55" xfId="0" applyFont="1" applyBorder="1" applyAlignment="1">
      <alignment horizontal="left" vertical="center" wrapText="1"/>
    </xf>
    <xf numFmtId="0" fontId="29" fillId="0" borderId="15" xfId="0" applyFont="1" applyBorder="1" applyAlignment="1">
      <alignment horizontal="left" vertical="center"/>
    </xf>
    <xf numFmtId="0" fontId="8" fillId="9" borderId="69" xfId="0" applyFont="1" applyFill="1" applyBorder="1" applyAlignment="1">
      <alignment horizontal="center" vertical="center" wrapText="1"/>
    </xf>
    <xf numFmtId="0" fontId="5" fillId="0" borderId="73" xfId="0" applyFont="1" applyBorder="1"/>
    <xf numFmtId="0" fontId="8" fillId="9" borderId="74" xfId="0" applyFont="1" applyFill="1" applyBorder="1" applyAlignment="1">
      <alignment horizontal="center" vertical="center"/>
    </xf>
    <xf numFmtId="0" fontId="5" fillId="0" borderId="75" xfId="0" applyFont="1" applyBorder="1"/>
    <xf numFmtId="0" fontId="5" fillId="0" borderId="76" xfId="0" applyFont="1" applyBorder="1"/>
    <xf numFmtId="0" fontId="30" fillId="20" borderId="59" xfId="0" applyFont="1" applyFill="1" applyBorder="1" applyAlignment="1">
      <alignment horizontal="center" vertical="center"/>
    </xf>
    <xf numFmtId="0" fontId="5" fillId="0" borderId="64" xfId="0" applyFont="1" applyBorder="1"/>
    <xf numFmtId="0" fontId="31" fillId="9" borderId="60" xfId="0" applyFont="1" applyFill="1" applyBorder="1" applyAlignment="1">
      <alignment horizontal="center" vertical="center" wrapText="1"/>
    </xf>
    <xf numFmtId="0" fontId="5" fillId="0" borderId="61" xfId="0" applyFont="1" applyBorder="1"/>
    <xf numFmtId="0" fontId="5" fillId="0" borderId="62" xfId="0" applyFont="1" applyBorder="1"/>
    <xf numFmtId="166" fontId="6" fillId="0" borderId="66" xfId="0" applyNumberFormat="1" applyFont="1" applyBorder="1" applyAlignment="1">
      <alignment horizontal="center" vertical="center" wrapText="1"/>
    </xf>
    <xf numFmtId="0" fontId="5" fillId="0" borderId="67" xfId="0" applyFont="1" applyBorder="1"/>
    <xf numFmtId="0" fontId="5" fillId="0" borderId="51" xfId="0" applyFont="1" applyBorder="1"/>
    <xf numFmtId="0" fontId="8" fillId="9" borderId="70" xfId="0" applyFont="1" applyFill="1" applyBorder="1" applyAlignment="1">
      <alignment horizontal="center" vertical="center"/>
    </xf>
    <xf numFmtId="0" fontId="5" fillId="0" borderId="71" xfId="0" applyFont="1" applyBorder="1"/>
    <xf numFmtId="0" fontId="5" fillId="0" borderId="72" xfId="0" applyFont="1" applyBorder="1"/>
    <xf numFmtId="0" fontId="7" fillId="13" borderId="3" xfId="0" applyFont="1" applyFill="1" applyBorder="1" applyAlignment="1">
      <alignment horizontal="center" vertical="center"/>
    </xf>
    <xf numFmtId="0" fontId="12" fillId="0" borderId="15" xfId="0" applyFont="1" applyBorder="1" applyAlignment="1">
      <alignment horizontal="center" vertical="center"/>
    </xf>
    <xf numFmtId="0" fontId="7" fillId="5" borderId="3" xfId="0" applyFont="1" applyFill="1" applyBorder="1" applyAlignment="1">
      <alignment horizontal="center" vertical="center" wrapText="1"/>
    </xf>
    <xf numFmtId="0" fontId="5" fillId="0" borderId="6" xfId="0" applyFont="1" applyBorder="1" applyAlignment="1">
      <alignment wrapText="1"/>
    </xf>
    <xf numFmtId="0" fontId="15" fillId="9" borderId="30" xfId="0" applyFont="1" applyFill="1" applyBorder="1" applyAlignment="1">
      <alignment horizontal="left" vertical="center" wrapText="1"/>
    </xf>
    <xf numFmtId="0" fontId="5" fillId="0" borderId="35" xfId="0" applyFont="1" applyBorder="1" applyAlignment="1">
      <alignment wrapText="1"/>
    </xf>
    <xf numFmtId="0" fontId="53" fillId="0" borderId="15" xfId="1" applyBorder="1" applyAlignment="1">
      <alignment horizontal="left" vertical="center" wrapText="1"/>
    </xf>
    <xf numFmtId="0" fontId="5" fillId="0" borderId="16" xfId="0" applyFont="1" applyBorder="1" applyAlignment="1">
      <alignment wrapText="1"/>
    </xf>
    <xf numFmtId="0" fontId="5" fillId="0" borderId="17" xfId="0" applyFont="1" applyBorder="1" applyAlignment="1">
      <alignment wrapText="1"/>
    </xf>
    <xf numFmtId="0" fontId="36" fillId="22" borderId="77" xfId="3" applyFont="1" applyFill="1" applyAlignment="1">
      <alignment vertical="center"/>
    </xf>
    <xf numFmtId="0" fontId="36" fillId="0" borderId="77" xfId="3" applyFont="1" applyAlignment="1">
      <alignment vertical="center"/>
    </xf>
    <xf numFmtId="0" fontId="1" fillId="0" borderId="77" xfId="3"/>
    <xf numFmtId="0" fontId="37" fillId="22" borderId="77" xfId="3" applyFont="1" applyFill="1" applyAlignment="1">
      <alignment horizontal="center" vertical="center" wrapText="1"/>
    </xf>
    <xf numFmtId="0" fontId="5" fillId="0" borderId="77" xfId="3" applyFont="1"/>
    <xf numFmtId="0" fontId="1" fillId="0" borderId="77" xfId="3"/>
    <xf numFmtId="49" fontId="38" fillId="22" borderId="77" xfId="3" applyNumberFormat="1" applyFont="1" applyFill="1" applyAlignment="1">
      <alignment horizontal="center" vertical="center" wrapText="1"/>
    </xf>
    <xf numFmtId="0" fontId="36" fillId="22" borderId="78" xfId="3" applyFont="1" applyFill="1" applyBorder="1" applyAlignment="1">
      <alignment vertical="center"/>
    </xf>
    <xf numFmtId="0" fontId="36" fillId="0" borderId="78" xfId="3" applyFont="1" applyBorder="1" applyAlignment="1">
      <alignment vertical="center"/>
    </xf>
    <xf numFmtId="0" fontId="39" fillId="22" borderId="77" xfId="3" applyFont="1" applyFill="1" applyAlignment="1">
      <alignment horizontal="right" vertical="center"/>
    </xf>
    <xf numFmtId="166" fontId="40" fillId="22" borderId="77" xfId="3" applyNumberFormat="1" applyFont="1" applyFill="1" applyAlignment="1">
      <alignment horizontal="left" vertical="center"/>
    </xf>
    <xf numFmtId="0" fontId="41" fillId="22" borderId="77" xfId="3" applyFont="1" applyFill="1" applyAlignment="1">
      <alignment horizontal="center" vertical="center"/>
    </xf>
    <xf numFmtId="0" fontId="42" fillId="22" borderId="77" xfId="3" applyFont="1" applyFill="1" applyAlignment="1">
      <alignment vertical="center"/>
    </xf>
    <xf numFmtId="0" fontId="43" fillId="22" borderId="77" xfId="3" applyFont="1" applyFill="1" applyAlignment="1">
      <alignment vertical="center"/>
    </xf>
    <xf numFmtId="164" fontId="44" fillId="22" borderId="77" xfId="3" applyNumberFormat="1" applyFont="1" applyFill="1" applyAlignment="1">
      <alignment horizontal="center" vertical="center"/>
    </xf>
    <xf numFmtId="0" fontId="42" fillId="0" borderId="77" xfId="3" applyFont="1" applyAlignment="1">
      <alignment vertical="center"/>
    </xf>
    <xf numFmtId="0" fontId="45" fillId="22" borderId="77" xfId="3" applyFont="1" applyFill="1" applyAlignment="1">
      <alignment vertical="center"/>
    </xf>
    <xf numFmtId="0" fontId="46" fillId="22" borderId="77" xfId="3" applyFont="1" applyFill="1" applyAlignment="1">
      <alignment vertical="center"/>
    </xf>
    <xf numFmtId="164" fontId="46" fillId="22" borderId="77" xfId="3" applyNumberFormat="1" applyFont="1" applyFill="1" applyAlignment="1">
      <alignment horizontal="center" vertical="center"/>
    </xf>
    <xf numFmtId="0" fontId="45" fillId="0" borderId="77" xfId="3" applyFont="1" applyAlignment="1">
      <alignment vertical="center"/>
    </xf>
    <xf numFmtId="0" fontId="48" fillId="22" borderId="77" xfId="3" applyFont="1" applyFill="1" applyAlignment="1">
      <alignment vertical="center"/>
    </xf>
    <xf numFmtId="0" fontId="47" fillId="22" borderId="77" xfId="3" applyFont="1" applyFill="1" applyAlignment="1">
      <alignment vertical="center"/>
    </xf>
    <xf numFmtId="0" fontId="39" fillId="22" borderId="78" xfId="3" applyFont="1" applyFill="1" applyBorder="1" applyAlignment="1">
      <alignment horizontal="right" vertical="center"/>
    </xf>
    <xf numFmtId="166" fontId="49" fillId="22" borderId="78" xfId="3" applyNumberFormat="1" applyFont="1" applyFill="1" applyBorder="1" applyAlignment="1">
      <alignment horizontal="left" vertical="center"/>
    </xf>
    <xf numFmtId="0" fontId="5" fillId="0" borderId="78" xfId="3" applyFont="1" applyBorder="1"/>
    <xf numFmtId="166" fontId="40" fillId="22" borderId="78" xfId="3" applyNumberFormat="1" applyFont="1" applyFill="1" applyBorder="1" applyAlignment="1">
      <alignment horizontal="left" vertical="center"/>
    </xf>
    <xf numFmtId="164" fontId="50" fillId="22" borderId="77" xfId="3" applyNumberFormat="1" applyFont="1" applyFill="1" applyAlignment="1">
      <alignment horizontal="center" vertical="center"/>
    </xf>
    <xf numFmtId="0" fontId="56" fillId="0" borderId="77" xfId="3" applyFont="1"/>
    <xf numFmtId="164" fontId="50" fillId="22" borderId="77" xfId="3" applyNumberFormat="1" applyFont="1" applyFill="1" applyAlignment="1">
      <alignment horizontal="center" vertical="center"/>
    </xf>
    <xf numFmtId="9" fontId="46" fillId="22" borderId="77" xfId="3" applyNumberFormat="1" applyFont="1" applyFill="1" applyAlignment="1">
      <alignment horizontal="left" vertical="center"/>
    </xf>
    <xf numFmtId="0" fontId="51" fillId="22" borderId="77" xfId="3" applyFont="1" applyFill="1" applyAlignment="1">
      <alignment horizontal="left" vertical="center" wrapText="1"/>
    </xf>
    <xf numFmtId="164" fontId="46" fillId="22" borderId="77" xfId="3" applyNumberFormat="1" applyFont="1" applyFill="1" applyAlignment="1">
      <alignment horizontal="center" vertical="center"/>
    </xf>
  </cellXfs>
  <cellStyles count="4">
    <cellStyle name="Hiperlink" xfId="1" builtinId="8"/>
    <cellStyle name="Normal" xfId="0" builtinId="0"/>
    <cellStyle name="Normal 2" xfId="2" xr:uid="{345A5A95-6EE8-4C98-A559-524004347601}"/>
    <cellStyle name="Normal 2 2" xfId="3" xr:uid="{DE0E22BB-6A43-4174-B176-0D697CB82E33}"/>
  </cellStyles>
  <dxfs count="34">
    <dxf>
      <font>
        <color rgb="FFFF0000"/>
      </font>
      <fill>
        <patternFill patternType="none"/>
      </fill>
    </dxf>
    <dxf>
      <font>
        <color theme="4"/>
      </font>
      <fill>
        <patternFill patternType="none"/>
      </fill>
    </dxf>
    <dxf>
      <font>
        <color rgb="FFFF0000"/>
      </font>
      <fill>
        <patternFill patternType="none"/>
      </fill>
    </dxf>
    <dxf>
      <font>
        <color theme="4"/>
      </font>
      <fill>
        <patternFill patternType="none"/>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FF0000"/>
      </font>
      <fill>
        <patternFill patternType="none"/>
      </fill>
    </dxf>
    <dxf>
      <font>
        <color theme="4"/>
      </font>
      <fill>
        <patternFill patternType="none"/>
      </fill>
    </dxf>
    <dxf>
      <font>
        <color rgb="FFFF0000"/>
      </font>
      <fill>
        <patternFill patternType="none"/>
      </fill>
    </dxf>
    <dxf>
      <font>
        <color theme="4"/>
      </font>
      <fill>
        <patternFill patternType="none"/>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
      <font>
        <color rgb="FFDEEAF6"/>
      </font>
      <fill>
        <patternFill patternType="solid">
          <fgColor rgb="FFDEEAF6"/>
          <bgColor rgb="FFDEEAF6"/>
        </patternFill>
      </fill>
    </dxf>
    <dxf>
      <font>
        <color rgb="FFFEF2CB"/>
      </font>
      <fill>
        <patternFill patternType="solid">
          <fgColor rgb="FFFEF2CB"/>
          <bgColor rgb="FFFEF2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customschemas.google.com/relationships/workbookmetadata" Target="metadata"/><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46"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316230</xdr:colOff>
      <xdr:row>32</xdr:row>
      <xdr:rowOff>160020</xdr:rowOff>
    </xdr:from>
    <xdr:ext cx="2457450" cy="647700"/>
    <xdr:sp macro="" textlink="">
      <xdr:nvSpPr>
        <xdr:cNvPr id="2" name="Shape 3">
          <a:extLst>
            <a:ext uri="{FF2B5EF4-FFF2-40B4-BE49-F238E27FC236}">
              <a16:creationId xmlns:a16="http://schemas.microsoft.com/office/drawing/2014/main" id="{F1CD8C3E-AAF4-48BC-B08D-B15201509865}"/>
            </a:ext>
          </a:extLst>
        </xdr:cNvPr>
        <xdr:cNvSpPr/>
      </xdr:nvSpPr>
      <xdr:spPr>
        <a:xfrm>
          <a:off x="5398770" y="6682740"/>
          <a:ext cx="2457450" cy="647700"/>
        </a:xfrm>
        <a:prstGeom prst="roundRect">
          <a:avLst>
            <a:gd name="adj" fmla="val 16667"/>
          </a:avLst>
        </a:prstGeom>
        <a:solidFill>
          <a:srgbClr val="8DA9DB"/>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2400"/>
            <a:buFont typeface="Quattrocento Sans"/>
            <a:buNone/>
          </a:pPr>
          <a:r>
            <a:rPr lang="en-US" sz="2400" b="1">
              <a:solidFill>
                <a:schemeClr val="dk1"/>
              </a:solidFill>
              <a:latin typeface="Quattrocento Sans"/>
              <a:ea typeface="Quattrocento Sans"/>
              <a:cs typeface="Quattrocento Sans"/>
              <a:sym typeface="Quattrocento Sans"/>
            </a:rPr>
            <a:t>RECEITAS</a:t>
          </a:r>
          <a:endParaRPr sz="1400">
            <a:solidFill>
              <a:schemeClr val="dk1"/>
            </a:solidFill>
          </a:endParaRPr>
        </a:p>
      </xdr:txBody>
    </xdr:sp>
    <xdr:clientData fLocksWithSheet="0"/>
  </xdr:oneCellAnchor>
  <xdr:oneCellAnchor>
    <xdr:from>
      <xdr:col>11</xdr:col>
      <xdr:colOff>276225</xdr:colOff>
      <xdr:row>36</xdr:row>
      <xdr:rowOff>142867</xdr:rowOff>
    </xdr:from>
    <xdr:ext cx="38100" cy="4104000"/>
    <xdr:grpSp>
      <xdr:nvGrpSpPr>
        <xdr:cNvPr id="3" name="Shape 2">
          <a:extLst>
            <a:ext uri="{FF2B5EF4-FFF2-40B4-BE49-F238E27FC236}">
              <a16:creationId xmlns:a16="http://schemas.microsoft.com/office/drawing/2014/main" id="{50A34FF2-66D2-4D37-B8D8-F557A3549FFB}"/>
            </a:ext>
          </a:extLst>
        </xdr:cNvPr>
        <xdr:cNvGrpSpPr/>
      </xdr:nvGrpSpPr>
      <xdr:grpSpPr>
        <a:xfrm>
          <a:off x="6593205" y="7534267"/>
          <a:ext cx="38100" cy="4104000"/>
          <a:chOff x="5326950" y="1946430"/>
          <a:chExt cx="38100" cy="4104000"/>
        </a:xfrm>
      </xdr:grpSpPr>
      <xdr:grpSp>
        <xdr:nvGrpSpPr>
          <xdr:cNvPr id="4" name="Shape 4">
            <a:extLst>
              <a:ext uri="{FF2B5EF4-FFF2-40B4-BE49-F238E27FC236}">
                <a16:creationId xmlns:a16="http://schemas.microsoft.com/office/drawing/2014/main" id="{C837ADBC-0E84-005E-F450-236B33C8BCD0}"/>
              </a:ext>
            </a:extLst>
          </xdr:cNvPr>
          <xdr:cNvGrpSpPr/>
        </xdr:nvGrpSpPr>
        <xdr:grpSpPr>
          <a:xfrm>
            <a:off x="5326950" y="1946430"/>
            <a:ext cx="38100" cy="4104000"/>
            <a:chOff x="5326950" y="1946430"/>
            <a:chExt cx="38100" cy="4104000"/>
          </a:xfrm>
        </xdr:grpSpPr>
        <xdr:sp macro="" textlink="">
          <xdr:nvSpPr>
            <xdr:cNvPr id="5" name="Shape 5">
              <a:extLst>
                <a:ext uri="{FF2B5EF4-FFF2-40B4-BE49-F238E27FC236}">
                  <a16:creationId xmlns:a16="http://schemas.microsoft.com/office/drawing/2014/main" id="{BF45815A-A14E-E98C-6B59-ACC91F7D4CFA}"/>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DC21F53A-F414-3EC1-46B5-B5D8A4768B35}"/>
                </a:ext>
              </a:extLst>
            </xdr:cNvPr>
            <xdr:cNvGrpSpPr/>
          </xdr:nvGrpSpPr>
          <xdr:grpSpPr>
            <a:xfrm>
              <a:off x="5326950" y="1946430"/>
              <a:ext cx="38100" cy="4104000"/>
              <a:chOff x="5326950" y="1946430"/>
              <a:chExt cx="38100" cy="4104000"/>
            </a:xfrm>
          </xdr:grpSpPr>
          <xdr:sp macro="" textlink="">
            <xdr:nvSpPr>
              <xdr:cNvPr id="7" name="Shape 7">
                <a:extLst>
                  <a:ext uri="{FF2B5EF4-FFF2-40B4-BE49-F238E27FC236}">
                    <a16:creationId xmlns:a16="http://schemas.microsoft.com/office/drawing/2014/main" id="{38EEA052-45DC-F6E9-42E5-771D965AD662}"/>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 name="Shape 8">
                <a:extLst>
                  <a:ext uri="{FF2B5EF4-FFF2-40B4-BE49-F238E27FC236}">
                    <a16:creationId xmlns:a16="http://schemas.microsoft.com/office/drawing/2014/main" id="{5AE18192-81A1-5EC5-D257-E3BD61CF8113}"/>
                  </a:ext>
                </a:extLst>
              </xdr:cNvPr>
              <xdr:cNvGrpSpPr/>
            </xdr:nvGrpSpPr>
            <xdr:grpSpPr>
              <a:xfrm>
                <a:off x="5326950" y="1946430"/>
                <a:ext cx="38100" cy="4104000"/>
                <a:chOff x="5326950" y="1946430"/>
                <a:chExt cx="38100" cy="4104000"/>
              </a:xfrm>
            </xdr:grpSpPr>
            <xdr:sp macro="" textlink="">
              <xdr:nvSpPr>
                <xdr:cNvPr id="9" name="Shape 9">
                  <a:extLst>
                    <a:ext uri="{FF2B5EF4-FFF2-40B4-BE49-F238E27FC236}">
                      <a16:creationId xmlns:a16="http://schemas.microsoft.com/office/drawing/2014/main" id="{C744341D-71BF-6E52-6160-D77DBFBC3924}"/>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 name="Shape 10">
                  <a:extLst>
                    <a:ext uri="{FF2B5EF4-FFF2-40B4-BE49-F238E27FC236}">
                      <a16:creationId xmlns:a16="http://schemas.microsoft.com/office/drawing/2014/main" id="{4A684F44-3E4F-583F-8F08-2A63D510E55A}"/>
                    </a:ext>
                  </a:extLst>
                </xdr:cNvPr>
                <xdr:cNvGrpSpPr/>
              </xdr:nvGrpSpPr>
              <xdr:grpSpPr>
                <a:xfrm>
                  <a:off x="5326950" y="1946430"/>
                  <a:ext cx="38100" cy="4104000"/>
                  <a:chOff x="5326950" y="1946430"/>
                  <a:chExt cx="38100" cy="4104000"/>
                </a:xfrm>
              </xdr:grpSpPr>
              <xdr:sp macro="" textlink="">
                <xdr:nvSpPr>
                  <xdr:cNvPr id="11" name="Shape 11">
                    <a:extLst>
                      <a:ext uri="{FF2B5EF4-FFF2-40B4-BE49-F238E27FC236}">
                        <a16:creationId xmlns:a16="http://schemas.microsoft.com/office/drawing/2014/main" id="{FA8DA956-0134-3DDD-FC63-FB3EE046455C}"/>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 name="Shape 12">
                    <a:extLst>
                      <a:ext uri="{FF2B5EF4-FFF2-40B4-BE49-F238E27FC236}">
                        <a16:creationId xmlns:a16="http://schemas.microsoft.com/office/drawing/2014/main" id="{B90804B1-C1A6-3E3E-1121-BDB3904566E2}"/>
                      </a:ext>
                    </a:extLst>
                  </xdr:cNvPr>
                  <xdr:cNvGrpSpPr/>
                </xdr:nvGrpSpPr>
                <xdr:grpSpPr>
                  <a:xfrm>
                    <a:off x="5326950" y="1946430"/>
                    <a:ext cx="38100" cy="4104000"/>
                    <a:chOff x="5326950" y="1946430"/>
                    <a:chExt cx="38100" cy="4104000"/>
                  </a:xfrm>
                </xdr:grpSpPr>
                <xdr:sp macro="" textlink="">
                  <xdr:nvSpPr>
                    <xdr:cNvPr id="13" name="Shape 13">
                      <a:extLst>
                        <a:ext uri="{FF2B5EF4-FFF2-40B4-BE49-F238E27FC236}">
                          <a16:creationId xmlns:a16="http://schemas.microsoft.com/office/drawing/2014/main" id="{599AD996-972A-B931-9D3A-85FA70E9D40A}"/>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 name="Shape 14">
                      <a:extLst>
                        <a:ext uri="{FF2B5EF4-FFF2-40B4-BE49-F238E27FC236}">
                          <a16:creationId xmlns:a16="http://schemas.microsoft.com/office/drawing/2014/main" id="{4903FC93-2898-5869-3770-5FD672AFBA6F}"/>
                        </a:ext>
                      </a:extLst>
                    </xdr:cNvPr>
                    <xdr:cNvGrpSpPr/>
                  </xdr:nvGrpSpPr>
                  <xdr:grpSpPr>
                    <a:xfrm>
                      <a:off x="5326950" y="1946430"/>
                      <a:ext cx="38100" cy="4104000"/>
                      <a:chOff x="5326950" y="1946430"/>
                      <a:chExt cx="38100" cy="4104000"/>
                    </a:xfrm>
                  </xdr:grpSpPr>
                  <xdr:sp macro="" textlink="">
                    <xdr:nvSpPr>
                      <xdr:cNvPr id="15" name="Shape 15">
                        <a:extLst>
                          <a:ext uri="{FF2B5EF4-FFF2-40B4-BE49-F238E27FC236}">
                            <a16:creationId xmlns:a16="http://schemas.microsoft.com/office/drawing/2014/main" id="{D981FEC7-4EF8-20AD-FB40-FCACE58B3EBD}"/>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 name="Shape 16">
                        <a:extLst>
                          <a:ext uri="{FF2B5EF4-FFF2-40B4-BE49-F238E27FC236}">
                            <a16:creationId xmlns:a16="http://schemas.microsoft.com/office/drawing/2014/main" id="{8CEE5741-5005-814B-6B11-C44E9044212F}"/>
                          </a:ext>
                        </a:extLst>
                      </xdr:cNvPr>
                      <xdr:cNvGrpSpPr/>
                    </xdr:nvGrpSpPr>
                    <xdr:grpSpPr>
                      <a:xfrm>
                        <a:off x="5326950" y="1946430"/>
                        <a:ext cx="38100" cy="4104000"/>
                        <a:chOff x="5326950" y="1946430"/>
                        <a:chExt cx="38100" cy="4104000"/>
                      </a:xfrm>
                    </xdr:grpSpPr>
                    <xdr:sp macro="" textlink="">
                      <xdr:nvSpPr>
                        <xdr:cNvPr id="17" name="Shape 17">
                          <a:extLst>
                            <a:ext uri="{FF2B5EF4-FFF2-40B4-BE49-F238E27FC236}">
                              <a16:creationId xmlns:a16="http://schemas.microsoft.com/office/drawing/2014/main" id="{8D5CFB79-E8BE-C860-196C-1828D07116B4}"/>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 name="Shape 18">
                          <a:extLst>
                            <a:ext uri="{FF2B5EF4-FFF2-40B4-BE49-F238E27FC236}">
                              <a16:creationId xmlns:a16="http://schemas.microsoft.com/office/drawing/2014/main" id="{3135ACA2-EC3C-287E-C9FB-BF06EB03DB2E}"/>
                            </a:ext>
                          </a:extLst>
                        </xdr:cNvPr>
                        <xdr:cNvGrpSpPr/>
                      </xdr:nvGrpSpPr>
                      <xdr:grpSpPr>
                        <a:xfrm>
                          <a:off x="5326950" y="1946430"/>
                          <a:ext cx="38100" cy="4104000"/>
                          <a:chOff x="5326950" y="1946430"/>
                          <a:chExt cx="38100" cy="4104000"/>
                        </a:xfrm>
                      </xdr:grpSpPr>
                      <xdr:sp macro="" textlink="">
                        <xdr:nvSpPr>
                          <xdr:cNvPr id="19" name="Shape 19">
                            <a:extLst>
                              <a:ext uri="{FF2B5EF4-FFF2-40B4-BE49-F238E27FC236}">
                                <a16:creationId xmlns:a16="http://schemas.microsoft.com/office/drawing/2014/main" id="{CEB6882C-A3DA-BD22-B5CD-1F7A5E363C48}"/>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 name="Shape 20">
                            <a:extLst>
                              <a:ext uri="{FF2B5EF4-FFF2-40B4-BE49-F238E27FC236}">
                                <a16:creationId xmlns:a16="http://schemas.microsoft.com/office/drawing/2014/main" id="{C88E3F61-A50C-BFD8-C9C8-B5E28ADCF341}"/>
                              </a:ext>
                            </a:extLst>
                          </xdr:cNvPr>
                          <xdr:cNvGrpSpPr/>
                        </xdr:nvGrpSpPr>
                        <xdr:grpSpPr>
                          <a:xfrm>
                            <a:off x="5326950" y="1946430"/>
                            <a:ext cx="38100" cy="4104000"/>
                            <a:chOff x="5326950" y="1946430"/>
                            <a:chExt cx="38100" cy="4104000"/>
                          </a:xfrm>
                        </xdr:grpSpPr>
                        <xdr:sp macro="" textlink="">
                          <xdr:nvSpPr>
                            <xdr:cNvPr id="21" name="Shape 21">
                              <a:extLst>
                                <a:ext uri="{FF2B5EF4-FFF2-40B4-BE49-F238E27FC236}">
                                  <a16:creationId xmlns:a16="http://schemas.microsoft.com/office/drawing/2014/main" id="{267D2EEC-8553-6A04-7BF3-B7B5C802F298}"/>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 name="Shape 22">
                              <a:extLst>
                                <a:ext uri="{FF2B5EF4-FFF2-40B4-BE49-F238E27FC236}">
                                  <a16:creationId xmlns:a16="http://schemas.microsoft.com/office/drawing/2014/main" id="{6AA9FD70-93CD-DA5D-D3DD-C6100B6C807F}"/>
                                </a:ext>
                              </a:extLst>
                            </xdr:cNvPr>
                            <xdr:cNvGrpSpPr/>
                          </xdr:nvGrpSpPr>
                          <xdr:grpSpPr>
                            <a:xfrm>
                              <a:off x="5326950" y="1946430"/>
                              <a:ext cx="38100" cy="4104000"/>
                              <a:chOff x="5326950" y="1946430"/>
                              <a:chExt cx="38100" cy="4104000"/>
                            </a:xfrm>
                          </xdr:grpSpPr>
                          <xdr:sp macro="" textlink="">
                            <xdr:nvSpPr>
                              <xdr:cNvPr id="23" name="Shape 23">
                                <a:extLst>
                                  <a:ext uri="{FF2B5EF4-FFF2-40B4-BE49-F238E27FC236}">
                                    <a16:creationId xmlns:a16="http://schemas.microsoft.com/office/drawing/2014/main" id="{F8F7DA15-73E4-A013-321B-0CFA2FAA7FCF}"/>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 name="Shape 24">
                                <a:extLst>
                                  <a:ext uri="{FF2B5EF4-FFF2-40B4-BE49-F238E27FC236}">
                                    <a16:creationId xmlns:a16="http://schemas.microsoft.com/office/drawing/2014/main" id="{4AA7F238-EEDE-79BE-196C-999307A1BE2F}"/>
                                  </a:ext>
                                </a:extLst>
                              </xdr:cNvPr>
                              <xdr:cNvGrpSpPr/>
                            </xdr:nvGrpSpPr>
                            <xdr:grpSpPr>
                              <a:xfrm>
                                <a:off x="5326950" y="1946430"/>
                                <a:ext cx="38100" cy="4104000"/>
                                <a:chOff x="5326950" y="1946430"/>
                                <a:chExt cx="38100" cy="4104000"/>
                              </a:xfrm>
                            </xdr:grpSpPr>
                            <xdr:sp macro="" textlink="">
                              <xdr:nvSpPr>
                                <xdr:cNvPr id="25" name="Shape 25">
                                  <a:extLst>
                                    <a:ext uri="{FF2B5EF4-FFF2-40B4-BE49-F238E27FC236}">
                                      <a16:creationId xmlns:a16="http://schemas.microsoft.com/office/drawing/2014/main" id="{CCCDE7FD-30EE-8B04-92B1-D2F7A7A3F92C}"/>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 name="Shape 26">
                                  <a:extLst>
                                    <a:ext uri="{FF2B5EF4-FFF2-40B4-BE49-F238E27FC236}">
                                      <a16:creationId xmlns:a16="http://schemas.microsoft.com/office/drawing/2014/main" id="{D39FC7D4-F54A-6149-8988-7B7B48A6D18D}"/>
                                    </a:ext>
                                  </a:extLst>
                                </xdr:cNvPr>
                                <xdr:cNvGrpSpPr/>
                              </xdr:nvGrpSpPr>
                              <xdr:grpSpPr>
                                <a:xfrm>
                                  <a:off x="5326950" y="1946430"/>
                                  <a:ext cx="38100" cy="4104000"/>
                                  <a:chOff x="5326950" y="1946430"/>
                                  <a:chExt cx="38100" cy="4104000"/>
                                </a:xfrm>
                              </xdr:grpSpPr>
                              <xdr:sp macro="" textlink="">
                                <xdr:nvSpPr>
                                  <xdr:cNvPr id="27" name="Shape 27">
                                    <a:extLst>
                                      <a:ext uri="{FF2B5EF4-FFF2-40B4-BE49-F238E27FC236}">
                                        <a16:creationId xmlns:a16="http://schemas.microsoft.com/office/drawing/2014/main" id="{E36B141A-DF94-6396-0134-DB246D7DCEA3}"/>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 name="Shape 28">
                                    <a:extLst>
                                      <a:ext uri="{FF2B5EF4-FFF2-40B4-BE49-F238E27FC236}">
                                        <a16:creationId xmlns:a16="http://schemas.microsoft.com/office/drawing/2014/main" id="{6C03FEED-ABD6-0560-5BAD-D00A68D6E6D2}"/>
                                      </a:ext>
                                    </a:extLst>
                                  </xdr:cNvPr>
                                  <xdr:cNvGrpSpPr/>
                                </xdr:nvGrpSpPr>
                                <xdr:grpSpPr>
                                  <a:xfrm>
                                    <a:off x="5326950" y="1946430"/>
                                    <a:ext cx="38100" cy="4104000"/>
                                    <a:chOff x="5326950" y="1946430"/>
                                    <a:chExt cx="38100" cy="4104000"/>
                                  </a:xfrm>
                                </xdr:grpSpPr>
                                <xdr:sp macro="" textlink="">
                                  <xdr:nvSpPr>
                                    <xdr:cNvPr id="29" name="Shape 29">
                                      <a:extLst>
                                        <a:ext uri="{FF2B5EF4-FFF2-40B4-BE49-F238E27FC236}">
                                          <a16:creationId xmlns:a16="http://schemas.microsoft.com/office/drawing/2014/main" id="{8EA7A73D-2F4B-EAE8-9B48-214ACF3A27AF}"/>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 name="Shape 30">
                                      <a:extLst>
                                        <a:ext uri="{FF2B5EF4-FFF2-40B4-BE49-F238E27FC236}">
                                          <a16:creationId xmlns:a16="http://schemas.microsoft.com/office/drawing/2014/main" id="{8EB632AE-4CD3-06D7-63D2-2B3F5072ECE9}"/>
                                        </a:ext>
                                      </a:extLst>
                                    </xdr:cNvPr>
                                    <xdr:cNvGrpSpPr/>
                                  </xdr:nvGrpSpPr>
                                  <xdr:grpSpPr>
                                    <a:xfrm>
                                      <a:off x="5326950" y="1946430"/>
                                      <a:ext cx="38100" cy="4104000"/>
                                      <a:chOff x="5326950" y="1946430"/>
                                      <a:chExt cx="38100" cy="4104000"/>
                                    </a:xfrm>
                                  </xdr:grpSpPr>
                                  <xdr:sp macro="" textlink="">
                                    <xdr:nvSpPr>
                                      <xdr:cNvPr id="31" name="Shape 31">
                                        <a:extLst>
                                          <a:ext uri="{FF2B5EF4-FFF2-40B4-BE49-F238E27FC236}">
                                            <a16:creationId xmlns:a16="http://schemas.microsoft.com/office/drawing/2014/main" id="{259D737A-E008-0702-1D09-6AC48EFF1DA0}"/>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 name="Shape 32">
                                        <a:extLst>
                                          <a:ext uri="{FF2B5EF4-FFF2-40B4-BE49-F238E27FC236}">
                                            <a16:creationId xmlns:a16="http://schemas.microsoft.com/office/drawing/2014/main" id="{E0A75A28-955C-F6B0-EFA4-F3B951AA2905}"/>
                                          </a:ext>
                                        </a:extLst>
                                      </xdr:cNvPr>
                                      <xdr:cNvGrpSpPr/>
                                    </xdr:nvGrpSpPr>
                                    <xdr:grpSpPr>
                                      <a:xfrm>
                                        <a:off x="5326950" y="1946430"/>
                                        <a:ext cx="38100" cy="4104000"/>
                                        <a:chOff x="5326950" y="1946430"/>
                                        <a:chExt cx="38100" cy="4104000"/>
                                      </a:xfrm>
                                    </xdr:grpSpPr>
                                    <xdr:sp macro="" textlink="">
                                      <xdr:nvSpPr>
                                        <xdr:cNvPr id="33" name="Shape 33">
                                          <a:extLst>
                                            <a:ext uri="{FF2B5EF4-FFF2-40B4-BE49-F238E27FC236}">
                                              <a16:creationId xmlns:a16="http://schemas.microsoft.com/office/drawing/2014/main" id="{1324C752-FF5D-6EF2-A2F2-79D45269863D}"/>
                                            </a:ext>
                                          </a:extLst>
                                        </xdr:cNvPr>
                                        <xdr:cNvSpPr/>
                                      </xdr:nvSpPr>
                                      <xdr:spPr>
                                        <a:xfrm>
                                          <a:off x="5326950" y="1946438"/>
                                          <a:ext cx="38100" cy="3667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 name="Shape 34">
                                          <a:extLst>
                                            <a:ext uri="{FF2B5EF4-FFF2-40B4-BE49-F238E27FC236}">
                                              <a16:creationId xmlns:a16="http://schemas.microsoft.com/office/drawing/2014/main" id="{138C1CAF-EA80-9342-F6A4-C36CF4D0AEBF}"/>
                                            </a:ext>
                                          </a:extLst>
                                        </xdr:cNvPr>
                                        <xdr:cNvGrpSpPr/>
                                      </xdr:nvGrpSpPr>
                                      <xdr:grpSpPr>
                                        <a:xfrm>
                                          <a:off x="5326950" y="1946430"/>
                                          <a:ext cx="38100" cy="4104000"/>
                                          <a:chOff x="5326950" y="1943992"/>
                                          <a:chExt cx="38100" cy="4109457"/>
                                        </a:xfrm>
                                      </xdr:grpSpPr>
                                      <xdr:sp macro="" textlink="">
                                        <xdr:nvSpPr>
                                          <xdr:cNvPr id="35" name="Shape 35">
                                            <a:extLst>
                                              <a:ext uri="{FF2B5EF4-FFF2-40B4-BE49-F238E27FC236}">
                                                <a16:creationId xmlns:a16="http://schemas.microsoft.com/office/drawing/2014/main" id="{7D4257AF-740A-B2CD-8968-CF1C897EB100}"/>
                                              </a:ext>
                                            </a:extLst>
                                          </xdr:cNvPr>
                                          <xdr:cNvSpPr/>
                                        </xdr:nvSpPr>
                                        <xdr:spPr>
                                          <a:xfrm>
                                            <a:off x="5326950" y="1944000"/>
                                            <a:ext cx="38100" cy="367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 name="Shape 36">
                                            <a:extLst>
                                              <a:ext uri="{FF2B5EF4-FFF2-40B4-BE49-F238E27FC236}">
                                                <a16:creationId xmlns:a16="http://schemas.microsoft.com/office/drawing/2014/main" id="{92FA1635-0A80-F283-6D0E-F8CC493B1E95}"/>
                                              </a:ext>
                                            </a:extLst>
                                          </xdr:cNvPr>
                                          <xdr:cNvGrpSpPr/>
                                        </xdr:nvGrpSpPr>
                                        <xdr:grpSpPr>
                                          <a:xfrm>
                                            <a:off x="5326950" y="1943992"/>
                                            <a:ext cx="38100" cy="4109457"/>
                                            <a:chOff x="5326950" y="2417917"/>
                                            <a:chExt cx="38100" cy="4834649"/>
                                          </a:xfrm>
                                        </xdr:grpSpPr>
                                        <xdr:sp macro="" textlink="">
                                          <xdr:nvSpPr>
                                            <xdr:cNvPr id="37" name="Shape 37">
                                              <a:extLst>
                                                <a:ext uri="{FF2B5EF4-FFF2-40B4-BE49-F238E27FC236}">
                                                  <a16:creationId xmlns:a16="http://schemas.microsoft.com/office/drawing/2014/main" id="{E412DAEF-9D07-AC53-FE3F-63636B29A166}"/>
                                                </a:ext>
                                              </a:extLst>
                                            </xdr:cNvPr>
                                            <xdr:cNvSpPr/>
                                          </xdr:nvSpPr>
                                          <xdr:spPr>
                                            <a:xfrm>
                                              <a:off x="5326950" y="2417925"/>
                                              <a:ext cx="38100" cy="432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 name="Shape 38">
                                              <a:extLst>
                                                <a:ext uri="{FF2B5EF4-FFF2-40B4-BE49-F238E27FC236}">
                                                  <a16:creationId xmlns:a16="http://schemas.microsoft.com/office/drawing/2014/main" id="{BEBB663A-C28B-819C-AD94-3B3575CF9A5C}"/>
                                                </a:ext>
                                              </a:extLst>
                                            </xdr:cNvPr>
                                            <xdr:cNvGrpSpPr/>
                                          </xdr:nvGrpSpPr>
                                          <xdr:grpSpPr>
                                            <a:xfrm>
                                              <a:off x="5326950" y="2417917"/>
                                              <a:ext cx="38100" cy="4834649"/>
                                              <a:chOff x="5326950" y="2417917"/>
                                              <a:chExt cx="38100" cy="4834649"/>
                                            </a:xfrm>
                                          </xdr:grpSpPr>
                                          <xdr:sp macro="" textlink="">
                                            <xdr:nvSpPr>
                                              <xdr:cNvPr id="39" name="Shape 39">
                                                <a:extLst>
                                                  <a:ext uri="{FF2B5EF4-FFF2-40B4-BE49-F238E27FC236}">
                                                    <a16:creationId xmlns:a16="http://schemas.microsoft.com/office/drawing/2014/main" id="{FCC4BD98-0AAC-9FCD-5CDB-6AB3A898C2CE}"/>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 name="Shape 40">
                                                <a:extLst>
                                                  <a:ext uri="{FF2B5EF4-FFF2-40B4-BE49-F238E27FC236}">
                                                    <a16:creationId xmlns:a16="http://schemas.microsoft.com/office/drawing/2014/main" id="{1D746E39-97B1-2645-8A20-10A1B9356E50}"/>
                                                  </a:ext>
                                                </a:extLst>
                                              </xdr:cNvPr>
                                              <xdr:cNvGrpSpPr/>
                                            </xdr:nvGrpSpPr>
                                            <xdr:grpSpPr>
                                              <a:xfrm>
                                                <a:off x="5326950" y="2417917"/>
                                                <a:ext cx="38100" cy="4834649"/>
                                                <a:chOff x="5326950" y="2417917"/>
                                                <a:chExt cx="38100" cy="4834649"/>
                                              </a:xfrm>
                                            </xdr:grpSpPr>
                                            <xdr:sp macro="" textlink="">
                                              <xdr:nvSpPr>
                                                <xdr:cNvPr id="41" name="Shape 41">
                                                  <a:extLst>
                                                    <a:ext uri="{FF2B5EF4-FFF2-40B4-BE49-F238E27FC236}">
                                                      <a16:creationId xmlns:a16="http://schemas.microsoft.com/office/drawing/2014/main" id="{23FF7555-1480-B2E5-D9D8-BC0785A7E8A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2" name="Shape 42">
                                                  <a:extLst>
                                                    <a:ext uri="{FF2B5EF4-FFF2-40B4-BE49-F238E27FC236}">
                                                      <a16:creationId xmlns:a16="http://schemas.microsoft.com/office/drawing/2014/main" id="{B660A4DD-1C1B-A2B2-8C4D-284282A532F3}"/>
                                                    </a:ext>
                                                  </a:extLst>
                                                </xdr:cNvPr>
                                                <xdr:cNvGrpSpPr/>
                                              </xdr:nvGrpSpPr>
                                              <xdr:grpSpPr>
                                                <a:xfrm>
                                                  <a:off x="5326950" y="2417917"/>
                                                  <a:ext cx="38100" cy="4834649"/>
                                                  <a:chOff x="5326950" y="2417917"/>
                                                  <a:chExt cx="38100" cy="4834649"/>
                                                </a:xfrm>
                                              </xdr:grpSpPr>
                                              <xdr:sp macro="" textlink="">
                                                <xdr:nvSpPr>
                                                  <xdr:cNvPr id="43" name="Shape 43">
                                                    <a:extLst>
                                                      <a:ext uri="{FF2B5EF4-FFF2-40B4-BE49-F238E27FC236}">
                                                        <a16:creationId xmlns:a16="http://schemas.microsoft.com/office/drawing/2014/main" id="{A3EFAEF5-54A5-8F43-E3A8-691B0787399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4" name="Shape 44">
                                                    <a:extLst>
                                                      <a:ext uri="{FF2B5EF4-FFF2-40B4-BE49-F238E27FC236}">
                                                        <a16:creationId xmlns:a16="http://schemas.microsoft.com/office/drawing/2014/main" id="{F9574140-BFDE-01B5-0528-906004E8C3FF}"/>
                                                      </a:ext>
                                                    </a:extLst>
                                                  </xdr:cNvPr>
                                                  <xdr:cNvGrpSpPr/>
                                                </xdr:nvGrpSpPr>
                                                <xdr:grpSpPr>
                                                  <a:xfrm>
                                                    <a:off x="5326950" y="2417917"/>
                                                    <a:ext cx="38100" cy="4834649"/>
                                                    <a:chOff x="5326950" y="2417917"/>
                                                    <a:chExt cx="38100" cy="4834649"/>
                                                  </a:xfrm>
                                                </xdr:grpSpPr>
                                                <xdr:sp macro="" textlink="">
                                                  <xdr:nvSpPr>
                                                    <xdr:cNvPr id="45" name="Shape 45">
                                                      <a:extLst>
                                                        <a:ext uri="{FF2B5EF4-FFF2-40B4-BE49-F238E27FC236}">
                                                          <a16:creationId xmlns:a16="http://schemas.microsoft.com/office/drawing/2014/main" id="{AA811F96-5C0E-15E0-5255-764F1478DE4B}"/>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6" name="Shape 46">
                                                      <a:extLst>
                                                        <a:ext uri="{FF2B5EF4-FFF2-40B4-BE49-F238E27FC236}">
                                                          <a16:creationId xmlns:a16="http://schemas.microsoft.com/office/drawing/2014/main" id="{23289149-EC04-6793-4469-8A30AD8808DC}"/>
                                                        </a:ext>
                                                      </a:extLst>
                                                    </xdr:cNvPr>
                                                    <xdr:cNvGrpSpPr/>
                                                  </xdr:nvGrpSpPr>
                                                  <xdr:grpSpPr>
                                                    <a:xfrm>
                                                      <a:off x="5326950" y="2417917"/>
                                                      <a:ext cx="38100" cy="4834649"/>
                                                      <a:chOff x="5326950" y="2417917"/>
                                                      <a:chExt cx="38100" cy="4834649"/>
                                                    </a:xfrm>
                                                  </xdr:grpSpPr>
                                                  <xdr:sp macro="" textlink="">
                                                    <xdr:nvSpPr>
                                                      <xdr:cNvPr id="47" name="Shape 47">
                                                        <a:extLst>
                                                          <a:ext uri="{FF2B5EF4-FFF2-40B4-BE49-F238E27FC236}">
                                                            <a16:creationId xmlns:a16="http://schemas.microsoft.com/office/drawing/2014/main" id="{C25997AD-D60C-9C8C-1C22-6762F19637B5}"/>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8" name="Shape 48">
                                                        <a:extLst>
                                                          <a:ext uri="{FF2B5EF4-FFF2-40B4-BE49-F238E27FC236}">
                                                            <a16:creationId xmlns:a16="http://schemas.microsoft.com/office/drawing/2014/main" id="{0936136B-1DC1-7A7B-D0DD-82726B8F56CD}"/>
                                                          </a:ext>
                                                        </a:extLst>
                                                      </xdr:cNvPr>
                                                      <xdr:cNvGrpSpPr/>
                                                    </xdr:nvGrpSpPr>
                                                    <xdr:grpSpPr>
                                                      <a:xfrm>
                                                        <a:off x="5326950" y="2417917"/>
                                                        <a:ext cx="38100" cy="4834649"/>
                                                        <a:chOff x="5326950" y="2417917"/>
                                                        <a:chExt cx="38100" cy="4834649"/>
                                                      </a:xfrm>
                                                    </xdr:grpSpPr>
                                                    <xdr:sp macro="" textlink="">
                                                      <xdr:nvSpPr>
                                                        <xdr:cNvPr id="49" name="Shape 49">
                                                          <a:extLst>
                                                            <a:ext uri="{FF2B5EF4-FFF2-40B4-BE49-F238E27FC236}">
                                                              <a16:creationId xmlns:a16="http://schemas.microsoft.com/office/drawing/2014/main" id="{E3FB62E7-CA05-97FA-4940-F77033D4F18A}"/>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0" name="Shape 50">
                                                          <a:extLst>
                                                            <a:ext uri="{FF2B5EF4-FFF2-40B4-BE49-F238E27FC236}">
                                                              <a16:creationId xmlns:a16="http://schemas.microsoft.com/office/drawing/2014/main" id="{77B7A99A-8D92-357F-5221-8158CEC33C62}"/>
                                                            </a:ext>
                                                          </a:extLst>
                                                        </xdr:cNvPr>
                                                        <xdr:cNvGrpSpPr/>
                                                      </xdr:nvGrpSpPr>
                                                      <xdr:grpSpPr>
                                                        <a:xfrm>
                                                          <a:off x="5326950" y="2417917"/>
                                                          <a:ext cx="38100" cy="4834649"/>
                                                          <a:chOff x="5326950" y="2417917"/>
                                                          <a:chExt cx="38100" cy="4834649"/>
                                                        </a:xfrm>
                                                      </xdr:grpSpPr>
                                                      <xdr:sp macro="" textlink="">
                                                        <xdr:nvSpPr>
                                                          <xdr:cNvPr id="51" name="Shape 51">
                                                            <a:extLst>
                                                              <a:ext uri="{FF2B5EF4-FFF2-40B4-BE49-F238E27FC236}">
                                                                <a16:creationId xmlns:a16="http://schemas.microsoft.com/office/drawing/2014/main" id="{CE29DB0F-7E1F-04D3-DE85-5E51C0ABDFD9}"/>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2" name="Shape 52">
                                                            <a:extLst>
                                                              <a:ext uri="{FF2B5EF4-FFF2-40B4-BE49-F238E27FC236}">
                                                                <a16:creationId xmlns:a16="http://schemas.microsoft.com/office/drawing/2014/main" id="{DB700E68-62DC-A467-657F-C165C88CFFB6}"/>
                                                              </a:ext>
                                                            </a:extLst>
                                                          </xdr:cNvPr>
                                                          <xdr:cNvGrpSpPr/>
                                                        </xdr:nvGrpSpPr>
                                                        <xdr:grpSpPr>
                                                          <a:xfrm>
                                                            <a:off x="5326950" y="2417917"/>
                                                            <a:ext cx="38100" cy="4834649"/>
                                                            <a:chOff x="5326950" y="2417917"/>
                                                            <a:chExt cx="38100" cy="4834649"/>
                                                          </a:xfrm>
                                                        </xdr:grpSpPr>
                                                        <xdr:sp macro="" textlink="">
                                                          <xdr:nvSpPr>
                                                            <xdr:cNvPr id="53" name="Shape 53">
                                                              <a:extLst>
                                                                <a:ext uri="{FF2B5EF4-FFF2-40B4-BE49-F238E27FC236}">
                                                                  <a16:creationId xmlns:a16="http://schemas.microsoft.com/office/drawing/2014/main" id="{F4C66968-7BA3-A9E2-B44F-60291DF79565}"/>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4" name="Shape 54">
                                                              <a:extLst>
                                                                <a:ext uri="{FF2B5EF4-FFF2-40B4-BE49-F238E27FC236}">
                                                                  <a16:creationId xmlns:a16="http://schemas.microsoft.com/office/drawing/2014/main" id="{28675777-81A0-DA02-7D4C-4FBB84F0E4DC}"/>
                                                                </a:ext>
                                                              </a:extLst>
                                                            </xdr:cNvPr>
                                                            <xdr:cNvGrpSpPr/>
                                                          </xdr:nvGrpSpPr>
                                                          <xdr:grpSpPr>
                                                            <a:xfrm>
                                                              <a:off x="5326950" y="2417917"/>
                                                              <a:ext cx="38100" cy="4834649"/>
                                                              <a:chOff x="5326950" y="2417917"/>
                                                              <a:chExt cx="38100" cy="4834649"/>
                                                            </a:xfrm>
                                                          </xdr:grpSpPr>
                                                          <xdr:sp macro="" textlink="">
                                                            <xdr:nvSpPr>
                                                              <xdr:cNvPr id="55" name="Shape 55">
                                                                <a:extLst>
                                                                  <a:ext uri="{FF2B5EF4-FFF2-40B4-BE49-F238E27FC236}">
                                                                    <a16:creationId xmlns:a16="http://schemas.microsoft.com/office/drawing/2014/main" id="{B4A78A54-38A6-3A06-99B3-0E103895685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6" name="Shape 56">
                                                                <a:extLst>
                                                                  <a:ext uri="{FF2B5EF4-FFF2-40B4-BE49-F238E27FC236}">
                                                                    <a16:creationId xmlns:a16="http://schemas.microsoft.com/office/drawing/2014/main" id="{55DB0904-FE8F-99F3-83C5-6E56CE67ED04}"/>
                                                                  </a:ext>
                                                                </a:extLst>
                                                              </xdr:cNvPr>
                                                              <xdr:cNvGrpSpPr/>
                                                            </xdr:nvGrpSpPr>
                                                            <xdr:grpSpPr>
                                                              <a:xfrm>
                                                                <a:off x="5326950" y="2417917"/>
                                                                <a:ext cx="38100" cy="4834649"/>
                                                                <a:chOff x="5326950" y="2417917"/>
                                                                <a:chExt cx="38100" cy="4834649"/>
                                                              </a:xfrm>
                                                            </xdr:grpSpPr>
                                                            <xdr:sp macro="" textlink="">
                                                              <xdr:nvSpPr>
                                                                <xdr:cNvPr id="57" name="Shape 57">
                                                                  <a:extLst>
                                                                    <a:ext uri="{FF2B5EF4-FFF2-40B4-BE49-F238E27FC236}">
                                                                      <a16:creationId xmlns:a16="http://schemas.microsoft.com/office/drawing/2014/main" id="{D406F614-39A6-B9D2-A259-3D07F9788112}"/>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8" name="Shape 58">
                                                                  <a:extLst>
                                                                    <a:ext uri="{FF2B5EF4-FFF2-40B4-BE49-F238E27FC236}">
                                                                      <a16:creationId xmlns:a16="http://schemas.microsoft.com/office/drawing/2014/main" id="{38B69352-1035-D416-28AD-16ECF27A5B87}"/>
                                                                    </a:ext>
                                                                  </a:extLst>
                                                                </xdr:cNvPr>
                                                                <xdr:cNvGrpSpPr/>
                                                              </xdr:nvGrpSpPr>
                                                              <xdr:grpSpPr>
                                                                <a:xfrm>
                                                                  <a:off x="5326950" y="2417917"/>
                                                                  <a:ext cx="38100" cy="4834649"/>
                                                                  <a:chOff x="5326950" y="2417917"/>
                                                                  <a:chExt cx="38100" cy="4834649"/>
                                                                </a:xfrm>
                                                              </xdr:grpSpPr>
                                                              <xdr:sp macro="" textlink="">
                                                                <xdr:nvSpPr>
                                                                  <xdr:cNvPr id="59" name="Shape 59">
                                                                    <a:extLst>
                                                                      <a:ext uri="{FF2B5EF4-FFF2-40B4-BE49-F238E27FC236}">
                                                                        <a16:creationId xmlns:a16="http://schemas.microsoft.com/office/drawing/2014/main" id="{D620B9F1-8012-3D5E-3885-A5CF77665A7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0" name="Shape 60">
                                                                    <a:extLst>
                                                                      <a:ext uri="{FF2B5EF4-FFF2-40B4-BE49-F238E27FC236}">
                                                                        <a16:creationId xmlns:a16="http://schemas.microsoft.com/office/drawing/2014/main" id="{C96A5CF2-F397-9A1A-DE86-D711C813DA0A}"/>
                                                                      </a:ext>
                                                                    </a:extLst>
                                                                  </xdr:cNvPr>
                                                                  <xdr:cNvGrpSpPr/>
                                                                </xdr:nvGrpSpPr>
                                                                <xdr:grpSpPr>
                                                                  <a:xfrm>
                                                                    <a:off x="5326950" y="2417917"/>
                                                                    <a:ext cx="38100" cy="4834649"/>
                                                                    <a:chOff x="5326950" y="2417917"/>
                                                                    <a:chExt cx="38100" cy="4834649"/>
                                                                  </a:xfrm>
                                                                </xdr:grpSpPr>
                                                                <xdr:sp macro="" textlink="">
                                                                  <xdr:nvSpPr>
                                                                    <xdr:cNvPr id="61" name="Shape 61">
                                                                      <a:extLst>
                                                                        <a:ext uri="{FF2B5EF4-FFF2-40B4-BE49-F238E27FC236}">
                                                                          <a16:creationId xmlns:a16="http://schemas.microsoft.com/office/drawing/2014/main" id="{19911D7F-2244-CDDE-27BC-72786480DA7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2" name="Shape 62">
                                                                      <a:extLst>
                                                                        <a:ext uri="{FF2B5EF4-FFF2-40B4-BE49-F238E27FC236}">
                                                                          <a16:creationId xmlns:a16="http://schemas.microsoft.com/office/drawing/2014/main" id="{ED727DB0-DFF2-7B87-A0E8-301103D2FE9A}"/>
                                                                        </a:ext>
                                                                      </a:extLst>
                                                                    </xdr:cNvPr>
                                                                    <xdr:cNvGrpSpPr/>
                                                                  </xdr:nvGrpSpPr>
                                                                  <xdr:grpSpPr>
                                                                    <a:xfrm>
                                                                      <a:off x="5326950" y="2417917"/>
                                                                      <a:ext cx="38100" cy="4834649"/>
                                                                      <a:chOff x="5326950" y="2417917"/>
                                                                      <a:chExt cx="38100" cy="4834649"/>
                                                                    </a:xfrm>
                                                                  </xdr:grpSpPr>
                                                                  <xdr:sp macro="" textlink="">
                                                                    <xdr:nvSpPr>
                                                                      <xdr:cNvPr id="63" name="Shape 63">
                                                                        <a:extLst>
                                                                          <a:ext uri="{FF2B5EF4-FFF2-40B4-BE49-F238E27FC236}">
                                                                            <a16:creationId xmlns:a16="http://schemas.microsoft.com/office/drawing/2014/main" id="{72DE7941-66AB-F62E-CD57-80EC289C1266}"/>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4" name="Shape 64">
                                                                        <a:extLst>
                                                                          <a:ext uri="{FF2B5EF4-FFF2-40B4-BE49-F238E27FC236}">
                                                                            <a16:creationId xmlns:a16="http://schemas.microsoft.com/office/drawing/2014/main" id="{37EECD83-BF6C-9775-5DDB-4873DB9347BB}"/>
                                                                          </a:ext>
                                                                        </a:extLst>
                                                                      </xdr:cNvPr>
                                                                      <xdr:cNvGrpSpPr/>
                                                                    </xdr:nvGrpSpPr>
                                                                    <xdr:grpSpPr>
                                                                      <a:xfrm>
                                                                        <a:off x="5326950" y="2417917"/>
                                                                        <a:ext cx="38100" cy="4834649"/>
                                                                        <a:chOff x="5326950" y="2417917"/>
                                                                        <a:chExt cx="38100" cy="4834649"/>
                                                                      </a:xfrm>
                                                                    </xdr:grpSpPr>
                                                                    <xdr:sp macro="" textlink="">
                                                                      <xdr:nvSpPr>
                                                                        <xdr:cNvPr id="65" name="Shape 65">
                                                                          <a:extLst>
                                                                            <a:ext uri="{FF2B5EF4-FFF2-40B4-BE49-F238E27FC236}">
                                                                              <a16:creationId xmlns:a16="http://schemas.microsoft.com/office/drawing/2014/main" id="{872CB0CD-91CC-E03C-7CC9-D5D5ECD319D9}"/>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6" name="Shape 66">
                                                                          <a:extLst>
                                                                            <a:ext uri="{FF2B5EF4-FFF2-40B4-BE49-F238E27FC236}">
                                                                              <a16:creationId xmlns:a16="http://schemas.microsoft.com/office/drawing/2014/main" id="{DD81E194-0602-83C2-3C2D-8FD10D87262D}"/>
                                                                            </a:ext>
                                                                          </a:extLst>
                                                                        </xdr:cNvPr>
                                                                        <xdr:cNvGrpSpPr/>
                                                                      </xdr:nvGrpSpPr>
                                                                      <xdr:grpSpPr>
                                                                        <a:xfrm>
                                                                          <a:off x="5326950" y="2417917"/>
                                                                          <a:ext cx="38100" cy="4834649"/>
                                                                          <a:chOff x="5326950" y="2417917"/>
                                                                          <a:chExt cx="38100" cy="4834649"/>
                                                                        </a:xfrm>
                                                                      </xdr:grpSpPr>
                                                                      <xdr:sp macro="" textlink="">
                                                                        <xdr:nvSpPr>
                                                                          <xdr:cNvPr id="67" name="Shape 67">
                                                                            <a:extLst>
                                                                              <a:ext uri="{FF2B5EF4-FFF2-40B4-BE49-F238E27FC236}">
                                                                                <a16:creationId xmlns:a16="http://schemas.microsoft.com/office/drawing/2014/main" id="{2AFDA835-0D09-029E-010D-905F8ACE18B3}"/>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8" name="Shape 68">
                                                                            <a:extLst>
                                                                              <a:ext uri="{FF2B5EF4-FFF2-40B4-BE49-F238E27FC236}">
                                                                                <a16:creationId xmlns:a16="http://schemas.microsoft.com/office/drawing/2014/main" id="{CE1EBBF2-C052-2CF8-3008-70FDDFE71B8B}"/>
                                                                              </a:ext>
                                                                            </a:extLst>
                                                                          </xdr:cNvPr>
                                                                          <xdr:cNvGrpSpPr/>
                                                                        </xdr:nvGrpSpPr>
                                                                        <xdr:grpSpPr>
                                                                          <a:xfrm>
                                                                            <a:off x="5326950" y="2417917"/>
                                                                            <a:ext cx="38100" cy="4834649"/>
                                                                            <a:chOff x="5326950" y="2417917"/>
                                                                            <a:chExt cx="38100" cy="4834649"/>
                                                                          </a:xfrm>
                                                                        </xdr:grpSpPr>
                                                                        <xdr:sp macro="" textlink="">
                                                                          <xdr:nvSpPr>
                                                                            <xdr:cNvPr id="69" name="Shape 69">
                                                                              <a:extLst>
                                                                                <a:ext uri="{FF2B5EF4-FFF2-40B4-BE49-F238E27FC236}">
                                                                                  <a16:creationId xmlns:a16="http://schemas.microsoft.com/office/drawing/2014/main" id="{6213D0E7-3372-16F1-E50D-0D14AD6F34F5}"/>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0" name="Shape 70">
                                                                              <a:extLst>
                                                                                <a:ext uri="{FF2B5EF4-FFF2-40B4-BE49-F238E27FC236}">
                                                                                  <a16:creationId xmlns:a16="http://schemas.microsoft.com/office/drawing/2014/main" id="{FBC11190-909A-05B2-8F7F-D1C69D1EE003}"/>
                                                                                </a:ext>
                                                                              </a:extLst>
                                                                            </xdr:cNvPr>
                                                                            <xdr:cNvGrpSpPr/>
                                                                          </xdr:nvGrpSpPr>
                                                                          <xdr:grpSpPr>
                                                                            <a:xfrm>
                                                                              <a:off x="5326950" y="2417917"/>
                                                                              <a:ext cx="38100" cy="4834649"/>
                                                                              <a:chOff x="5326950" y="2417917"/>
                                                                              <a:chExt cx="38100" cy="4834649"/>
                                                                            </a:xfrm>
                                                                          </xdr:grpSpPr>
                                                                          <xdr:sp macro="" textlink="">
                                                                            <xdr:nvSpPr>
                                                                              <xdr:cNvPr id="71" name="Shape 71">
                                                                                <a:extLst>
                                                                                  <a:ext uri="{FF2B5EF4-FFF2-40B4-BE49-F238E27FC236}">
                                                                                    <a16:creationId xmlns:a16="http://schemas.microsoft.com/office/drawing/2014/main" id="{97BAEAEB-A474-126D-5BD5-287AE05D48FE}"/>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2" name="Shape 72">
                                                                                <a:extLst>
                                                                                  <a:ext uri="{FF2B5EF4-FFF2-40B4-BE49-F238E27FC236}">
                                                                                    <a16:creationId xmlns:a16="http://schemas.microsoft.com/office/drawing/2014/main" id="{DF8FEACD-7521-9B1D-D009-34B1D323AE56}"/>
                                                                                  </a:ext>
                                                                                </a:extLst>
                                                                              </xdr:cNvPr>
                                                                              <xdr:cNvGrpSpPr/>
                                                                            </xdr:nvGrpSpPr>
                                                                            <xdr:grpSpPr>
                                                                              <a:xfrm>
                                                                                <a:off x="5326950" y="2417917"/>
                                                                                <a:ext cx="38100" cy="4834649"/>
                                                                                <a:chOff x="5326950" y="2417917"/>
                                                                                <a:chExt cx="38100" cy="4834649"/>
                                                                              </a:xfrm>
                                                                            </xdr:grpSpPr>
                                                                            <xdr:sp macro="" textlink="">
                                                                              <xdr:nvSpPr>
                                                                                <xdr:cNvPr id="73" name="Shape 73">
                                                                                  <a:extLst>
                                                                                    <a:ext uri="{FF2B5EF4-FFF2-40B4-BE49-F238E27FC236}">
                                                                                      <a16:creationId xmlns:a16="http://schemas.microsoft.com/office/drawing/2014/main" id="{9E2DA7BD-7958-FEC2-1182-47315A3C99C7}"/>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4" name="Shape 74">
                                                                                  <a:extLst>
                                                                                    <a:ext uri="{FF2B5EF4-FFF2-40B4-BE49-F238E27FC236}">
                                                                                      <a16:creationId xmlns:a16="http://schemas.microsoft.com/office/drawing/2014/main" id="{9C75B7AF-37B9-C4AB-F5B3-A4C01074EE71}"/>
                                                                                    </a:ext>
                                                                                  </a:extLst>
                                                                                </xdr:cNvPr>
                                                                                <xdr:cNvGrpSpPr/>
                                                                              </xdr:nvGrpSpPr>
                                                                              <xdr:grpSpPr>
                                                                                <a:xfrm>
                                                                                  <a:off x="5326950" y="2417917"/>
                                                                                  <a:ext cx="38100" cy="4834649"/>
                                                                                  <a:chOff x="5326950" y="2417917"/>
                                                                                  <a:chExt cx="38100" cy="4834649"/>
                                                                                </a:xfrm>
                                                                              </xdr:grpSpPr>
                                                                              <xdr:sp macro="" textlink="">
                                                                                <xdr:nvSpPr>
                                                                                  <xdr:cNvPr id="75" name="Shape 75">
                                                                                    <a:extLst>
                                                                                      <a:ext uri="{FF2B5EF4-FFF2-40B4-BE49-F238E27FC236}">
                                                                                        <a16:creationId xmlns:a16="http://schemas.microsoft.com/office/drawing/2014/main" id="{30B46617-9BDC-A09F-5118-BA770385D6E8}"/>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6" name="Shape 76">
                                                                                    <a:extLst>
                                                                                      <a:ext uri="{FF2B5EF4-FFF2-40B4-BE49-F238E27FC236}">
                                                                                        <a16:creationId xmlns:a16="http://schemas.microsoft.com/office/drawing/2014/main" id="{DD60824C-FCBF-DAC6-7D8B-B0E5A696463A}"/>
                                                                                      </a:ext>
                                                                                    </a:extLst>
                                                                                  </xdr:cNvPr>
                                                                                  <xdr:cNvGrpSpPr/>
                                                                                </xdr:nvGrpSpPr>
                                                                                <xdr:grpSpPr>
                                                                                  <a:xfrm>
                                                                                    <a:off x="5326950" y="2417917"/>
                                                                                    <a:ext cx="38100" cy="4834649"/>
                                                                                    <a:chOff x="5326950" y="2417917"/>
                                                                                    <a:chExt cx="38100" cy="4834649"/>
                                                                                  </a:xfrm>
                                                                                </xdr:grpSpPr>
                                                                                <xdr:sp macro="" textlink="">
                                                                                  <xdr:nvSpPr>
                                                                                    <xdr:cNvPr id="77" name="Shape 77">
                                                                                      <a:extLst>
                                                                                        <a:ext uri="{FF2B5EF4-FFF2-40B4-BE49-F238E27FC236}">
                                                                                          <a16:creationId xmlns:a16="http://schemas.microsoft.com/office/drawing/2014/main" id="{585E8B41-5F87-FAAA-1646-5B627725D14A}"/>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8" name="Shape 78">
                                                                                      <a:extLst>
                                                                                        <a:ext uri="{FF2B5EF4-FFF2-40B4-BE49-F238E27FC236}">
                                                                                          <a16:creationId xmlns:a16="http://schemas.microsoft.com/office/drawing/2014/main" id="{290C2FFB-0AB4-CF7D-BF5D-747442A16C09}"/>
                                                                                        </a:ext>
                                                                                      </a:extLst>
                                                                                    </xdr:cNvPr>
                                                                                    <xdr:cNvGrpSpPr/>
                                                                                  </xdr:nvGrpSpPr>
                                                                                  <xdr:grpSpPr>
                                                                                    <a:xfrm>
                                                                                      <a:off x="5326950" y="2417917"/>
                                                                                      <a:ext cx="38100" cy="4834649"/>
                                                                                      <a:chOff x="5326950" y="2417917"/>
                                                                                      <a:chExt cx="38100" cy="4834649"/>
                                                                                    </a:xfrm>
                                                                                  </xdr:grpSpPr>
                                                                                  <xdr:sp macro="" textlink="">
                                                                                    <xdr:nvSpPr>
                                                                                      <xdr:cNvPr id="79" name="Shape 79">
                                                                                        <a:extLst>
                                                                                          <a:ext uri="{FF2B5EF4-FFF2-40B4-BE49-F238E27FC236}">
                                                                                            <a16:creationId xmlns:a16="http://schemas.microsoft.com/office/drawing/2014/main" id="{57467794-496D-B1CB-6BA2-8B100750EAE0}"/>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0" name="Shape 80">
                                                                                        <a:extLst>
                                                                                          <a:ext uri="{FF2B5EF4-FFF2-40B4-BE49-F238E27FC236}">
                                                                                            <a16:creationId xmlns:a16="http://schemas.microsoft.com/office/drawing/2014/main" id="{7E135D38-1FF8-3FDC-A223-377D22EA3E81}"/>
                                                                                          </a:ext>
                                                                                        </a:extLst>
                                                                                      </xdr:cNvPr>
                                                                                      <xdr:cNvGrpSpPr/>
                                                                                    </xdr:nvGrpSpPr>
                                                                                    <xdr:grpSpPr>
                                                                                      <a:xfrm>
                                                                                        <a:off x="5326950" y="2417917"/>
                                                                                        <a:ext cx="38100" cy="4834649"/>
                                                                                        <a:chOff x="5326950" y="2417917"/>
                                                                                        <a:chExt cx="38100" cy="4834649"/>
                                                                                      </a:xfrm>
                                                                                    </xdr:grpSpPr>
                                                                                    <xdr:sp macro="" textlink="">
                                                                                      <xdr:nvSpPr>
                                                                                        <xdr:cNvPr id="81" name="Shape 81">
                                                                                          <a:extLst>
                                                                                            <a:ext uri="{FF2B5EF4-FFF2-40B4-BE49-F238E27FC236}">
                                                                                              <a16:creationId xmlns:a16="http://schemas.microsoft.com/office/drawing/2014/main" id="{C8ACAD7F-1782-C0A0-89AC-C2E3921B3B3F}"/>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2" name="Shape 82">
                                                                                          <a:extLst>
                                                                                            <a:ext uri="{FF2B5EF4-FFF2-40B4-BE49-F238E27FC236}">
                                                                                              <a16:creationId xmlns:a16="http://schemas.microsoft.com/office/drawing/2014/main" id="{341F454B-C6F3-851A-FBAA-5DDFF8D69EFE}"/>
                                                                                            </a:ext>
                                                                                          </a:extLst>
                                                                                        </xdr:cNvPr>
                                                                                        <xdr:cNvGrpSpPr/>
                                                                                      </xdr:nvGrpSpPr>
                                                                                      <xdr:grpSpPr>
                                                                                        <a:xfrm>
                                                                                          <a:off x="5326950" y="2417917"/>
                                                                                          <a:ext cx="38100" cy="4834649"/>
                                                                                          <a:chOff x="5326950" y="2417917"/>
                                                                                          <a:chExt cx="38100" cy="4834649"/>
                                                                                        </a:xfrm>
                                                                                      </xdr:grpSpPr>
                                                                                      <xdr:sp macro="" textlink="">
                                                                                        <xdr:nvSpPr>
                                                                                          <xdr:cNvPr id="83" name="Shape 83">
                                                                                            <a:extLst>
                                                                                              <a:ext uri="{FF2B5EF4-FFF2-40B4-BE49-F238E27FC236}">
                                                                                                <a16:creationId xmlns:a16="http://schemas.microsoft.com/office/drawing/2014/main" id="{55628D34-2CD9-CB57-F4B8-0C36B0EE8474}"/>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4" name="Shape 84">
                                                                                            <a:extLst>
                                                                                              <a:ext uri="{FF2B5EF4-FFF2-40B4-BE49-F238E27FC236}">
                                                                                                <a16:creationId xmlns:a16="http://schemas.microsoft.com/office/drawing/2014/main" id="{67BC6A3F-688A-5473-8660-E7D6FB8ED809}"/>
                                                                                              </a:ext>
                                                                                            </a:extLst>
                                                                                          </xdr:cNvPr>
                                                                                          <xdr:cNvGrpSpPr/>
                                                                                        </xdr:nvGrpSpPr>
                                                                                        <xdr:grpSpPr>
                                                                                          <a:xfrm>
                                                                                            <a:off x="5326950" y="2417917"/>
                                                                                            <a:ext cx="38100" cy="4834649"/>
                                                                                            <a:chOff x="5326950" y="2417917"/>
                                                                                            <a:chExt cx="38100" cy="4834649"/>
                                                                                          </a:xfrm>
                                                                                        </xdr:grpSpPr>
                                                                                        <xdr:sp macro="" textlink="">
                                                                                          <xdr:nvSpPr>
                                                                                            <xdr:cNvPr id="85" name="Shape 85">
                                                                                              <a:extLst>
                                                                                                <a:ext uri="{FF2B5EF4-FFF2-40B4-BE49-F238E27FC236}">
                                                                                                  <a16:creationId xmlns:a16="http://schemas.microsoft.com/office/drawing/2014/main" id="{B5CF72C1-DC61-A11A-325D-2F5D40D57D65}"/>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6" name="Shape 86">
                                                                                              <a:extLst>
                                                                                                <a:ext uri="{FF2B5EF4-FFF2-40B4-BE49-F238E27FC236}">
                                                                                                  <a16:creationId xmlns:a16="http://schemas.microsoft.com/office/drawing/2014/main" id="{C42498BB-0B89-9D6B-3BEE-CEE944D7576E}"/>
                                                                                                </a:ext>
                                                                                              </a:extLst>
                                                                                            </xdr:cNvPr>
                                                                                            <xdr:cNvGrpSpPr/>
                                                                                          </xdr:nvGrpSpPr>
                                                                                          <xdr:grpSpPr>
                                                                                            <a:xfrm>
                                                                                              <a:off x="5326950" y="2417917"/>
                                                                                              <a:ext cx="38100" cy="4834649"/>
                                                                                              <a:chOff x="5326950" y="2417917"/>
                                                                                              <a:chExt cx="38100" cy="4834649"/>
                                                                                            </a:xfrm>
                                                                                          </xdr:grpSpPr>
                                                                                          <xdr:sp macro="" textlink="">
                                                                                            <xdr:nvSpPr>
                                                                                              <xdr:cNvPr id="87" name="Shape 87">
                                                                                                <a:extLst>
                                                                                                  <a:ext uri="{FF2B5EF4-FFF2-40B4-BE49-F238E27FC236}">
                                                                                                    <a16:creationId xmlns:a16="http://schemas.microsoft.com/office/drawing/2014/main" id="{12915105-B280-C1B8-EE07-51408691EE01}"/>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 name="Shape 88">
                                                                                                <a:extLst>
                                                                                                  <a:ext uri="{FF2B5EF4-FFF2-40B4-BE49-F238E27FC236}">
                                                                                                    <a16:creationId xmlns:a16="http://schemas.microsoft.com/office/drawing/2014/main" id="{8A41D549-24B4-1AA2-C6FA-38896A9CD602}"/>
                                                                                                  </a:ext>
                                                                                                </a:extLst>
                                                                                              </xdr:cNvPr>
                                                                                              <xdr:cNvGrpSpPr/>
                                                                                            </xdr:nvGrpSpPr>
                                                                                            <xdr:grpSpPr>
                                                                                              <a:xfrm>
                                                                                                <a:off x="5326950" y="2417917"/>
                                                                                                <a:ext cx="38100" cy="4834649"/>
                                                                                                <a:chOff x="5326950" y="2417917"/>
                                                                                                <a:chExt cx="38100" cy="4834649"/>
                                                                                              </a:xfrm>
                                                                                            </xdr:grpSpPr>
                                                                                            <xdr:sp macro="" textlink="">
                                                                                              <xdr:nvSpPr>
                                                                                                <xdr:cNvPr id="89" name="Shape 89">
                                                                                                  <a:extLst>
                                                                                                    <a:ext uri="{FF2B5EF4-FFF2-40B4-BE49-F238E27FC236}">
                                                                                                      <a16:creationId xmlns:a16="http://schemas.microsoft.com/office/drawing/2014/main" id="{282805D0-9C73-DFE8-D293-235C58CCF2EE}"/>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 name="Shape 90">
                                                                                                  <a:extLst>
                                                                                                    <a:ext uri="{FF2B5EF4-FFF2-40B4-BE49-F238E27FC236}">
                                                                                                      <a16:creationId xmlns:a16="http://schemas.microsoft.com/office/drawing/2014/main" id="{294B11FE-15F2-8949-8BEF-01D3E6BB76DF}"/>
                                                                                                    </a:ext>
                                                                                                  </a:extLst>
                                                                                                </xdr:cNvPr>
                                                                                                <xdr:cNvGrpSpPr/>
                                                                                              </xdr:nvGrpSpPr>
                                                                                              <xdr:grpSpPr>
                                                                                                <a:xfrm>
                                                                                                  <a:off x="5326950" y="2417917"/>
                                                                                                  <a:ext cx="38100" cy="4834649"/>
                                                                                                  <a:chOff x="5326950" y="2417917"/>
                                                                                                  <a:chExt cx="38100" cy="4834649"/>
                                                                                                </a:xfrm>
                                                                                              </xdr:grpSpPr>
                                                                                              <xdr:sp macro="" textlink="">
                                                                                                <xdr:nvSpPr>
                                                                                                  <xdr:cNvPr id="91" name="Shape 91">
                                                                                                    <a:extLst>
                                                                                                      <a:ext uri="{FF2B5EF4-FFF2-40B4-BE49-F238E27FC236}">
                                                                                                        <a16:creationId xmlns:a16="http://schemas.microsoft.com/office/drawing/2014/main" id="{8B0DC670-E099-F3AD-A16E-1DC783287B33}"/>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2" name="Shape 92">
                                                                                                    <a:extLst>
                                                                                                      <a:ext uri="{FF2B5EF4-FFF2-40B4-BE49-F238E27FC236}">
                                                                                                        <a16:creationId xmlns:a16="http://schemas.microsoft.com/office/drawing/2014/main" id="{4D300B4C-210D-386A-A713-B37F0DD9F984}"/>
                                                                                                      </a:ext>
                                                                                                    </a:extLst>
                                                                                                  </xdr:cNvPr>
                                                                                                  <xdr:cNvGrpSpPr/>
                                                                                                </xdr:nvGrpSpPr>
                                                                                                <xdr:grpSpPr>
                                                                                                  <a:xfrm>
                                                                                                    <a:off x="5326950" y="2417917"/>
                                                                                                    <a:ext cx="38100" cy="4834649"/>
                                                                                                    <a:chOff x="5326950" y="2417917"/>
                                                                                                    <a:chExt cx="38100" cy="4834649"/>
                                                                                                  </a:xfrm>
                                                                                                </xdr:grpSpPr>
                                                                                                <xdr:sp macro="" textlink="">
                                                                                                  <xdr:nvSpPr>
                                                                                                    <xdr:cNvPr id="93" name="Shape 93">
                                                                                                      <a:extLst>
                                                                                                        <a:ext uri="{FF2B5EF4-FFF2-40B4-BE49-F238E27FC236}">
                                                                                                          <a16:creationId xmlns:a16="http://schemas.microsoft.com/office/drawing/2014/main" id="{DFD13ED7-21EB-E3FC-F7C2-29651CE1F69E}"/>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4" name="Shape 94">
                                                                                                      <a:extLst>
                                                                                                        <a:ext uri="{FF2B5EF4-FFF2-40B4-BE49-F238E27FC236}">
                                                                                                          <a16:creationId xmlns:a16="http://schemas.microsoft.com/office/drawing/2014/main" id="{3A4F0393-715A-1DB9-1C99-E0A35038B0DB}"/>
                                                                                                        </a:ext>
                                                                                                      </a:extLst>
                                                                                                    </xdr:cNvPr>
                                                                                                    <xdr:cNvGrpSpPr/>
                                                                                                  </xdr:nvGrpSpPr>
                                                                                                  <xdr:grpSpPr>
                                                                                                    <a:xfrm>
                                                                                                      <a:off x="5326950" y="2417917"/>
                                                                                                      <a:ext cx="38100" cy="4834649"/>
                                                                                                      <a:chOff x="5326950" y="2417917"/>
                                                                                                      <a:chExt cx="38100" cy="4834649"/>
                                                                                                    </a:xfrm>
                                                                                                  </xdr:grpSpPr>
                                                                                                  <xdr:sp macro="" textlink="">
                                                                                                    <xdr:nvSpPr>
                                                                                                      <xdr:cNvPr id="95" name="Shape 95">
                                                                                                        <a:extLst>
                                                                                                          <a:ext uri="{FF2B5EF4-FFF2-40B4-BE49-F238E27FC236}">
                                                                                                            <a16:creationId xmlns:a16="http://schemas.microsoft.com/office/drawing/2014/main" id="{871C04AF-9508-F264-E63F-76A72ED94B5D}"/>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6" name="Shape 96">
                                                                                                        <a:extLst>
                                                                                                          <a:ext uri="{FF2B5EF4-FFF2-40B4-BE49-F238E27FC236}">
                                                                                                            <a16:creationId xmlns:a16="http://schemas.microsoft.com/office/drawing/2014/main" id="{267E6236-A1C8-873B-6AC6-D51781F708EA}"/>
                                                                                                          </a:ext>
                                                                                                        </a:extLst>
                                                                                                      </xdr:cNvPr>
                                                                                                      <xdr:cNvGrpSpPr/>
                                                                                                    </xdr:nvGrpSpPr>
                                                                                                    <xdr:grpSpPr>
                                                                                                      <a:xfrm>
                                                                                                        <a:off x="5326950" y="2417917"/>
                                                                                                        <a:ext cx="38100" cy="4834649"/>
                                                                                                        <a:chOff x="5326950" y="2417917"/>
                                                                                                        <a:chExt cx="38100" cy="4834649"/>
                                                                                                      </a:xfrm>
                                                                                                    </xdr:grpSpPr>
                                                                                                    <xdr:sp macro="" textlink="">
                                                                                                      <xdr:nvSpPr>
                                                                                                        <xdr:cNvPr id="97" name="Shape 97">
                                                                                                          <a:extLst>
                                                                                                            <a:ext uri="{FF2B5EF4-FFF2-40B4-BE49-F238E27FC236}">
                                                                                                              <a16:creationId xmlns:a16="http://schemas.microsoft.com/office/drawing/2014/main" id="{E04BC573-9B83-6C9C-D154-D0CA13C258E8}"/>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8" name="Shape 98">
                                                                                                          <a:extLst>
                                                                                                            <a:ext uri="{FF2B5EF4-FFF2-40B4-BE49-F238E27FC236}">
                                                                                                              <a16:creationId xmlns:a16="http://schemas.microsoft.com/office/drawing/2014/main" id="{99DDF125-DD5F-D977-7257-CFC6606981FA}"/>
                                                                                                            </a:ext>
                                                                                                          </a:extLst>
                                                                                                        </xdr:cNvPr>
                                                                                                        <xdr:cNvGrpSpPr/>
                                                                                                      </xdr:nvGrpSpPr>
                                                                                                      <xdr:grpSpPr>
                                                                                                        <a:xfrm>
                                                                                                          <a:off x="5326950" y="2417917"/>
                                                                                                          <a:ext cx="38100" cy="4834649"/>
                                                                                                          <a:chOff x="5326950" y="2417917"/>
                                                                                                          <a:chExt cx="38100" cy="4834649"/>
                                                                                                        </a:xfrm>
                                                                                                      </xdr:grpSpPr>
                                                                                                      <xdr:sp macro="" textlink="">
                                                                                                        <xdr:nvSpPr>
                                                                                                          <xdr:cNvPr id="99" name="Shape 99">
                                                                                                            <a:extLst>
                                                                                                              <a:ext uri="{FF2B5EF4-FFF2-40B4-BE49-F238E27FC236}">
                                                                                                                <a16:creationId xmlns:a16="http://schemas.microsoft.com/office/drawing/2014/main" id="{005A6D2E-3023-9CCE-B02C-31C60A40891D}"/>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0" name="Shape 100">
                                                                                                            <a:extLst>
                                                                                                              <a:ext uri="{FF2B5EF4-FFF2-40B4-BE49-F238E27FC236}">
                                                                                                                <a16:creationId xmlns:a16="http://schemas.microsoft.com/office/drawing/2014/main" id="{EA818186-4060-9C29-F8C6-A0CA974E2FFB}"/>
                                                                                                              </a:ext>
                                                                                                            </a:extLst>
                                                                                                          </xdr:cNvPr>
                                                                                                          <xdr:cNvGrpSpPr/>
                                                                                                        </xdr:nvGrpSpPr>
                                                                                                        <xdr:grpSpPr>
                                                                                                          <a:xfrm>
                                                                                                            <a:off x="5326950" y="2417917"/>
                                                                                                            <a:ext cx="38100" cy="4834649"/>
                                                                                                            <a:chOff x="5326950" y="2417917"/>
                                                                                                            <a:chExt cx="38100" cy="4834649"/>
                                                                                                          </a:xfrm>
                                                                                                        </xdr:grpSpPr>
                                                                                                        <xdr:sp macro="" textlink="">
                                                                                                          <xdr:nvSpPr>
                                                                                                            <xdr:cNvPr id="101" name="Shape 101">
                                                                                                              <a:extLst>
                                                                                                                <a:ext uri="{FF2B5EF4-FFF2-40B4-BE49-F238E27FC236}">
                                                                                                                  <a16:creationId xmlns:a16="http://schemas.microsoft.com/office/drawing/2014/main" id="{1A270E32-A8D2-1104-BB7C-35E70D114447}"/>
                                                                                                                </a:ext>
                                                                                                              </a:extLst>
                                                                                                            </xdr:cNvPr>
                                                                                                            <xdr:cNvSpPr/>
                                                                                                          </xdr:nvSpPr>
                                                                                                          <xdr:spPr>
                                                                                                            <a:xfrm>
                                                                                                              <a:off x="5326950" y="2417925"/>
                                                                                                              <a:ext cx="3810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2" name="Shape 102">
                                                                                                              <a:extLst>
                                                                                                                <a:ext uri="{FF2B5EF4-FFF2-40B4-BE49-F238E27FC236}">
                                                                                                                  <a16:creationId xmlns:a16="http://schemas.microsoft.com/office/drawing/2014/main" id="{801E9F2F-5232-A757-E09F-BBDD1FE5426C}"/>
                                                                                                                </a:ext>
                                                                                                              </a:extLst>
                                                                                                            </xdr:cNvPr>
                                                                                                            <xdr:cNvGrpSpPr/>
                                                                                                          </xdr:nvGrpSpPr>
                                                                                                          <xdr:grpSpPr>
                                                                                                            <a:xfrm>
                                                                                                              <a:off x="5326950" y="2417917"/>
                                                                                                              <a:ext cx="38100" cy="4834649"/>
                                                                                                              <a:chOff x="5336475" y="2417917"/>
                                                                                                              <a:chExt cx="19050" cy="4834649"/>
                                                                                                            </a:xfrm>
                                                                                                          </xdr:grpSpPr>
                                                                                                          <xdr:sp macro="" textlink="">
                                                                                                            <xdr:nvSpPr>
                                                                                                              <xdr:cNvPr id="103" name="Shape 103">
                                                                                                                <a:extLst>
                                                                                                                  <a:ext uri="{FF2B5EF4-FFF2-40B4-BE49-F238E27FC236}">
                                                                                                                    <a16:creationId xmlns:a16="http://schemas.microsoft.com/office/drawing/2014/main" id="{0B356F06-3BC1-85AC-D3CE-E35400DF45E9}"/>
                                                                                                                  </a:ext>
                                                                                                                </a:extLst>
                                                                                                              </xdr:cNvPr>
                                                                                                              <xdr:cNvSpPr/>
                                                                                                            </xdr:nvSpPr>
                                                                                                            <xdr:spPr>
                                                                                                              <a:xfrm>
                                                                                                                <a:off x="5336475" y="2417925"/>
                                                                                                                <a:ext cx="19050" cy="2724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4" name="Shape 104">
                                                                                                                <a:extLst>
                                                                                                                  <a:ext uri="{FF2B5EF4-FFF2-40B4-BE49-F238E27FC236}">
                                                                                                                    <a16:creationId xmlns:a16="http://schemas.microsoft.com/office/drawing/2014/main" id="{29875D11-9E18-A29E-3777-732B47E56C0D}"/>
                                                                                                                  </a:ext>
                                                                                                                </a:extLst>
                                                                                                              </xdr:cNvPr>
                                                                                                              <xdr:cNvCxnSpPr>
                                                                                                                <a:stCxn id="103" idx="0"/>
                                                                                                                <a:endCxn id="103" idx="2"/>
                                                                                                              </xdr:cNvCxnSpPr>
                                                                                                            </xdr:nvCxnSpPr>
                                                                                                            <xdr:spPr>
                                                                                                              <a:xfrm>
                                                                                                                <a:off x="5346000" y="2417917"/>
                                                                                                                <a:ext cx="0" cy="4834649"/>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9</xdr:col>
      <xdr:colOff>321945</xdr:colOff>
      <xdr:row>52</xdr:row>
      <xdr:rowOff>152400</xdr:rowOff>
    </xdr:from>
    <xdr:ext cx="2438400" cy="638175"/>
    <xdr:sp macro="" textlink="">
      <xdr:nvSpPr>
        <xdr:cNvPr id="105" name="Shape 105">
          <a:extLst>
            <a:ext uri="{FF2B5EF4-FFF2-40B4-BE49-F238E27FC236}">
              <a16:creationId xmlns:a16="http://schemas.microsoft.com/office/drawing/2014/main" id="{C37E1BCD-04F0-4DBA-91CC-CB63FA4DB481}"/>
            </a:ext>
          </a:extLst>
        </xdr:cNvPr>
        <xdr:cNvSpPr/>
      </xdr:nvSpPr>
      <xdr:spPr>
        <a:xfrm>
          <a:off x="5404485" y="12504420"/>
          <a:ext cx="2438400" cy="638175"/>
        </a:xfrm>
        <a:prstGeom prst="roundRect">
          <a:avLst>
            <a:gd name="adj" fmla="val 16667"/>
          </a:avLst>
        </a:prstGeom>
        <a:solidFill>
          <a:srgbClr val="F4B08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2400"/>
            <a:buFont typeface="Quattrocento Sans"/>
            <a:buNone/>
          </a:pPr>
          <a:r>
            <a:rPr lang="en-US" sz="2400" b="1">
              <a:solidFill>
                <a:schemeClr val="dk1"/>
              </a:solidFill>
              <a:latin typeface="Quattrocento Sans"/>
              <a:ea typeface="Quattrocento Sans"/>
              <a:cs typeface="Quattrocento Sans"/>
              <a:sym typeface="Quattrocento Sans"/>
            </a:rPr>
            <a:t>DESPESAS</a:t>
          </a:r>
          <a:endParaRPr sz="1400">
            <a:solidFill>
              <a:schemeClr val="dk1"/>
            </a:solidFill>
          </a:endParaRPr>
        </a:p>
      </xdr:txBody>
    </xdr:sp>
    <xdr:clientData fLocksWithSheet="0"/>
  </xdr:oneCellAnchor>
  <xdr:oneCellAnchor>
    <xdr:from>
      <xdr:col>11</xdr:col>
      <xdr:colOff>276225</xdr:colOff>
      <xdr:row>56</xdr:row>
      <xdr:rowOff>142875</xdr:rowOff>
    </xdr:from>
    <xdr:ext cx="38100" cy="6257925"/>
    <xdr:grpSp>
      <xdr:nvGrpSpPr>
        <xdr:cNvPr id="106" name="Shape 2">
          <a:extLst>
            <a:ext uri="{FF2B5EF4-FFF2-40B4-BE49-F238E27FC236}">
              <a16:creationId xmlns:a16="http://schemas.microsoft.com/office/drawing/2014/main" id="{739FA8C9-58B7-4397-A8F0-D26B50610159}"/>
            </a:ext>
          </a:extLst>
        </xdr:cNvPr>
        <xdr:cNvGrpSpPr/>
      </xdr:nvGrpSpPr>
      <xdr:grpSpPr>
        <a:xfrm>
          <a:off x="6593205" y="13066395"/>
          <a:ext cx="38100" cy="6257925"/>
          <a:chOff x="5326950" y="651038"/>
          <a:chExt cx="38100" cy="6257925"/>
        </a:xfrm>
      </xdr:grpSpPr>
      <xdr:grpSp>
        <xdr:nvGrpSpPr>
          <xdr:cNvPr id="107" name="Shape 106">
            <a:extLst>
              <a:ext uri="{FF2B5EF4-FFF2-40B4-BE49-F238E27FC236}">
                <a16:creationId xmlns:a16="http://schemas.microsoft.com/office/drawing/2014/main" id="{C297DA04-6EAC-E671-B033-3C9623F06058}"/>
              </a:ext>
            </a:extLst>
          </xdr:cNvPr>
          <xdr:cNvGrpSpPr/>
        </xdr:nvGrpSpPr>
        <xdr:grpSpPr>
          <a:xfrm>
            <a:off x="5326950" y="651038"/>
            <a:ext cx="38100" cy="6257925"/>
            <a:chOff x="5326950" y="651038"/>
            <a:chExt cx="38100" cy="6257925"/>
          </a:xfrm>
        </xdr:grpSpPr>
        <xdr:sp macro="" textlink="">
          <xdr:nvSpPr>
            <xdr:cNvPr id="108" name="Shape 5">
              <a:extLst>
                <a:ext uri="{FF2B5EF4-FFF2-40B4-BE49-F238E27FC236}">
                  <a16:creationId xmlns:a16="http://schemas.microsoft.com/office/drawing/2014/main" id="{089B0C6E-D034-814F-7101-3A88B5137D91}"/>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9" name="Shape 107">
              <a:extLst>
                <a:ext uri="{FF2B5EF4-FFF2-40B4-BE49-F238E27FC236}">
                  <a16:creationId xmlns:a16="http://schemas.microsoft.com/office/drawing/2014/main" id="{742DB06B-A295-27B8-889C-03DBA8952717}"/>
                </a:ext>
              </a:extLst>
            </xdr:cNvPr>
            <xdr:cNvGrpSpPr/>
          </xdr:nvGrpSpPr>
          <xdr:grpSpPr>
            <a:xfrm>
              <a:off x="5326950" y="651038"/>
              <a:ext cx="38100" cy="6257925"/>
              <a:chOff x="5326950" y="651038"/>
              <a:chExt cx="38100" cy="6257925"/>
            </a:xfrm>
          </xdr:grpSpPr>
          <xdr:sp macro="" textlink="">
            <xdr:nvSpPr>
              <xdr:cNvPr id="110" name="Shape 108">
                <a:extLst>
                  <a:ext uri="{FF2B5EF4-FFF2-40B4-BE49-F238E27FC236}">
                    <a16:creationId xmlns:a16="http://schemas.microsoft.com/office/drawing/2014/main" id="{CA5F714A-AA55-586A-1F15-08112388023E}"/>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1" name="Shape 109">
                <a:extLst>
                  <a:ext uri="{FF2B5EF4-FFF2-40B4-BE49-F238E27FC236}">
                    <a16:creationId xmlns:a16="http://schemas.microsoft.com/office/drawing/2014/main" id="{76C4DF85-D8DB-2E1E-3586-8B4929827E76}"/>
                  </a:ext>
                </a:extLst>
              </xdr:cNvPr>
              <xdr:cNvGrpSpPr/>
            </xdr:nvGrpSpPr>
            <xdr:grpSpPr>
              <a:xfrm>
                <a:off x="5326950" y="651038"/>
                <a:ext cx="38100" cy="6257925"/>
                <a:chOff x="5326950" y="651038"/>
                <a:chExt cx="38100" cy="6257925"/>
              </a:xfrm>
            </xdr:grpSpPr>
            <xdr:sp macro="" textlink="">
              <xdr:nvSpPr>
                <xdr:cNvPr id="112" name="Shape 110">
                  <a:extLst>
                    <a:ext uri="{FF2B5EF4-FFF2-40B4-BE49-F238E27FC236}">
                      <a16:creationId xmlns:a16="http://schemas.microsoft.com/office/drawing/2014/main" id="{63CCD051-CC41-A0A2-0276-87FC416E8326}"/>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3" name="Shape 111">
                  <a:extLst>
                    <a:ext uri="{FF2B5EF4-FFF2-40B4-BE49-F238E27FC236}">
                      <a16:creationId xmlns:a16="http://schemas.microsoft.com/office/drawing/2014/main" id="{38CC37FC-863B-6BB6-A0C0-B36D06C572E0}"/>
                    </a:ext>
                  </a:extLst>
                </xdr:cNvPr>
                <xdr:cNvGrpSpPr/>
              </xdr:nvGrpSpPr>
              <xdr:grpSpPr>
                <a:xfrm>
                  <a:off x="5326950" y="651038"/>
                  <a:ext cx="38100" cy="6257925"/>
                  <a:chOff x="5326950" y="651038"/>
                  <a:chExt cx="38100" cy="6257925"/>
                </a:xfrm>
              </xdr:grpSpPr>
              <xdr:sp macro="" textlink="">
                <xdr:nvSpPr>
                  <xdr:cNvPr id="114" name="Shape 112">
                    <a:extLst>
                      <a:ext uri="{FF2B5EF4-FFF2-40B4-BE49-F238E27FC236}">
                        <a16:creationId xmlns:a16="http://schemas.microsoft.com/office/drawing/2014/main" id="{C2DC9058-B1D1-8FA3-3E25-5AE56F2928DB}"/>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5" name="Shape 113">
                    <a:extLst>
                      <a:ext uri="{FF2B5EF4-FFF2-40B4-BE49-F238E27FC236}">
                        <a16:creationId xmlns:a16="http://schemas.microsoft.com/office/drawing/2014/main" id="{8B45767D-AA48-AD62-1367-03587ADC69D2}"/>
                      </a:ext>
                    </a:extLst>
                  </xdr:cNvPr>
                  <xdr:cNvGrpSpPr/>
                </xdr:nvGrpSpPr>
                <xdr:grpSpPr>
                  <a:xfrm>
                    <a:off x="5326950" y="651038"/>
                    <a:ext cx="38100" cy="6257925"/>
                    <a:chOff x="5326950" y="651038"/>
                    <a:chExt cx="38100" cy="6257925"/>
                  </a:xfrm>
                </xdr:grpSpPr>
                <xdr:sp macro="" textlink="">
                  <xdr:nvSpPr>
                    <xdr:cNvPr id="116" name="Shape 114">
                      <a:extLst>
                        <a:ext uri="{FF2B5EF4-FFF2-40B4-BE49-F238E27FC236}">
                          <a16:creationId xmlns:a16="http://schemas.microsoft.com/office/drawing/2014/main" id="{0A9A4314-549B-72A8-0823-29CC39B99357}"/>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7" name="Shape 115">
                      <a:extLst>
                        <a:ext uri="{FF2B5EF4-FFF2-40B4-BE49-F238E27FC236}">
                          <a16:creationId xmlns:a16="http://schemas.microsoft.com/office/drawing/2014/main" id="{8EE7EC35-0B0D-B4C7-0C35-78081B1C2829}"/>
                        </a:ext>
                      </a:extLst>
                    </xdr:cNvPr>
                    <xdr:cNvGrpSpPr/>
                  </xdr:nvGrpSpPr>
                  <xdr:grpSpPr>
                    <a:xfrm>
                      <a:off x="5326950" y="651038"/>
                      <a:ext cx="38100" cy="6257925"/>
                      <a:chOff x="5326950" y="651038"/>
                      <a:chExt cx="38100" cy="6257925"/>
                    </a:xfrm>
                  </xdr:grpSpPr>
                  <xdr:sp macro="" textlink="">
                    <xdr:nvSpPr>
                      <xdr:cNvPr id="118" name="Shape 116">
                        <a:extLst>
                          <a:ext uri="{FF2B5EF4-FFF2-40B4-BE49-F238E27FC236}">
                            <a16:creationId xmlns:a16="http://schemas.microsoft.com/office/drawing/2014/main" id="{23075352-25B3-5CC3-215C-3B7984C6C4D2}"/>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9" name="Shape 117">
                        <a:extLst>
                          <a:ext uri="{FF2B5EF4-FFF2-40B4-BE49-F238E27FC236}">
                            <a16:creationId xmlns:a16="http://schemas.microsoft.com/office/drawing/2014/main" id="{8AA18915-F302-F927-907B-54D1D7B661B5}"/>
                          </a:ext>
                        </a:extLst>
                      </xdr:cNvPr>
                      <xdr:cNvGrpSpPr/>
                    </xdr:nvGrpSpPr>
                    <xdr:grpSpPr>
                      <a:xfrm>
                        <a:off x="5326950" y="651038"/>
                        <a:ext cx="38100" cy="6257925"/>
                        <a:chOff x="5326950" y="651038"/>
                        <a:chExt cx="38100" cy="6257925"/>
                      </a:xfrm>
                    </xdr:grpSpPr>
                    <xdr:sp macro="" textlink="">
                      <xdr:nvSpPr>
                        <xdr:cNvPr id="120" name="Shape 118">
                          <a:extLst>
                            <a:ext uri="{FF2B5EF4-FFF2-40B4-BE49-F238E27FC236}">
                              <a16:creationId xmlns:a16="http://schemas.microsoft.com/office/drawing/2014/main" id="{7E95E48A-4CA6-DE28-5038-599792B927AA}"/>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1" name="Shape 119">
                          <a:extLst>
                            <a:ext uri="{FF2B5EF4-FFF2-40B4-BE49-F238E27FC236}">
                              <a16:creationId xmlns:a16="http://schemas.microsoft.com/office/drawing/2014/main" id="{5D34E703-7E48-AE9D-8377-0B22BDD6438F}"/>
                            </a:ext>
                          </a:extLst>
                        </xdr:cNvPr>
                        <xdr:cNvGrpSpPr/>
                      </xdr:nvGrpSpPr>
                      <xdr:grpSpPr>
                        <a:xfrm>
                          <a:off x="5326950" y="651038"/>
                          <a:ext cx="38100" cy="6257925"/>
                          <a:chOff x="5326950" y="651038"/>
                          <a:chExt cx="38100" cy="6257925"/>
                        </a:xfrm>
                      </xdr:grpSpPr>
                      <xdr:sp macro="" textlink="">
                        <xdr:nvSpPr>
                          <xdr:cNvPr id="122" name="Shape 120">
                            <a:extLst>
                              <a:ext uri="{FF2B5EF4-FFF2-40B4-BE49-F238E27FC236}">
                                <a16:creationId xmlns:a16="http://schemas.microsoft.com/office/drawing/2014/main" id="{BB031FC0-6052-A36C-E88F-FAE0B673160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3" name="Shape 121">
                            <a:extLst>
                              <a:ext uri="{FF2B5EF4-FFF2-40B4-BE49-F238E27FC236}">
                                <a16:creationId xmlns:a16="http://schemas.microsoft.com/office/drawing/2014/main" id="{D6481FBC-C1E3-850B-D615-F6EE6F27A9CE}"/>
                              </a:ext>
                            </a:extLst>
                          </xdr:cNvPr>
                          <xdr:cNvGrpSpPr/>
                        </xdr:nvGrpSpPr>
                        <xdr:grpSpPr>
                          <a:xfrm>
                            <a:off x="5326950" y="651038"/>
                            <a:ext cx="38100" cy="6257925"/>
                            <a:chOff x="5326950" y="651038"/>
                            <a:chExt cx="38100" cy="6257925"/>
                          </a:xfrm>
                        </xdr:grpSpPr>
                        <xdr:sp macro="" textlink="">
                          <xdr:nvSpPr>
                            <xdr:cNvPr id="124" name="Shape 122">
                              <a:extLst>
                                <a:ext uri="{FF2B5EF4-FFF2-40B4-BE49-F238E27FC236}">
                                  <a16:creationId xmlns:a16="http://schemas.microsoft.com/office/drawing/2014/main" id="{70766A4B-8D5B-28D7-CFC6-63D1AB1B66BF}"/>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5" name="Shape 123">
                              <a:extLst>
                                <a:ext uri="{FF2B5EF4-FFF2-40B4-BE49-F238E27FC236}">
                                  <a16:creationId xmlns:a16="http://schemas.microsoft.com/office/drawing/2014/main" id="{21DC6781-92F0-E1E3-2DA8-FED5A97C56D0}"/>
                                </a:ext>
                              </a:extLst>
                            </xdr:cNvPr>
                            <xdr:cNvGrpSpPr/>
                          </xdr:nvGrpSpPr>
                          <xdr:grpSpPr>
                            <a:xfrm>
                              <a:off x="5326950" y="651038"/>
                              <a:ext cx="38100" cy="6257925"/>
                              <a:chOff x="5326950" y="651038"/>
                              <a:chExt cx="38100" cy="6257925"/>
                            </a:xfrm>
                          </xdr:grpSpPr>
                          <xdr:sp macro="" textlink="">
                            <xdr:nvSpPr>
                              <xdr:cNvPr id="126" name="Shape 124">
                                <a:extLst>
                                  <a:ext uri="{FF2B5EF4-FFF2-40B4-BE49-F238E27FC236}">
                                    <a16:creationId xmlns:a16="http://schemas.microsoft.com/office/drawing/2014/main" id="{C6C83D95-8B93-F436-E37C-CA377FD72880}"/>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7" name="Shape 125">
                                <a:extLst>
                                  <a:ext uri="{FF2B5EF4-FFF2-40B4-BE49-F238E27FC236}">
                                    <a16:creationId xmlns:a16="http://schemas.microsoft.com/office/drawing/2014/main" id="{FF667911-89DD-4E40-65F4-084BD160C06E}"/>
                                  </a:ext>
                                </a:extLst>
                              </xdr:cNvPr>
                              <xdr:cNvGrpSpPr/>
                            </xdr:nvGrpSpPr>
                            <xdr:grpSpPr>
                              <a:xfrm>
                                <a:off x="5326950" y="651038"/>
                                <a:ext cx="38100" cy="6257925"/>
                                <a:chOff x="5326950" y="651038"/>
                                <a:chExt cx="38100" cy="6257925"/>
                              </a:xfrm>
                            </xdr:grpSpPr>
                            <xdr:sp macro="" textlink="">
                              <xdr:nvSpPr>
                                <xdr:cNvPr id="128" name="Shape 126">
                                  <a:extLst>
                                    <a:ext uri="{FF2B5EF4-FFF2-40B4-BE49-F238E27FC236}">
                                      <a16:creationId xmlns:a16="http://schemas.microsoft.com/office/drawing/2014/main" id="{CDBD1334-6414-7099-60B5-DB514A0D87B3}"/>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9" name="Shape 127">
                                  <a:extLst>
                                    <a:ext uri="{FF2B5EF4-FFF2-40B4-BE49-F238E27FC236}">
                                      <a16:creationId xmlns:a16="http://schemas.microsoft.com/office/drawing/2014/main" id="{20DB067E-2BD7-5E60-19E1-ED0F18591BE8}"/>
                                    </a:ext>
                                  </a:extLst>
                                </xdr:cNvPr>
                                <xdr:cNvGrpSpPr/>
                              </xdr:nvGrpSpPr>
                              <xdr:grpSpPr>
                                <a:xfrm>
                                  <a:off x="5326950" y="651038"/>
                                  <a:ext cx="38100" cy="6257925"/>
                                  <a:chOff x="5326950" y="651038"/>
                                  <a:chExt cx="38100" cy="6257925"/>
                                </a:xfrm>
                              </xdr:grpSpPr>
                              <xdr:sp macro="" textlink="">
                                <xdr:nvSpPr>
                                  <xdr:cNvPr id="130" name="Shape 128">
                                    <a:extLst>
                                      <a:ext uri="{FF2B5EF4-FFF2-40B4-BE49-F238E27FC236}">
                                        <a16:creationId xmlns:a16="http://schemas.microsoft.com/office/drawing/2014/main" id="{CF42036E-3C4D-6B00-5B00-5BCA4A559E4F}"/>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1" name="Shape 129">
                                    <a:extLst>
                                      <a:ext uri="{FF2B5EF4-FFF2-40B4-BE49-F238E27FC236}">
                                        <a16:creationId xmlns:a16="http://schemas.microsoft.com/office/drawing/2014/main" id="{CBF22173-A409-3192-3DCB-8F76AC2EAE82}"/>
                                      </a:ext>
                                    </a:extLst>
                                  </xdr:cNvPr>
                                  <xdr:cNvGrpSpPr/>
                                </xdr:nvGrpSpPr>
                                <xdr:grpSpPr>
                                  <a:xfrm>
                                    <a:off x="5326950" y="651038"/>
                                    <a:ext cx="38100" cy="6257925"/>
                                    <a:chOff x="5326950" y="651038"/>
                                    <a:chExt cx="38100" cy="6257925"/>
                                  </a:xfrm>
                                </xdr:grpSpPr>
                                <xdr:sp macro="" textlink="">
                                  <xdr:nvSpPr>
                                    <xdr:cNvPr id="132" name="Shape 130">
                                      <a:extLst>
                                        <a:ext uri="{FF2B5EF4-FFF2-40B4-BE49-F238E27FC236}">
                                          <a16:creationId xmlns:a16="http://schemas.microsoft.com/office/drawing/2014/main" id="{2D3124D2-0CDA-6181-FE5C-1AAA007035F6}"/>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3" name="Shape 131">
                                      <a:extLst>
                                        <a:ext uri="{FF2B5EF4-FFF2-40B4-BE49-F238E27FC236}">
                                          <a16:creationId xmlns:a16="http://schemas.microsoft.com/office/drawing/2014/main" id="{EEA13F71-5E74-F055-2C1A-5BF9FB04E3D4}"/>
                                        </a:ext>
                                      </a:extLst>
                                    </xdr:cNvPr>
                                    <xdr:cNvGrpSpPr/>
                                  </xdr:nvGrpSpPr>
                                  <xdr:grpSpPr>
                                    <a:xfrm>
                                      <a:off x="5326950" y="651038"/>
                                      <a:ext cx="38100" cy="6257925"/>
                                      <a:chOff x="5326950" y="651038"/>
                                      <a:chExt cx="38100" cy="6257925"/>
                                    </a:xfrm>
                                  </xdr:grpSpPr>
                                  <xdr:sp macro="" textlink="">
                                    <xdr:nvSpPr>
                                      <xdr:cNvPr id="134" name="Shape 132">
                                        <a:extLst>
                                          <a:ext uri="{FF2B5EF4-FFF2-40B4-BE49-F238E27FC236}">
                                            <a16:creationId xmlns:a16="http://schemas.microsoft.com/office/drawing/2014/main" id="{09CD0CC8-777A-3310-31A0-DF746731487D}"/>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5" name="Shape 133">
                                        <a:extLst>
                                          <a:ext uri="{FF2B5EF4-FFF2-40B4-BE49-F238E27FC236}">
                                            <a16:creationId xmlns:a16="http://schemas.microsoft.com/office/drawing/2014/main" id="{547AF54A-6EF4-7AA4-CBF9-7D6C4D0E7EE8}"/>
                                          </a:ext>
                                        </a:extLst>
                                      </xdr:cNvPr>
                                      <xdr:cNvGrpSpPr/>
                                    </xdr:nvGrpSpPr>
                                    <xdr:grpSpPr>
                                      <a:xfrm>
                                        <a:off x="5326950" y="651038"/>
                                        <a:ext cx="38100" cy="6257925"/>
                                        <a:chOff x="5326950" y="651038"/>
                                        <a:chExt cx="38100" cy="6257925"/>
                                      </a:xfrm>
                                    </xdr:grpSpPr>
                                    <xdr:sp macro="" textlink="">
                                      <xdr:nvSpPr>
                                        <xdr:cNvPr id="136" name="Shape 134">
                                          <a:extLst>
                                            <a:ext uri="{FF2B5EF4-FFF2-40B4-BE49-F238E27FC236}">
                                              <a16:creationId xmlns:a16="http://schemas.microsoft.com/office/drawing/2014/main" id="{8ABA333D-2AD4-9EEC-AA20-3B92CA194DE1}"/>
                                            </a:ext>
                                          </a:extLst>
                                        </xdr:cNvPr>
                                        <xdr:cNvSpPr/>
                                      </xdr:nvSpPr>
                                      <xdr:spPr>
                                        <a:xfrm>
                                          <a:off x="5326950" y="651038"/>
                                          <a:ext cx="38100" cy="6257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7" name="Shape 135">
                                          <a:extLst>
                                            <a:ext uri="{FF2B5EF4-FFF2-40B4-BE49-F238E27FC236}">
                                              <a16:creationId xmlns:a16="http://schemas.microsoft.com/office/drawing/2014/main" id="{84ACC62D-280E-ABB4-99B6-E7E721012A7D}"/>
                                            </a:ext>
                                          </a:extLst>
                                        </xdr:cNvPr>
                                        <xdr:cNvGrpSpPr/>
                                      </xdr:nvGrpSpPr>
                                      <xdr:grpSpPr>
                                        <a:xfrm>
                                          <a:off x="5326950" y="651038"/>
                                          <a:ext cx="38100" cy="6257925"/>
                                          <a:chOff x="5326950" y="647228"/>
                                          <a:chExt cx="38100" cy="6265525"/>
                                        </a:xfrm>
                                      </xdr:grpSpPr>
                                      <xdr:sp macro="" textlink="">
                                        <xdr:nvSpPr>
                                          <xdr:cNvPr id="138" name="Shape 136">
                                            <a:extLst>
                                              <a:ext uri="{FF2B5EF4-FFF2-40B4-BE49-F238E27FC236}">
                                                <a16:creationId xmlns:a16="http://schemas.microsoft.com/office/drawing/2014/main" id="{5C3F0968-68A0-8E65-4671-FA59397B808B}"/>
                                              </a:ext>
                                            </a:extLst>
                                          </xdr:cNvPr>
                                          <xdr:cNvSpPr/>
                                        </xdr:nvSpPr>
                                        <xdr:spPr>
                                          <a:xfrm>
                                            <a:off x="5326950" y="647228"/>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9" name="Shape 137">
                                            <a:extLst>
                                              <a:ext uri="{FF2B5EF4-FFF2-40B4-BE49-F238E27FC236}">
                                                <a16:creationId xmlns:a16="http://schemas.microsoft.com/office/drawing/2014/main" id="{507FCD4E-2CE0-B4E0-3657-CD76BDB08F0B}"/>
                                              </a:ext>
                                            </a:extLst>
                                          </xdr:cNvPr>
                                          <xdr:cNvGrpSpPr/>
                                        </xdr:nvGrpSpPr>
                                        <xdr:grpSpPr>
                                          <a:xfrm>
                                            <a:off x="5326950" y="647228"/>
                                            <a:ext cx="38100" cy="6265525"/>
                                            <a:chOff x="5326950" y="1894050"/>
                                            <a:chExt cx="38100" cy="6265525"/>
                                          </a:xfrm>
                                        </xdr:grpSpPr>
                                        <xdr:sp macro="" textlink="">
                                          <xdr:nvSpPr>
                                            <xdr:cNvPr id="140" name="Shape 138">
                                              <a:extLst>
                                                <a:ext uri="{FF2B5EF4-FFF2-40B4-BE49-F238E27FC236}">
                                                  <a16:creationId xmlns:a16="http://schemas.microsoft.com/office/drawing/2014/main" id="{B05EAF20-3544-C760-39AB-812E8E576534}"/>
                                                </a:ext>
                                              </a:extLst>
                                            </xdr:cNvPr>
                                            <xdr:cNvSpPr/>
                                          </xdr:nvSpPr>
                                          <xdr:spPr>
                                            <a:xfrm>
                                              <a:off x="5326950" y="1894050"/>
                                              <a:ext cx="38100" cy="6265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1" name="Shape 139">
                                              <a:extLst>
                                                <a:ext uri="{FF2B5EF4-FFF2-40B4-BE49-F238E27FC236}">
                                                  <a16:creationId xmlns:a16="http://schemas.microsoft.com/office/drawing/2014/main" id="{54034066-7DE0-934E-FC99-66738CBA5319}"/>
                                                </a:ext>
                                              </a:extLst>
                                            </xdr:cNvPr>
                                            <xdr:cNvGrpSpPr/>
                                          </xdr:nvGrpSpPr>
                                          <xdr:grpSpPr>
                                            <a:xfrm>
                                              <a:off x="5326950" y="1894050"/>
                                              <a:ext cx="38100" cy="6265500"/>
                                              <a:chOff x="5326950" y="1894050"/>
                                              <a:chExt cx="38100" cy="6265500"/>
                                            </a:xfrm>
                                          </xdr:grpSpPr>
                                          <xdr:sp macro="" textlink="">
                                            <xdr:nvSpPr>
                                              <xdr:cNvPr id="142" name="Shape 140">
                                                <a:extLst>
                                                  <a:ext uri="{FF2B5EF4-FFF2-40B4-BE49-F238E27FC236}">
                                                    <a16:creationId xmlns:a16="http://schemas.microsoft.com/office/drawing/2014/main" id="{6A312793-EAE2-FADC-889A-477CF534C62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3" name="Shape 141">
                                                <a:extLst>
                                                  <a:ext uri="{FF2B5EF4-FFF2-40B4-BE49-F238E27FC236}">
                                                    <a16:creationId xmlns:a16="http://schemas.microsoft.com/office/drawing/2014/main" id="{CEED9A96-7010-D482-7BA6-CCFEDB75D685}"/>
                                                  </a:ext>
                                                </a:extLst>
                                              </xdr:cNvPr>
                                              <xdr:cNvGrpSpPr/>
                                            </xdr:nvGrpSpPr>
                                            <xdr:grpSpPr>
                                              <a:xfrm>
                                                <a:off x="5326950" y="1894050"/>
                                                <a:ext cx="38100" cy="6265500"/>
                                                <a:chOff x="5326950" y="1894050"/>
                                                <a:chExt cx="38100" cy="6265500"/>
                                              </a:xfrm>
                                            </xdr:grpSpPr>
                                            <xdr:sp macro="" textlink="">
                                              <xdr:nvSpPr>
                                                <xdr:cNvPr id="144" name="Shape 142">
                                                  <a:extLst>
                                                    <a:ext uri="{FF2B5EF4-FFF2-40B4-BE49-F238E27FC236}">
                                                      <a16:creationId xmlns:a16="http://schemas.microsoft.com/office/drawing/2014/main" id="{64C87849-A1B9-D0C4-346E-E8FF3F429FB2}"/>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5" name="Shape 143">
                                                  <a:extLst>
                                                    <a:ext uri="{FF2B5EF4-FFF2-40B4-BE49-F238E27FC236}">
                                                      <a16:creationId xmlns:a16="http://schemas.microsoft.com/office/drawing/2014/main" id="{95F6E2C9-C661-910C-42E1-8D5981D703D8}"/>
                                                    </a:ext>
                                                  </a:extLst>
                                                </xdr:cNvPr>
                                                <xdr:cNvGrpSpPr/>
                                              </xdr:nvGrpSpPr>
                                              <xdr:grpSpPr>
                                                <a:xfrm>
                                                  <a:off x="5326950" y="1894050"/>
                                                  <a:ext cx="38100" cy="6265500"/>
                                                  <a:chOff x="5326950" y="1894050"/>
                                                  <a:chExt cx="38100" cy="6265500"/>
                                                </a:xfrm>
                                              </xdr:grpSpPr>
                                              <xdr:sp macro="" textlink="">
                                                <xdr:nvSpPr>
                                                  <xdr:cNvPr id="146" name="Shape 144">
                                                    <a:extLst>
                                                      <a:ext uri="{FF2B5EF4-FFF2-40B4-BE49-F238E27FC236}">
                                                        <a16:creationId xmlns:a16="http://schemas.microsoft.com/office/drawing/2014/main" id="{BEE79225-E6A5-A0B1-B75D-FE90B370F55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7" name="Shape 145">
                                                    <a:extLst>
                                                      <a:ext uri="{FF2B5EF4-FFF2-40B4-BE49-F238E27FC236}">
                                                        <a16:creationId xmlns:a16="http://schemas.microsoft.com/office/drawing/2014/main" id="{E50D4865-96A4-A853-6FF2-5B2C90533454}"/>
                                                      </a:ext>
                                                    </a:extLst>
                                                  </xdr:cNvPr>
                                                  <xdr:cNvGrpSpPr/>
                                                </xdr:nvGrpSpPr>
                                                <xdr:grpSpPr>
                                                  <a:xfrm>
                                                    <a:off x="5326950" y="1894050"/>
                                                    <a:ext cx="38100" cy="6265500"/>
                                                    <a:chOff x="5326950" y="1894050"/>
                                                    <a:chExt cx="38100" cy="6265500"/>
                                                  </a:xfrm>
                                                </xdr:grpSpPr>
                                                <xdr:sp macro="" textlink="">
                                                  <xdr:nvSpPr>
                                                    <xdr:cNvPr id="148" name="Shape 146">
                                                      <a:extLst>
                                                        <a:ext uri="{FF2B5EF4-FFF2-40B4-BE49-F238E27FC236}">
                                                          <a16:creationId xmlns:a16="http://schemas.microsoft.com/office/drawing/2014/main" id="{C863951C-A125-C12F-882E-F78723FC71F5}"/>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49" name="Shape 147">
                                                      <a:extLst>
                                                        <a:ext uri="{FF2B5EF4-FFF2-40B4-BE49-F238E27FC236}">
                                                          <a16:creationId xmlns:a16="http://schemas.microsoft.com/office/drawing/2014/main" id="{E2BAE13C-F40B-134C-C35E-4D8D4E713741}"/>
                                                        </a:ext>
                                                      </a:extLst>
                                                    </xdr:cNvPr>
                                                    <xdr:cNvGrpSpPr/>
                                                  </xdr:nvGrpSpPr>
                                                  <xdr:grpSpPr>
                                                    <a:xfrm>
                                                      <a:off x="5326950" y="1894050"/>
                                                      <a:ext cx="38100" cy="6265500"/>
                                                      <a:chOff x="5326950" y="1894050"/>
                                                      <a:chExt cx="38100" cy="6265500"/>
                                                    </a:xfrm>
                                                  </xdr:grpSpPr>
                                                  <xdr:sp macro="" textlink="">
                                                    <xdr:nvSpPr>
                                                      <xdr:cNvPr id="150" name="Shape 148">
                                                        <a:extLst>
                                                          <a:ext uri="{FF2B5EF4-FFF2-40B4-BE49-F238E27FC236}">
                                                            <a16:creationId xmlns:a16="http://schemas.microsoft.com/office/drawing/2014/main" id="{B91F2791-A3B5-87C1-B3B9-815A8FD680C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1" name="Shape 149">
                                                        <a:extLst>
                                                          <a:ext uri="{FF2B5EF4-FFF2-40B4-BE49-F238E27FC236}">
                                                            <a16:creationId xmlns:a16="http://schemas.microsoft.com/office/drawing/2014/main" id="{2C7F5A7C-6045-3811-A8FA-FEDF33C92574}"/>
                                                          </a:ext>
                                                        </a:extLst>
                                                      </xdr:cNvPr>
                                                      <xdr:cNvGrpSpPr/>
                                                    </xdr:nvGrpSpPr>
                                                    <xdr:grpSpPr>
                                                      <a:xfrm>
                                                        <a:off x="5326950" y="1894050"/>
                                                        <a:ext cx="38100" cy="6265500"/>
                                                        <a:chOff x="5326950" y="1894050"/>
                                                        <a:chExt cx="38100" cy="6265500"/>
                                                      </a:xfrm>
                                                    </xdr:grpSpPr>
                                                    <xdr:sp macro="" textlink="">
                                                      <xdr:nvSpPr>
                                                        <xdr:cNvPr id="152" name="Shape 150">
                                                          <a:extLst>
                                                            <a:ext uri="{FF2B5EF4-FFF2-40B4-BE49-F238E27FC236}">
                                                              <a16:creationId xmlns:a16="http://schemas.microsoft.com/office/drawing/2014/main" id="{4C7DC190-4D1A-2705-009B-067223F156E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3" name="Shape 151">
                                                          <a:extLst>
                                                            <a:ext uri="{FF2B5EF4-FFF2-40B4-BE49-F238E27FC236}">
                                                              <a16:creationId xmlns:a16="http://schemas.microsoft.com/office/drawing/2014/main" id="{0EB73E03-BF74-05FD-7C0F-6335DECEDF64}"/>
                                                            </a:ext>
                                                          </a:extLst>
                                                        </xdr:cNvPr>
                                                        <xdr:cNvGrpSpPr/>
                                                      </xdr:nvGrpSpPr>
                                                      <xdr:grpSpPr>
                                                        <a:xfrm>
                                                          <a:off x="5326950" y="1894050"/>
                                                          <a:ext cx="38100" cy="6265500"/>
                                                          <a:chOff x="5326950" y="1894050"/>
                                                          <a:chExt cx="38100" cy="6265500"/>
                                                        </a:xfrm>
                                                      </xdr:grpSpPr>
                                                      <xdr:sp macro="" textlink="">
                                                        <xdr:nvSpPr>
                                                          <xdr:cNvPr id="154" name="Shape 152">
                                                            <a:extLst>
                                                              <a:ext uri="{FF2B5EF4-FFF2-40B4-BE49-F238E27FC236}">
                                                                <a16:creationId xmlns:a16="http://schemas.microsoft.com/office/drawing/2014/main" id="{C54863B3-C331-8540-4308-7F88016E18E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5" name="Shape 153">
                                                            <a:extLst>
                                                              <a:ext uri="{FF2B5EF4-FFF2-40B4-BE49-F238E27FC236}">
                                                                <a16:creationId xmlns:a16="http://schemas.microsoft.com/office/drawing/2014/main" id="{D5FE829C-9E09-3DA5-75A9-259DC938B341}"/>
                                                              </a:ext>
                                                            </a:extLst>
                                                          </xdr:cNvPr>
                                                          <xdr:cNvGrpSpPr/>
                                                        </xdr:nvGrpSpPr>
                                                        <xdr:grpSpPr>
                                                          <a:xfrm>
                                                            <a:off x="5326950" y="1894050"/>
                                                            <a:ext cx="38100" cy="6265500"/>
                                                            <a:chOff x="5326950" y="1894050"/>
                                                            <a:chExt cx="38100" cy="6265500"/>
                                                          </a:xfrm>
                                                        </xdr:grpSpPr>
                                                        <xdr:sp macro="" textlink="">
                                                          <xdr:nvSpPr>
                                                            <xdr:cNvPr id="156" name="Shape 154">
                                                              <a:extLst>
                                                                <a:ext uri="{FF2B5EF4-FFF2-40B4-BE49-F238E27FC236}">
                                                                  <a16:creationId xmlns:a16="http://schemas.microsoft.com/office/drawing/2014/main" id="{C6D8BF66-E20B-4B20-093B-32474B9D5F0D}"/>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7" name="Shape 155">
                                                              <a:extLst>
                                                                <a:ext uri="{FF2B5EF4-FFF2-40B4-BE49-F238E27FC236}">
                                                                  <a16:creationId xmlns:a16="http://schemas.microsoft.com/office/drawing/2014/main" id="{567F3E20-043E-BA7E-0201-CC76F4DBBE3D}"/>
                                                                </a:ext>
                                                              </a:extLst>
                                                            </xdr:cNvPr>
                                                            <xdr:cNvGrpSpPr/>
                                                          </xdr:nvGrpSpPr>
                                                          <xdr:grpSpPr>
                                                            <a:xfrm>
                                                              <a:off x="5326950" y="1894050"/>
                                                              <a:ext cx="38100" cy="6265500"/>
                                                              <a:chOff x="5326950" y="1894050"/>
                                                              <a:chExt cx="38100" cy="6265500"/>
                                                            </a:xfrm>
                                                          </xdr:grpSpPr>
                                                          <xdr:sp macro="" textlink="">
                                                            <xdr:nvSpPr>
                                                              <xdr:cNvPr id="158" name="Shape 156">
                                                                <a:extLst>
                                                                  <a:ext uri="{FF2B5EF4-FFF2-40B4-BE49-F238E27FC236}">
                                                                    <a16:creationId xmlns:a16="http://schemas.microsoft.com/office/drawing/2014/main" id="{C82FC768-5A5B-80B8-6250-EBD72C96CD91}"/>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9" name="Shape 157">
                                                                <a:extLst>
                                                                  <a:ext uri="{FF2B5EF4-FFF2-40B4-BE49-F238E27FC236}">
                                                                    <a16:creationId xmlns:a16="http://schemas.microsoft.com/office/drawing/2014/main" id="{88E4CB22-259D-4F0E-42F7-47A877E22372}"/>
                                                                  </a:ext>
                                                                </a:extLst>
                                                              </xdr:cNvPr>
                                                              <xdr:cNvGrpSpPr/>
                                                            </xdr:nvGrpSpPr>
                                                            <xdr:grpSpPr>
                                                              <a:xfrm>
                                                                <a:off x="5326950" y="1894050"/>
                                                                <a:ext cx="38100" cy="6265500"/>
                                                                <a:chOff x="5326950" y="1894050"/>
                                                                <a:chExt cx="38100" cy="6265500"/>
                                                              </a:xfrm>
                                                            </xdr:grpSpPr>
                                                            <xdr:sp macro="" textlink="">
                                                              <xdr:nvSpPr>
                                                                <xdr:cNvPr id="160" name="Shape 158">
                                                                  <a:extLst>
                                                                    <a:ext uri="{FF2B5EF4-FFF2-40B4-BE49-F238E27FC236}">
                                                                      <a16:creationId xmlns:a16="http://schemas.microsoft.com/office/drawing/2014/main" id="{AC1B71A1-5B1A-917E-7D9E-4BB69331C8C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1" name="Shape 159">
                                                                  <a:extLst>
                                                                    <a:ext uri="{FF2B5EF4-FFF2-40B4-BE49-F238E27FC236}">
                                                                      <a16:creationId xmlns:a16="http://schemas.microsoft.com/office/drawing/2014/main" id="{D650187D-6F18-2B0A-5A5B-7F2516769165}"/>
                                                                    </a:ext>
                                                                  </a:extLst>
                                                                </xdr:cNvPr>
                                                                <xdr:cNvGrpSpPr/>
                                                              </xdr:nvGrpSpPr>
                                                              <xdr:grpSpPr>
                                                                <a:xfrm>
                                                                  <a:off x="5326950" y="1894050"/>
                                                                  <a:ext cx="38100" cy="6265500"/>
                                                                  <a:chOff x="5326950" y="1894050"/>
                                                                  <a:chExt cx="38100" cy="6265500"/>
                                                                </a:xfrm>
                                                              </xdr:grpSpPr>
                                                              <xdr:sp macro="" textlink="">
                                                                <xdr:nvSpPr>
                                                                  <xdr:cNvPr id="162" name="Shape 160">
                                                                    <a:extLst>
                                                                      <a:ext uri="{FF2B5EF4-FFF2-40B4-BE49-F238E27FC236}">
                                                                        <a16:creationId xmlns:a16="http://schemas.microsoft.com/office/drawing/2014/main" id="{1522D238-33DD-5C5A-3C73-DAC000364340}"/>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3" name="Shape 161">
                                                                    <a:extLst>
                                                                      <a:ext uri="{FF2B5EF4-FFF2-40B4-BE49-F238E27FC236}">
                                                                        <a16:creationId xmlns:a16="http://schemas.microsoft.com/office/drawing/2014/main" id="{CC3DAC2E-9AFC-F3C6-E50D-DF570C3CAFCD}"/>
                                                                      </a:ext>
                                                                    </a:extLst>
                                                                  </xdr:cNvPr>
                                                                  <xdr:cNvGrpSpPr/>
                                                                </xdr:nvGrpSpPr>
                                                                <xdr:grpSpPr>
                                                                  <a:xfrm>
                                                                    <a:off x="5326950" y="1894050"/>
                                                                    <a:ext cx="38100" cy="6265500"/>
                                                                    <a:chOff x="5326950" y="1894050"/>
                                                                    <a:chExt cx="38100" cy="6265500"/>
                                                                  </a:xfrm>
                                                                </xdr:grpSpPr>
                                                                <xdr:sp macro="" textlink="">
                                                                  <xdr:nvSpPr>
                                                                    <xdr:cNvPr id="164" name="Shape 162">
                                                                      <a:extLst>
                                                                        <a:ext uri="{FF2B5EF4-FFF2-40B4-BE49-F238E27FC236}">
                                                                          <a16:creationId xmlns:a16="http://schemas.microsoft.com/office/drawing/2014/main" id="{1A7E729E-5B20-C43B-5F0E-447A6AD38B3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5" name="Shape 163">
                                                                      <a:extLst>
                                                                        <a:ext uri="{FF2B5EF4-FFF2-40B4-BE49-F238E27FC236}">
                                                                          <a16:creationId xmlns:a16="http://schemas.microsoft.com/office/drawing/2014/main" id="{3BEFF33E-9D63-F834-C657-C98F0693E435}"/>
                                                                        </a:ext>
                                                                      </a:extLst>
                                                                    </xdr:cNvPr>
                                                                    <xdr:cNvGrpSpPr/>
                                                                  </xdr:nvGrpSpPr>
                                                                  <xdr:grpSpPr>
                                                                    <a:xfrm>
                                                                      <a:off x="5326950" y="1894050"/>
                                                                      <a:ext cx="38100" cy="6265500"/>
                                                                      <a:chOff x="5326950" y="1894050"/>
                                                                      <a:chExt cx="38100" cy="6265500"/>
                                                                    </a:xfrm>
                                                                  </xdr:grpSpPr>
                                                                  <xdr:sp macro="" textlink="">
                                                                    <xdr:nvSpPr>
                                                                      <xdr:cNvPr id="166" name="Shape 164">
                                                                        <a:extLst>
                                                                          <a:ext uri="{FF2B5EF4-FFF2-40B4-BE49-F238E27FC236}">
                                                                            <a16:creationId xmlns:a16="http://schemas.microsoft.com/office/drawing/2014/main" id="{F324AB58-54B1-21BB-FAF1-1037C435510D}"/>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7" name="Shape 165">
                                                                        <a:extLst>
                                                                          <a:ext uri="{FF2B5EF4-FFF2-40B4-BE49-F238E27FC236}">
                                                                            <a16:creationId xmlns:a16="http://schemas.microsoft.com/office/drawing/2014/main" id="{BF6947A5-71F9-F62D-9B1C-2571AFFFB37E}"/>
                                                                          </a:ext>
                                                                        </a:extLst>
                                                                      </xdr:cNvPr>
                                                                      <xdr:cNvGrpSpPr/>
                                                                    </xdr:nvGrpSpPr>
                                                                    <xdr:grpSpPr>
                                                                      <a:xfrm>
                                                                        <a:off x="5326950" y="1894050"/>
                                                                        <a:ext cx="38100" cy="6265500"/>
                                                                        <a:chOff x="5326950" y="1894050"/>
                                                                        <a:chExt cx="38100" cy="6265500"/>
                                                                      </a:xfrm>
                                                                    </xdr:grpSpPr>
                                                                    <xdr:sp macro="" textlink="">
                                                                      <xdr:nvSpPr>
                                                                        <xdr:cNvPr id="168" name="Shape 166">
                                                                          <a:extLst>
                                                                            <a:ext uri="{FF2B5EF4-FFF2-40B4-BE49-F238E27FC236}">
                                                                              <a16:creationId xmlns:a16="http://schemas.microsoft.com/office/drawing/2014/main" id="{0D467BD6-6370-1C08-0070-928BF7BF834A}"/>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69" name="Shape 167">
                                                                          <a:extLst>
                                                                            <a:ext uri="{FF2B5EF4-FFF2-40B4-BE49-F238E27FC236}">
                                                                              <a16:creationId xmlns:a16="http://schemas.microsoft.com/office/drawing/2014/main" id="{D4097859-8591-4D1C-7A7D-22F5E5872568}"/>
                                                                            </a:ext>
                                                                          </a:extLst>
                                                                        </xdr:cNvPr>
                                                                        <xdr:cNvGrpSpPr/>
                                                                      </xdr:nvGrpSpPr>
                                                                      <xdr:grpSpPr>
                                                                        <a:xfrm>
                                                                          <a:off x="5326950" y="1894050"/>
                                                                          <a:ext cx="38100" cy="6265500"/>
                                                                          <a:chOff x="5326950" y="1894050"/>
                                                                          <a:chExt cx="38100" cy="6265500"/>
                                                                        </a:xfrm>
                                                                      </xdr:grpSpPr>
                                                                      <xdr:sp macro="" textlink="">
                                                                        <xdr:nvSpPr>
                                                                          <xdr:cNvPr id="170" name="Shape 168">
                                                                            <a:extLst>
                                                                              <a:ext uri="{FF2B5EF4-FFF2-40B4-BE49-F238E27FC236}">
                                                                                <a16:creationId xmlns:a16="http://schemas.microsoft.com/office/drawing/2014/main" id="{D797D472-AA51-9DAF-9423-BE714063359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1" name="Shape 169">
                                                                            <a:extLst>
                                                                              <a:ext uri="{FF2B5EF4-FFF2-40B4-BE49-F238E27FC236}">
                                                                                <a16:creationId xmlns:a16="http://schemas.microsoft.com/office/drawing/2014/main" id="{189770A6-A093-7043-D343-A2FC826D97C3}"/>
                                                                              </a:ext>
                                                                            </a:extLst>
                                                                          </xdr:cNvPr>
                                                                          <xdr:cNvGrpSpPr/>
                                                                        </xdr:nvGrpSpPr>
                                                                        <xdr:grpSpPr>
                                                                          <a:xfrm>
                                                                            <a:off x="5326950" y="1894050"/>
                                                                            <a:ext cx="38100" cy="6265500"/>
                                                                            <a:chOff x="5326950" y="1894050"/>
                                                                            <a:chExt cx="38100" cy="6265500"/>
                                                                          </a:xfrm>
                                                                        </xdr:grpSpPr>
                                                                        <xdr:sp macro="" textlink="">
                                                                          <xdr:nvSpPr>
                                                                            <xdr:cNvPr id="172" name="Shape 170">
                                                                              <a:extLst>
                                                                                <a:ext uri="{FF2B5EF4-FFF2-40B4-BE49-F238E27FC236}">
                                                                                  <a16:creationId xmlns:a16="http://schemas.microsoft.com/office/drawing/2014/main" id="{721C6D44-2EA0-D2AD-7503-67DD97DFB8B9}"/>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3" name="Shape 171">
                                                                              <a:extLst>
                                                                                <a:ext uri="{FF2B5EF4-FFF2-40B4-BE49-F238E27FC236}">
                                                                                  <a16:creationId xmlns:a16="http://schemas.microsoft.com/office/drawing/2014/main" id="{AC15C792-0A05-C6B4-1A31-5CB14862AF49}"/>
                                                                                </a:ext>
                                                                              </a:extLst>
                                                                            </xdr:cNvPr>
                                                                            <xdr:cNvGrpSpPr/>
                                                                          </xdr:nvGrpSpPr>
                                                                          <xdr:grpSpPr>
                                                                            <a:xfrm>
                                                                              <a:off x="5326950" y="1894050"/>
                                                                              <a:ext cx="38100" cy="6265500"/>
                                                                              <a:chOff x="5326950" y="1894050"/>
                                                                              <a:chExt cx="38100" cy="6265500"/>
                                                                            </a:xfrm>
                                                                          </xdr:grpSpPr>
                                                                          <xdr:sp macro="" textlink="">
                                                                            <xdr:nvSpPr>
                                                                              <xdr:cNvPr id="174" name="Shape 172">
                                                                                <a:extLst>
                                                                                  <a:ext uri="{FF2B5EF4-FFF2-40B4-BE49-F238E27FC236}">
                                                                                    <a16:creationId xmlns:a16="http://schemas.microsoft.com/office/drawing/2014/main" id="{7D721F43-7D9E-502E-0C95-C6551B377A4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5" name="Shape 173">
                                                                                <a:extLst>
                                                                                  <a:ext uri="{FF2B5EF4-FFF2-40B4-BE49-F238E27FC236}">
                                                                                    <a16:creationId xmlns:a16="http://schemas.microsoft.com/office/drawing/2014/main" id="{8B2C029E-3568-734B-F8D7-48A39F02141E}"/>
                                                                                  </a:ext>
                                                                                </a:extLst>
                                                                              </xdr:cNvPr>
                                                                              <xdr:cNvGrpSpPr/>
                                                                            </xdr:nvGrpSpPr>
                                                                            <xdr:grpSpPr>
                                                                              <a:xfrm>
                                                                                <a:off x="5326950" y="1894050"/>
                                                                                <a:ext cx="38100" cy="6265500"/>
                                                                                <a:chOff x="5326950" y="1894050"/>
                                                                                <a:chExt cx="38100" cy="6265500"/>
                                                                              </a:xfrm>
                                                                            </xdr:grpSpPr>
                                                                            <xdr:sp macro="" textlink="">
                                                                              <xdr:nvSpPr>
                                                                                <xdr:cNvPr id="176" name="Shape 174">
                                                                                  <a:extLst>
                                                                                    <a:ext uri="{FF2B5EF4-FFF2-40B4-BE49-F238E27FC236}">
                                                                                      <a16:creationId xmlns:a16="http://schemas.microsoft.com/office/drawing/2014/main" id="{59D2758A-A426-2ACF-223E-8967B93CB35B}"/>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7" name="Shape 175">
                                                                                  <a:extLst>
                                                                                    <a:ext uri="{FF2B5EF4-FFF2-40B4-BE49-F238E27FC236}">
                                                                                      <a16:creationId xmlns:a16="http://schemas.microsoft.com/office/drawing/2014/main" id="{5DFAF4EC-1A73-BBBD-A4A0-F1D98B64A060}"/>
                                                                                    </a:ext>
                                                                                  </a:extLst>
                                                                                </xdr:cNvPr>
                                                                                <xdr:cNvGrpSpPr/>
                                                                              </xdr:nvGrpSpPr>
                                                                              <xdr:grpSpPr>
                                                                                <a:xfrm>
                                                                                  <a:off x="5326950" y="1894050"/>
                                                                                  <a:ext cx="38100" cy="6265500"/>
                                                                                  <a:chOff x="5326950" y="1894050"/>
                                                                                  <a:chExt cx="38100" cy="6265500"/>
                                                                                </a:xfrm>
                                                                              </xdr:grpSpPr>
                                                                              <xdr:sp macro="" textlink="">
                                                                                <xdr:nvSpPr>
                                                                                  <xdr:cNvPr id="178" name="Shape 176">
                                                                                    <a:extLst>
                                                                                      <a:ext uri="{FF2B5EF4-FFF2-40B4-BE49-F238E27FC236}">
                                                                                        <a16:creationId xmlns:a16="http://schemas.microsoft.com/office/drawing/2014/main" id="{BC1F1215-D0ED-434C-26A2-6FE7E5722456}"/>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9" name="Shape 177">
                                                                                    <a:extLst>
                                                                                      <a:ext uri="{FF2B5EF4-FFF2-40B4-BE49-F238E27FC236}">
                                                                                        <a16:creationId xmlns:a16="http://schemas.microsoft.com/office/drawing/2014/main" id="{9E3478C4-EA5F-A0BA-ECB8-69C9301F79B3}"/>
                                                                                      </a:ext>
                                                                                    </a:extLst>
                                                                                  </xdr:cNvPr>
                                                                                  <xdr:cNvGrpSpPr/>
                                                                                </xdr:nvGrpSpPr>
                                                                                <xdr:grpSpPr>
                                                                                  <a:xfrm>
                                                                                    <a:off x="5326950" y="1894050"/>
                                                                                    <a:ext cx="38100" cy="6265500"/>
                                                                                    <a:chOff x="5326950" y="1894050"/>
                                                                                    <a:chExt cx="38100" cy="6265500"/>
                                                                                  </a:xfrm>
                                                                                </xdr:grpSpPr>
                                                                                <xdr:sp macro="" textlink="">
                                                                                  <xdr:nvSpPr>
                                                                                    <xdr:cNvPr id="180" name="Shape 178">
                                                                                      <a:extLst>
                                                                                        <a:ext uri="{FF2B5EF4-FFF2-40B4-BE49-F238E27FC236}">
                                                                                          <a16:creationId xmlns:a16="http://schemas.microsoft.com/office/drawing/2014/main" id="{BE12E627-FAF3-EDFA-C851-BB9FE6193727}"/>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1" name="Shape 179">
                                                                                      <a:extLst>
                                                                                        <a:ext uri="{FF2B5EF4-FFF2-40B4-BE49-F238E27FC236}">
                                                                                          <a16:creationId xmlns:a16="http://schemas.microsoft.com/office/drawing/2014/main" id="{850992D1-24D5-943A-F67B-174FDB55AA68}"/>
                                                                                        </a:ext>
                                                                                      </a:extLst>
                                                                                    </xdr:cNvPr>
                                                                                    <xdr:cNvGrpSpPr/>
                                                                                  </xdr:nvGrpSpPr>
                                                                                  <xdr:grpSpPr>
                                                                                    <a:xfrm>
                                                                                      <a:off x="5326950" y="1894050"/>
                                                                                      <a:ext cx="38100" cy="6265500"/>
                                                                                      <a:chOff x="5326950" y="1894050"/>
                                                                                      <a:chExt cx="38100" cy="6265500"/>
                                                                                    </a:xfrm>
                                                                                  </xdr:grpSpPr>
                                                                                  <xdr:sp macro="" textlink="">
                                                                                    <xdr:nvSpPr>
                                                                                      <xdr:cNvPr id="182" name="Shape 180">
                                                                                        <a:extLst>
                                                                                          <a:ext uri="{FF2B5EF4-FFF2-40B4-BE49-F238E27FC236}">
                                                                                            <a16:creationId xmlns:a16="http://schemas.microsoft.com/office/drawing/2014/main" id="{FB3CE67D-FBEE-5214-26E4-F72783C43FB9}"/>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3" name="Shape 181">
                                                                                        <a:extLst>
                                                                                          <a:ext uri="{FF2B5EF4-FFF2-40B4-BE49-F238E27FC236}">
                                                                                            <a16:creationId xmlns:a16="http://schemas.microsoft.com/office/drawing/2014/main" id="{DB89CD4E-0BF2-FFBE-11C1-B788731BCC38}"/>
                                                                                          </a:ext>
                                                                                        </a:extLst>
                                                                                      </xdr:cNvPr>
                                                                                      <xdr:cNvGrpSpPr/>
                                                                                    </xdr:nvGrpSpPr>
                                                                                    <xdr:grpSpPr>
                                                                                      <a:xfrm>
                                                                                        <a:off x="5326950" y="1894050"/>
                                                                                        <a:ext cx="38100" cy="6265500"/>
                                                                                        <a:chOff x="5326950" y="1894050"/>
                                                                                        <a:chExt cx="38100" cy="6265500"/>
                                                                                      </a:xfrm>
                                                                                    </xdr:grpSpPr>
                                                                                    <xdr:sp macro="" textlink="">
                                                                                      <xdr:nvSpPr>
                                                                                        <xdr:cNvPr id="184" name="Shape 182">
                                                                                          <a:extLst>
                                                                                            <a:ext uri="{FF2B5EF4-FFF2-40B4-BE49-F238E27FC236}">
                                                                                              <a16:creationId xmlns:a16="http://schemas.microsoft.com/office/drawing/2014/main" id="{2B7E1010-2C8A-498E-8EA1-CE22FBC26615}"/>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5" name="Shape 183">
                                                                                          <a:extLst>
                                                                                            <a:ext uri="{FF2B5EF4-FFF2-40B4-BE49-F238E27FC236}">
                                                                                              <a16:creationId xmlns:a16="http://schemas.microsoft.com/office/drawing/2014/main" id="{2E59507D-B2C1-916A-F8A0-56649708E3CD}"/>
                                                                                            </a:ext>
                                                                                          </a:extLst>
                                                                                        </xdr:cNvPr>
                                                                                        <xdr:cNvGrpSpPr/>
                                                                                      </xdr:nvGrpSpPr>
                                                                                      <xdr:grpSpPr>
                                                                                        <a:xfrm>
                                                                                          <a:off x="5326950" y="1894050"/>
                                                                                          <a:ext cx="38100" cy="6265500"/>
                                                                                          <a:chOff x="5326950" y="1894050"/>
                                                                                          <a:chExt cx="38100" cy="6265500"/>
                                                                                        </a:xfrm>
                                                                                      </xdr:grpSpPr>
                                                                                      <xdr:sp macro="" textlink="">
                                                                                        <xdr:nvSpPr>
                                                                                          <xdr:cNvPr id="186" name="Shape 184">
                                                                                            <a:extLst>
                                                                                              <a:ext uri="{FF2B5EF4-FFF2-40B4-BE49-F238E27FC236}">
                                                                                                <a16:creationId xmlns:a16="http://schemas.microsoft.com/office/drawing/2014/main" id="{BD8FBA4D-D907-A44E-7E4C-749C626C206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7" name="Shape 185">
                                                                                            <a:extLst>
                                                                                              <a:ext uri="{FF2B5EF4-FFF2-40B4-BE49-F238E27FC236}">
                                                                                                <a16:creationId xmlns:a16="http://schemas.microsoft.com/office/drawing/2014/main" id="{7D64CBCA-E4F3-85AB-6118-EE1566EB5413}"/>
                                                                                              </a:ext>
                                                                                            </a:extLst>
                                                                                          </xdr:cNvPr>
                                                                                          <xdr:cNvGrpSpPr/>
                                                                                        </xdr:nvGrpSpPr>
                                                                                        <xdr:grpSpPr>
                                                                                          <a:xfrm>
                                                                                            <a:off x="5326950" y="1894050"/>
                                                                                            <a:ext cx="38100" cy="6265500"/>
                                                                                            <a:chOff x="5326950" y="1894050"/>
                                                                                            <a:chExt cx="38100" cy="6265500"/>
                                                                                          </a:xfrm>
                                                                                        </xdr:grpSpPr>
                                                                                        <xdr:sp macro="" textlink="">
                                                                                          <xdr:nvSpPr>
                                                                                            <xdr:cNvPr id="188" name="Shape 186">
                                                                                              <a:extLst>
                                                                                                <a:ext uri="{FF2B5EF4-FFF2-40B4-BE49-F238E27FC236}">
                                                                                                  <a16:creationId xmlns:a16="http://schemas.microsoft.com/office/drawing/2014/main" id="{5CDDA09A-E1BE-8151-2C9C-69695FC67D3C}"/>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9" name="Shape 187">
                                                                                              <a:extLst>
                                                                                                <a:ext uri="{FF2B5EF4-FFF2-40B4-BE49-F238E27FC236}">
                                                                                                  <a16:creationId xmlns:a16="http://schemas.microsoft.com/office/drawing/2014/main" id="{F6BF3F48-0DC4-1A8F-56EB-53843BBC2533}"/>
                                                                                                </a:ext>
                                                                                              </a:extLst>
                                                                                            </xdr:cNvPr>
                                                                                            <xdr:cNvGrpSpPr/>
                                                                                          </xdr:nvGrpSpPr>
                                                                                          <xdr:grpSpPr>
                                                                                            <a:xfrm>
                                                                                              <a:off x="5326950" y="1894050"/>
                                                                                              <a:ext cx="38100" cy="6265500"/>
                                                                                              <a:chOff x="5326950" y="1894050"/>
                                                                                              <a:chExt cx="38100" cy="6265500"/>
                                                                                            </a:xfrm>
                                                                                          </xdr:grpSpPr>
                                                                                          <xdr:sp macro="" textlink="">
                                                                                            <xdr:nvSpPr>
                                                                                              <xdr:cNvPr id="190" name="Shape 188">
                                                                                                <a:extLst>
                                                                                                  <a:ext uri="{FF2B5EF4-FFF2-40B4-BE49-F238E27FC236}">
                                                                                                    <a16:creationId xmlns:a16="http://schemas.microsoft.com/office/drawing/2014/main" id="{9E925873-0AE9-0598-74EA-BD72F429470F}"/>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1" name="Shape 189">
                                                                                                <a:extLst>
                                                                                                  <a:ext uri="{FF2B5EF4-FFF2-40B4-BE49-F238E27FC236}">
                                                                                                    <a16:creationId xmlns:a16="http://schemas.microsoft.com/office/drawing/2014/main" id="{2E1ACF11-7C57-C1C3-9DEC-8643ACBEA1FB}"/>
                                                                                                  </a:ext>
                                                                                                </a:extLst>
                                                                                              </xdr:cNvPr>
                                                                                              <xdr:cNvGrpSpPr/>
                                                                                            </xdr:nvGrpSpPr>
                                                                                            <xdr:grpSpPr>
                                                                                              <a:xfrm>
                                                                                                <a:off x="5326950" y="1894050"/>
                                                                                                <a:ext cx="38100" cy="6265500"/>
                                                                                                <a:chOff x="5326950" y="1894050"/>
                                                                                                <a:chExt cx="38100" cy="6265500"/>
                                                                                              </a:xfrm>
                                                                                            </xdr:grpSpPr>
                                                                                            <xdr:sp macro="" textlink="">
                                                                                              <xdr:nvSpPr>
                                                                                                <xdr:cNvPr id="192" name="Shape 190">
                                                                                                  <a:extLst>
                                                                                                    <a:ext uri="{FF2B5EF4-FFF2-40B4-BE49-F238E27FC236}">
                                                                                                      <a16:creationId xmlns:a16="http://schemas.microsoft.com/office/drawing/2014/main" id="{4AF9F7FC-1487-5F61-1257-471D8F5BFDF3}"/>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3" name="Shape 191">
                                                                                                  <a:extLst>
                                                                                                    <a:ext uri="{FF2B5EF4-FFF2-40B4-BE49-F238E27FC236}">
                                                                                                      <a16:creationId xmlns:a16="http://schemas.microsoft.com/office/drawing/2014/main" id="{B7E35F11-D70E-07C9-2F15-64906F4B6661}"/>
                                                                                                    </a:ext>
                                                                                                  </a:extLst>
                                                                                                </xdr:cNvPr>
                                                                                                <xdr:cNvGrpSpPr/>
                                                                                              </xdr:nvGrpSpPr>
                                                                                              <xdr:grpSpPr>
                                                                                                <a:xfrm>
                                                                                                  <a:off x="5326950" y="1894050"/>
                                                                                                  <a:ext cx="38100" cy="6265500"/>
                                                                                                  <a:chOff x="5326950" y="1894050"/>
                                                                                                  <a:chExt cx="38100" cy="6265500"/>
                                                                                                </a:xfrm>
                                                                                              </xdr:grpSpPr>
                                                                                              <xdr:sp macro="" textlink="">
                                                                                                <xdr:nvSpPr>
                                                                                                  <xdr:cNvPr id="194" name="Shape 192">
                                                                                                    <a:extLst>
                                                                                                      <a:ext uri="{FF2B5EF4-FFF2-40B4-BE49-F238E27FC236}">
                                                                                                        <a16:creationId xmlns:a16="http://schemas.microsoft.com/office/drawing/2014/main" id="{FD75867B-EFF5-CA7C-1331-F8EC41DA3BAE}"/>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5" name="Shape 193">
                                                                                                    <a:extLst>
                                                                                                      <a:ext uri="{FF2B5EF4-FFF2-40B4-BE49-F238E27FC236}">
                                                                                                        <a16:creationId xmlns:a16="http://schemas.microsoft.com/office/drawing/2014/main" id="{77793C4F-B705-9036-608B-03909A6D1F98}"/>
                                                                                                      </a:ext>
                                                                                                    </a:extLst>
                                                                                                  </xdr:cNvPr>
                                                                                                  <xdr:cNvGrpSpPr/>
                                                                                                </xdr:nvGrpSpPr>
                                                                                                <xdr:grpSpPr>
                                                                                                  <a:xfrm>
                                                                                                    <a:off x="5326950" y="1894050"/>
                                                                                                    <a:ext cx="38100" cy="6265500"/>
                                                                                                    <a:chOff x="5326950" y="1894050"/>
                                                                                                    <a:chExt cx="38100" cy="6265500"/>
                                                                                                  </a:xfrm>
                                                                                                </xdr:grpSpPr>
                                                                                                <xdr:sp macro="" textlink="">
                                                                                                  <xdr:nvSpPr>
                                                                                                    <xdr:cNvPr id="196" name="Shape 194">
                                                                                                      <a:extLst>
                                                                                                        <a:ext uri="{FF2B5EF4-FFF2-40B4-BE49-F238E27FC236}">
                                                                                                          <a16:creationId xmlns:a16="http://schemas.microsoft.com/office/drawing/2014/main" id="{0D25382A-58EC-1B93-ED9F-F3AF3398F8DA}"/>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7" name="Shape 195">
                                                                                                      <a:extLst>
                                                                                                        <a:ext uri="{FF2B5EF4-FFF2-40B4-BE49-F238E27FC236}">
                                                                                                          <a16:creationId xmlns:a16="http://schemas.microsoft.com/office/drawing/2014/main" id="{41A55261-B496-9D34-8AE5-3B1EFAA9DF05}"/>
                                                                                                        </a:ext>
                                                                                                      </a:extLst>
                                                                                                    </xdr:cNvPr>
                                                                                                    <xdr:cNvGrpSpPr/>
                                                                                                  </xdr:nvGrpSpPr>
                                                                                                  <xdr:grpSpPr>
                                                                                                    <a:xfrm>
                                                                                                      <a:off x="5326950" y="1894050"/>
                                                                                                      <a:ext cx="38100" cy="6265500"/>
                                                                                                      <a:chOff x="5326950" y="1894050"/>
                                                                                                      <a:chExt cx="38100" cy="6265500"/>
                                                                                                    </a:xfrm>
                                                                                                  </xdr:grpSpPr>
                                                                                                  <xdr:sp macro="" textlink="">
                                                                                                    <xdr:nvSpPr>
                                                                                                      <xdr:cNvPr id="198" name="Shape 196">
                                                                                                        <a:extLst>
                                                                                                          <a:ext uri="{FF2B5EF4-FFF2-40B4-BE49-F238E27FC236}">
                                                                                                            <a16:creationId xmlns:a16="http://schemas.microsoft.com/office/drawing/2014/main" id="{4D2E54CC-A0BA-DD49-3714-4C74CD87F03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99" name="Shape 197">
                                                                                                        <a:extLst>
                                                                                                          <a:ext uri="{FF2B5EF4-FFF2-40B4-BE49-F238E27FC236}">
                                                                                                            <a16:creationId xmlns:a16="http://schemas.microsoft.com/office/drawing/2014/main" id="{3256893E-46F2-7832-4BA6-5D64BC0EBB1C}"/>
                                                                                                          </a:ext>
                                                                                                        </a:extLst>
                                                                                                      </xdr:cNvPr>
                                                                                                      <xdr:cNvGrpSpPr/>
                                                                                                    </xdr:nvGrpSpPr>
                                                                                                    <xdr:grpSpPr>
                                                                                                      <a:xfrm>
                                                                                                        <a:off x="5326950" y="1894050"/>
                                                                                                        <a:ext cx="38100" cy="6265500"/>
                                                                                                        <a:chOff x="5326950" y="1894050"/>
                                                                                                        <a:chExt cx="38100" cy="6265500"/>
                                                                                                      </a:xfrm>
                                                                                                    </xdr:grpSpPr>
                                                                                                    <xdr:sp macro="" textlink="">
                                                                                                      <xdr:nvSpPr>
                                                                                                        <xdr:cNvPr id="200" name="Shape 198">
                                                                                                          <a:extLst>
                                                                                                            <a:ext uri="{FF2B5EF4-FFF2-40B4-BE49-F238E27FC236}">
                                                                                                              <a16:creationId xmlns:a16="http://schemas.microsoft.com/office/drawing/2014/main" id="{BCFAF2B1-42D2-D4FB-B09B-BAF77CD661DF}"/>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1" name="Shape 199">
                                                                                                          <a:extLst>
                                                                                                            <a:ext uri="{FF2B5EF4-FFF2-40B4-BE49-F238E27FC236}">
                                                                                                              <a16:creationId xmlns:a16="http://schemas.microsoft.com/office/drawing/2014/main" id="{2F3E8DB8-F423-E3F6-7A5D-82575C716FA4}"/>
                                                                                                            </a:ext>
                                                                                                          </a:extLst>
                                                                                                        </xdr:cNvPr>
                                                                                                        <xdr:cNvGrpSpPr/>
                                                                                                      </xdr:nvGrpSpPr>
                                                                                                      <xdr:grpSpPr>
                                                                                                        <a:xfrm>
                                                                                                          <a:off x="5326950" y="1894050"/>
                                                                                                          <a:ext cx="38100" cy="6265500"/>
                                                                                                          <a:chOff x="5326950" y="1894050"/>
                                                                                                          <a:chExt cx="38100" cy="6265500"/>
                                                                                                        </a:xfrm>
                                                                                                      </xdr:grpSpPr>
                                                                                                      <xdr:sp macro="" textlink="">
                                                                                                        <xdr:nvSpPr>
                                                                                                          <xdr:cNvPr id="202" name="Shape 200">
                                                                                                            <a:extLst>
                                                                                                              <a:ext uri="{FF2B5EF4-FFF2-40B4-BE49-F238E27FC236}">
                                                                                                                <a16:creationId xmlns:a16="http://schemas.microsoft.com/office/drawing/2014/main" id="{171B71C2-CCF5-C7CE-49A7-DD4119A38294}"/>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3" name="Shape 201">
                                                                                                            <a:extLst>
                                                                                                              <a:ext uri="{FF2B5EF4-FFF2-40B4-BE49-F238E27FC236}">
                                                                                                                <a16:creationId xmlns:a16="http://schemas.microsoft.com/office/drawing/2014/main" id="{C08E9551-BD49-78D8-6F46-D8EB04E0B087}"/>
                                                                                                              </a:ext>
                                                                                                            </a:extLst>
                                                                                                          </xdr:cNvPr>
                                                                                                          <xdr:cNvGrpSpPr/>
                                                                                                        </xdr:nvGrpSpPr>
                                                                                                        <xdr:grpSpPr>
                                                                                                          <a:xfrm>
                                                                                                            <a:off x="5326950" y="1894050"/>
                                                                                                            <a:ext cx="38100" cy="6265500"/>
                                                                                                            <a:chOff x="5326950" y="1894050"/>
                                                                                                            <a:chExt cx="38100" cy="6265500"/>
                                                                                                          </a:xfrm>
                                                                                                        </xdr:grpSpPr>
                                                                                                        <xdr:sp macro="" textlink="">
                                                                                                          <xdr:nvSpPr>
                                                                                                            <xdr:cNvPr id="204" name="Shape 202">
                                                                                                              <a:extLst>
                                                                                                                <a:ext uri="{FF2B5EF4-FFF2-40B4-BE49-F238E27FC236}">
                                                                                                                  <a16:creationId xmlns:a16="http://schemas.microsoft.com/office/drawing/2014/main" id="{BF087952-B16B-503D-CEBC-0CE844A94D18}"/>
                                                                                                                </a:ext>
                                                                                                              </a:extLst>
                                                                                                            </xdr:cNvPr>
                                                                                                            <xdr:cNvSpPr/>
                                                                                                          </xdr:nvSpPr>
                                                                                                          <xdr:spPr>
                                                                                                            <a:xfrm>
                                                                                                              <a:off x="5326950" y="1894050"/>
                                                                                                              <a:ext cx="3810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5" name="Shape 203">
                                                                                                              <a:extLst>
                                                                                                                <a:ext uri="{FF2B5EF4-FFF2-40B4-BE49-F238E27FC236}">
                                                                                                                  <a16:creationId xmlns:a16="http://schemas.microsoft.com/office/drawing/2014/main" id="{EC7436BF-D8A2-E28D-DBC0-2D8D3A5091E0}"/>
                                                                                                                </a:ext>
                                                                                                              </a:extLst>
                                                                                                            </xdr:cNvPr>
                                                                                                            <xdr:cNvGrpSpPr/>
                                                                                                          </xdr:nvGrpSpPr>
                                                                                                          <xdr:grpSpPr>
                                                                                                            <a:xfrm>
                                                                                                              <a:off x="5326950" y="1894050"/>
                                                                                                              <a:ext cx="38100" cy="6265500"/>
                                                                                                              <a:chOff x="5336475" y="1894050"/>
                                                                                                              <a:chExt cx="19050" cy="6265500"/>
                                                                                                            </a:xfrm>
                                                                                                          </xdr:grpSpPr>
                                                                                                          <xdr:sp macro="" textlink="">
                                                                                                            <xdr:nvSpPr>
                                                                                                              <xdr:cNvPr id="206" name="Shape 204">
                                                                                                                <a:extLst>
                                                                                                                  <a:ext uri="{FF2B5EF4-FFF2-40B4-BE49-F238E27FC236}">
                                                                                                                    <a16:creationId xmlns:a16="http://schemas.microsoft.com/office/drawing/2014/main" id="{66F79413-A39F-52AF-55B1-81119755D858}"/>
                                                                                                                  </a:ext>
                                                                                                                </a:extLst>
                                                                                                              </xdr:cNvPr>
                                                                                                              <xdr:cNvSpPr/>
                                                                                                            </xdr:nvSpPr>
                                                                                                            <xdr:spPr>
                                                                                                              <a:xfrm>
                                                                                                                <a:off x="5336475" y="1894050"/>
                                                                                                                <a:ext cx="19050" cy="377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07" name="Shape 205">
                                                                                                                <a:extLst>
                                                                                                                  <a:ext uri="{FF2B5EF4-FFF2-40B4-BE49-F238E27FC236}">
                                                                                                                    <a16:creationId xmlns:a16="http://schemas.microsoft.com/office/drawing/2014/main" id="{89957272-2150-0EB6-0162-5A48874F1058}"/>
                                                                                                                  </a:ext>
                                                                                                                </a:extLst>
                                                                                                              </xdr:cNvPr>
                                                                                                              <xdr:cNvCxnSpPr>
                                                                                                                <a:stCxn id="172" idx="0"/>
                                                                                                              </xdr:cNvCxnSpPr>
                                                                                                            </xdr:nvCxnSpPr>
                                                                                                            <xdr:spPr>
                                                                                                              <a:xfrm flipH="1">
                                                                                                                <a:off x="5343000" y="1894050"/>
                                                                                                                <a:ext cx="3000" cy="6265500"/>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8</xdr:col>
      <xdr:colOff>502920</xdr:colOff>
      <xdr:row>77</xdr:row>
      <xdr:rowOff>99060</xdr:rowOff>
    </xdr:from>
    <xdr:ext cx="3305175" cy="619125"/>
    <xdr:sp macro="" textlink="">
      <xdr:nvSpPr>
        <xdr:cNvPr id="208" name="Shape 206">
          <a:extLst>
            <a:ext uri="{FF2B5EF4-FFF2-40B4-BE49-F238E27FC236}">
              <a16:creationId xmlns:a16="http://schemas.microsoft.com/office/drawing/2014/main" id="{C3293D44-1449-42E0-BE7F-ADB0E5D69C87}"/>
            </a:ext>
          </a:extLst>
        </xdr:cNvPr>
        <xdr:cNvSpPr/>
      </xdr:nvSpPr>
      <xdr:spPr>
        <a:xfrm>
          <a:off x="4968240" y="20299680"/>
          <a:ext cx="3305175" cy="619125"/>
        </a:xfrm>
        <a:prstGeom prst="roundRect">
          <a:avLst>
            <a:gd name="adj" fmla="val 16667"/>
          </a:avLst>
        </a:prstGeom>
        <a:solidFill>
          <a:srgbClr val="68A042"/>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2400"/>
            <a:buFont typeface="Quattrocento Sans"/>
            <a:buNone/>
          </a:pPr>
          <a:r>
            <a:rPr lang="en-US" sz="2400" b="1">
              <a:solidFill>
                <a:schemeClr val="dk1"/>
              </a:solidFill>
              <a:latin typeface="Quattrocento Sans"/>
              <a:ea typeface="Quattrocento Sans"/>
              <a:cs typeface="Quattrocento Sans"/>
              <a:sym typeface="Quattrocento Sans"/>
            </a:rPr>
            <a:t>BALANÇO MENSAL</a:t>
          </a:r>
          <a:endParaRPr sz="1400"/>
        </a:p>
      </xdr:txBody>
    </xdr:sp>
    <xdr:clientData fLocksWithSheet="0"/>
  </xdr:oneCellAnchor>
  <xdr:oneCellAnchor>
    <xdr:from>
      <xdr:col>11</xdr:col>
      <xdr:colOff>276225</xdr:colOff>
      <xdr:row>81</xdr:row>
      <xdr:rowOff>66647</xdr:rowOff>
    </xdr:from>
    <xdr:ext cx="38100" cy="4248000"/>
    <xdr:grpSp>
      <xdr:nvGrpSpPr>
        <xdr:cNvPr id="209" name="Shape 2">
          <a:extLst>
            <a:ext uri="{FF2B5EF4-FFF2-40B4-BE49-F238E27FC236}">
              <a16:creationId xmlns:a16="http://schemas.microsoft.com/office/drawing/2014/main" id="{17E0EEB7-CEC5-4796-B0FE-1D4E9CE0FF35}"/>
            </a:ext>
          </a:extLst>
        </xdr:cNvPr>
        <xdr:cNvGrpSpPr/>
      </xdr:nvGrpSpPr>
      <xdr:grpSpPr>
        <a:xfrm>
          <a:off x="6593205" y="20107247"/>
          <a:ext cx="38100" cy="4248000"/>
          <a:chOff x="5326950" y="1693997"/>
          <a:chExt cx="38100" cy="4248000"/>
        </a:xfrm>
      </xdr:grpSpPr>
      <xdr:grpSp>
        <xdr:nvGrpSpPr>
          <xdr:cNvPr id="210" name="Shape 207">
            <a:extLst>
              <a:ext uri="{FF2B5EF4-FFF2-40B4-BE49-F238E27FC236}">
                <a16:creationId xmlns:a16="http://schemas.microsoft.com/office/drawing/2014/main" id="{8038E6DC-DAC1-007C-797E-92BE108B6AD7}"/>
              </a:ext>
            </a:extLst>
          </xdr:cNvPr>
          <xdr:cNvGrpSpPr/>
        </xdr:nvGrpSpPr>
        <xdr:grpSpPr>
          <a:xfrm>
            <a:off x="5326950" y="1693997"/>
            <a:ext cx="38100" cy="4248000"/>
            <a:chOff x="5326950" y="1693997"/>
            <a:chExt cx="38100" cy="4248000"/>
          </a:xfrm>
        </xdr:grpSpPr>
        <xdr:sp macro="" textlink="">
          <xdr:nvSpPr>
            <xdr:cNvPr id="211" name="Shape 5">
              <a:extLst>
                <a:ext uri="{FF2B5EF4-FFF2-40B4-BE49-F238E27FC236}">
                  <a16:creationId xmlns:a16="http://schemas.microsoft.com/office/drawing/2014/main" id="{205154EE-9AAE-6328-03F2-FE93C2680BB1}"/>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2" name="Shape 208">
              <a:extLst>
                <a:ext uri="{FF2B5EF4-FFF2-40B4-BE49-F238E27FC236}">
                  <a16:creationId xmlns:a16="http://schemas.microsoft.com/office/drawing/2014/main" id="{4F4DD278-4030-B473-92C3-15278CA3A953}"/>
                </a:ext>
              </a:extLst>
            </xdr:cNvPr>
            <xdr:cNvGrpSpPr/>
          </xdr:nvGrpSpPr>
          <xdr:grpSpPr>
            <a:xfrm>
              <a:off x="5326950" y="1693997"/>
              <a:ext cx="38100" cy="4248000"/>
              <a:chOff x="5326950" y="1693997"/>
              <a:chExt cx="38100" cy="4248000"/>
            </a:xfrm>
          </xdr:grpSpPr>
          <xdr:sp macro="" textlink="">
            <xdr:nvSpPr>
              <xdr:cNvPr id="213" name="Shape 209">
                <a:extLst>
                  <a:ext uri="{FF2B5EF4-FFF2-40B4-BE49-F238E27FC236}">
                    <a16:creationId xmlns:a16="http://schemas.microsoft.com/office/drawing/2014/main" id="{4C9A7587-AE0F-D6AF-321B-82D6C6707F54}"/>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4" name="Shape 210">
                <a:extLst>
                  <a:ext uri="{FF2B5EF4-FFF2-40B4-BE49-F238E27FC236}">
                    <a16:creationId xmlns:a16="http://schemas.microsoft.com/office/drawing/2014/main" id="{8D4893DF-5A03-63DF-CF28-B8CABE2D3E35}"/>
                  </a:ext>
                </a:extLst>
              </xdr:cNvPr>
              <xdr:cNvGrpSpPr/>
            </xdr:nvGrpSpPr>
            <xdr:grpSpPr>
              <a:xfrm>
                <a:off x="5326950" y="1693997"/>
                <a:ext cx="38100" cy="4248000"/>
                <a:chOff x="5326950" y="1693997"/>
                <a:chExt cx="38100" cy="4248000"/>
              </a:xfrm>
            </xdr:grpSpPr>
            <xdr:sp macro="" textlink="">
              <xdr:nvSpPr>
                <xdr:cNvPr id="215" name="Shape 211">
                  <a:extLst>
                    <a:ext uri="{FF2B5EF4-FFF2-40B4-BE49-F238E27FC236}">
                      <a16:creationId xmlns:a16="http://schemas.microsoft.com/office/drawing/2014/main" id="{48C6059D-0319-0237-364D-6B31DA61389A}"/>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6" name="Shape 212">
                  <a:extLst>
                    <a:ext uri="{FF2B5EF4-FFF2-40B4-BE49-F238E27FC236}">
                      <a16:creationId xmlns:a16="http://schemas.microsoft.com/office/drawing/2014/main" id="{DCEDD557-5E43-B60B-9C42-FE7EF83FB41D}"/>
                    </a:ext>
                  </a:extLst>
                </xdr:cNvPr>
                <xdr:cNvGrpSpPr/>
              </xdr:nvGrpSpPr>
              <xdr:grpSpPr>
                <a:xfrm>
                  <a:off x="5326950" y="1693997"/>
                  <a:ext cx="38100" cy="4248000"/>
                  <a:chOff x="5326950" y="1693997"/>
                  <a:chExt cx="38100" cy="4248000"/>
                </a:xfrm>
              </xdr:grpSpPr>
              <xdr:sp macro="" textlink="">
                <xdr:nvSpPr>
                  <xdr:cNvPr id="217" name="Shape 213">
                    <a:extLst>
                      <a:ext uri="{FF2B5EF4-FFF2-40B4-BE49-F238E27FC236}">
                        <a16:creationId xmlns:a16="http://schemas.microsoft.com/office/drawing/2014/main" id="{3F5EA71C-5096-C0A8-2152-D3BD55F66011}"/>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18" name="Shape 214">
                    <a:extLst>
                      <a:ext uri="{FF2B5EF4-FFF2-40B4-BE49-F238E27FC236}">
                        <a16:creationId xmlns:a16="http://schemas.microsoft.com/office/drawing/2014/main" id="{8C0860D0-3BD4-0B5D-CECD-909AAAC1400D}"/>
                      </a:ext>
                    </a:extLst>
                  </xdr:cNvPr>
                  <xdr:cNvGrpSpPr/>
                </xdr:nvGrpSpPr>
                <xdr:grpSpPr>
                  <a:xfrm>
                    <a:off x="5326950" y="1693997"/>
                    <a:ext cx="38100" cy="4248000"/>
                    <a:chOff x="5326950" y="1693997"/>
                    <a:chExt cx="38100" cy="4248000"/>
                  </a:xfrm>
                </xdr:grpSpPr>
                <xdr:sp macro="" textlink="">
                  <xdr:nvSpPr>
                    <xdr:cNvPr id="219" name="Shape 215">
                      <a:extLst>
                        <a:ext uri="{FF2B5EF4-FFF2-40B4-BE49-F238E27FC236}">
                          <a16:creationId xmlns:a16="http://schemas.microsoft.com/office/drawing/2014/main" id="{11BC428B-FE51-C200-0766-835F926DC0B4}"/>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0" name="Shape 216">
                      <a:extLst>
                        <a:ext uri="{FF2B5EF4-FFF2-40B4-BE49-F238E27FC236}">
                          <a16:creationId xmlns:a16="http://schemas.microsoft.com/office/drawing/2014/main" id="{4444AB49-4B0A-BB18-11B5-EEF82AEC99DC}"/>
                        </a:ext>
                      </a:extLst>
                    </xdr:cNvPr>
                    <xdr:cNvGrpSpPr/>
                  </xdr:nvGrpSpPr>
                  <xdr:grpSpPr>
                    <a:xfrm>
                      <a:off x="5326950" y="1693997"/>
                      <a:ext cx="38100" cy="4248000"/>
                      <a:chOff x="5326950" y="1693997"/>
                      <a:chExt cx="38100" cy="4248000"/>
                    </a:xfrm>
                  </xdr:grpSpPr>
                  <xdr:sp macro="" textlink="">
                    <xdr:nvSpPr>
                      <xdr:cNvPr id="221" name="Shape 217">
                        <a:extLst>
                          <a:ext uri="{FF2B5EF4-FFF2-40B4-BE49-F238E27FC236}">
                            <a16:creationId xmlns:a16="http://schemas.microsoft.com/office/drawing/2014/main" id="{BDFF8AE8-18DB-A9E2-61AA-F1F9A4BF63DD}"/>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2" name="Shape 218">
                        <a:extLst>
                          <a:ext uri="{FF2B5EF4-FFF2-40B4-BE49-F238E27FC236}">
                            <a16:creationId xmlns:a16="http://schemas.microsoft.com/office/drawing/2014/main" id="{E9B1B2FF-303D-5920-8E1B-20E39883D5BB}"/>
                          </a:ext>
                        </a:extLst>
                      </xdr:cNvPr>
                      <xdr:cNvGrpSpPr/>
                    </xdr:nvGrpSpPr>
                    <xdr:grpSpPr>
                      <a:xfrm>
                        <a:off x="5326950" y="1693997"/>
                        <a:ext cx="38100" cy="4248000"/>
                        <a:chOff x="5326950" y="1693997"/>
                        <a:chExt cx="38100" cy="4248000"/>
                      </a:xfrm>
                    </xdr:grpSpPr>
                    <xdr:sp macro="" textlink="">
                      <xdr:nvSpPr>
                        <xdr:cNvPr id="223" name="Shape 219">
                          <a:extLst>
                            <a:ext uri="{FF2B5EF4-FFF2-40B4-BE49-F238E27FC236}">
                              <a16:creationId xmlns:a16="http://schemas.microsoft.com/office/drawing/2014/main" id="{6D34317D-184F-A9ED-B9C6-794678153AFC}"/>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4" name="Shape 220">
                          <a:extLst>
                            <a:ext uri="{FF2B5EF4-FFF2-40B4-BE49-F238E27FC236}">
                              <a16:creationId xmlns:a16="http://schemas.microsoft.com/office/drawing/2014/main" id="{5567E098-9711-A868-90EE-48CB2E673492}"/>
                            </a:ext>
                          </a:extLst>
                        </xdr:cNvPr>
                        <xdr:cNvGrpSpPr/>
                      </xdr:nvGrpSpPr>
                      <xdr:grpSpPr>
                        <a:xfrm>
                          <a:off x="5326950" y="1693997"/>
                          <a:ext cx="38100" cy="4248000"/>
                          <a:chOff x="5326950" y="1693997"/>
                          <a:chExt cx="38100" cy="4248000"/>
                        </a:xfrm>
                      </xdr:grpSpPr>
                      <xdr:sp macro="" textlink="">
                        <xdr:nvSpPr>
                          <xdr:cNvPr id="225" name="Shape 221">
                            <a:extLst>
                              <a:ext uri="{FF2B5EF4-FFF2-40B4-BE49-F238E27FC236}">
                                <a16:creationId xmlns:a16="http://schemas.microsoft.com/office/drawing/2014/main" id="{B78C45D6-209A-6A33-DEDE-FA0D8E106E6D}"/>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6" name="Shape 222">
                            <a:extLst>
                              <a:ext uri="{FF2B5EF4-FFF2-40B4-BE49-F238E27FC236}">
                                <a16:creationId xmlns:a16="http://schemas.microsoft.com/office/drawing/2014/main" id="{5619B19D-100A-4C26-55FB-A4ABCEAD1537}"/>
                              </a:ext>
                            </a:extLst>
                          </xdr:cNvPr>
                          <xdr:cNvGrpSpPr/>
                        </xdr:nvGrpSpPr>
                        <xdr:grpSpPr>
                          <a:xfrm>
                            <a:off x="5326950" y="1693997"/>
                            <a:ext cx="38100" cy="4248000"/>
                            <a:chOff x="5326950" y="1693997"/>
                            <a:chExt cx="38100" cy="4248000"/>
                          </a:xfrm>
                        </xdr:grpSpPr>
                        <xdr:sp macro="" textlink="">
                          <xdr:nvSpPr>
                            <xdr:cNvPr id="227" name="Shape 223">
                              <a:extLst>
                                <a:ext uri="{FF2B5EF4-FFF2-40B4-BE49-F238E27FC236}">
                                  <a16:creationId xmlns:a16="http://schemas.microsoft.com/office/drawing/2014/main" id="{81868956-B786-9583-5801-1B3E0B00AC19}"/>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8" name="Shape 224">
                              <a:extLst>
                                <a:ext uri="{FF2B5EF4-FFF2-40B4-BE49-F238E27FC236}">
                                  <a16:creationId xmlns:a16="http://schemas.microsoft.com/office/drawing/2014/main" id="{4B3C1D2F-94BC-C83A-03AA-7B2E3A9F432E}"/>
                                </a:ext>
                              </a:extLst>
                            </xdr:cNvPr>
                            <xdr:cNvGrpSpPr/>
                          </xdr:nvGrpSpPr>
                          <xdr:grpSpPr>
                            <a:xfrm>
                              <a:off x="5326950" y="1693997"/>
                              <a:ext cx="38100" cy="4248000"/>
                              <a:chOff x="5326950" y="1693997"/>
                              <a:chExt cx="38100" cy="4248000"/>
                            </a:xfrm>
                          </xdr:grpSpPr>
                          <xdr:sp macro="" textlink="">
                            <xdr:nvSpPr>
                              <xdr:cNvPr id="229" name="Shape 225">
                                <a:extLst>
                                  <a:ext uri="{FF2B5EF4-FFF2-40B4-BE49-F238E27FC236}">
                                    <a16:creationId xmlns:a16="http://schemas.microsoft.com/office/drawing/2014/main" id="{D7F3DE2A-1B43-BBA5-50E7-1FAF48F9ADCA}"/>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0" name="Shape 226">
                                <a:extLst>
                                  <a:ext uri="{FF2B5EF4-FFF2-40B4-BE49-F238E27FC236}">
                                    <a16:creationId xmlns:a16="http://schemas.microsoft.com/office/drawing/2014/main" id="{F6DE65BF-CB97-101A-F66C-F24B368E0A13}"/>
                                  </a:ext>
                                </a:extLst>
                              </xdr:cNvPr>
                              <xdr:cNvGrpSpPr/>
                            </xdr:nvGrpSpPr>
                            <xdr:grpSpPr>
                              <a:xfrm>
                                <a:off x="5326950" y="1693997"/>
                                <a:ext cx="38100" cy="4248000"/>
                                <a:chOff x="5326950" y="1693997"/>
                                <a:chExt cx="38100" cy="4248000"/>
                              </a:xfrm>
                            </xdr:grpSpPr>
                            <xdr:sp macro="" textlink="">
                              <xdr:nvSpPr>
                                <xdr:cNvPr id="231" name="Shape 227">
                                  <a:extLst>
                                    <a:ext uri="{FF2B5EF4-FFF2-40B4-BE49-F238E27FC236}">
                                      <a16:creationId xmlns:a16="http://schemas.microsoft.com/office/drawing/2014/main" id="{DF612617-0425-F9A9-B539-EA89043302B7}"/>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2" name="Shape 228">
                                  <a:extLst>
                                    <a:ext uri="{FF2B5EF4-FFF2-40B4-BE49-F238E27FC236}">
                                      <a16:creationId xmlns:a16="http://schemas.microsoft.com/office/drawing/2014/main" id="{DED0DFC6-F3EB-0614-6AB7-74A8DB7FE801}"/>
                                    </a:ext>
                                  </a:extLst>
                                </xdr:cNvPr>
                                <xdr:cNvGrpSpPr/>
                              </xdr:nvGrpSpPr>
                              <xdr:grpSpPr>
                                <a:xfrm>
                                  <a:off x="5326950" y="1693997"/>
                                  <a:ext cx="38100" cy="4248000"/>
                                  <a:chOff x="5326950" y="1693997"/>
                                  <a:chExt cx="38100" cy="4248000"/>
                                </a:xfrm>
                              </xdr:grpSpPr>
                              <xdr:sp macro="" textlink="">
                                <xdr:nvSpPr>
                                  <xdr:cNvPr id="233" name="Shape 229">
                                    <a:extLst>
                                      <a:ext uri="{FF2B5EF4-FFF2-40B4-BE49-F238E27FC236}">
                                        <a16:creationId xmlns:a16="http://schemas.microsoft.com/office/drawing/2014/main" id="{728CB8BF-AB5C-AAE6-3757-C66EF00A193A}"/>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4" name="Shape 230">
                                    <a:extLst>
                                      <a:ext uri="{FF2B5EF4-FFF2-40B4-BE49-F238E27FC236}">
                                        <a16:creationId xmlns:a16="http://schemas.microsoft.com/office/drawing/2014/main" id="{8E30A598-0A6C-0DE6-E4A8-CE6870A47D0A}"/>
                                      </a:ext>
                                    </a:extLst>
                                  </xdr:cNvPr>
                                  <xdr:cNvGrpSpPr/>
                                </xdr:nvGrpSpPr>
                                <xdr:grpSpPr>
                                  <a:xfrm>
                                    <a:off x="5326950" y="1693997"/>
                                    <a:ext cx="38100" cy="4248000"/>
                                    <a:chOff x="5326950" y="1693997"/>
                                    <a:chExt cx="38100" cy="4248000"/>
                                  </a:xfrm>
                                </xdr:grpSpPr>
                                <xdr:sp macro="" textlink="">
                                  <xdr:nvSpPr>
                                    <xdr:cNvPr id="235" name="Shape 231">
                                      <a:extLst>
                                        <a:ext uri="{FF2B5EF4-FFF2-40B4-BE49-F238E27FC236}">
                                          <a16:creationId xmlns:a16="http://schemas.microsoft.com/office/drawing/2014/main" id="{DACD2581-45E4-08EB-3FAC-30DC3A7518DC}"/>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6" name="Shape 232">
                                      <a:extLst>
                                        <a:ext uri="{FF2B5EF4-FFF2-40B4-BE49-F238E27FC236}">
                                          <a16:creationId xmlns:a16="http://schemas.microsoft.com/office/drawing/2014/main" id="{54E76AFA-B4A5-6224-A75F-8F1742E5AFDD}"/>
                                        </a:ext>
                                      </a:extLst>
                                    </xdr:cNvPr>
                                    <xdr:cNvGrpSpPr/>
                                  </xdr:nvGrpSpPr>
                                  <xdr:grpSpPr>
                                    <a:xfrm>
                                      <a:off x="5326950" y="1693997"/>
                                      <a:ext cx="38100" cy="4248000"/>
                                      <a:chOff x="5326950" y="1693997"/>
                                      <a:chExt cx="38100" cy="4248000"/>
                                    </a:xfrm>
                                  </xdr:grpSpPr>
                                  <xdr:sp macro="" textlink="">
                                    <xdr:nvSpPr>
                                      <xdr:cNvPr id="237" name="Shape 233">
                                        <a:extLst>
                                          <a:ext uri="{FF2B5EF4-FFF2-40B4-BE49-F238E27FC236}">
                                            <a16:creationId xmlns:a16="http://schemas.microsoft.com/office/drawing/2014/main" id="{01E27C20-C2D7-E244-338A-1AB85D7B2C31}"/>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38" name="Shape 234">
                                        <a:extLst>
                                          <a:ext uri="{FF2B5EF4-FFF2-40B4-BE49-F238E27FC236}">
                                            <a16:creationId xmlns:a16="http://schemas.microsoft.com/office/drawing/2014/main" id="{BAC08E67-25A8-B36B-FB7F-33030E1E4AB3}"/>
                                          </a:ext>
                                        </a:extLst>
                                      </xdr:cNvPr>
                                      <xdr:cNvGrpSpPr/>
                                    </xdr:nvGrpSpPr>
                                    <xdr:grpSpPr>
                                      <a:xfrm>
                                        <a:off x="5326950" y="1693997"/>
                                        <a:ext cx="38100" cy="4248000"/>
                                        <a:chOff x="5326950" y="1693997"/>
                                        <a:chExt cx="38100" cy="4248000"/>
                                      </a:xfrm>
                                    </xdr:grpSpPr>
                                    <xdr:sp macro="" textlink="">
                                      <xdr:nvSpPr>
                                        <xdr:cNvPr id="239" name="Shape 235">
                                          <a:extLst>
                                            <a:ext uri="{FF2B5EF4-FFF2-40B4-BE49-F238E27FC236}">
                                              <a16:creationId xmlns:a16="http://schemas.microsoft.com/office/drawing/2014/main" id="{BCA16F1B-707B-22FD-DBE4-8DAC750BFA65}"/>
                                            </a:ext>
                                          </a:extLst>
                                        </xdr:cNvPr>
                                        <xdr:cNvSpPr/>
                                      </xdr:nvSpPr>
                                      <xdr:spPr>
                                        <a:xfrm>
                                          <a:off x="5326950" y="1694025"/>
                                          <a:ext cx="38100" cy="4171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0" name="Shape 236">
                                          <a:extLst>
                                            <a:ext uri="{FF2B5EF4-FFF2-40B4-BE49-F238E27FC236}">
                                              <a16:creationId xmlns:a16="http://schemas.microsoft.com/office/drawing/2014/main" id="{23B46F48-B472-7A85-1BE2-DD65E2DD4C90}"/>
                                            </a:ext>
                                          </a:extLst>
                                        </xdr:cNvPr>
                                        <xdr:cNvGrpSpPr/>
                                      </xdr:nvGrpSpPr>
                                      <xdr:grpSpPr>
                                        <a:xfrm>
                                          <a:off x="5326950" y="1693997"/>
                                          <a:ext cx="38100" cy="4248000"/>
                                          <a:chOff x="5326950" y="1691972"/>
                                          <a:chExt cx="38100" cy="4252124"/>
                                        </a:xfrm>
                                      </xdr:grpSpPr>
                                      <xdr:sp macro="" textlink="">
                                        <xdr:nvSpPr>
                                          <xdr:cNvPr id="241" name="Shape 237">
                                            <a:extLst>
                                              <a:ext uri="{FF2B5EF4-FFF2-40B4-BE49-F238E27FC236}">
                                                <a16:creationId xmlns:a16="http://schemas.microsoft.com/office/drawing/2014/main" id="{92930EF2-600B-13A9-8FC9-455FD2616326}"/>
                                              </a:ext>
                                            </a:extLst>
                                          </xdr:cNvPr>
                                          <xdr:cNvSpPr/>
                                        </xdr:nvSpPr>
                                        <xdr:spPr>
                                          <a:xfrm>
                                            <a:off x="5326950" y="1692000"/>
                                            <a:ext cx="38100" cy="41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2" name="Shape 238">
                                            <a:extLst>
                                              <a:ext uri="{FF2B5EF4-FFF2-40B4-BE49-F238E27FC236}">
                                                <a16:creationId xmlns:a16="http://schemas.microsoft.com/office/drawing/2014/main" id="{D20F9A4C-2FB6-E4C6-7514-DF098EAF1DA7}"/>
                                              </a:ext>
                                            </a:extLst>
                                          </xdr:cNvPr>
                                          <xdr:cNvGrpSpPr/>
                                        </xdr:nvGrpSpPr>
                                        <xdr:grpSpPr>
                                          <a:xfrm>
                                            <a:off x="5326950" y="1691972"/>
                                            <a:ext cx="38100" cy="4252124"/>
                                            <a:chOff x="5326950" y="2132147"/>
                                            <a:chExt cx="38100" cy="4398749"/>
                                          </a:xfrm>
                                        </xdr:grpSpPr>
                                        <xdr:sp macro="" textlink="">
                                          <xdr:nvSpPr>
                                            <xdr:cNvPr id="243" name="Shape 239">
                                              <a:extLst>
                                                <a:ext uri="{FF2B5EF4-FFF2-40B4-BE49-F238E27FC236}">
                                                  <a16:creationId xmlns:a16="http://schemas.microsoft.com/office/drawing/2014/main" id="{E58B6CC8-FD1E-AD6D-B1FB-6E84CF7499B1}"/>
                                                </a:ext>
                                              </a:extLst>
                                            </xdr:cNvPr>
                                            <xdr:cNvSpPr/>
                                          </xdr:nvSpPr>
                                          <xdr:spPr>
                                            <a:xfrm>
                                              <a:off x="5326950" y="2132175"/>
                                              <a:ext cx="38100" cy="432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4" name="Shape 240">
                                              <a:extLst>
                                                <a:ext uri="{FF2B5EF4-FFF2-40B4-BE49-F238E27FC236}">
                                                  <a16:creationId xmlns:a16="http://schemas.microsoft.com/office/drawing/2014/main" id="{77CF5435-7E1D-A509-302B-CAFCB1AF557F}"/>
                                                </a:ext>
                                              </a:extLst>
                                            </xdr:cNvPr>
                                            <xdr:cNvGrpSpPr/>
                                          </xdr:nvGrpSpPr>
                                          <xdr:grpSpPr>
                                            <a:xfrm>
                                              <a:off x="5326950" y="2132147"/>
                                              <a:ext cx="38100" cy="4398749"/>
                                              <a:chOff x="5326950" y="2132147"/>
                                              <a:chExt cx="38100" cy="4398749"/>
                                            </a:xfrm>
                                          </xdr:grpSpPr>
                                          <xdr:sp macro="" textlink="">
                                            <xdr:nvSpPr>
                                              <xdr:cNvPr id="245" name="Shape 241">
                                                <a:extLst>
                                                  <a:ext uri="{FF2B5EF4-FFF2-40B4-BE49-F238E27FC236}">
                                                    <a16:creationId xmlns:a16="http://schemas.microsoft.com/office/drawing/2014/main" id="{1EE096D7-0B5D-601A-834F-1BBB7FA506E5}"/>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6" name="Shape 242">
                                                <a:extLst>
                                                  <a:ext uri="{FF2B5EF4-FFF2-40B4-BE49-F238E27FC236}">
                                                    <a16:creationId xmlns:a16="http://schemas.microsoft.com/office/drawing/2014/main" id="{EB2CEC24-CB96-CA3C-58F7-4CD00A3CB1B6}"/>
                                                  </a:ext>
                                                </a:extLst>
                                              </xdr:cNvPr>
                                              <xdr:cNvGrpSpPr/>
                                            </xdr:nvGrpSpPr>
                                            <xdr:grpSpPr>
                                              <a:xfrm>
                                                <a:off x="5326950" y="2132147"/>
                                                <a:ext cx="38100" cy="4398749"/>
                                                <a:chOff x="5326950" y="2132147"/>
                                                <a:chExt cx="38100" cy="4398749"/>
                                              </a:xfrm>
                                            </xdr:grpSpPr>
                                            <xdr:sp macro="" textlink="">
                                              <xdr:nvSpPr>
                                                <xdr:cNvPr id="247" name="Shape 243">
                                                  <a:extLst>
                                                    <a:ext uri="{FF2B5EF4-FFF2-40B4-BE49-F238E27FC236}">
                                                      <a16:creationId xmlns:a16="http://schemas.microsoft.com/office/drawing/2014/main" id="{8719E6DB-FACA-1035-63C3-24C302692F30}"/>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8" name="Shape 244">
                                                  <a:extLst>
                                                    <a:ext uri="{FF2B5EF4-FFF2-40B4-BE49-F238E27FC236}">
                                                      <a16:creationId xmlns:a16="http://schemas.microsoft.com/office/drawing/2014/main" id="{D5503C6C-AD93-7656-37BD-03D900182DC4}"/>
                                                    </a:ext>
                                                  </a:extLst>
                                                </xdr:cNvPr>
                                                <xdr:cNvGrpSpPr/>
                                              </xdr:nvGrpSpPr>
                                              <xdr:grpSpPr>
                                                <a:xfrm>
                                                  <a:off x="5326950" y="2132147"/>
                                                  <a:ext cx="38100" cy="4398749"/>
                                                  <a:chOff x="5326950" y="2132147"/>
                                                  <a:chExt cx="38100" cy="4398749"/>
                                                </a:xfrm>
                                              </xdr:grpSpPr>
                                              <xdr:sp macro="" textlink="">
                                                <xdr:nvSpPr>
                                                  <xdr:cNvPr id="249" name="Shape 245">
                                                    <a:extLst>
                                                      <a:ext uri="{FF2B5EF4-FFF2-40B4-BE49-F238E27FC236}">
                                                        <a16:creationId xmlns:a16="http://schemas.microsoft.com/office/drawing/2014/main" id="{2875E35C-28FA-AEB8-A5A2-AA2DAEE4A7DC}"/>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0" name="Shape 246">
                                                    <a:extLst>
                                                      <a:ext uri="{FF2B5EF4-FFF2-40B4-BE49-F238E27FC236}">
                                                        <a16:creationId xmlns:a16="http://schemas.microsoft.com/office/drawing/2014/main" id="{168B6D1F-7AE5-CDBC-7C37-F15A564E3E5F}"/>
                                                      </a:ext>
                                                    </a:extLst>
                                                  </xdr:cNvPr>
                                                  <xdr:cNvGrpSpPr/>
                                                </xdr:nvGrpSpPr>
                                                <xdr:grpSpPr>
                                                  <a:xfrm>
                                                    <a:off x="5326950" y="2132147"/>
                                                    <a:ext cx="38100" cy="4398749"/>
                                                    <a:chOff x="5326950" y="2132147"/>
                                                    <a:chExt cx="38100" cy="4398749"/>
                                                  </a:xfrm>
                                                </xdr:grpSpPr>
                                                <xdr:sp macro="" textlink="">
                                                  <xdr:nvSpPr>
                                                    <xdr:cNvPr id="251" name="Shape 247">
                                                      <a:extLst>
                                                        <a:ext uri="{FF2B5EF4-FFF2-40B4-BE49-F238E27FC236}">
                                                          <a16:creationId xmlns:a16="http://schemas.microsoft.com/office/drawing/2014/main" id="{C98A46E0-F627-1EE5-1D9D-32E07DFE4A83}"/>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2" name="Shape 248">
                                                      <a:extLst>
                                                        <a:ext uri="{FF2B5EF4-FFF2-40B4-BE49-F238E27FC236}">
                                                          <a16:creationId xmlns:a16="http://schemas.microsoft.com/office/drawing/2014/main" id="{8C5E24E3-BB58-33A0-AE9B-0A40E4936150}"/>
                                                        </a:ext>
                                                      </a:extLst>
                                                    </xdr:cNvPr>
                                                    <xdr:cNvGrpSpPr/>
                                                  </xdr:nvGrpSpPr>
                                                  <xdr:grpSpPr>
                                                    <a:xfrm>
                                                      <a:off x="5326950" y="2132147"/>
                                                      <a:ext cx="38100" cy="4398749"/>
                                                      <a:chOff x="5326950" y="2132147"/>
                                                      <a:chExt cx="38100" cy="4398749"/>
                                                    </a:xfrm>
                                                  </xdr:grpSpPr>
                                                  <xdr:sp macro="" textlink="">
                                                    <xdr:nvSpPr>
                                                      <xdr:cNvPr id="253" name="Shape 249">
                                                        <a:extLst>
                                                          <a:ext uri="{FF2B5EF4-FFF2-40B4-BE49-F238E27FC236}">
                                                            <a16:creationId xmlns:a16="http://schemas.microsoft.com/office/drawing/2014/main" id="{CDB146C1-E85B-9C77-357C-867F8C1E61CA}"/>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4" name="Shape 250">
                                                        <a:extLst>
                                                          <a:ext uri="{FF2B5EF4-FFF2-40B4-BE49-F238E27FC236}">
                                                            <a16:creationId xmlns:a16="http://schemas.microsoft.com/office/drawing/2014/main" id="{A602850A-90EA-5CF7-2996-DCD43FFA049D}"/>
                                                          </a:ext>
                                                        </a:extLst>
                                                      </xdr:cNvPr>
                                                      <xdr:cNvGrpSpPr/>
                                                    </xdr:nvGrpSpPr>
                                                    <xdr:grpSpPr>
                                                      <a:xfrm>
                                                        <a:off x="5326950" y="2132147"/>
                                                        <a:ext cx="38100" cy="4398749"/>
                                                        <a:chOff x="5326950" y="2132147"/>
                                                        <a:chExt cx="38100" cy="4398749"/>
                                                      </a:xfrm>
                                                    </xdr:grpSpPr>
                                                    <xdr:sp macro="" textlink="">
                                                      <xdr:nvSpPr>
                                                        <xdr:cNvPr id="255" name="Shape 251">
                                                          <a:extLst>
                                                            <a:ext uri="{FF2B5EF4-FFF2-40B4-BE49-F238E27FC236}">
                                                              <a16:creationId xmlns:a16="http://schemas.microsoft.com/office/drawing/2014/main" id="{D444B97B-7348-86F6-C14C-675B9F5DE74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6" name="Shape 252">
                                                          <a:extLst>
                                                            <a:ext uri="{FF2B5EF4-FFF2-40B4-BE49-F238E27FC236}">
                                                              <a16:creationId xmlns:a16="http://schemas.microsoft.com/office/drawing/2014/main" id="{1E46A39E-812F-E85E-0B1F-A3BB4FD967AC}"/>
                                                            </a:ext>
                                                          </a:extLst>
                                                        </xdr:cNvPr>
                                                        <xdr:cNvGrpSpPr/>
                                                      </xdr:nvGrpSpPr>
                                                      <xdr:grpSpPr>
                                                        <a:xfrm>
                                                          <a:off x="5326950" y="2132147"/>
                                                          <a:ext cx="38100" cy="4398749"/>
                                                          <a:chOff x="5326950" y="2132147"/>
                                                          <a:chExt cx="38100" cy="4398749"/>
                                                        </a:xfrm>
                                                      </xdr:grpSpPr>
                                                      <xdr:sp macro="" textlink="">
                                                        <xdr:nvSpPr>
                                                          <xdr:cNvPr id="257" name="Shape 253">
                                                            <a:extLst>
                                                              <a:ext uri="{FF2B5EF4-FFF2-40B4-BE49-F238E27FC236}">
                                                                <a16:creationId xmlns:a16="http://schemas.microsoft.com/office/drawing/2014/main" id="{386ED708-3AD8-371F-3220-F1AC51E4501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58" name="Shape 254">
                                                            <a:extLst>
                                                              <a:ext uri="{FF2B5EF4-FFF2-40B4-BE49-F238E27FC236}">
                                                                <a16:creationId xmlns:a16="http://schemas.microsoft.com/office/drawing/2014/main" id="{4EBB912C-DEDB-C00D-AD10-3AD596F990AE}"/>
                                                              </a:ext>
                                                            </a:extLst>
                                                          </xdr:cNvPr>
                                                          <xdr:cNvGrpSpPr/>
                                                        </xdr:nvGrpSpPr>
                                                        <xdr:grpSpPr>
                                                          <a:xfrm>
                                                            <a:off x="5326950" y="2132147"/>
                                                            <a:ext cx="38100" cy="4398749"/>
                                                            <a:chOff x="5326950" y="2132147"/>
                                                            <a:chExt cx="38100" cy="4398749"/>
                                                          </a:xfrm>
                                                        </xdr:grpSpPr>
                                                        <xdr:sp macro="" textlink="">
                                                          <xdr:nvSpPr>
                                                            <xdr:cNvPr id="259" name="Shape 255">
                                                              <a:extLst>
                                                                <a:ext uri="{FF2B5EF4-FFF2-40B4-BE49-F238E27FC236}">
                                                                  <a16:creationId xmlns:a16="http://schemas.microsoft.com/office/drawing/2014/main" id="{4B3ABBA0-4BC5-223F-ACCF-0CCADBA9A18D}"/>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0" name="Shape 256">
                                                              <a:extLst>
                                                                <a:ext uri="{FF2B5EF4-FFF2-40B4-BE49-F238E27FC236}">
                                                                  <a16:creationId xmlns:a16="http://schemas.microsoft.com/office/drawing/2014/main" id="{60C48F3F-7BCE-91B4-D523-6AAFB9D69793}"/>
                                                                </a:ext>
                                                              </a:extLst>
                                                            </xdr:cNvPr>
                                                            <xdr:cNvGrpSpPr/>
                                                          </xdr:nvGrpSpPr>
                                                          <xdr:grpSpPr>
                                                            <a:xfrm>
                                                              <a:off x="5326950" y="2132147"/>
                                                              <a:ext cx="38100" cy="4398749"/>
                                                              <a:chOff x="5326950" y="2132147"/>
                                                              <a:chExt cx="38100" cy="4398749"/>
                                                            </a:xfrm>
                                                          </xdr:grpSpPr>
                                                          <xdr:sp macro="" textlink="">
                                                            <xdr:nvSpPr>
                                                              <xdr:cNvPr id="261" name="Shape 257">
                                                                <a:extLst>
                                                                  <a:ext uri="{FF2B5EF4-FFF2-40B4-BE49-F238E27FC236}">
                                                                    <a16:creationId xmlns:a16="http://schemas.microsoft.com/office/drawing/2014/main" id="{09290685-6CFE-65D9-E10E-9D9586717234}"/>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2" name="Shape 258">
                                                                <a:extLst>
                                                                  <a:ext uri="{FF2B5EF4-FFF2-40B4-BE49-F238E27FC236}">
                                                                    <a16:creationId xmlns:a16="http://schemas.microsoft.com/office/drawing/2014/main" id="{C73584AA-B186-B8DD-115C-9E4DE99A1D0F}"/>
                                                                  </a:ext>
                                                                </a:extLst>
                                                              </xdr:cNvPr>
                                                              <xdr:cNvGrpSpPr/>
                                                            </xdr:nvGrpSpPr>
                                                            <xdr:grpSpPr>
                                                              <a:xfrm>
                                                                <a:off x="5326950" y="2132147"/>
                                                                <a:ext cx="38100" cy="4398749"/>
                                                                <a:chOff x="5326950" y="2132147"/>
                                                                <a:chExt cx="38100" cy="4398749"/>
                                                              </a:xfrm>
                                                            </xdr:grpSpPr>
                                                            <xdr:sp macro="" textlink="">
                                                              <xdr:nvSpPr>
                                                                <xdr:cNvPr id="263" name="Shape 259">
                                                                  <a:extLst>
                                                                    <a:ext uri="{FF2B5EF4-FFF2-40B4-BE49-F238E27FC236}">
                                                                      <a16:creationId xmlns:a16="http://schemas.microsoft.com/office/drawing/2014/main" id="{D0CC649F-E3C7-1048-E62A-15B50EA37959}"/>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4" name="Shape 260">
                                                                  <a:extLst>
                                                                    <a:ext uri="{FF2B5EF4-FFF2-40B4-BE49-F238E27FC236}">
                                                                      <a16:creationId xmlns:a16="http://schemas.microsoft.com/office/drawing/2014/main" id="{AF512455-5C42-F201-03C8-D62156821DD9}"/>
                                                                    </a:ext>
                                                                  </a:extLst>
                                                                </xdr:cNvPr>
                                                                <xdr:cNvGrpSpPr/>
                                                              </xdr:nvGrpSpPr>
                                                              <xdr:grpSpPr>
                                                                <a:xfrm>
                                                                  <a:off x="5326950" y="2132147"/>
                                                                  <a:ext cx="38100" cy="4398749"/>
                                                                  <a:chOff x="5326950" y="2132147"/>
                                                                  <a:chExt cx="38100" cy="4398749"/>
                                                                </a:xfrm>
                                                              </xdr:grpSpPr>
                                                              <xdr:sp macro="" textlink="">
                                                                <xdr:nvSpPr>
                                                                  <xdr:cNvPr id="265" name="Shape 261">
                                                                    <a:extLst>
                                                                      <a:ext uri="{FF2B5EF4-FFF2-40B4-BE49-F238E27FC236}">
                                                                        <a16:creationId xmlns:a16="http://schemas.microsoft.com/office/drawing/2014/main" id="{A372B18E-9F43-D6A9-B1FE-C1B97098489C}"/>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6" name="Shape 262">
                                                                    <a:extLst>
                                                                      <a:ext uri="{FF2B5EF4-FFF2-40B4-BE49-F238E27FC236}">
                                                                        <a16:creationId xmlns:a16="http://schemas.microsoft.com/office/drawing/2014/main" id="{CCD3B4AA-9A59-B500-7704-F45CA6C4CE9B}"/>
                                                                      </a:ext>
                                                                    </a:extLst>
                                                                  </xdr:cNvPr>
                                                                  <xdr:cNvGrpSpPr/>
                                                                </xdr:nvGrpSpPr>
                                                                <xdr:grpSpPr>
                                                                  <a:xfrm>
                                                                    <a:off x="5326950" y="2132147"/>
                                                                    <a:ext cx="38100" cy="4398749"/>
                                                                    <a:chOff x="5326950" y="2132147"/>
                                                                    <a:chExt cx="38100" cy="4398749"/>
                                                                  </a:xfrm>
                                                                </xdr:grpSpPr>
                                                                <xdr:sp macro="" textlink="">
                                                                  <xdr:nvSpPr>
                                                                    <xdr:cNvPr id="267" name="Shape 263">
                                                                      <a:extLst>
                                                                        <a:ext uri="{FF2B5EF4-FFF2-40B4-BE49-F238E27FC236}">
                                                                          <a16:creationId xmlns:a16="http://schemas.microsoft.com/office/drawing/2014/main" id="{755C8951-8955-9053-6B81-7E746F4D1834}"/>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8" name="Shape 264">
                                                                      <a:extLst>
                                                                        <a:ext uri="{FF2B5EF4-FFF2-40B4-BE49-F238E27FC236}">
                                                                          <a16:creationId xmlns:a16="http://schemas.microsoft.com/office/drawing/2014/main" id="{B2956E47-3691-E314-7C46-FEF4522C4153}"/>
                                                                        </a:ext>
                                                                      </a:extLst>
                                                                    </xdr:cNvPr>
                                                                    <xdr:cNvGrpSpPr/>
                                                                  </xdr:nvGrpSpPr>
                                                                  <xdr:grpSpPr>
                                                                    <a:xfrm>
                                                                      <a:off x="5326950" y="2132147"/>
                                                                      <a:ext cx="38100" cy="4398749"/>
                                                                      <a:chOff x="5326950" y="2132147"/>
                                                                      <a:chExt cx="38100" cy="4398749"/>
                                                                    </a:xfrm>
                                                                  </xdr:grpSpPr>
                                                                  <xdr:sp macro="" textlink="">
                                                                    <xdr:nvSpPr>
                                                                      <xdr:cNvPr id="269" name="Shape 265">
                                                                        <a:extLst>
                                                                          <a:ext uri="{FF2B5EF4-FFF2-40B4-BE49-F238E27FC236}">
                                                                            <a16:creationId xmlns:a16="http://schemas.microsoft.com/office/drawing/2014/main" id="{6688A1E9-B8C8-D434-1FE0-7B76121EABB1}"/>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0" name="Shape 266">
                                                                        <a:extLst>
                                                                          <a:ext uri="{FF2B5EF4-FFF2-40B4-BE49-F238E27FC236}">
                                                                            <a16:creationId xmlns:a16="http://schemas.microsoft.com/office/drawing/2014/main" id="{6EE8A7EB-0AAA-C50E-1FEB-2B459C73B538}"/>
                                                                          </a:ext>
                                                                        </a:extLst>
                                                                      </xdr:cNvPr>
                                                                      <xdr:cNvGrpSpPr/>
                                                                    </xdr:nvGrpSpPr>
                                                                    <xdr:grpSpPr>
                                                                      <a:xfrm>
                                                                        <a:off x="5326950" y="2132147"/>
                                                                        <a:ext cx="38100" cy="4398749"/>
                                                                        <a:chOff x="5326950" y="2132147"/>
                                                                        <a:chExt cx="38100" cy="4398749"/>
                                                                      </a:xfrm>
                                                                    </xdr:grpSpPr>
                                                                    <xdr:sp macro="" textlink="">
                                                                      <xdr:nvSpPr>
                                                                        <xdr:cNvPr id="271" name="Shape 267">
                                                                          <a:extLst>
                                                                            <a:ext uri="{FF2B5EF4-FFF2-40B4-BE49-F238E27FC236}">
                                                                              <a16:creationId xmlns:a16="http://schemas.microsoft.com/office/drawing/2014/main" id="{F01B6638-A818-629B-947B-FD088F2D194D}"/>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2" name="Shape 268">
                                                                          <a:extLst>
                                                                            <a:ext uri="{FF2B5EF4-FFF2-40B4-BE49-F238E27FC236}">
                                                                              <a16:creationId xmlns:a16="http://schemas.microsoft.com/office/drawing/2014/main" id="{CDBB92EB-5719-6E88-1919-86953D85CE96}"/>
                                                                            </a:ext>
                                                                          </a:extLst>
                                                                        </xdr:cNvPr>
                                                                        <xdr:cNvGrpSpPr/>
                                                                      </xdr:nvGrpSpPr>
                                                                      <xdr:grpSpPr>
                                                                        <a:xfrm>
                                                                          <a:off x="5326950" y="2132147"/>
                                                                          <a:ext cx="38100" cy="4398749"/>
                                                                          <a:chOff x="5326950" y="2132147"/>
                                                                          <a:chExt cx="38100" cy="4398749"/>
                                                                        </a:xfrm>
                                                                      </xdr:grpSpPr>
                                                                      <xdr:sp macro="" textlink="">
                                                                        <xdr:nvSpPr>
                                                                          <xdr:cNvPr id="273" name="Shape 269">
                                                                            <a:extLst>
                                                                              <a:ext uri="{FF2B5EF4-FFF2-40B4-BE49-F238E27FC236}">
                                                                                <a16:creationId xmlns:a16="http://schemas.microsoft.com/office/drawing/2014/main" id="{32180BA8-7858-8B1B-FC63-4FBD457CCD39}"/>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4" name="Shape 270">
                                                                            <a:extLst>
                                                                              <a:ext uri="{FF2B5EF4-FFF2-40B4-BE49-F238E27FC236}">
                                                                                <a16:creationId xmlns:a16="http://schemas.microsoft.com/office/drawing/2014/main" id="{1889CFF4-7542-48F1-6287-4B13BC430923}"/>
                                                                              </a:ext>
                                                                            </a:extLst>
                                                                          </xdr:cNvPr>
                                                                          <xdr:cNvGrpSpPr/>
                                                                        </xdr:nvGrpSpPr>
                                                                        <xdr:grpSpPr>
                                                                          <a:xfrm>
                                                                            <a:off x="5326950" y="2132147"/>
                                                                            <a:ext cx="38100" cy="4398749"/>
                                                                            <a:chOff x="5326950" y="2132147"/>
                                                                            <a:chExt cx="38100" cy="4398749"/>
                                                                          </a:xfrm>
                                                                        </xdr:grpSpPr>
                                                                        <xdr:sp macro="" textlink="">
                                                                          <xdr:nvSpPr>
                                                                            <xdr:cNvPr id="275" name="Shape 271">
                                                                              <a:extLst>
                                                                                <a:ext uri="{FF2B5EF4-FFF2-40B4-BE49-F238E27FC236}">
                                                                                  <a16:creationId xmlns:a16="http://schemas.microsoft.com/office/drawing/2014/main" id="{1F8805F2-9859-6947-F49B-9BF912836B77}"/>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6" name="Shape 272">
                                                                              <a:extLst>
                                                                                <a:ext uri="{FF2B5EF4-FFF2-40B4-BE49-F238E27FC236}">
                                                                                  <a16:creationId xmlns:a16="http://schemas.microsoft.com/office/drawing/2014/main" id="{B857C4C5-A173-3557-4C65-B80B5C778388}"/>
                                                                                </a:ext>
                                                                              </a:extLst>
                                                                            </xdr:cNvPr>
                                                                            <xdr:cNvGrpSpPr/>
                                                                          </xdr:nvGrpSpPr>
                                                                          <xdr:grpSpPr>
                                                                            <a:xfrm>
                                                                              <a:off x="5326950" y="2132147"/>
                                                                              <a:ext cx="38100" cy="4398749"/>
                                                                              <a:chOff x="5326950" y="2132147"/>
                                                                              <a:chExt cx="38100" cy="4398749"/>
                                                                            </a:xfrm>
                                                                          </xdr:grpSpPr>
                                                                          <xdr:sp macro="" textlink="">
                                                                            <xdr:nvSpPr>
                                                                              <xdr:cNvPr id="277" name="Shape 273">
                                                                                <a:extLst>
                                                                                  <a:ext uri="{FF2B5EF4-FFF2-40B4-BE49-F238E27FC236}">
                                                                                    <a16:creationId xmlns:a16="http://schemas.microsoft.com/office/drawing/2014/main" id="{060E3698-3DC8-06FA-BD28-2B74A55B4554}"/>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78" name="Shape 274">
                                                                                <a:extLst>
                                                                                  <a:ext uri="{FF2B5EF4-FFF2-40B4-BE49-F238E27FC236}">
                                                                                    <a16:creationId xmlns:a16="http://schemas.microsoft.com/office/drawing/2014/main" id="{6BC3DD3A-46C9-0657-97A6-14D6362BD714}"/>
                                                                                  </a:ext>
                                                                                </a:extLst>
                                                                              </xdr:cNvPr>
                                                                              <xdr:cNvGrpSpPr/>
                                                                            </xdr:nvGrpSpPr>
                                                                            <xdr:grpSpPr>
                                                                              <a:xfrm>
                                                                                <a:off x="5326950" y="2132147"/>
                                                                                <a:ext cx="38100" cy="4398749"/>
                                                                                <a:chOff x="5326950" y="2132147"/>
                                                                                <a:chExt cx="38100" cy="4398749"/>
                                                                              </a:xfrm>
                                                                            </xdr:grpSpPr>
                                                                            <xdr:sp macro="" textlink="">
                                                                              <xdr:nvSpPr>
                                                                                <xdr:cNvPr id="279" name="Shape 275">
                                                                                  <a:extLst>
                                                                                    <a:ext uri="{FF2B5EF4-FFF2-40B4-BE49-F238E27FC236}">
                                                                                      <a16:creationId xmlns:a16="http://schemas.microsoft.com/office/drawing/2014/main" id="{E2810627-E0AC-1FFE-7E47-8D16CDBE78A5}"/>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0" name="Shape 276">
                                                                                  <a:extLst>
                                                                                    <a:ext uri="{FF2B5EF4-FFF2-40B4-BE49-F238E27FC236}">
                                                                                      <a16:creationId xmlns:a16="http://schemas.microsoft.com/office/drawing/2014/main" id="{BE38691C-90E5-581A-F816-64086D1CCB69}"/>
                                                                                    </a:ext>
                                                                                  </a:extLst>
                                                                                </xdr:cNvPr>
                                                                                <xdr:cNvGrpSpPr/>
                                                                              </xdr:nvGrpSpPr>
                                                                              <xdr:grpSpPr>
                                                                                <a:xfrm>
                                                                                  <a:off x="5326950" y="2132147"/>
                                                                                  <a:ext cx="38100" cy="4398749"/>
                                                                                  <a:chOff x="5326950" y="2132147"/>
                                                                                  <a:chExt cx="38100" cy="4398749"/>
                                                                                </a:xfrm>
                                                                              </xdr:grpSpPr>
                                                                              <xdr:sp macro="" textlink="">
                                                                                <xdr:nvSpPr>
                                                                                  <xdr:cNvPr id="281" name="Shape 277">
                                                                                    <a:extLst>
                                                                                      <a:ext uri="{FF2B5EF4-FFF2-40B4-BE49-F238E27FC236}">
                                                                                        <a16:creationId xmlns:a16="http://schemas.microsoft.com/office/drawing/2014/main" id="{EA19F730-7288-5CBE-39C1-A2CD96393C04}"/>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2" name="Shape 278">
                                                                                    <a:extLst>
                                                                                      <a:ext uri="{FF2B5EF4-FFF2-40B4-BE49-F238E27FC236}">
                                                                                        <a16:creationId xmlns:a16="http://schemas.microsoft.com/office/drawing/2014/main" id="{AD1A347A-FC17-AD64-536E-6B19D5B5928F}"/>
                                                                                      </a:ext>
                                                                                    </a:extLst>
                                                                                  </xdr:cNvPr>
                                                                                  <xdr:cNvGrpSpPr/>
                                                                                </xdr:nvGrpSpPr>
                                                                                <xdr:grpSpPr>
                                                                                  <a:xfrm>
                                                                                    <a:off x="5326950" y="2132147"/>
                                                                                    <a:ext cx="38100" cy="4398749"/>
                                                                                    <a:chOff x="5326950" y="2132147"/>
                                                                                    <a:chExt cx="38100" cy="4398749"/>
                                                                                  </a:xfrm>
                                                                                </xdr:grpSpPr>
                                                                                <xdr:sp macro="" textlink="">
                                                                                  <xdr:nvSpPr>
                                                                                    <xdr:cNvPr id="283" name="Shape 279">
                                                                                      <a:extLst>
                                                                                        <a:ext uri="{FF2B5EF4-FFF2-40B4-BE49-F238E27FC236}">
                                                                                          <a16:creationId xmlns:a16="http://schemas.microsoft.com/office/drawing/2014/main" id="{29B5D964-125A-7D7C-E6E3-B4BF0EB7F43E}"/>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4" name="Shape 280">
                                                                                      <a:extLst>
                                                                                        <a:ext uri="{FF2B5EF4-FFF2-40B4-BE49-F238E27FC236}">
                                                                                          <a16:creationId xmlns:a16="http://schemas.microsoft.com/office/drawing/2014/main" id="{3172DED4-745B-4D3F-32AE-0527E55E01A3}"/>
                                                                                        </a:ext>
                                                                                      </a:extLst>
                                                                                    </xdr:cNvPr>
                                                                                    <xdr:cNvGrpSpPr/>
                                                                                  </xdr:nvGrpSpPr>
                                                                                  <xdr:grpSpPr>
                                                                                    <a:xfrm>
                                                                                      <a:off x="5326950" y="2132147"/>
                                                                                      <a:ext cx="38100" cy="4398749"/>
                                                                                      <a:chOff x="5326950" y="2132147"/>
                                                                                      <a:chExt cx="38100" cy="4398749"/>
                                                                                    </a:xfrm>
                                                                                  </xdr:grpSpPr>
                                                                                  <xdr:sp macro="" textlink="">
                                                                                    <xdr:nvSpPr>
                                                                                      <xdr:cNvPr id="285" name="Shape 281">
                                                                                        <a:extLst>
                                                                                          <a:ext uri="{FF2B5EF4-FFF2-40B4-BE49-F238E27FC236}">
                                                                                            <a16:creationId xmlns:a16="http://schemas.microsoft.com/office/drawing/2014/main" id="{C8D1469F-32B1-792A-6F0F-CEA42EE08E86}"/>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6" name="Shape 282">
                                                                                        <a:extLst>
                                                                                          <a:ext uri="{FF2B5EF4-FFF2-40B4-BE49-F238E27FC236}">
                                                                                            <a16:creationId xmlns:a16="http://schemas.microsoft.com/office/drawing/2014/main" id="{607F5EFD-F749-9630-3EF2-669057104218}"/>
                                                                                          </a:ext>
                                                                                        </a:extLst>
                                                                                      </xdr:cNvPr>
                                                                                      <xdr:cNvGrpSpPr/>
                                                                                    </xdr:nvGrpSpPr>
                                                                                    <xdr:grpSpPr>
                                                                                      <a:xfrm>
                                                                                        <a:off x="5326950" y="2132147"/>
                                                                                        <a:ext cx="38100" cy="4398749"/>
                                                                                        <a:chOff x="5326950" y="2132147"/>
                                                                                        <a:chExt cx="38100" cy="4398749"/>
                                                                                      </a:xfrm>
                                                                                    </xdr:grpSpPr>
                                                                                    <xdr:sp macro="" textlink="">
                                                                                      <xdr:nvSpPr>
                                                                                        <xdr:cNvPr id="287" name="Shape 283">
                                                                                          <a:extLst>
                                                                                            <a:ext uri="{FF2B5EF4-FFF2-40B4-BE49-F238E27FC236}">
                                                                                              <a16:creationId xmlns:a16="http://schemas.microsoft.com/office/drawing/2014/main" id="{BB4DB360-2639-1F6E-ADCD-905B220B50D1}"/>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88" name="Shape 284">
                                                                                          <a:extLst>
                                                                                            <a:ext uri="{FF2B5EF4-FFF2-40B4-BE49-F238E27FC236}">
                                                                                              <a16:creationId xmlns:a16="http://schemas.microsoft.com/office/drawing/2014/main" id="{9150CC33-8594-20BD-40A8-9C295596DAC1}"/>
                                                                                            </a:ext>
                                                                                          </a:extLst>
                                                                                        </xdr:cNvPr>
                                                                                        <xdr:cNvGrpSpPr/>
                                                                                      </xdr:nvGrpSpPr>
                                                                                      <xdr:grpSpPr>
                                                                                        <a:xfrm>
                                                                                          <a:off x="5326950" y="2132147"/>
                                                                                          <a:ext cx="38100" cy="4398749"/>
                                                                                          <a:chOff x="5326950" y="2132147"/>
                                                                                          <a:chExt cx="38100" cy="4398749"/>
                                                                                        </a:xfrm>
                                                                                      </xdr:grpSpPr>
                                                                                      <xdr:sp macro="" textlink="">
                                                                                        <xdr:nvSpPr>
                                                                                          <xdr:cNvPr id="289" name="Shape 285">
                                                                                            <a:extLst>
                                                                                              <a:ext uri="{FF2B5EF4-FFF2-40B4-BE49-F238E27FC236}">
                                                                                                <a16:creationId xmlns:a16="http://schemas.microsoft.com/office/drawing/2014/main" id="{AAEBF49F-7DB5-34A5-923F-E1A8E64A6399}"/>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0" name="Shape 286">
                                                                                            <a:extLst>
                                                                                              <a:ext uri="{FF2B5EF4-FFF2-40B4-BE49-F238E27FC236}">
                                                                                                <a16:creationId xmlns:a16="http://schemas.microsoft.com/office/drawing/2014/main" id="{A21F7346-5FF9-54FA-2250-54C8A7A66BB5}"/>
                                                                                              </a:ext>
                                                                                            </a:extLst>
                                                                                          </xdr:cNvPr>
                                                                                          <xdr:cNvGrpSpPr/>
                                                                                        </xdr:nvGrpSpPr>
                                                                                        <xdr:grpSpPr>
                                                                                          <a:xfrm>
                                                                                            <a:off x="5326950" y="2132147"/>
                                                                                            <a:ext cx="38100" cy="4398749"/>
                                                                                            <a:chOff x="5326950" y="2132147"/>
                                                                                            <a:chExt cx="38100" cy="4398749"/>
                                                                                          </a:xfrm>
                                                                                        </xdr:grpSpPr>
                                                                                        <xdr:sp macro="" textlink="">
                                                                                          <xdr:nvSpPr>
                                                                                            <xdr:cNvPr id="291" name="Shape 287">
                                                                                              <a:extLst>
                                                                                                <a:ext uri="{FF2B5EF4-FFF2-40B4-BE49-F238E27FC236}">
                                                                                                  <a16:creationId xmlns:a16="http://schemas.microsoft.com/office/drawing/2014/main" id="{F3BEDDC7-5B1A-5FA4-E2E0-1CB1A821EFC4}"/>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2" name="Shape 288">
                                                                                              <a:extLst>
                                                                                                <a:ext uri="{FF2B5EF4-FFF2-40B4-BE49-F238E27FC236}">
                                                                                                  <a16:creationId xmlns:a16="http://schemas.microsoft.com/office/drawing/2014/main" id="{C8BD385F-4669-F9E0-2E3D-7509F9010737}"/>
                                                                                                </a:ext>
                                                                                              </a:extLst>
                                                                                            </xdr:cNvPr>
                                                                                            <xdr:cNvGrpSpPr/>
                                                                                          </xdr:nvGrpSpPr>
                                                                                          <xdr:grpSpPr>
                                                                                            <a:xfrm>
                                                                                              <a:off x="5326950" y="2132147"/>
                                                                                              <a:ext cx="38100" cy="4398749"/>
                                                                                              <a:chOff x="5326950" y="2132147"/>
                                                                                              <a:chExt cx="38100" cy="4398749"/>
                                                                                            </a:xfrm>
                                                                                          </xdr:grpSpPr>
                                                                                          <xdr:sp macro="" textlink="">
                                                                                            <xdr:nvSpPr>
                                                                                              <xdr:cNvPr id="293" name="Shape 289">
                                                                                                <a:extLst>
                                                                                                  <a:ext uri="{FF2B5EF4-FFF2-40B4-BE49-F238E27FC236}">
                                                                                                    <a16:creationId xmlns:a16="http://schemas.microsoft.com/office/drawing/2014/main" id="{A74D184C-8D69-8E65-51DC-7F725001533E}"/>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4" name="Shape 290">
                                                                                                <a:extLst>
                                                                                                  <a:ext uri="{FF2B5EF4-FFF2-40B4-BE49-F238E27FC236}">
                                                                                                    <a16:creationId xmlns:a16="http://schemas.microsoft.com/office/drawing/2014/main" id="{662E64E6-C5D4-CDF4-2B6A-CC7878D19FA2}"/>
                                                                                                  </a:ext>
                                                                                                </a:extLst>
                                                                                              </xdr:cNvPr>
                                                                                              <xdr:cNvGrpSpPr/>
                                                                                            </xdr:nvGrpSpPr>
                                                                                            <xdr:grpSpPr>
                                                                                              <a:xfrm>
                                                                                                <a:off x="5326950" y="2132147"/>
                                                                                                <a:ext cx="38100" cy="4398749"/>
                                                                                                <a:chOff x="5326950" y="2132147"/>
                                                                                                <a:chExt cx="38100" cy="4398749"/>
                                                                                              </a:xfrm>
                                                                                            </xdr:grpSpPr>
                                                                                            <xdr:sp macro="" textlink="">
                                                                                              <xdr:nvSpPr>
                                                                                                <xdr:cNvPr id="295" name="Shape 291">
                                                                                                  <a:extLst>
                                                                                                    <a:ext uri="{FF2B5EF4-FFF2-40B4-BE49-F238E27FC236}">
                                                                                                      <a16:creationId xmlns:a16="http://schemas.microsoft.com/office/drawing/2014/main" id="{DF9340C0-AAA1-082E-0AC7-ED0F73DAFC67}"/>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6" name="Shape 292">
                                                                                                  <a:extLst>
                                                                                                    <a:ext uri="{FF2B5EF4-FFF2-40B4-BE49-F238E27FC236}">
                                                                                                      <a16:creationId xmlns:a16="http://schemas.microsoft.com/office/drawing/2014/main" id="{A8D4A09A-E922-39D7-BB38-846028AA1919}"/>
                                                                                                    </a:ext>
                                                                                                  </a:extLst>
                                                                                                </xdr:cNvPr>
                                                                                                <xdr:cNvGrpSpPr/>
                                                                                              </xdr:nvGrpSpPr>
                                                                                              <xdr:grpSpPr>
                                                                                                <a:xfrm>
                                                                                                  <a:off x="5326950" y="2132147"/>
                                                                                                  <a:ext cx="38100" cy="4398749"/>
                                                                                                  <a:chOff x="5326950" y="2132147"/>
                                                                                                  <a:chExt cx="38100" cy="4398749"/>
                                                                                                </a:xfrm>
                                                                                              </xdr:grpSpPr>
                                                                                              <xdr:sp macro="" textlink="">
                                                                                                <xdr:nvSpPr>
                                                                                                  <xdr:cNvPr id="297" name="Shape 293">
                                                                                                    <a:extLst>
                                                                                                      <a:ext uri="{FF2B5EF4-FFF2-40B4-BE49-F238E27FC236}">
                                                                                                        <a16:creationId xmlns:a16="http://schemas.microsoft.com/office/drawing/2014/main" id="{7C82CD5F-FD91-C965-3670-89D16CCB4F1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8" name="Shape 294">
                                                                                                    <a:extLst>
                                                                                                      <a:ext uri="{FF2B5EF4-FFF2-40B4-BE49-F238E27FC236}">
                                                                                                        <a16:creationId xmlns:a16="http://schemas.microsoft.com/office/drawing/2014/main" id="{4DEAFEDB-58BE-145D-5F09-4BA90615508C}"/>
                                                                                                      </a:ext>
                                                                                                    </a:extLst>
                                                                                                  </xdr:cNvPr>
                                                                                                  <xdr:cNvGrpSpPr/>
                                                                                                </xdr:nvGrpSpPr>
                                                                                                <xdr:grpSpPr>
                                                                                                  <a:xfrm>
                                                                                                    <a:off x="5326950" y="2132147"/>
                                                                                                    <a:ext cx="38100" cy="4398749"/>
                                                                                                    <a:chOff x="5326950" y="2132147"/>
                                                                                                    <a:chExt cx="38100" cy="4398749"/>
                                                                                                  </a:xfrm>
                                                                                                </xdr:grpSpPr>
                                                                                                <xdr:sp macro="" textlink="">
                                                                                                  <xdr:nvSpPr>
                                                                                                    <xdr:cNvPr id="299" name="Shape 295">
                                                                                                      <a:extLst>
                                                                                                        <a:ext uri="{FF2B5EF4-FFF2-40B4-BE49-F238E27FC236}">
                                                                                                          <a16:creationId xmlns:a16="http://schemas.microsoft.com/office/drawing/2014/main" id="{AC8D92CE-D6D9-B7D3-2B90-18466DE6D62D}"/>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0" name="Shape 296">
                                                                                                      <a:extLst>
                                                                                                        <a:ext uri="{FF2B5EF4-FFF2-40B4-BE49-F238E27FC236}">
                                                                                                          <a16:creationId xmlns:a16="http://schemas.microsoft.com/office/drawing/2014/main" id="{CC8DBDA5-D457-89A6-9C1C-EAAB2D2200EF}"/>
                                                                                                        </a:ext>
                                                                                                      </a:extLst>
                                                                                                    </xdr:cNvPr>
                                                                                                    <xdr:cNvGrpSpPr/>
                                                                                                  </xdr:nvGrpSpPr>
                                                                                                  <xdr:grpSpPr>
                                                                                                    <a:xfrm>
                                                                                                      <a:off x="5326950" y="2132147"/>
                                                                                                      <a:ext cx="38100" cy="4398749"/>
                                                                                                      <a:chOff x="5326950" y="2132147"/>
                                                                                                      <a:chExt cx="38100" cy="4398749"/>
                                                                                                    </a:xfrm>
                                                                                                  </xdr:grpSpPr>
                                                                                                  <xdr:sp macro="" textlink="">
                                                                                                    <xdr:nvSpPr>
                                                                                                      <xdr:cNvPr id="301" name="Shape 297">
                                                                                                        <a:extLst>
                                                                                                          <a:ext uri="{FF2B5EF4-FFF2-40B4-BE49-F238E27FC236}">
                                                                                                            <a16:creationId xmlns:a16="http://schemas.microsoft.com/office/drawing/2014/main" id="{C789DA9F-A80A-D602-9939-88CB9AB9FB98}"/>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2" name="Shape 298">
                                                                                                        <a:extLst>
                                                                                                          <a:ext uri="{FF2B5EF4-FFF2-40B4-BE49-F238E27FC236}">
                                                                                                            <a16:creationId xmlns:a16="http://schemas.microsoft.com/office/drawing/2014/main" id="{A8849752-0822-EE86-F549-BB102B783102}"/>
                                                                                                          </a:ext>
                                                                                                        </a:extLst>
                                                                                                      </xdr:cNvPr>
                                                                                                      <xdr:cNvGrpSpPr/>
                                                                                                    </xdr:nvGrpSpPr>
                                                                                                    <xdr:grpSpPr>
                                                                                                      <a:xfrm>
                                                                                                        <a:off x="5326950" y="2132147"/>
                                                                                                        <a:ext cx="38100" cy="4398749"/>
                                                                                                        <a:chOff x="5326950" y="2132147"/>
                                                                                                        <a:chExt cx="38100" cy="4398749"/>
                                                                                                      </a:xfrm>
                                                                                                    </xdr:grpSpPr>
                                                                                                    <xdr:sp macro="" textlink="">
                                                                                                      <xdr:nvSpPr>
                                                                                                        <xdr:cNvPr id="303" name="Shape 299">
                                                                                                          <a:extLst>
                                                                                                            <a:ext uri="{FF2B5EF4-FFF2-40B4-BE49-F238E27FC236}">
                                                                                                              <a16:creationId xmlns:a16="http://schemas.microsoft.com/office/drawing/2014/main" id="{0928BBC8-E153-C899-F901-470DFD0FB44F}"/>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4" name="Shape 300">
                                                                                                          <a:extLst>
                                                                                                            <a:ext uri="{FF2B5EF4-FFF2-40B4-BE49-F238E27FC236}">
                                                                                                              <a16:creationId xmlns:a16="http://schemas.microsoft.com/office/drawing/2014/main" id="{CDC091B4-08AF-A5C3-166C-ABE79CA16290}"/>
                                                                                                            </a:ext>
                                                                                                          </a:extLst>
                                                                                                        </xdr:cNvPr>
                                                                                                        <xdr:cNvGrpSpPr/>
                                                                                                      </xdr:nvGrpSpPr>
                                                                                                      <xdr:grpSpPr>
                                                                                                        <a:xfrm>
                                                                                                          <a:off x="5326950" y="2132147"/>
                                                                                                          <a:ext cx="38100" cy="4398749"/>
                                                                                                          <a:chOff x="5326950" y="2132147"/>
                                                                                                          <a:chExt cx="38100" cy="4398749"/>
                                                                                                        </a:xfrm>
                                                                                                      </xdr:grpSpPr>
                                                                                                      <xdr:sp macro="" textlink="">
                                                                                                        <xdr:nvSpPr>
                                                                                                          <xdr:cNvPr id="305" name="Shape 301">
                                                                                                            <a:extLst>
                                                                                                              <a:ext uri="{FF2B5EF4-FFF2-40B4-BE49-F238E27FC236}">
                                                                                                                <a16:creationId xmlns:a16="http://schemas.microsoft.com/office/drawing/2014/main" id="{629FB39A-0D65-EA53-2465-BE25793D8299}"/>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6" name="Shape 302">
                                                                                                            <a:extLst>
                                                                                                              <a:ext uri="{FF2B5EF4-FFF2-40B4-BE49-F238E27FC236}">
                                                                                                                <a16:creationId xmlns:a16="http://schemas.microsoft.com/office/drawing/2014/main" id="{B836BD9B-B876-C62E-D64F-AC8FA50023A9}"/>
                                                                                                              </a:ext>
                                                                                                            </a:extLst>
                                                                                                          </xdr:cNvPr>
                                                                                                          <xdr:cNvGrpSpPr/>
                                                                                                        </xdr:nvGrpSpPr>
                                                                                                        <xdr:grpSpPr>
                                                                                                          <a:xfrm>
                                                                                                            <a:off x="5326950" y="2132147"/>
                                                                                                            <a:ext cx="38100" cy="4398749"/>
                                                                                                            <a:chOff x="5326950" y="2132147"/>
                                                                                                            <a:chExt cx="38100" cy="4398749"/>
                                                                                                          </a:xfrm>
                                                                                                        </xdr:grpSpPr>
                                                                                                        <xdr:sp macro="" textlink="">
                                                                                                          <xdr:nvSpPr>
                                                                                                            <xdr:cNvPr id="307" name="Shape 303">
                                                                                                              <a:extLst>
                                                                                                                <a:ext uri="{FF2B5EF4-FFF2-40B4-BE49-F238E27FC236}">
                                                                                                                  <a16:creationId xmlns:a16="http://schemas.microsoft.com/office/drawing/2014/main" id="{71E79D55-D433-BB7D-1902-9915EF6F98B4}"/>
                                                                                                                </a:ext>
                                                                                                              </a:extLst>
                                                                                                            </xdr:cNvPr>
                                                                                                            <xdr:cNvSpPr/>
                                                                                                          </xdr:nvSpPr>
                                                                                                          <xdr:spPr>
                                                                                                            <a:xfrm>
                                                                                                              <a:off x="5326950" y="2132175"/>
                                                                                                              <a:ext cx="3810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08" name="Shape 304">
                                                                                                              <a:extLst>
                                                                                                                <a:ext uri="{FF2B5EF4-FFF2-40B4-BE49-F238E27FC236}">
                                                                                                                  <a16:creationId xmlns:a16="http://schemas.microsoft.com/office/drawing/2014/main" id="{DF2C8835-E668-2B1E-55AA-549D7C99C4AD}"/>
                                                                                                                </a:ext>
                                                                                                              </a:extLst>
                                                                                                            </xdr:cNvPr>
                                                                                                            <xdr:cNvGrpSpPr/>
                                                                                                          </xdr:nvGrpSpPr>
                                                                                                          <xdr:grpSpPr>
                                                                                                            <a:xfrm>
                                                                                                              <a:off x="5326950" y="2132147"/>
                                                                                                              <a:ext cx="38100" cy="4398749"/>
                                                                                                              <a:chOff x="5336475" y="2132147"/>
                                                                                                              <a:chExt cx="19050" cy="4398749"/>
                                                                                                            </a:xfrm>
                                                                                                          </xdr:grpSpPr>
                                                                                                          <xdr:sp macro="" textlink="">
                                                                                                            <xdr:nvSpPr>
                                                                                                              <xdr:cNvPr id="309" name="Shape 305">
                                                                                                                <a:extLst>
                                                                                                                  <a:ext uri="{FF2B5EF4-FFF2-40B4-BE49-F238E27FC236}">
                                                                                                                    <a16:creationId xmlns:a16="http://schemas.microsoft.com/office/drawing/2014/main" id="{3BB449B0-E4DE-6F38-AD2F-4A1A7262D334}"/>
                                                                                                                  </a:ext>
                                                                                                                </a:extLst>
                                                                                                              </xdr:cNvPr>
                                                                                                              <xdr:cNvSpPr/>
                                                                                                            </xdr:nvSpPr>
                                                                                                            <xdr:spPr>
                                                                                                              <a:xfrm>
                                                                                                                <a:off x="5336475" y="2132175"/>
                                                                                                                <a:ext cx="19050" cy="3295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10" name="Shape 306">
                                                                                                                <a:extLst>
                                                                                                                  <a:ext uri="{FF2B5EF4-FFF2-40B4-BE49-F238E27FC236}">
                                                                                                                    <a16:creationId xmlns:a16="http://schemas.microsoft.com/office/drawing/2014/main" id="{B6F3E926-C664-3CA3-4BD5-6168C3910DD6}"/>
                                                                                                                  </a:ext>
                                                                                                                </a:extLst>
                                                                                                              </xdr:cNvPr>
                                                                                                              <xdr:cNvCxnSpPr>
                                                                                                                <a:stCxn id="241" idx="0"/>
                                                                                                                <a:endCxn id="241" idx="2"/>
                                                                                                              </xdr:cNvCxnSpPr>
                                                                                                            </xdr:nvCxnSpPr>
                                                                                                            <xdr:spPr>
                                                                                                              <a:xfrm>
                                                                                                                <a:off x="5346000" y="2132147"/>
                                                                                                                <a:ext cx="0" cy="4398749"/>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1</xdr:col>
      <xdr:colOff>0</xdr:colOff>
      <xdr:row>88</xdr:row>
      <xdr:rowOff>123825</xdr:rowOff>
    </xdr:from>
    <xdr:ext cx="13077825" cy="38100"/>
    <xdr:grpSp>
      <xdr:nvGrpSpPr>
        <xdr:cNvPr id="311" name="Shape 2">
          <a:extLst>
            <a:ext uri="{FF2B5EF4-FFF2-40B4-BE49-F238E27FC236}">
              <a16:creationId xmlns:a16="http://schemas.microsoft.com/office/drawing/2014/main" id="{535E3F15-4949-4E1C-A974-90A911BE54F8}"/>
            </a:ext>
          </a:extLst>
        </xdr:cNvPr>
        <xdr:cNvGrpSpPr/>
      </xdr:nvGrpSpPr>
      <xdr:grpSpPr>
        <a:xfrm>
          <a:off x="91440" y="22153245"/>
          <a:ext cx="13077825" cy="38100"/>
          <a:chOff x="0" y="3760950"/>
          <a:chExt cx="10692000" cy="38100"/>
        </a:xfrm>
      </xdr:grpSpPr>
      <xdr:grpSp>
        <xdr:nvGrpSpPr>
          <xdr:cNvPr id="312" name="Shape 307">
            <a:extLst>
              <a:ext uri="{FF2B5EF4-FFF2-40B4-BE49-F238E27FC236}">
                <a16:creationId xmlns:a16="http://schemas.microsoft.com/office/drawing/2014/main" id="{A853AA26-A9CF-1537-60DF-DCC4A887A5CD}"/>
              </a:ext>
            </a:extLst>
          </xdr:cNvPr>
          <xdr:cNvGrpSpPr/>
        </xdr:nvGrpSpPr>
        <xdr:grpSpPr>
          <a:xfrm>
            <a:off x="0" y="3760950"/>
            <a:ext cx="10692000" cy="38100"/>
            <a:chOff x="0" y="3760950"/>
            <a:chExt cx="10692000" cy="38100"/>
          </a:xfrm>
        </xdr:grpSpPr>
        <xdr:sp macro="" textlink="">
          <xdr:nvSpPr>
            <xdr:cNvPr id="313" name="Shape 5">
              <a:extLst>
                <a:ext uri="{FF2B5EF4-FFF2-40B4-BE49-F238E27FC236}">
                  <a16:creationId xmlns:a16="http://schemas.microsoft.com/office/drawing/2014/main" id="{8AD23293-D528-F5D8-2872-785C95C4DE1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14" name="Shape 308">
              <a:extLst>
                <a:ext uri="{FF2B5EF4-FFF2-40B4-BE49-F238E27FC236}">
                  <a16:creationId xmlns:a16="http://schemas.microsoft.com/office/drawing/2014/main" id="{6A64AB08-7BE4-7093-F533-FED6E74CB75E}"/>
                </a:ext>
              </a:extLst>
            </xdr:cNvPr>
            <xdr:cNvGrpSpPr/>
          </xdr:nvGrpSpPr>
          <xdr:grpSpPr>
            <a:xfrm>
              <a:off x="0" y="3760950"/>
              <a:ext cx="10692000" cy="38100"/>
              <a:chOff x="0" y="3760950"/>
              <a:chExt cx="10692000" cy="38100"/>
            </a:xfrm>
          </xdr:grpSpPr>
          <xdr:sp macro="" textlink="">
            <xdr:nvSpPr>
              <xdr:cNvPr id="315" name="Shape 309">
                <a:extLst>
                  <a:ext uri="{FF2B5EF4-FFF2-40B4-BE49-F238E27FC236}">
                    <a16:creationId xmlns:a16="http://schemas.microsoft.com/office/drawing/2014/main" id="{A49BCE5A-D695-6A78-F401-4272409223C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16" name="Shape 310">
                <a:extLst>
                  <a:ext uri="{FF2B5EF4-FFF2-40B4-BE49-F238E27FC236}">
                    <a16:creationId xmlns:a16="http://schemas.microsoft.com/office/drawing/2014/main" id="{B0FD0A35-F32C-419B-F13B-93AA7DE4BFA6}"/>
                  </a:ext>
                </a:extLst>
              </xdr:cNvPr>
              <xdr:cNvGrpSpPr/>
            </xdr:nvGrpSpPr>
            <xdr:grpSpPr>
              <a:xfrm>
                <a:off x="0" y="3760950"/>
                <a:ext cx="10692000" cy="38100"/>
                <a:chOff x="0" y="3760950"/>
                <a:chExt cx="10692000" cy="38100"/>
              </a:xfrm>
            </xdr:grpSpPr>
            <xdr:sp macro="" textlink="">
              <xdr:nvSpPr>
                <xdr:cNvPr id="317" name="Shape 311">
                  <a:extLst>
                    <a:ext uri="{FF2B5EF4-FFF2-40B4-BE49-F238E27FC236}">
                      <a16:creationId xmlns:a16="http://schemas.microsoft.com/office/drawing/2014/main" id="{16B2CDA5-961C-167D-C9F5-5F27CC45215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18" name="Shape 312">
                  <a:extLst>
                    <a:ext uri="{FF2B5EF4-FFF2-40B4-BE49-F238E27FC236}">
                      <a16:creationId xmlns:a16="http://schemas.microsoft.com/office/drawing/2014/main" id="{A4D95EBA-25D2-8F3D-A2D6-BAE3DFD0D152}"/>
                    </a:ext>
                  </a:extLst>
                </xdr:cNvPr>
                <xdr:cNvGrpSpPr/>
              </xdr:nvGrpSpPr>
              <xdr:grpSpPr>
                <a:xfrm>
                  <a:off x="0" y="3760950"/>
                  <a:ext cx="10692000" cy="38100"/>
                  <a:chOff x="0" y="3760950"/>
                  <a:chExt cx="10692000" cy="38100"/>
                </a:xfrm>
              </xdr:grpSpPr>
              <xdr:sp macro="" textlink="">
                <xdr:nvSpPr>
                  <xdr:cNvPr id="319" name="Shape 313">
                    <a:extLst>
                      <a:ext uri="{FF2B5EF4-FFF2-40B4-BE49-F238E27FC236}">
                        <a16:creationId xmlns:a16="http://schemas.microsoft.com/office/drawing/2014/main" id="{34F17659-AE94-675F-7EAB-E8A84141A883}"/>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0" name="Shape 314">
                    <a:extLst>
                      <a:ext uri="{FF2B5EF4-FFF2-40B4-BE49-F238E27FC236}">
                        <a16:creationId xmlns:a16="http://schemas.microsoft.com/office/drawing/2014/main" id="{5056A6FA-40F5-AD60-40F6-ABE1E5AD7E30}"/>
                      </a:ext>
                    </a:extLst>
                  </xdr:cNvPr>
                  <xdr:cNvGrpSpPr/>
                </xdr:nvGrpSpPr>
                <xdr:grpSpPr>
                  <a:xfrm>
                    <a:off x="0" y="3760950"/>
                    <a:ext cx="10692000" cy="38100"/>
                    <a:chOff x="0" y="3760950"/>
                    <a:chExt cx="10692000" cy="38100"/>
                  </a:xfrm>
                </xdr:grpSpPr>
                <xdr:sp macro="" textlink="">
                  <xdr:nvSpPr>
                    <xdr:cNvPr id="321" name="Shape 315">
                      <a:extLst>
                        <a:ext uri="{FF2B5EF4-FFF2-40B4-BE49-F238E27FC236}">
                          <a16:creationId xmlns:a16="http://schemas.microsoft.com/office/drawing/2014/main" id="{F5718EB8-3A41-9ED9-7AB5-EA05E0D002BD}"/>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2" name="Shape 316">
                      <a:extLst>
                        <a:ext uri="{FF2B5EF4-FFF2-40B4-BE49-F238E27FC236}">
                          <a16:creationId xmlns:a16="http://schemas.microsoft.com/office/drawing/2014/main" id="{AE092B54-EDE1-B14A-A029-28368BC0492F}"/>
                        </a:ext>
                      </a:extLst>
                    </xdr:cNvPr>
                    <xdr:cNvGrpSpPr/>
                  </xdr:nvGrpSpPr>
                  <xdr:grpSpPr>
                    <a:xfrm>
                      <a:off x="0" y="3760950"/>
                      <a:ext cx="10692000" cy="38100"/>
                      <a:chOff x="0" y="3760950"/>
                      <a:chExt cx="10692000" cy="38100"/>
                    </a:xfrm>
                  </xdr:grpSpPr>
                  <xdr:sp macro="" textlink="">
                    <xdr:nvSpPr>
                      <xdr:cNvPr id="323" name="Shape 317">
                        <a:extLst>
                          <a:ext uri="{FF2B5EF4-FFF2-40B4-BE49-F238E27FC236}">
                            <a16:creationId xmlns:a16="http://schemas.microsoft.com/office/drawing/2014/main" id="{85EDD10B-1643-56E2-6473-77FD4D99BDE5}"/>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4" name="Shape 318">
                        <a:extLst>
                          <a:ext uri="{FF2B5EF4-FFF2-40B4-BE49-F238E27FC236}">
                            <a16:creationId xmlns:a16="http://schemas.microsoft.com/office/drawing/2014/main" id="{4D7665AE-D4B7-7F24-7307-C9B4E9F555C0}"/>
                          </a:ext>
                        </a:extLst>
                      </xdr:cNvPr>
                      <xdr:cNvGrpSpPr/>
                    </xdr:nvGrpSpPr>
                    <xdr:grpSpPr>
                      <a:xfrm>
                        <a:off x="0" y="3760950"/>
                        <a:ext cx="10692000" cy="38100"/>
                        <a:chOff x="0" y="3760950"/>
                        <a:chExt cx="10692000" cy="38100"/>
                      </a:xfrm>
                    </xdr:grpSpPr>
                    <xdr:sp macro="" textlink="">
                      <xdr:nvSpPr>
                        <xdr:cNvPr id="325" name="Shape 319">
                          <a:extLst>
                            <a:ext uri="{FF2B5EF4-FFF2-40B4-BE49-F238E27FC236}">
                              <a16:creationId xmlns:a16="http://schemas.microsoft.com/office/drawing/2014/main" id="{58417B90-27F9-0414-525D-4D5EA6FDD689}"/>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6" name="Shape 320">
                          <a:extLst>
                            <a:ext uri="{FF2B5EF4-FFF2-40B4-BE49-F238E27FC236}">
                              <a16:creationId xmlns:a16="http://schemas.microsoft.com/office/drawing/2014/main" id="{4CB893B2-55D3-09F2-6DBB-5F84BA8C2302}"/>
                            </a:ext>
                          </a:extLst>
                        </xdr:cNvPr>
                        <xdr:cNvGrpSpPr/>
                      </xdr:nvGrpSpPr>
                      <xdr:grpSpPr>
                        <a:xfrm>
                          <a:off x="0" y="3760950"/>
                          <a:ext cx="10692000" cy="38100"/>
                          <a:chOff x="0" y="3760950"/>
                          <a:chExt cx="10692000" cy="38100"/>
                        </a:xfrm>
                      </xdr:grpSpPr>
                      <xdr:sp macro="" textlink="">
                        <xdr:nvSpPr>
                          <xdr:cNvPr id="327" name="Shape 321">
                            <a:extLst>
                              <a:ext uri="{FF2B5EF4-FFF2-40B4-BE49-F238E27FC236}">
                                <a16:creationId xmlns:a16="http://schemas.microsoft.com/office/drawing/2014/main" id="{CFC70490-E3F8-ECC9-BB34-FA27DB068E81}"/>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28" name="Shape 322">
                            <a:extLst>
                              <a:ext uri="{FF2B5EF4-FFF2-40B4-BE49-F238E27FC236}">
                                <a16:creationId xmlns:a16="http://schemas.microsoft.com/office/drawing/2014/main" id="{D706804E-2E2D-06E2-6F68-D875276D1FAA}"/>
                              </a:ext>
                            </a:extLst>
                          </xdr:cNvPr>
                          <xdr:cNvGrpSpPr/>
                        </xdr:nvGrpSpPr>
                        <xdr:grpSpPr>
                          <a:xfrm>
                            <a:off x="0" y="3760950"/>
                            <a:ext cx="10692000" cy="38100"/>
                            <a:chOff x="0" y="3760950"/>
                            <a:chExt cx="10692000" cy="38100"/>
                          </a:xfrm>
                        </xdr:grpSpPr>
                        <xdr:sp macro="" textlink="">
                          <xdr:nvSpPr>
                            <xdr:cNvPr id="329" name="Shape 323">
                              <a:extLst>
                                <a:ext uri="{FF2B5EF4-FFF2-40B4-BE49-F238E27FC236}">
                                  <a16:creationId xmlns:a16="http://schemas.microsoft.com/office/drawing/2014/main" id="{592145C0-967C-C2F2-E00C-F0E16E716B0F}"/>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0" name="Shape 324">
                              <a:extLst>
                                <a:ext uri="{FF2B5EF4-FFF2-40B4-BE49-F238E27FC236}">
                                  <a16:creationId xmlns:a16="http://schemas.microsoft.com/office/drawing/2014/main" id="{14CDB945-9E45-B8CD-5E3B-D42F68702DD7}"/>
                                </a:ext>
                              </a:extLst>
                            </xdr:cNvPr>
                            <xdr:cNvGrpSpPr/>
                          </xdr:nvGrpSpPr>
                          <xdr:grpSpPr>
                            <a:xfrm>
                              <a:off x="0" y="3760950"/>
                              <a:ext cx="10692000" cy="38100"/>
                              <a:chOff x="0" y="3760950"/>
                              <a:chExt cx="10692000" cy="38100"/>
                            </a:xfrm>
                          </xdr:grpSpPr>
                          <xdr:sp macro="" textlink="">
                            <xdr:nvSpPr>
                              <xdr:cNvPr id="331" name="Shape 325">
                                <a:extLst>
                                  <a:ext uri="{FF2B5EF4-FFF2-40B4-BE49-F238E27FC236}">
                                    <a16:creationId xmlns:a16="http://schemas.microsoft.com/office/drawing/2014/main" id="{8F869781-369C-E308-63AC-BF57464820C1}"/>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2" name="Shape 326">
                                <a:extLst>
                                  <a:ext uri="{FF2B5EF4-FFF2-40B4-BE49-F238E27FC236}">
                                    <a16:creationId xmlns:a16="http://schemas.microsoft.com/office/drawing/2014/main" id="{EFBD8152-096E-BA15-F408-E7F2C26F0C61}"/>
                                  </a:ext>
                                </a:extLst>
                              </xdr:cNvPr>
                              <xdr:cNvGrpSpPr/>
                            </xdr:nvGrpSpPr>
                            <xdr:grpSpPr>
                              <a:xfrm>
                                <a:off x="0" y="3760950"/>
                                <a:ext cx="10692000" cy="38100"/>
                                <a:chOff x="0" y="3760950"/>
                                <a:chExt cx="10692000" cy="38100"/>
                              </a:xfrm>
                            </xdr:grpSpPr>
                            <xdr:sp macro="" textlink="">
                              <xdr:nvSpPr>
                                <xdr:cNvPr id="333" name="Shape 327">
                                  <a:extLst>
                                    <a:ext uri="{FF2B5EF4-FFF2-40B4-BE49-F238E27FC236}">
                                      <a16:creationId xmlns:a16="http://schemas.microsoft.com/office/drawing/2014/main" id="{723935DC-EA3E-BB7E-CBBB-6F2A5309F19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4" name="Shape 328">
                                  <a:extLst>
                                    <a:ext uri="{FF2B5EF4-FFF2-40B4-BE49-F238E27FC236}">
                                      <a16:creationId xmlns:a16="http://schemas.microsoft.com/office/drawing/2014/main" id="{888076DF-3A86-9B57-044F-BCC87A5B32D9}"/>
                                    </a:ext>
                                  </a:extLst>
                                </xdr:cNvPr>
                                <xdr:cNvGrpSpPr/>
                              </xdr:nvGrpSpPr>
                              <xdr:grpSpPr>
                                <a:xfrm>
                                  <a:off x="0" y="3760950"/>
                                  <a:ext cx="10692000" cy="38100"/>
                                  <a:chOff x="0" y="3760950"/>
                                  <a:chExt cx="10692000" cy="38100"/>
                                </a:xfrm>
                              </xdr:grpSpPr>
                              <xdr:sp macro="" textlink="">
                                <xdr:nvSpPr>
                                  <xdr:cNvPr id="335" name="Shape 329">
                                    <a:extLst>
                                      <a:ext uri="{FF2B5EF4-FFF2-40B4-BE49-F238E27FC236}">
                                        <a16:creationId xmlns:a16="http://schemas.microsoft.com/office/drawing/2014/main" id="{17504452-3032-27CB-9F9D-450CE2C2B26F}"/>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6" name="Shape 330">
                                    <a:extLst>
                                      <a:ext uri="{FF2B5EF4-FFF2-40B4-BE49-F238E27FC236}">
                                        <a16:creationId xmlns:a16="http://schemas.microsoft.com/office/drawing/2014/main" id="{55912074-26FA-5B4E-C4A4-7E6CEA5030C8}"/>
                                      </a:ext>
                                    </a:extLst>
                                  </xdr:cNvPr>
                                  <xdr:cNvGrpSpPr/>
                                </xdr:nvGrpSpPr>
                                <xdr:grpSpPr>
                                  <a:xfrm>
                                    <a:off x="0" y="3760950"/>
                                    <a:ext cx="10692000" cy="38100"/>
                                    <a:chOff x="0" y="3760950"/>
                                    <a:chExt cx="10692000" cy="38100"/>
                                  </a:xfrm>
                                </xdr:grpSpPr>
                                <xdr:sp macro="" textlink="">
                                  <xdr:nvSpPr>
                                    <xdr:cNvPr id="337" name="Shape 331">
                                      <a:extLst>
                                        <a:ext uri="{FF2B5EF4-FFF2-40B4-BE49-F238E27FC236}">
                                          <a16:creationId xmlns:a16="http://schemas.microsoft.com/office/drawing/2014/main" id="{318BEC18-EC7D-B156-E3B7-BEF1F3227BF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38" name="Shape 332">
                                      <a:extLst>
                                        <a:ext uri="{FF2B5EF4-FFF2-40B4-BE49-F238E27FC236}">
                                          <a16:creationId xmlns:a16="http://schemas.microsoft.com/office/drawing/2014/main" id="{7802B121-900C-CB38-81CF-778573281D4C}"/>
                                        </a:ext>
                                      </a:extLst>
                                    </xdr:cNvPr>
                                    <xdr:cNvGrpSpPr/>
                                  </xdr:nvGrpSpPr>
                                  <xdr:grpSpPr>
                                    <a:xfrm>
                                      <a:off x="0" y="3760950"/>
                                      <a:ext cx="10692000" cy="38100"/>
                                      <a:chOff x="0" y="3760950"/>
                                      <a:chExt cx="10692000" cy="38100"/>
                                    </a:xfrm>
                                  </xdr:grpSpPr>
                                  <xdr:sp macro="" textlink="">
                                    <xdr:nvSpPr>
                                      <xdr:cNvPr id="339" name="Shape 333">
                                        <a:extLst>
                                          <a:ext uri="{FF2B5EF4-FFF2-40B4-BE49-F238E27FC236}">
                                            <a16:creationId xmlns:a16="http://schemas.microsoft.com/office/drawing/2014/main" id="{4120FC27-B56C-B20D-49FE-E8A8EBD54B72}"/>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0" name="Shape 334">
                                        <a:extLst>
                                          <a:ext uri="{FF2B5EF4-FFF2-40B4-BE49-F238E27FC236}">
                                            <a16:creationId xmlns:a16="http://schemas.microsoft.com/office/drawing/2014/main" id="{3DF7FC01-B321-C78D-D73E-0B70BB395587}"/>
                                          </a:ext>
                                        </a:extLst>
                                      </xdr:cNvPr>
                                      <xdr:cNvGrpSpPr/>
                                    </xdr:nvGrpSpPr>
                                    <xdr:grpSpPr>
                                      <a:xfrm>
                                        <a:off x="0" y="3760950"/>
                                        <a:ext cx="10692000" cy="38100"/>
                                        <a:chOff x="0" y="3760950"/>
                                        <a:chExt cx="10692000" cy="38100"/>
                                      </a:xfrm>
                                    </xdr:grpSpPr>
                                    <xdr:sp macro="" textlink="">
                                      <xdr:nvSpPr>
                                        <xdr:cNvPr id="341" name="Shape 335">
                                          <a:extLst>
                                            <a:ext uri="{FF2B5EF4-FFF2-40B4-BE49-F238E27FC236}">
                                              <a16:creationId xmlns:a16="http://schemas.microsoft.com/office/drawing/2014/main" id="{C7E388B7-F2C2-516E-A638-DFF998889388}"/>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2" name="Shape 336">
                                          <a:extLst>
                                            <a:ext uri="{FF2B5EF4-FFF2-40B4-BE49-F238E27FC236}">
                                              <a16:creationId xmlns:a16="http://schemas.microsoft.com/office/drawing/2014/main" id="{55BEF473-71A8-764D-7852-B66A3F75A6B4}"/>
                                            </a:ext>
                                          </a:extLst>
                                        </xdr:cNvPr>
                                        <xdr:cNvGrpSpPr/>
                                      </xdr:nvGrpSpPr>
                                      <xdr:grpSpPr>
                                        <a:xfrm>
                                          <a:off x="0" y="3760950"/>
                                          <a:ext cx="10692000" cy="38100"/>
                                          <a:chOff x="0" y="3760950"/>
                                          <a:chExt cx="10692000" cy="38100"/>
                                        </a:xfrm>
                                      </xdr:grpSpPr>
                                      <xdr:sp macro="" textlink="">
                                        <xdr:nvSpPr>
                                          <xdr:cNvPr id="343" name="Shape 337">
                                            <a:extLst>
                                              <a:ext uri="{FF2B5EF4-FFF2-40B4-BE49-F238E27FC236}">
                                                <a16:creationId xmlns:a16="http://schemas.microsoft.com/office/drawing/2014/main" id="{14AD5E0C-9B78-12D9-DFF5-EE369755679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4" name="Shape 338">
                                            <a:extLst>
                                              <a:ext uri="{FF2B5EF4-FFF2-40B4-BE49-F238E27FC236}">
                                                <a16:creationId xmlns:a16="http://schemas.microsoft.com/office/drawing/2014/main" id="{4AB3B189-F164-0AC0-F810-E54E9E2137FD}"/>
                                              </a:ext>
                                            </a:extLst>
                                          </xdr:cNvPr>
                                          <xdr:cNvGrpSpPr/>
                                        </xdr:nvGrpSpPr>
                                        <xdr:grpSpPr>
                                          <a:xfrm>
                                            <a:off x="0" y="3760950"/>
                                            <a:ext cx="10692000" cy="38100"/>
                                            <a:chOff x="0" y="3760950"/>
                                            <a:chExt cx="10692000" cy="38100"/>
                                          </a:xfrm>
                                        </xdr:grpSpPr>
                                        <xdr:sp macro="" textlink="">
                                          <xdr:nvSpPr>
                                            <xdr:cNvPr id="345" name="Shape 339">
                                              <a:extLst>
                                                <a:ext uri="{FF2B5EF4-FFF2-40B4-BE49-F238E27FC236}">
                                                  <a16:creationId xmlns:a16="http://schemas.microsoft.com/office/drawing/2014/main" id="{95507633-689D-C87D-7257-6D306F2D75E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6" name="Shape 340">
                                              <a:extLst>
                                                <a:ext uri="{FF2B5EF4-FFF2-40B4-BE49-F238E27FC236}">
                                                  <a16:creationId xmlns:a16="http://schemas.microsoft.com/office/drawing/2014/main" id="{797690CE-6731-C29E-6FC6-851D96D964A0}"/>
                                                </a:ext>
                                              </a:extLst>
                                            </xdr:cNvPr>
                                            <xdr:cNvGrpSpPr/>
                                          </xdr:nvGrpSpPr>
                                          <xdr:grpSpPr>
                                            <a:xfrm>
                                              <a:off x="0" y="3760950"/>
                                              <a:ext cx="10692000" cy="38100"/>
                                              <a:chOff x="0" y="3760950"/>
                                              <a:chExt cx="10692000" cy="38100"/>
                                            </a:xfrm>
                                          </xdr:grpSpPr>
                                          <xdr:sp macro="" textlink="">
                                            <xdr:nvSpPr>
                                              <xdr:cNvPr id="347" name="Shape 341">
                                                <a:extLst>
                                                  <a:ext uri="{FF2B5EF4-FFF2-40B4-BE49-F238E27FC236}">
                                                    <a16:creationId xmlns:a16="http://schemas.microsoft.com/office/drawing/2014/main" id="{4C068A6E-5E74-87EE-AC21-FCAC5F30BEFE}"/>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48" name="Shape 342">
                                                <a:extLst>
                                                  <a:ext uri="{FF2B5EF4-FFF2-40B4-BE49-F238E27FC236}">
                                                    <a16:creationId xmlns:a16="http://schemas.microsoft.com/office/drawing/2014/main" id="{37738906-5EE6-AB72-3699-72CD9168A8C8}"/>
                                                  </a:ext>
                                                </a:extLst>
                                              </xdr:cNvPr>
                                              <xdr:cNvGrpSpPr/>
                                            </xdr:nvGrpSpPr>
                                            <xdr:grpSpPr>
                                              <a:xfrm>
                                                <a:off x="0" y="3760950"/>
                                                <a:ext cx="10692000" cy="38100"/>
                                                <a:chOff x="0" y="3760950"/>
                                                <a:chExt cx="10692000" cy="38100"/>
                                              </a:xfrm>
                                            </xdr:grpSpPr>
                                            <xdr:sp macro="" textlink="">
                                              <xdr:nvSpPr>
                                                <xdr:cNvPr id="349" name="Shape 343">
                                                  <a:extLst>
                                                    <a:ext uri="{FF2B5EF4-FFF2-40B4-BE49-F238E27FC236}">
                                                      <a16:creationId xmlns:a16="http://schemas.microsoft.com/office/drawing/2014/main" id="{E4C03F29-EDFA-BC24-434A-21CECB8B750D}"/>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0" name="Shape 344">
                                                  <a:extLst>
                                                    <a:ext uri="{FF2B5EF4-FFF2-40B4-BE49-F238E27FC236}">
                                                      <a16:creationId xmlns:a16="http://schemas.microsoft.com/office/drawing/2014/main" id="{0754CB68-B77E-9F40-3291-BDFD3B15BF4D}"/>
                                                    </a:ext>
                                                  </a:extLst>
                                                </xdr:cNvPr>
                                                <xdr:cNvGrpSpPr/>
                                              </xdr:nvGrpSpPr>
                                              <xdr:grpSpPr>
                                                <a:xfrm>
                                                  <a:off x="0" y="3760950"/>
                                                  <a:ext cx="10692000" cy="38100"/>
                                                  <a:chOff x="0" y="3760950"/>
                                                  <a:chExt cx="10692000" cy="38100"/>
                                                </a:xfrm>
                                              </xdr:grpSpPr>
                                              <xdr:sp macro="" textlink="">
                                                <xdr:nvSpPr>
                                                  <xdr:cNvPr id="351" name="Shape 345">
                                                    <a:extLst>
                                                      <a:ext uri="{FF2B5EF4-FFF2-40B4-BE49-F238E27FC236}">
                                                        <a16:creationId xmlns:a16="http://schemas.microsoft.com/office/drawing/2014/main" id="{C210CA7C-68AB-6C7A-2845-32AD95235505}"/>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2" name="Shape 346">
                                                    <a:extLst>
                                                      <a:ext uri="{FF2B5EF4-FFF2-40B4-BE49-F238E27FC236}">
                                                        <a16:creationId xmlns:a16="http://schemas.microsoft.com/office/drawing/2014/main" id="{C8D31F4E-A6AE-04E4-33C8-47939CE4725E}"/>
                                                      </a:ext>
                                                    </a:extLst>
                                                  </xdr:cNvPr>
                                                  <xdr:cNvGrpSpPr/>
                                                </xdr:nvGrpSpPr>
                                                <xdr:grpSpPr>
                                                  <a:xfrm>
                                                    <a:off x="0" y="3760950"/>
                                                    <a:ext cx="10692000" cy="38100"/>
                                                    <a:chOff x="0" y="3760950"/>
                                                    <a:chExt cx="10692000" cy="38100"/>
                                                  </a:xfrm>
                                                </xdr:grpSpPr>
                                                <xdr:sp macro="" textlink="">
                                                  <xdr:nvSpPr>
                                                    <xdr:cNvPr id="353" name="Shape 347">
                                                      <a:extLst>
                                                        <a:ext uri="{FF2B5EF4-FFF2-40B4-BE49-F238E27FC236}">
                                                          <a16:creationId xmlns:a16="http://schemas.microsoft.com/office/drawing/2014/main" id="{544542CA-7434-F4BB-5EBF-9495E02CCAB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4" name="Shape 348">
                                                      <a:extLst>
                                                        <a:ext uri="{FF2B5EF4-FFF2-40B4-BE49-F238E27FC236}">
                                                          <a16:creationId xmlns:a16="http://schemas.microsoft.com/office/drawing/2014/main" id="{50EED3DD-C212-E991-06AE-D6D0BDD37DEE}"/>
                                                        </a:ext>
                                                      </a:extLst>
                                                    </xdr:cNvPr>
                                                    <xdr:cNvGrpSpPr/>
                                                  </xdr:nvGrpSpPr>
                                                  <xdr:grpSpPr>
                                                    <a:xfrm>
                                                      <a:off x="0" y="3760950"/>
                                                      <a:ext cx="10692000" cy="38100"/>
                                                      <a:chOff x="0" y="3760950"/>
                                                      <a:chExt cx="10692000" cy="38100"/>
                                                    </a:xfrm>
                                                  </xdr:grpSpPr>
                                                  <xdr:sp macro="" textlink="">
                                                    <xdr:nvSpPr>
                                                      <xdr:cNvPr id="355" name="Shape 349">
                                                        <a:extLst>
                                                          <a:ext uri="{FF2B5EF4-FFF2-40B4-BE49-F238E27FC236}">
                                                            <a16:creationId xmlns:a16="http://schemas.microsoft.com/office/drawing/2014/main" id="{8A2376D1-C809-1002-0069-5C16134E7ED2}"/>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6" name="Shape 350">
                                                        <a:extLst>
                                                          <a:ext uri="{FF2B5EF4-FFF2-40B4-BE49-F238E27FC236}">
                                                            <a16:creationId xmlns:a16="http://schemas.microsoft.com/office/drawing/2014/main" id="{8241D717-F937-F3DC-3AA1-D3A0FF0925A7}"/>
                                                          </a:ext>
                                                        </a:extLst>
                                                      </xdr:cNvPr>
                                                      <xdr:cNvGrpSpPr/>
                                                    </xdr:nvGrpSpPr>
                                                    <xdr:grpSpPr>
                                                      <a:xfrm>
                                                        <a:off x="0" y="3760950"/>
                                                        <a:ext cx="10692000" cy="38100"/>
                                                        <a:chOff x="0" y="3760950"/>
                                                        <a:chExt cx="10692000" cy="38100"/>
                                                      </a:xfrm>
                                                    </xdr:grpSpPr>
                                                    <xdr:sp macro="" textlink="">
                                                      <xdr:nvSpPr>
                                                        <xdr:cNvPr id="357" name="Shape 351">
                                                          <a:extLst>
                                                            <a:ext uri="{FF2B5EF4-FFF2-40B4-BE49-F238E27FC236}">
                                                              <a16:creationId xmlns:a16="http://schemas.microsoft.com/office/drawing/2014/main" id="{6923F97D-D051-ABF2-1CE1-A22377E6137E}"/>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8" name="Shape 352">
                                                          <a:extLst>
                                                            <a:ext uri="{FF2B5EF4-FFF2-40B4-BE49-F238E27FC236}">
                                                              <a16:creationId xmlns:a16="http://schemas.microsoft.com/office/drawing/2014/main" id="{7F59B1BB-17D0-0DEC-4575-09949FFE9AEC}"/>
                                                            </a:ext>
                                                          </a:extLst>
                                                        </xdr:cNvPr>
                                                        <xdr:cNvGrpSpPr/>
                                                      </xdr:nvGrpSpPr>
                                                      <xdr:grpSpPr>
                                                        <a:xfrm>
                                                          <a:off x="0" y="3760950"/>
                                                          <a:ext cx="10692000" cy="38100"/>
                                                          <a:chOff x="0" y="3760950"/>
                                                          <a:chExt cx="10692000" cy="38100"/>
                                                        </a:xfrm>
                                                      </xdr:grpSpPr>
                                                      <xdr:sp macro="" textlink="">
                                                        <xdr:nvSpPr>
                                                          <xdr:cNvPr id="359" name="Shape 353">
                                                            <a:extLst>
                                                              <a:ext uri="{FF2B5EF4-FFF2-40B4-BE49-F238E27FC236}">
                                                                <a16:creationId xmlns:a16="http://schemas.microsoft.com/office/drawing/2014/main" id="{8237E6E8-BCAB-A35D-5A7E-9A2E010A854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0" name="Shape 354">
                                                            <a:extLst>
                                                              <a:ext uri="{FF2B5EF4-FFF2-40B4-BE49-F238E27FC236}">
                                                                <a16:creationId xmlns:a16="http://schemas.microsoft.com/office/drawing/2014/main" id="{CB49F93C-5527-0A31-707E-CC11604614AB}"/>
                                                              </a:ext>
                                                            </a:extLst>
                                                          </xdr:cNvPr>
                                                          <xdr:cNvGrpSpPr/>
                                                        </xdr:nvGrpSpPr>
                                                        <xdr:grpSpPr>
                                                          <a:xfrm>
                                                            <a:off x="0" y="3760950"/>
                                                            <a:ext cx="10692000" cy="38100"/>
                                                            <a:chOff x="0" y="3760950"/>
                                                            <a:chExt cx="10692000" cy="38100"/>
                                                          </a:xfrm>
                                                        </xdr:grpSpPr>
                                                        <xdr:sp macro="" textlink="">
                                                          <xdr:nvSpPr>
                                                            <xdr:cNvPr id="361" name="Shape 355">
                                                              <a:extLst>
                                                                <a:ext uri="{FF2B5EF4-FFF2-40B4-BE49-F238E27FC236}">
                                                                  <a16:creationId xmlns:a16="http://schemas.microsoft.com/office/drawing/2014/main" id="{3EEF18EC-6DD8-AEDC-8B0D-DED70BD7EF74}"/>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2" name="Shape 356">
                                                              <a:extLst>
                                                                <a:ext uri="{FF2B5EF4-FFF2-40B4-BE49-F238E27FC236}">
                                                                  <a16:creationId xmlns:a16="http://schemas.microsoft.com/office/drawing/2014/main" id="{7B3A8E29-D64A-FD32-9AE6-D34D72AC769C}"/>
                                                                </a:ext>
                                                              </a:extLst>
                                                            </xdr:cNvPr>
                                                            <xdr:cNvGrpSpPr/>
                                                          </xdr:nvGrpSpPr>
                                                          <xdr:grpSpPr>
                                                            <a:xfrm>
                                                              <a:off x="0" y="3760950"/>
                                                              <a:ext cx="10692000" cy="38100"/>
                                                              <a:chOff x="0" y="3760950"/>
                                                              <a:chExt cx="10692000" cy="38100"/>
                                                            </a:xfrm>
                                                          </xdr:grpSpPr>
                                                          <xdr:sp macro="" textlink="">
                                                            <xdr:nvSpPr>
                                                              <xdr:cNvPr id="363" name="Shape 357">
                                                                <a:extLst>
                                                                  <a:ext uri="{FF2B5EF4-FFF2-40B4-BE49-F238E27FC236}">
                                                                    <a16:creationId xmlns:a16="http://schemas.microsoft.com/office/drawing/2014/main" id="{EEB2882E-2A2A-C3CC-4DAA-C2B8F24D4ED3}"/>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4" name="Shape 358">
                                                                <a:extLst>
                                                                  <a:ext uri="{FF2B5EF4-FFF2-40B4-BE49-F238E27FC236}">
                                                                    <a16:creationId xmlns:a16="http://schemas.microsoft.com/office/drawing/2014/main" id="{3C51632A-DF2D-7AED-5EA1-1C4367036995}"/>
                                                                  </a:ext>
                                                                </a:extLst>
                                                              </xdr:cNvPr>
                                                              <xdr:cNvGrpSpPr/>
                                                            </xdr:nvGrpSpPr>
                                                            <xdr:grpSpPr>
                                                              <a:xfrm>
                                                                <a:off x="0" y="3760950"/>
                                                                <a:ext cx="10692000" cy="38100"/>
                                                                <a:chOff x="0" y="3760950"/>
                                                                <a:chExt cx="10692000" cy="38100"/>
                                                              </a:xfrm>
                                                            </xdr:grpSpPr>
                                                            <xdr:sp macro="" textlink="">
                                                              <xdr:nvSpPr>
                                                                <xdr:cNvPr id="365" name="Shape 359">
                                                                  <a:extLst>
                                                                    <a:ext uri="{FF2B5EF4-FFF2-40B4-BE49-F238E27FC236}">
                                                                      <a16:creationId xmlns:a16="http://schemas.microsoft.com/office/drawing/2014/main" id="{2C0C3FA5-44AF-9653-95D5-5C3E50F3ADA2}"/>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6" name="Shape 360">
                                                                  <a:extLst>
                                                                    <a:ext uri="{FF2B5EF4-FFF2-40B4-BE49-F238E27FC236}">
                                                                      <a16:creationId xmlns:a16="http://schemas.microsoft.com/office/drawing/2014/main" id="{E6BA9C95-6B3E-D84C-AB1D-0160755FDD30}"/>
                                                                    </a:ext>
                                                                  </a:extLst>
                                                                </xdr:cNvPr>
                                                                <xdr:cNvGrpSpPr/>
                                                              </xdr:nvGrpSpPr>
                                                              <xdr:grpSpPr>
                                                                <a:xfrm>
                                                                  <a:off x="0" y="3760950"/>
                                                                  <a:ext cx="10692000" cy="38100"/>
                                                                  <a:chOff x="0" y="3760950"/>
                                                                  <a:chExt cx="10692000" cy="38100"/>
                                                                </a:xfrm>
                                                              </xdr:grpSpPr>
                                                              <xdr:sp macro="" textlink="">
                                                                <xdr:nvSpPr>
                                                                  <xdr:cNvPr id="367" name="Shape 361">
                                                                    <a:extLst>
                                                                      <a:ext uri="{FF2B5EF4-FFF2-40B4-BE49-F238E27FC236}">
                                                                        <a16:creationId xmlns:a16="http://schemas.microsoft.com/office/drawing/2014/main" id="{C8614D9B-C120-FDF5-ACFB-1DF6051384A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68" name="Shape 362">
                                                                    <a:extLst>
                                                                      <a:ext uri="{FF2B5EF4-FFF2-40B4-BE49-F238E27FC236}">
                                                                        <a16:creationId xmlns:a16="http://schemas.microsoft.com/office/drawing/2014/main" id="{FD4F5C8D-BFC2-2A62-8EC2-613723A14265}"/>
                                                                      </a:ext>
                                                                    </a:extLst>
                                                                  </xdr:cNvPr>
                                                                  <xdr:cNvGrpSpPr/>
                                                                </xdr:nvGrpSpPr>
                                                                <xdr:grpSpPr>
                                                                  <a:xfrm>
                                                                    <a:off x="0" y="3760950"/>
                                                                    <a:ext cx="10692000" cy="38100"/>
                                                                    <a:chOff x="0" y="3760950"/>
                                                                    <a:chExt cx="10692000" cy="38100"/>
                                                                  </a:xfrm>
                                                                </xdr:grpSpPr>
                                                                <xdr:sp macro="" textlink="">
                                                                  <xdr:nvSpPr>
                                                                    <xdr:cNvPr id="369" name="Shape 363">
                                                                      <a:extLst>
                                                                        <a:ext uri="{FF2B5EF4-FFF2-40B4-BE49-F238E27FC236}">
                                                                          <a16:creationId xmlns:a16="http://schemas.microsoft.com/office/drawing/2014/main" id="{F16E0432-A988-1BE4-02C4-A394D96D3F99}"/>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0" name="Shape 364">
                                                                      <a:extLst>
                                                                        <a:ext uri="{FF2B5EF4-FFF2-40B4-BE49-F238E27FC236}">
                                                                          <a16:creationId xmlns:a16="http://schemas.microsoft.com/office/drawing/2014/main" id="{4DE1C3DC-B9FD-955E-8C3F-97BEC2C87F5C}"/>
                                                                        </a:ext>
                                                                      </a:extLst>
                                                                    </xdr:cNvPr>
                                                                    <xdr:cNvGrpSpPr/>
                                                                  </xdr:nvGrpSpPr>
                                                                  <xdr:grpSpPr>
                                                                    <a:xfrm>
                                                                      <a:off x="0" y="3760950"/>
                                                                      <a:ext cx="10692000" cy="38100"/>
                                                                      <a:chOff x="0" y="3760950"/>
                                                                      <a:chExt cx="10692000" cy="38100"/>
                                                                    </a:xfrm>
                                                                  </xdr:grpSpPr>
                                                                  <xdr:sp macro="" textlink="">
                                                                    <xdr:nvSpPr>
                                                                      <xdr:cNvPr id="371" name="Shape 365">
                                                                        <a:extLst>
                                                                          <a:ext uri="{FF2B5EF4-FFF2-40B4-BE49-F238E27FC236}">
                                                                            <a16:creationId xmlns:a16="http://schemas.microsoft.com/office/drawing/2014/main" id="{348C3990-4B70-B988-F8B8-21090F8F0DB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2" name="Shape 366">
                                                                        <a:extLst>
                                                                          <a:ext uri="{FF2B5EF4-FFF2-40B4-BE49-F238E27FC236}">
                                                                            <a16:creationId xmlns:a16="http://schemas.microsoft.com/office/drawing/2014/main" id="{92EEA58D-83C0-114B-9609-C6F79B8A95A4}"/>
                                                                          </a:ext>
                                                                        </a:extLst>
                                                                      </xdr:cNvPr>
                                                                      <xdr:cNvGrpSpPr/>
                                                                    </xdr:nvGrpSpPr>
                                                                    <xdr:grpSpPr>
                                                                      <a:xfrm>
                                                                        <a:off x="0" y="3760950"/>
                                                                        <a:ext cx="10692000" cy="38100"/>
                                                                        <a:chOff x="0" y="3760950"/>
                                                                        <a:chExt cx="10692000" cy="38100"/>
                                                                      </a:xfrm>
                                                                    </xdr:grpSpPr>
                                                                    <xdr:sp macro="" textlink="">
                                                                      <xdr:nvSpPr>
                                                                        <xdr:cNvPr id="373" name="Shape 367">
                                                                          <a:extLst>
                                                                            <a:ext uri="{FF2B5EF4-FFF2-40B4-BE49-F238E27FC236}">
                                                                              <a16:creationId xmlns:a16="http://schemas.microsoft.com/office/drawing/2014/main" id="{FD561111-40DF-CF5D-610E-A241E833B43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4" name="Shape 368">
                                                                          <a:extLst>
                                                                            <a:ext uri="{FF2B5EF4-FFF2-40B4-BE49-F238E27FC236}">
                                                                              <a16:creationId xmlns:a16="http://schemas.microsoft.com/office/drawing/2014/main" id="{C6D400E2-1A85-32D7-3583-4407ABA68115}"/>
                                                                            </a:ext>
                                                                          </a:extLst>
                                                                        </xdr:cNvPr>
                                                                        <xdr:cNvGrpSpPr/>
                                                                      </xdr:nvGrpSpPr>
                                                                      <xdr:grpSpPr>
                                                                        <a:xfrm>
                                                                          <a:off x="0" y="3760950"/>
                                                                          <a:ext cx="10692000" cy="38100"/>
                                                                          <a:chOff x="0" y="3760950"/>
                                                                          <a:chExt cx="10692000" cy="38100"/>
                                                                        </a:xfrm>
                                                                      </xdr:grpSpPr>
                                                                      <xdr:sp macro="" textlink="">
                                                                        <xdr:nvSpPr>
                                                                          <xdr:cNvPr id="375" name="Shape 369">
                                                                            <a:extLst>
                                                                              <a:ext uri="{FF2B5EF4-FFF2-40B4-BE49-F238E27FC236}">
                                                                                <a16:creationId xmlns:a16="http://schemas.microsoft.com/office/drawing/2014/main" id="{62340FED-529C-386E-1406-4B75EE15E36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6" name="Shape 370">
                                                                            <a:extLst>
                                                                              <a:ext uri="{FF2B5EF4-FFF2-40B4-BE49-F238E27FC236}">
                                                                                <a16:creationId xmlns:a16="http://schemas.microsoft.com/office/drawing/2014/main" id="{A0EA9D0F-AE53-1D0A-47A7-B4C8A4DC6221}"/>
                                                                              </a:ext>
                                                                            </a:extLst>
                                                                          </xdr:cNvPr>
                                                                          <xdr:cNvGrpSpPr/>
                                                                        </xdr:nvGrpSpPr>
                                                                        <xdr:grpSpPr>
                                                                          <a:xfrm>
                                                                            <a:off x="0" y="3760950"/>
                                                                            <a:ext cx="10692000" cy="38100"/>
                                                                            <a:chOff x="0" y="3760950"/>
                                                                            <a:chExt cx="10692000" cy="38100"/>
                                                                          </a:xfrm>
                                                                        </xdr:grpSpPr>
                                                                        <xdr:sp macro="" textlink="">
                                                                          <xdr:nvSpPr>
                                                                            <xdr:cNvPr id="377" name="Shape 371">
                                                                              <a:extLst>
                                                                                <a:ext uri="{FF2B5EF4-FFF2-40B4-BE49-F238E27FC236}">
                                                                                  <a16:creationId xmlns:a16="http://schemas.microsoft.com/office/drawing/2014/main" id="{26C2C1FC-A018-E5A3-F927-9CD0D7A6CC5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8" name="Shape 372">
                                                                              <a:extLst>
                                                                                <a:ext uri="{FF2B5EF4-FFF2-40B4-BE49-F238E27FC236}">
                                                                                  <a16:creationId xmlns:a16="http://schemas.microsoft.com/office/drawing/2014/main" id="{0B5E9976-E36D-2FA5-7D1D-6C0F20F409DB}"/>
                                                                                </a:ext>
                                                                              </a:extLst>
                                                                            </xdr:cNvPr>
                                                                            <xdr:cNvGrpSpPr/>
                                                                          </xdr:nvGrpSpPr>
                                                                          <xdr:grpSpPr>
                                                                            <a:xfrm>
                                                                              <a:off x="0" y="3760950"/>
                                                                              <a:ext cx="10692000" cy="38100"/>
                                                                              <a:chOff x="0" y="3760950"/>
                                                                              <a:chExt cx="10692000" cy="38100"/>
                                                                            </a:xfrm>
                                                                          </xdr:grpSpPr>
                                                                          <xdr:sp macro="" textlink="">
                                                                            <xdr:nvSpPr>
                                                                              <xdr:cNvPr id="379" name="Shape 373">
                                                                                <a:extLst>
                                                                                  <a:ext uri="{FF2B5EF4-FFF2-40B4-BE49-F238E27FC236}">
                                                                                    <a16:creationId xmlns:a16="http://schemas.microsoft.com/office/drawing/2014/main" id="{1576ED31-620B-4159-5E8D-899FF0CC77D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0" name="Shape 374">
                                                                                <a:extLst>
                                                                                  <a:ext uri="{FF2B5EF4-FFF2-40B4-BE49-F238E27FC236}">
                                                                                    <a16:creationId xmlns:a16="http://schemas.microsoft.com/office/drawing/2014/main" id="{430C3816-7512-0B78-17F1-5361F5A2EB4F}"/>
                                                                                  </a:ext>
                                                                                </a:extLst>
                                                                              </xdr:cNvPr>
                                                                              <xdr:cNvGrpSpPr/>
                                                                            </xdr:nvGrpSpPr>
                                                                            <xdr:grpSpPr>
                                                                              <a:xfrm>
                                                                                <a:off x="0" y="3760950"/>
                                                                                <a:ext cx="10692000" cy="38100"/>
                                                                                <a:chOff x="0" y="3760950"/>
                                                                                <a:chExt cx="10692000" cy="38100"/>
                                                                              </a:xfrm>
                                                                            </xdr:grpSpPr>
                                                                            <xdr:sp macro="" textlink="">
                                                                              <xdr:nvSpPr>
                                                                                <xdr:cNvPr id="381" name="Shape 375">
                                                                                  <a:extLst>
                                                                                    <a:ext uri="{FF2B5EF4-FFF2-40B4-BE49-F238E27FC236}">
                                                                                      <a16:creationId xmlns:a16="http://schemas.microsoft.com/office/drawing/2014/main" id="{7CCFAA8C-CF3B-9649-CCD0-EF680DAE42BF}"/>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2" name="Shape 376">
                                                                                  <a:extLst>
                                                                                    <a:ext uri="{FF2B5EF4-FFF2-40B4-BE49-F238E27FC236}">
                                                                                      <a16:creationId xmlns:a16="http://schemas.microsoft.com/office/drawing/2014/main" id="{1984E92B-1926-16FC-8262-282930030A62}"/>
                                                                                    </a:ext>
                                                                                  </a:extLst>
                                                                                </xdr:cNvPr>
                                                                                <xdr:cNvGrpSpPr/>
                                                                              </xdr:nvGrpSpPr>
                                                                              <xdr:grpSpPr>
                                                                                <a:xfrm>
                                                                                  <a:off x="0" y="3760950"/>
                                                                                  <a:ext cx="10692000" cy="38100"/>
                                                                                  <a:chOff x="0" y="3760950"/>
                                                                                  <a:chExt cx="10692000" cy="38100"/>
                                                                                </a:xfrm>
                                                                              </xdr:grpSpPr>
                                                                              <xdr:sp macro="" textlink="">
                                                                                <xdr:nvSpPr>
                                                                                  <xdr:cNvPr id="383" name="Shape 377">
                                                                                    <a:extLst>
                                                                                      <a:ext uri="{FF2B5EF4-FFF2-40B4-BE49-F238E27FC236}">
                                                                                        <a16:creationId xmlns:a16="http://schemas.microsoft.com/office/drawing/2014/main" id="{0A220707-C1BE-B183-5EC3-300C2070B83C}"/>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4" name="Shape 378">
                                                                                    <a:extLst>
                                                                                      <a:ext uri="{FF2B5EF4-FFF2-40B4-BE49-F238E27FC236}">
                                                                                        <a16:creationId xmlns:a16="http://schemas.microsoft.com/office/drawing/2014/main" id="{5C88BECC-A753-AF1A-D23A-42BBE4254A8C}"/>
                                                                                      </a:ext>
                                                                                    </a:extLst>
                                                                                  </xdr:cNvPr>
                                                                                  <xdr:cNvGrpSpPr/>
                                                                                </xdr:nvGrpSpPr>
                                                                                <xdr:grpSpPr>
                                                                                  <a:xfrm>
                                                                                    <a:off x="0" y="3760950"/>
                                                                                    <a:ext cx="10692000" cy="38100"/>
                                                                                    <a:chOff x="0" y="3760950"/>
                                                                                    <a:chExt cx="10692000" cy="38100"/>
                                                                                  </a:xfrm>
                                                                                </xdr:grpSpPr>
                                                                                <xdr:sp macro="" textlink="">
                                                                                  <xdr:nvSpPr>
                                                                                    <xdr:cNvPr id="385" name="Shape 379">
                                                                                      <a:extLst>
                                                                                        <a:ext uri="{FF2B5EF4-FFF2-40B4-BE49-F238E27FC236}">
                                                                                          <a16:creationId xmlns:a16="http://schemas.microsoft.com/office/drawing/2014/main" id="{AB28F393-B590-FC6A-40F9-2226CC256887}"/>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6" name="Shape 380">
                                                                                      <a:extLst>
                                                                                        <a:ext uri="{FF2B5EF4-FFF2-40B4-BE49-F238E27FC236}">
                                                                                          <a16:creationId xmlns:a16="http://schemas.microsoft.com/office/drawing/2014/main" id="{8BD39B5C-3748-C11D-4349-FBAD0B9DC4EE}"/>
                                                                                        </a:ext>
                                                                                      </a:extLst>
                                                                                    </xdr:cNvPr>
                                                                                    <xdr:cNvGrpSpPr/>
                                                                                  </xdr:nvGrpSpPr>
                                                                                  <xdr:grpSpPr>
                                                                                    <a:xfrm>
                                                                                      <a:off x="0" y="3760950"/>
                                                                                      <a:ext cx="10692000" cy="38100"/>
                                                                                      <a:chOff x="0" y="3760950"/>
                                                                                      <a:chExt cx="10692000" cy="38100"/>
                                                                                    </a:xfrm>
                                                                                  </xdr:grpSpPr>
                                                                                  <xdr:sp macro="" textlink="">
                                                                                    <xdr:nvSpPr>
                                                                                      <xdr:cNvPr id="387" name="Shape 381">
                                                                                        <a:extLst>
                                                                                          <a:ext uri="{FF2B5EF4-FFF2-40B4-BE49-F238E27FC236}">
                                                                                            <a16:creationId xmlns:a16="http://schemas.microsoft.com/office/drawing/2014/main" id="{F50AB047-081C-FD35-3FB9-980964CD64C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88" name="Shape 382">
                                                                                        <a:extLst>
                                                                                          <a:ext uri="{FF2B5EF4-FFF2-40B4-BE49-F238E27FC236}">
                                                                                            <a16:creationId xmlns:a16="http://schemas.microsoft.com/office/drawing/2014/main" id="{DBF024F3-82D6-2CFE-4EEF-6BD08746843F}"/>
                                                                                          </a:ext>
                                                                                        </a:extLst>
                                                                                      </xdr:cNvPr>
                                                                                      <xdr:cNvGrpSpPr/>
                                                                                    </xdr:nvGrpSpPr>
                                                                                    <xdr:grpSpPr>
                                                                                      <a:xfrm>
                                                                                        <a:off x="0" y="3760950"/>
                                                                                        <a:ext cx="10692000" cy="38100"/>
                                                                                        <a:chOff x="0" y="3760950"/>
                                                                                        <a:chExt cx="10692000" cy="38100"/>
                                                                                      </a:xfrm>
                                                                                    </xdr:grpSpPr>
                                                                                    <xdr:sp macro="" textlink="">
                                                                                      <xdr:nvSpPr>
                                                                                        <xdr:cNvPr id="389" name="Shape 383">
                                                                                          <a:extLst>
                                                                                            <a:ext uri="{FF2B5EF4-FFF2-40B4-BE49-F238E27FC236}">
                                                                                              <a16:creationId xmlns:a16="http://schemas.microsoft.com/office/drawing/2014/main" id="{F42FDCEA-DE28-CC92-B053-BD89BECEFCC1}"/>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0" name="Shape 384">
                                                                                          <a:extLst>
                                                                                            <a:ext uri="{FF2B5EF4-FFF2-40B4-BE49-F238E27FC236}">
                                                                                              <a16:creationId xmlns:a16="http://schemas.microsoft.com/office/drawing/2014/main" id="{F73CDB55-E9AE-1736-DAE3-7CB7DBADF221}"/>
                                                                                            </a:ext>
                                                                                          </a:extLst>
                                                                                        </xdr:cNvPr>
                                                                                        <xdr:cNvGrpSpPr/>
                                                                                      </xdr:nvGrpSpPr>
                                                                                      <xdr:grpSpPr>
                                                                                        <a:xfrm>
                                                                                          <a:off x="0" y="3760950"/>
                                                                                          <a:ext cx="10692000" cy="38100"/>
                                                                                          <a:chOff x="0" y="3760950"/>
                                                                                          <a:chExt cx="10692000" cy="38100"/>
                                                                                        </a:xfrm>
                                                                                      </xdr:grpSpPr>
                                                                                      <xdr:sp macro="" textlink="">
                                                                                        <xdr:nvSpPr>
                                                                                          <xdr:cNvPr id="391" name="Shape 385">
                                                                                            <a:extLst>
                                                                                              <a:ext uri="{FF2B5EF4-FFF2-40B4-BE49-F238E27FC236}">
                                                                                                <a16:creationId xmlns:a16="http://schemas.microsoft.com/office/drawing/2014/main" id="{449BF845-3E7D-C068-0611-74C9EE3B0A86}"/>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2" name="Shape 386">
                                                                                            <a:extLst>
                                                                                              <a:ext uri="{FF2B5EF4-FFF2-40B4-BE49-F238E27FC236}">
                                                                                                <a16:creationId xmlns:a16="http://schemas.microsoft.com/office/drawing/2014/main" id="{1CC90365-9DDE-0BF8-39F3-4E3C3A203EED}"/>
                                                                                              </a:ext>
                                                                                            </a:extLst>
                                                                                          </xdr:cNvPr>
                                                                                          <xdr:cNvGrpSpPr/>
                                                                                        </xdr:nvGrpSpPr>
                                                                                        <xdr:grpSpPr>
                                                                                          <a:xfrm>
                                                                                            <a:off x="0" y="3760950"/>
                                                                                            <a:ext cx="10692000" cy="38100"/>
                                                                                            <a:chOff x="0" y="3760950"/>
                                                                                            <a:chExt cx="10692000" cy="38100"/>
                                                                                          </a:xfrm>
                                                                                        </xdr:grpSpPr>
                                                                                        <xdr:sp macro="" textlink="">
                                                                                          <xdr:nvSpPr>
                                                                                            <xdr:cNvPr id="393" name="Shape 387">
                                                                                              <a:extLst>
                                                                                                <a:ext uri="{FF2B5EF4-FFF2-40B4-BE49-F238E27FC236}">
                                                                                                  <a16:creationId xmlns:a16="http://schemas.microsoft.com/office/drawing/2014/main" id="{AD381678-E80E-ADA9-6AC1-9B604ABFF56F}"/>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4" name="Shape 388">
                                                                                              <a:extLst>
                                                                                                <a:ext uri="{FF2B5EF4-FFF2-40B4-BE49-F238E27FC236}">
                                                                                                  <a16:creationId xmlns:a16="http://schemas.microsoft.com/office/drawing/2014/main" id="{4901F5DE-416C-692C-961E-B8E2F214CAC7}"/>
                                                                                                </a:ext>
                                                                                              </a:extLst>
                                                                                            </xdr:cNvPr>
                                                                                            <xdr:cNvGrpSpPr/>
                                                                                          </xdr:nvGrpSpPr>
                                                                                          <xdr:grpSpPr>
                                                                                            <a:xfrm>
                                                                                              <a:off x="0" y="3760950"/>
                                                                                              <a:ext cx="10692000" cy="38100"/>
                                                                                              <a:chOff x="0" y="3760950"/>
                                                                                              <a:chExt cx="10692000" cy="38100"/>
                                                                                            </a:xfrm>
                                                                                          </xdr:grpSpPr>
                                                                                          <xdr:sp macro="" textlink="">
                                                                                            <xdr:nvSpPr>
                                                                                              <xdr:cNvPr id="395" name="Shape 389">
                                                                                                <a:extLst>
                                                                                                  <a:ext uri="{FF2B5EF4-FFF2-40B4-BE49-F238E27FC236}">
                                                                                                    <a16:creationId xmlns:a16="http://schemas.microsoft.com/office/drawing/2014/main" id="{6C3B0F73-20F5-7CAB-486B-7E72626218F8}"/>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6" name="Shape 390">
                                                                                                <a:extLst>
                                                                                                  <a:ext uri="{FF2B5EF4-FFF2-40B4-BE49-F238E27FC236}">
                                                                                                    <a16:creationId xmlns:a16="http://schemas.microsoft.com/office/drawing/2014/main" id="{2548DE7C-C16A-26F9-CC87-7A3294A4D7BB}"/>
                                                                                                  </a:ext>
                                                                                                </a:extLst>
                                                                                              </xdr:cNvPr>
                                                                                              <xdr:cNvGrpSpPr/>
                                                                                            </xdr:nvGrpSpPr>
                                                                                            <xdr:grpSpPr>
                                                                                              <a:xfrm>
                                                                                                <a:off x="0" y="3760950"/>
                                                                                                <a:ext cx="10692000" cy="38100"/>
                                                                                                <a:chOff x="0" y="3760950"/>
                                                                                                <a:chExt cx="10692000" cy="38100"/>
                                                                                              </a:xfrm>
                                                                                            </xdr:grpSpPr>
                                                                                            <xdr:sp macro="" textlink="">
                                                                                              <xdr:nvSpPr>
                                                                                                <xdr:cNvPr id="397" name="Shape 391">
                                                                                                  <a:extLst>
                                                                                                    <a:ext uri="{FF2B5EF4-FFF2-40B4-BE49-F238E27FC236}">
                                                                                                      <a16:creationId xmlns:a16="http://schemas.microsoft.com/office/drawing/2014/main" id="{610B8F86-A68E-92C9-A10E-2AEE03495EBB}"/>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8" name="Shape 392">
                                                                                                  <a:extLst>
                                                                                                    <a:ext uri="{FF2B5EF4-FFF2-40B4-BE49-F238E27FC236}">
                                                                                                      <a16:creationId xmlns:a16="http://schemas.microsoft.com/office/drawing/2014/main" id="{D7582928-6D29-E39F-C776-3C0DD943C513}"/>
                                                                                                    </a:ext>
                                                                                                  </a:extLst>
                                                                                                </xdr:cNvPr>
                                                                                                <xdr:cNvGrpSpPr/>
                                                                                              </xdr:nvGrpSpPr>
                                                                                              <xdr:grpSpPr>
                                                                                                <a:xfrm>
                                                                                                  <a:off x="0" y="3760950"/>
                                                                                                  <a:ext cx="10692000" cy="38100"/>
                                                                                                  <a:chOff x="0" y="3760950"/>
                                                                                                  <a:chExt cx="10692000" cy="38100"/>
                                                                                                </a:xfrm>
                                                                                              </xdr:grpSpPr>
                                                                                              <xdr:sp macro="" textlink="">
                                                                                                <xdr:nvSpPr>
                                                                                                  <xdr:cNvPr id="399" name="Shape 393">
                                                                                                    <a:extLst>
                                                                                                      <a:ext uri="{FF2B5EF4-FFF2-40B4-BE49-F238E27FC236}">
                                                                                                        <a16:creationId xmlns:a16="http://schemas.microsoft.com/office/drawing/2014/main" id="{C546DD48-7126-ED7F-D753-DD36D5A2F3E3}"/>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0" name="Shape 394">
                                                                                                    <a:extLst>
                                                                                                      <a:ext uri="{FF2B5EF4-FFF2-40B4-BE49-F238E27FC236}">
                                                                                                        <a16:creationId xmlns:a16="http://schemas.microsoft.com/office/drawing/2014/main" id="{9EBAFC24-E61E-BD9A-06DA-8059235EEE9C}"/>
                                                                                                      </a:ext>
                                                                                                    </a:extLst>
                                                                                                  </xdr:cNvPr>
                                                                                                  <xdr:cNvGrpSpPr/>
                                                                                                </xdr:nvGrpSpPr>
                                                                                                <xdr:grpSpPr>
                                                                                                  <a:xfrm>
                                                                                                    <a:off x="0" y="3760950"/>
                                                                                                    <a:ext cx="10692000" cy="38100"/>
                                                                                                    <a:chOff x="0" y="3760950"/>
                                                                                                    <a:chExt cx="10692000" cy="38100"/>
                                                                                                  </a:xfrm>
                                                                                                </xdr:grpSpPr>
                                                                                                <xdr:sp macro="" textlink="">
                                                                                                  <xdr:nvSpPr>
                                                                                                    <xdr:cNvPr id="401" name="Shape 395">
                                                                                                      <a:extLst>
                                                                                                        <a:ext uri="{FF2B5EF4-FFF2-40B4-BE49-F238E27FC236}">
                                                                                                          <a16:creationId xmlns:a16="http://schemas.microsoft.com/office/drawing/2014/main" id="{32D912BB-9A70-7FF2-7883-EB5F0640DF2A}"/>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2" name="Shape 396">
                                                                                                      <a:extLst>
                                                                                                        <a:ext uri="{FF2B5EF4-FFF2-40B4-BE49-F238E27FC236}">
                                                                                                          <a16:creationId xmlns:a16="http://schemas.microsoft.com/office/drawing/2014/main" id="{A1D490CA-037A-6800-46C4-06E62677F4FC}"/>
                                                                                                        </a:ext>
                                                                                                      </a:extLst>
                                                                                                    </xdr:cNvPr>
                                                                                                    <xdr:cNvGrpSpPr/>
                                                                                                  </xdr:nvGrpSpPr>
                                                                                                  <xdr:grpSpPr>
                                                                                                    <a:xfrm>
                                                                                                      <a:off x="0" y="3760950"/>
                                                                                                      <a:ext cx="10692000" cy="38100"/>
                                                                                                      <a:chOff x="0" y="3760950"/>
                                                                                                      <a:chExt cx="10692000" cy="38100"/>
                                                                                                    </a:xfrm>
                                                                                                  </xdr:grpSpPr>
                                                                                                  <xdr:sp macro="" textlink="">
                                                                                                    <xdr:nvSpPr>
                                                                                                      <xdr:cNvPr id="403" name="Shape 397">
                                                                                                        <a:extLst>
                                                                                                          <a:ext uri="{FF2B5EF4-FFF2-40B4-BE49-F238E27FC236}">
                                                                                                            <a16:creationId xmlns:a16="http://schemas.microsoft.com/office/drawing/2014/main" id="{BB37724C-E59D-1B62-6D0D-6838B50F546E}"/>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4" name="Shape 398">
                                                                                                        <a:extLst>
                                                                                                          <a:ext uri="{FF2B5EF4-FFF2-40B4-BE49-F238E27FC236}">
                                                                                                            <a16:creationId xmlns:a16="http://schemas.microsoft.com/office/drawing/2014/main" id="{8FB1F2C9-3E51-DEE3-C3F7-A38F40E2B30C}"/>
                                                                                                          </a:ext>
                                                                                                        </a:extLst>
                                                                                                      </xdr:cNvPr>
                                                                                                      <xdr:cNvGrpSpPr/>
                                                                                                    </xdr:nvGrpSpPr>
                                                                                                    <xdr:grpSpPr>
                                                                                                      <a:xfrm>
                                                                                                        <a:off x="0" y="3760950"/>
                                                                                                        <a:ext cx="10692000" cy="38100"/>
                                                                                                        <a:chOff x="0" y="3760950"/>
                                                                                                        <a:chExt cx="10692000" cy="38100"/>
                                                                                                      </a:xfrm>
                                                                                                    </xdr:grpSpPr>
                                                                                                    <xdr:sp macro="" textlink="">
                                                                                                      <xdr:nvSpPr>
                                                                                                        <xdr:cNvPr id="405" name="Shape 399">
                                                                                                          <a:extLst>
                                                                                                            <a:ext uri="{FF2B5EF4-FFF2-40B4-BE49-F238E27FC236}">
                                                                                                              <a16:creationId xmlns:a16="http://schemas.microsoft.com/office/drawing/2014/main" id="{A79670EB-0A17-052F-1924-DCCB437CC369}"/>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6" name="Shape 400">
                                                                                                          <a:extLst>
                                                                                                            <a:ext uri="{FF2B5EF4-FFF2-40B4-BE49-F238E27FC236}">
                                                                                                              <a16:creationId xmlns:a16="http://schemas.microsoft.com/office/drawing/2014/main" id="{7F4B45BB-BB77-7E0D-214D-688428B2CD9B}"/>
                                                                                                            </a:ext>
                                                                                                          </a:extLst>
                                                                                                        </xdr:cNvPr>
                                                                                                        <xdr:cNvGrpSpPr/>
                                                                                                      </xdr:nvGrpSpPr>
                                                                                                      <xdr:grpSpPr>
                                                                                                        <a:xfrm>
                                                                                                          <a:off x="0" y="3760950"/>
                                                                                                          <a:ext cx="10692000" cy="38100"/>
                                                                                                          <a:chOff x="0" y="3760950"/>
                                                                                                          <a:chExt cx="10692000" cy="38100"/>
                                                                                                        </a:xfrm>
                                                                                                      </xdr:grpSpPr>
                                                                                                      <xdr:sp macro="" textlink="">
                                                                                                        <xdr:nvSpPr>
                                                                                                          <xdr:cNvPr id="407" name="Shape 401">
                                                                                                            <a:extLst>
                                                                                                              <a:ext uri="{FF2B5EF4-FFF2-40B4-BE49-F238E27FC236}">
                                                                                                                <a16:creationId xmlns:a16="http://schemas.microsoft.com/office/drawing/2014/main" id="{9167DFD9-2B11-4A5A-8854-F8E3BBC2E9C3}"/>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8" name="Shape 402">
                                                                                                            <a:extLst>
                                                                                                              <a:ext uri="{FF2B5EF4-FFF2-40B4-BE49-F238E27FC236}">
                                                                                                                <a16:creationId xmlns:a16="http://schemas.microsoft.com/office/drawing/2014/main" id="{C07C0B62-CEDD-91F6-2AE0-238C88063326}"/>
                                                                                                              </a:ext>
                                                                                                            </a:extLst>
                                                                                                          </xdr:cNvPr>
                                                                                                          <xdr:cNvGrpSpPr/>
                                                                                                        </xdr:nvGrpSpPr>
                                                                                                        <xdr:grpSpPr>
                                                                                                          <a:xfrm>
                                                                                                            <a:off x="0" y="3760950"/>
                                                                                                            <a:ext cx="10692000" cy="38100"/>
                                                                                                            <a:chOff x="0" y="0"/>
                                                                                                            <a:chExt cx="2147483647" cy="2147483647"/>
                                                                                                          </a:xfrm>
                                                                                                        </xdr:grpSpPr>
                                                                                                        <xdr:sp macro="" textlink="">
                                                                                                          <xdr:nvSpPr>
                                                                                                            <xdr:cNvPr id="409" name="Shape 403">
                                                                                                              <a:extLst>
                                                                                                                <a:ext uri="{FF2B5EF4-FFF2-40B4-BE49-F238E27FC236}">
                                                                                                                  <a16:creationId xmlns:a16="http://schemas.microsoft.com/office/drawing/2014/main" id="{EFA7325F-1B29-C70F-BAE6-56144E93835E}"/>
                                                                                                                </a:ext>
                                                                                                              </a:extLst>
                                                                                                            </xdr:cNvPr>
                                                                                                            <xdr:cNvSpPr/>
                                                                                                          </xdr:nvSpPr>
                                                                                                          <xdr:spPr>
                                                                                                            <a:xfrm>
                                                                                                              <a:off x="3969" y="0"/>
                                                                                                              <a:ext cx="2147479677" cy="214748364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10" name="Shape 404">
                                                                                                              <a:extLst>
                                                                                                                <a:ext uri="{FF2B5EF4-FFF2-40B4-BE49-F238E27FC236}">
                                                                                                                  <a16:creationId xmlns:a16="http://schemas.microsoft.com/office/drawing/2014/main" id="{6A339F0E-F6E7-DAE3-C388-7D0275C383CA}"/>
                                                                                                                </a:ext>
                                                                                                              </a:extLst>
                                                                                                            </xdr:cNvPr>
                                                                                                            <xdr:cNvGrpSpPr/>
                                                                                                          </xdr:nvGrpSpPr>
                                                                                                          <xdr:grpSpPr>
                                                                                                            <a:xfrm>
                                                                                                              <a:off x="0" y="0"/>
                                                                                                              <a:ext cx="2147479699" cy="2147483647"/>
                                                                                                              <a:chOff x="-1192912" y="-2758912"/>
                                                                                                              <a:chExt cx="13077825" cy="13077825"/>
                                                                                                            </a:xfrm>
                                                                                                          </xdr:grpSpPr>
                                                                                                          <xdr:sp macro="" textlink="">
                                                                                                            <xdr:nvSpPr>
                                                                                                              <xdr:cNvPr id="411" name="Shape 405">
                                                                                                                <a:extLst>
                                                                                                                  <a:ext uri="{FF2B5EF4-FFF2-40B4-BE49-F238E27FC236}">
                                                                                                                    <a16:creationId xmlns:a16="http://schemas.microsoft.com/office/drawing/2014/main" id="{B0C10F93-9B8A-D415-7129-935E47258014}"/>
                                                                                                                  </a:ext>
                                                                                                                </a:extLst>
                                                                                                              </xdr:cNvPr>
                                                                                                              <xdr:cNvSpPr/>
                                                                                                            </xdr:nvSpPr>
                                                                                                            <xdr:spPr>
                                                                                                              <a:xfrm>
                                                                                                                <a:off x="5340494" y="-2758912"/>
                                                                                                                <a:ext cx="11000" cy="13077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12" name="Shape 406">
                                                                                                                <a:extLst>
                                                                                                                  <a:ext uri="{FF2B5EF4-FFF2-40B4-BE49-F238E27FC236}">
                                                                                                                    <a16:creationId xmlns:a16="http://schemas.microsoft.com/office/drawing/2014/main" id="{38EFBBE0-8046-3AAB-9D93-5D5DB7DCDB5E}"/>
                                                                                                                  </a:ext>
                                                                                                                </a:extLst>
                                                                                                              </xdr:cNvPr>
                                                                                                              <xdr:cNvCxnSpPr/>
                                                                                                            </xdr:nvCxnSpPr>
                                                                                                            <xdr:spPr>
                                                                                                              <a:xfrm rot="-5400000">
                                                                                                                <a:off x="5340494" y="-2758912"/>
                                                                                                                <a:ext cx="11012" cy="13077825"/>
                                                                                                              </a:xfrm>
                                                                                                              <a:prstGeom prst="straightConnector1">
                                                                                                                <a:avLst/>
                                                                                                              </a:prstGeom>
                                                                                                              <a:noFill/>
                                                                                                              <a:ln w="19050" cap="flat" cmpd="sng">
                                                                                                                <a:solidFill>
                                                                                                                  <a:schemeClr val="accent1"/>
                                                                                                                </a:solidFill>
                                                                                                                <a:prstDash val="solid"/>
                                                                                                                <a:miter lim="800000"/>
                                                                                                                <a:headEnd type="none" w="sm" len="sm"/>
                                                                                                                <a:tailEnd type="none" w="sm" len="sm"/>
                                                                                                              </a:ln>
                                                                                                            </xdr:spPr>
                                                                                                          </xdr:cxn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grpSp>
    <xdr:clientData fLocksWithSheet="0"/>
  </xdr:oneCellAnchor>
  <xdr:oneCellAnchor>
    <xdr:from>
      <xdr:col>9</xdr:col>
      <xdr:colOff>523875</xdr:colOff>
      <xdr:row>0</xdr:row>
      <xdr:rowOff>104775</xdr:rowOff>
    </xdr:from>
    <xdr:ext cx="2009775" cy="1137285"/>
    <xdr:pic>
      <xdr:nvPicPr>
        <xdr:cNvPr id="413" name="image2.png" descr="O que é? – UDV-CIÊNCIA">
          <a:extLst>
            <a:ext uri="{FF2B5EF4-FFF2-40B4-BE49-F238E27FC236}">
              <a16:creationId xmlns:a16="http://schemas.microsoft.com/office/drawing/2014/main" id="{A03BEDFC-BEF8-412A-9D2C-A31D42C1FC2A}"/>
            </a:ext>
          </a:extLst>
        </xdr:cNvPr>
        <xdr:cNvPicPr preferRelativeResize="0"/>
      </xdr:nvPicPr>
      <xdr:blipFill rotWithShape="1">
        <a:blip xmlns:r="http://schemas.openxmlformats.org/officeDocument/2006/relationships" r:embed="rId1" cstate="print"/>
        <a:srcRect b="17778"/>
        <a:stretch>
          <a:fillRect/>
        </a:stretch>
      </xdr:blipFill>
      <xdr:spPr>
        <a:xfrm>
          <a:off x="5606415" y="104775"/>
          <a:ext cx="2009775" cy="1137285"/>
        </a:xfrm>
        <a:prstGeom prst="roundRect">
          <a:avLst/>
        </a:prstGeom>
        <a:noFill/>
      </xdr:spPr>
    </xdr:pic>
    <xdr:clientData fLocksWithSheet="0"/>
  </xdr:oneCellAnchor>
  <xdr:oneCellAnchor>
    <xdr:from>
      <xdr:col>10</xdr:col>
      <xdr:colOff>320040</xdr:colOff>
      <xdr:row>23</xdr:row>
      <xdr:rowOff>0</xdr:rowOff>
    </xdr:from>
    <xdr:ext cx="1188720" cy="1173480"/>
    <xdr:pic>
      <xdr:nvPicPr>
        <xdr:cNvPr id="414" name="image1.jpg" descr="Logotipo&#10;&#10;Descrição gerada automaticamente">
          <a:extLst>
            <a:ext uri="{FF2B5EF4-FFF2-40B4-BE49-F238E27FC236}">
              <a16:creationId xmlns:a16="http://schemas.microsoft.com/office/drawing/2014/main" id="{F8B40549-393D-422F-B13B-31DBD16A8275}"/>
            </a:ext>
          </a:extLst>
        </xdr:cNvPr>
        <xdr:cNvPicPr preferRelativeResize="0"/>
      </xdr:nvPicPr>
      <xdr:blipFill rotWithShape="1">
        <a:blip xmlns:r="http://schemas.openxmlformats.org/officeDocument/2006/relationships" r:embed="rId2" cstate="print"/>
        <a:srcRect l="6649" t="8356" r="8684" b="5848"/>
        <a:stretch>
          <a:fillRect/>
        </a:stretch>
      </xdr:blipFill>
      <xdr:spPr>
        <a:xfrm>
          <a:off x="6019800" y="4640580"/>
          <a:ext cx="1188720" cy="1173480"/>
        </a:xfrm>
        <a:prstGeom prst="ellipse">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eu%20Drive/Tri&#234;nio%202024-2026/1.%20Presta&#231;&#227;o%20de%20conta%20mensal/2025/04%20-%20ABRIL/RELAT&#211;RIOS/1.%20Controle%20Financeiro%20-%20N&#250;cleo%20Linha%20de%20Tucunac&#225;%20-%20Abr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nda a planilha"/>
      <sheetName val="Caixa"/>
      <sheetName val="Distrib. Valores"/>
      <sheetName val="Dinheiro"/>
      <sheetName val="Mov. entre Contas"/>
      <sheetName val="2023-DEZ-RECEITAS"/>
      <sheetName val="2023-DEZ-DESPESAS"/>
      <sheetName val="JAN-Receitas"/>
      <sheetName val="JAN-Despesas"/>
      <sheetName val="FEV-Receitas"/>
      <sheetName val="FEV-Despesas"/>
      <sheetName val="MAR-Receitas"/>
      <sheetName val="MAR-Despesas"/>
      <sheetName val="ABR-Receitas"/>
      <sheetName val="ABR-Despesas"/>
      <sheetName val="MAI-Receitas"/>
      <sheetName val="MAI-Despesas"/>
      <sheetName val="2024-ORÇAMENTO"/>
      <sheetName val="JUN-Receitas"/>
      <sheetName val="JUN-Despesas"/>
      <sheetName val="JUL-Receitas"/>
      <sheetName val="JUL-Despesas"/>
      <sheetName val="AGO-Receitas"/>
      <sheetName val="AGO-Despesas"/>
      <sheetName val="SET-Receitas"/>
      <sheetName val="SET-Despesas"/>
      <sheetName val="OUT-Receitas"/>
      <sheetName val="OUT-Despesas"/>
      <sheetName val="NOV-Receitas"/>
      <sheetName val="NOV-Despesas"/>
      <sheetName val="DEZ-Receitas"/>
      <sheetName val="DEZ-Despesas"/>
      <sheetName val="Reunião de Diretoria"/>
      <sheetName val="2024-Realizado anual"/>
      <sheetName val="SUC"/>
      <sheetName val="Plano de contas DG"/>
      <sheetName val="m-Despesas"/>
      <sheetName val="MA-Despesas"/>
      <sheetName val="J-Despesas"/>
      <sheetName val="FE-Despesas"/>
    </sheetNames>
    <sheetDataSet>
      <sheetData sheetId="0"/>
      <sheetData sheetId="1"/>
      <sheetData sheetId="2"/>
      <sheetData sheetId="3"/>
      <sheetData sheetId="4"/>
      <sheetData sheetId="5"/>
      <sheetData sheetId="6"/>
      <sheetData sheetId="7">
        <row r="6">
          <cell r="M6">
            <v>7065</v>
          </cell>
          <cell r="N6">
            <v>1621.62</v>
          </cell>
          <cell r="O6">
            <v>792</v>
          </cell>
          <cell r="P6">
            <v>152.36000000000001</v>
          </cell>
          <cell r="Q6">
            <v>155</v>
          </cell>
          <cell r="R6">
            <v>185</v>
          </cell>
          <cell r="S6">
            <v>217</v>
          </cell>
          <cell r="T6">
            <v>580</v>
          </cell>
          <cell r="U6">
            <v>2616</v>
          </cell>
        </row>
        <row r="128">
          <cell r="F128">
            <v>381.51</v>
          </cell>
        </row>
        <row r="131">
          <cell r="F131">
            <v>143</v>
          </cell>
        </row>
        <row r="135">
          <cell r="F135">
            <v>24756.86</v>
          </cell>
        </row>
        <row r="140">
          <cell r="F140">
            <v>325</v>
          </cell>
        </row>
        <row r="144">
          <cell r="F144">
            <v>0</v>
          </cell>
        </row>
        <row r="149">
          <cell r="F149">
            <v>1132.29</v>
          </cell>
        </row>
        <row r="154">
          <cell r="F154">
            <v>828</v>
          </cell>
        </row>
        <row r="159">
          <cell r="F159">
            <v>0</v>
          </cell>
        </row>
        <row r="163">
          <cell r="F163">
            <v>1469</v>
          </cell>
        </row>
        <row r="168">
          <cell r="F168">
            <v>6864.94</v>
          </cell>
        </row>
        <row r="172">
          <cell r="F172">
            <v>8.41</v>
          </cell>
        </row>
      </sheetData>
      <sheetData sheetId="8">
        <row r="7">
          <cell r="F7">
            <v>709.82</v>
          </cell>
        </row>
        <row r="8">
          <cell r="F8">
            <v>0</v>
          </cell>
        </row>
        <row r="9">
          <cell r="F9">
            <v>1026.95</v>
          </cell>
        </row>
        <row r="10">
          <cell r="F10">
            <v>286.14</v>
          </cell>
        </row>
        <row r="11">
          <cell r="F11">
            <v>40.119999999999997</v>
          </cell>
        </row>
        <row r="12">
          <cell r="F12">
            <v>64.849999999999994</v>
          </cell>
        </row>
        <row r="13">
          <cell r="F13">
            <v>0</v>
          </cell>
        </row>
        <row r="14">
          <cell r="F14">
            <v>54.99</v>
          </cell>
        </row>
        <row r="17">
          <cell r="F17">
            <v>1409.24</v>
          </cell>
        </row>
        <row r="18">
          <cell r="F18">
            <v>802.62</v>
          </cell>
        </row>
        <row r="19">
          <cell r="F19">
            <v>98</v>
          </cell>
        </row>
        <row r="20">
          <cell r="F20">
            <v>98</v>
          </cell>
        </row>
        <row r="21">
          <cell r="F21">
            <v>384</v>
          </cell>
        </row>
        <row r="22">
          <cell r="F22">
            <v>320.45999999999998</v>
          </cell>
        </row>
        <row r="23">
          <cell r="F23">
            <v>367.5</v>
          </cell>
        </row>
        <row r="24">
          <cell r="F24">
            <v>455.7</v>
          </cell>
        </row>
        <row r="25">
          <cell r="F25">
            <v>32.340000000000003</v>
          </cell>
        </row>
        <row r="26">
          <cell r="F26">
            <v>0</v>
          </cell>
        </row>
        <row r="27">
          <cell r="F27">
            <v>0</v>
          </cell>
        </row>
        <row r="28">
          <cell r="F28">
            <v>0</v>
          </cell>
        </row>
        <row r="29">
          <cell r="F29">
            <v>117</v>
          </cell>
        </row>
        <row r="31">
          <cell r="F31">
            <v>0</v>
          </cell>
        </row>
        <row r="32">
          <cell r="F32">
            <v>1383.48</v>
          </cell>
        </row>
        <row r="33">
          <cell r="F33">
            <v>0</v>
          </cell>
        </row>
        <row r="64">
          <cell r="F64">
            <v>161.38999999999999</v>
          </cell>
        </row>
        <row r="65">
          <cell r="F65">
            <v>31.8</v>
          </cell>
        </row>
        <row r="66">
          <cell r="F66">
            <v>45</v>
          </cell>
        </row>
        <row r="67">
          <cell r="F67">
            <v>86.71</v>
          </cell>
        </row>
        <row r="68">
          <cell r="F68">
            <v>80.489999999999995</v>
          </cell>
        </row>
        <row r="69">
          <cell r="F69">
            <v>67.959999999999994</v>
          </cell>
        </row>
        <row r="70">
          <cell r="F70">
            <v>279.75</v>
          </cell>
        </row>
        <row r="71">
          <cell r="F71">
            <v>95</v>
          </cell>
        </row>
        <row r="72">
          <cell r="F72">
            <v>57</v>
          </cell>
        </row>
        <row r="73">
          <cell r="F73">
            <v>102</v>
          </cell>
        </row>
        <row r="74">
          <cell r="F74">
            <v>209.47</v>
          </cell>
        </row>
        <row r="75">
          <cell r="F75">
            <v>50</v>
          </cell>
        </row>
        <row r="76">
          <cell r="F76">
            <v>574.95000000000005</v>
          </cell>
        </row>
        <row r="77">
          <cell r="F77">
            <v>45</v>
          </cell>
        </row>
        <row r="78">
          <cell r="F78">
            <v>0</v>
          </cell>
        </row>
        <row r="79">
          <cell r="F79">
            <v>0</v>
          </cell>
        </row>
        <row r="80">
          <cell r="F80">
            <v>29.97</v>
          </cell>
        </row>
        <row r="81">
          <cell r="F81">
            <v>59.8</v>
          </cell>
        </row>
        <row r="82">
          <cell r="F82">
            <v>34</v>
          </cell>
        </row>
        <row r="83">
          <cell r="F83">
            <v>44.5</v>
          </cell>
        </row>
        <row r="84">
          <cell r="F84">
            <v>253.53</v>
          </cell>
        </row>
        <row r="85">
          <cell r="F85">
            <v>176</v>
          </cell>
        </row>
        <row r="86">
          <cell r="F86">
            <v>0</v>
          </cell>
        </row>
        <row r="87">
          <cell r="F87">
            <v>266.42</v>
          </cell>
        </row>
        <row r="88">
          <cell r="F88">
            <v>33</v>
          </cell>
        </row>
        <row r="89">
          <cell r="F89">
            <v>0</v>
          </cell>
        </row>
        <row r="90">
          <cell r="F90">
            <v>0</v>
          </cell>
        </row>
        <row r="91">
          <cell r="F91">
            <v>0</v>
          </cell>
        </row>
        <row r="92">
          <cell r="F92">
            <v>0</v>
          </cell>
        </row>
        <row r="109">
          <cell r="F109">
            <v>0</v>
          </cell>
        </row>
        <row r="115">
          <cell r="F115">
            <v>1203.73</v>
          </cell>
        </row>
        <row r="125">
          <cell r="F125">
            <v>0</v>
          </cell>
        </row>
        <row r="136">
          <cell r="F136">
            <v>18774.73</v>
          </cell>
        </row>
        <row r="142">
          <cell r="F142">
            <v>0</v>
          </cell>
        </row>
        <row r="148">
          <cell r="F148">
            <v>0</v>
          </cell>
        </row>
        <row r="154">
          <cell r="F154">
            <v>0</v>
          </cell>
        </row>
        <row r="160">
          <cell r="F160">
            <v>0</v>
          </cell>
        </row>
        <row r="166">
          <cell r="F166">
            <v>0</v>
          </cell>
        </row>
        <row r="172">
          <cell r="F172">
            <v>0</v>
          </cell>
        </row>
        <row r="182">
          <cell r="F182">
            <v>0</v>
          </cell>
        </row>
        <row r="192">
          <cell r="F192">
            <v>357</v>
          </cell>
        </row>
        <row r="202">
          <cell r="F202">
            <v>160</v>
          </cell>
        </row>
        <row r="212">
          <cell r="F212">
            <v>0</v>
          </cell>
        </row>
        <row r="223">
          <cell r="F223">
            <v>880</v>
          </cell>
        </row>
        <row r="233">
          <cell r="F233">
            <v>0</v>
          </cell>
        </row>
        <row r="243">
          <cell r="F243">
            <v>17931.53</v>
          </cell>
        </row>
        <row r="261">
          <cell r="F261">
            <v>94.49</v>
          </cell>
        </row>
      </sheetData>
      <sheetData sheetId="9">
        <row r="6">
          <cell r="M6">
            <v>8734.2999999999993</v>
          </cell>
          <cell r="N6">
            <v>2137.59</v>
          </cell>
          <cell r="O6">
            <v>1044</v>
          </cell>
          <cell r="P6">
            <v>223.26</v>
          </cell>
          <cell r="Q6">
            <v>215</v>
          </cell>
          <cell r="R6">
            <v>260</v>
          </cell>
          <cell r="S6">
            <v>297</v>
          </cell>
          <cell r="T6">
            <v>610</v>
          </cell>
          <cell r="U6">
            <v>2354</v>
          </cell>
        </row>
        <row r="128">
          <cell r="F128">
            <v>0</v>
          </cell>
        </row>
        <row r="131">
          <cell r="F131">
            <v>1297.32</v>
          </cell>
        </row>
        <row r="135">
          <cell r="F135">
            <v>0</v>
          </cell>
        </row>
        <row r="139">
          <cell r="F139">
            <v>46</v>
          </cell>
        </row>
        <row r="143">
          <cell r="F143">
            <v>2675</v>
          </cell>
        </row>
        <row r="148">
          <cell r="F148">
            <v>633</v>
          </cell>
        </row>
        <row r="153">
          <cell r="F153">
            <v>1104.01</v>
          </cell>
        </row>
        <row r="158">
          <cell r="F158">
            <v>0</v>
          </cell>
        </row>
        <row r="162">
          <cell r="F162">
            <v>1025.79</v>
          </cell>
        </row>
        <row r="169">
          <cell r="F169">
            <v>0</v>
          </cell>
        </row>
        <row r="173">
          <cell r="F173">
            <v>2.2799999999999998</v>
          </cell>
        </row>
      </sheetData>
      <sheetData sheetId="10">
        <row r="7">
          <cell r="F7">
            <v>286.63</v>
          </cell>
        </row>
        <row r="8">
          <cell r="F8">
            <v>0</v>
          </cell>
        </row>
        <row r="9">
          <cell r="F9">
            <v>0</v>
          </cell>
        </row>
        <row r="10">
          <cell r="F10">
            <v>84.82</v>
          </cell>
        </row>
        <row r="11">
          <cell r="F11">
            <v>374.25</v>
          </cell>
        </row>
        <row r="12">
          <cell r="F12">
            <v>49.1</v>
          </cell>
        </row>
        <row r="13">
          <cell r="F13">
            <v>0</v>
          </cell>
        </row>
        <row r="14">
          <cell r="F14">
            <v>54.99</v>
          </cell>
        </row>
        <row r="15">
          <cell r="F15">
            <v>0</v>
          </cell>
        </row>
        <row r="17">
          <cell r="F17">
            <v>1380.48</v>
          </cell>
        </row>
        <row r="18">
          <cell r="F18">
            <v>786.24</v>
          </cell>
        </row>
        <row r="19">
          <cell r="F19">
            <v>96</v>
          </cell>
        </row>
        <row r="20">
          <cell r="F20">
            <v>96</v>
          </cell>
        </row>
        <row r="21">
          <cell r="F21">
            <v>384</v>
          </cell>
        </row>
        <row r="22">
          <cell r="F22">
            <v>313.92</v>
          </cell>
        </row>
        <row r="23">
          <cell r="F23">
            <v>360</v>
          </cell>
        </row>
        <row r="24">
          <cell r="F24">
            <v>446.4</v>
          </cell>
        </row>
        <row r="25">
          <cell r="F25">
            <v>31.68</v>
          </cell>
        </row>
        <row r="26">
          <cell r="F26">
            <v>0</v>
          </cell>
        </row>
        <row r="27">
          <cell r="F27">
            <v>0</v>
          </cell>
        </row>
        <row r="28">
          <cell r="F28">
            <v>0</v>
          </cell>
        </row>
        <row r="64">
          <cell r="F64">
            <v>70</v>
          </cell>
        </row>
        <row r="65">
          <cell r="F65">
            <v>60.32</v>
          </cell>
        </row>
        <row r="66">
          <cell r="F66">
            <v>45</v>
          </cell>
        </row>
        <row r="67">
          <cell r="F67">
            <v>95.65</v>
          </cell>
        </row>
        <row r="68">
          <cell r="F68">
            <v>148.25</v>
          </cell>
        </row>
        <row r="69">
          <cell r="F69">
            <v>0</v>
          </cell>
        </row>
        <row r="70">
          <cell r="F70">
            <v>0</v>
          </cell>
        </row>
        <row r="71">
          <cell r="F71">
            <v>0</v>
          </cell>
        </row>
        <row r="72">
          <cell r="F72">
            <v>316.76</v>
          </cell>
        </row>
        <row r="73">
          <cell r="F73">
            <v>140</v>
          </cell>
        </row>
        <row r="74">
          <cell r="F74">
            <v>131.69</v>
          </cell>
        </row>
        <row r="75">
          <cell r="F75">
            <v>45</v>
          </cell>
        </row>
        <row r="76">
          <cell r="F76">
            <v>335</v>
          </cell>
        </row>
        <row r="77">
          <cell r="F77">
            <v>0</v>
          </cell>
        </row>
        <row r="78">
          <cell r="F78">
            <v>0</v>
          </cell>
        </row>
        <row r="79">
          <cell r="F79">
            <v>0</v>
          </cell>
        </row>
        <row r="80">
          <cell r="F80">
            <v>145.57</v>
          </cell>
        </row>
        <row r="81">
          <cell r="F81">
            <v>267.7</v>
          </cell>
        </row>
        <row r="82">
          <cell r="F82">
            <v>98.95</v>
          </cell>
        </row>
        <row r="83">
          <cell r="F83">
            <v>164.9</v>
          </cell>
        </row>
        <row r="84">
          <cell r="F84">
            <v>0</v>
          </cell>
        </row>
        <row r="85">
          <cell r="F85">
            <v>184</v>
          </cell>
        </row>
        <row r="86">
          <cell r="F86">
            <v>0</v>
          </cell>
        </row>
        <row r="87">
          <cell r="F87">
            <v>331.4</v>
          </cell>
        </row>
        <row r="88">
          <cell r="F88">
            <v>48.38</v>
          </cell>
        </row>
        <row r="89">
          <cell r="F89">
            <v>225.49</v>
          </cell>
        </row>
        <row r="90">
          <cell r="F90">
            <v>405.61</v>
          </cell>
        </row>
        <row r="91">
          <cell r="F91">
            <v>59.94</v>
          </cell>
        </row>
        <row r="92">
          <cell r="F92">
            <v>118</v>
          </cell>
        </row>
        <row r="94">
          <cell r="F94">
            <v>0</v>
          </cell>
        </row>
        <row r="110">
          <cell r="F110">
            <v>0</v>
          </cell>
        </row>
        <row r="115">
          <cell r="F115">
            <v>0</v>
          </cell>
        </row>
        <row r="120">
          <cell r="F120">
            <v>0</v>
          </cell>
        </row>
        <row r="126">
          <cell r="F126">
            <v>1795.81</v>
          </cell>
        </row>
        <row r="137">
          <cell r="F137">
            <v>513.21</v>
          </cell>
        </row>
        <row r="148">
          <cell r="F148">
            <v>5921.85</v>
          </cell>
        </row>
        <row r="156">
          <cell r="F156">
            <v>0</v>
          </cell>
        </row>
        <row r="162">
          <cell r="F162">
            <v>0</v>
          </cell>
        </row>
        <row r="168">
          <cell r="F168">
            <v>0</v>
          </cell>
        </row>
        <row r="174">
          <cell r="F174">
            <v>0</v>
          </cell>
        </row>
        <row r="180">
          <cell r="F180">
            <v>94</v>
          </cell>
        </row>
        <row r="186">
          <cell r="F186">
            <v>100</v>
          </cell>
        </row>
        <row r="196">
          <cell r="F196">
            <v>0</v>
          </cell>
        </row>
        <row r="206">
          <cell r="F206">
            <v>0</v>
          </cell>
        </row>
        <row r="216">
          <cell r="F216">
            <v>0</v>
          </cell>
        </row>
        <row r="226">
          <cell r="F226">
            <v>0</v>
          </cell>
        </row>
        <row r="237">
          <cell r="F237">
            <v>0</v>
          </cell>
        </row>
        <row r="247">
          <cell r="F247">
            <v>1463.5</v>
          </cell>
        </row>
        <row r="257">
          <cell r="F257">
            <v>0</v>
          </cell>
        </row>
        <row r="267">
          <cell r="F267">
            <v>0</v>
          </cell>
        </row>
      </sheetData>
      <sheetData sheetId="11">
        <row r="6">
          <cell r="M6">
            <v>8869.8700000000008</v>
          </cell>
          <cell r="N6">
            <v>1842.75</v>
          </cell>
          <cell r="O6">
            <v>900</v>
          </cell>
          <cell r="P6">
            <v>178.94</v>
          </cell>
          <cell r="Q6">
            <v>170</v>
          </cell>
          <cell r="R6">
            <v>205</v>
          </cell>
          <cell r="S6">
            <v>262</v>
          </cell>
          <cell r="T6">
            <v>600</v>
          </cell>
          <cell r="U6">
            <v>4346</v>
          </cell>
        </row>
        <row r="128">
          <cell r="F128">
            <v>382.24</v>
          </cell>
        </row>
        <row r="131">
          <cell r="F131">
            <v>1083.6199999999999</v>
          </cell>
        </row>
        <row r="135">
          <cell r="F135">
            <v>2485.77</v>
          </cell>
        </row>
        <row r="140">
          <cell r="F140">
            <v>850</v>
          </cell>
        </row>
        <row r="147">
          <cell r="F147">
            <v>130</v>
          </cell>
        </row>
        <row r="152">
          <cell r="F152">
            <v>668</v>
          </cell>
        </row>
        <row r="157">
          <cell r="F157">
            <v>440</v>
          </cell>
        </row>
        <row r="162">
          <cell r="F162">
            <v>2276</v>
          </cell>
        </row>
        <row r="166">
          <cell r="F166">
            <v>50</v>
          </cell>
        </row>
        <row r="175">
          <cell r="F175">
            <v>0</v>
          </cell>
        </row>
        <row r="179">
          <cell r="F179">
            <v>5.16</v>
          </cell>
        </row>
      </sheetData>
      <sheetData sheetId="12">
        <row r="7">
          <cell r="F7">
            <v>419.99</v>
          </cell>
        </row>
        <row r="8">
          <cell r="F8">
            <v>0</v>
          </cell>
        </row>
        <row r="9">
          <cell r="F9">
            <v>0</v>
          </cell>
        </row>
        <row r="10">
          <cell r="F10">
            <v>306.18</v>
          </cell>
        </row>
        <row r="11">
          <cell r="F11">
            <v>48.78</v>
          </cell>
        </row>
        <row r="12">
          <cell r="F12">
            <v>69.39</v>
          </cell>
        </row>
        <row r="13">
          <cell r="F13">
            <v>0</v>
          </cell>
        </row>
        <row r="14">
          <cell r="F14">
            <v>56.1</v>
          </cell>
        </row>
        <row r="15">
          <cell r="F15">
            <v>0</v>
          </cell>
        </row>
        <row r="17">
          <cell r="F17">
            <v>1409.24</v>
          </cell>
        </row>
        <row r="18">
          <cell r="F18">
            <v>802.62</v>
          </cell>
        </row>
        <row r="19">
          <cell r="F19">
            <v>98</v>
          </cell>
        </row>
        <row r="20">
          <cell r="F20">
            <v>98</v>
          </cell>
        </row>
        <row r="21">
          <cell r="F21">
            <v>392</v>
          </cell>
        </row>
        <row r="22">
          <cell r="F22">
            <v>156.80000000000001</v>
          </cell>
        </row>
        <row r="23">
          <cell r="F23">
            <v>470.4</v>
          </cell>
        </row>
        <row r="24">
          <cell r="F24">
            <v>519.4</v>
          </cell>
        </row>
        <row r="25">
          <cell r="F25">
            <v>29.4</v>
          </cell>
        </row>
        <row r="26">
          <cell r="F26">
            <v>0</v>
          </cell>
        </row>
        <row r="27">
          <cell r="F27">
            <v>0</v>
          </cell>
        </row>
        <row r="28">
          <cell r="F28">
            <v>0</v>
          </cell>
        </row>
        <row r="64">
          <cell r="F64">
            <v>72.8</v>
          </cell>
        </row>
        <row r="65">
          <cell r="F65">
            <v>148.86000000000001</v>
          </cell>
        </row>
        <row r="66">
          <cell r="F66">
            <v>47.1</v>
          </cell>
        </row>
        <row r="67">
          <cell r="F67">
            <v>251.15</v>
          </cell>
        </row>
        <row r="68">
          <cell r="F68">
            <v>0</v>
          </cell>
        </row>
        <row r="69">
          <cell r="F69">
            <v>0</v>
          </cell>
        </row>
        <row r="70">
          <cell r="F70">
            <v>0</v>
          </cell>
        </row>
        <row r="71">
          <cell r="F71">
            <v>0</v>
          </cell>
        </row>
        <row r="72">
          <cell r="F72">
            <v>105</v>
          </cell>
        </row>
        <row r="73">
          <cell r="F73">
            <v>42.4</v>
          </cell>
        </row>
        <row r="74">
          <cell r="F74">
            <v>170.05</v>
          </cell>
        </row>
        <row r="75">
          <cell r="F75">
            <v>0</v>
          </cell>
        </row>
        <row r="76">
          <cell r="F76">
            <v>0</v>
          </cell>
        </row>
        <row r="77">
          <cell r="F77">
            <v>0</v>
          </cell>
        </row>
        <row r="78">
          <cell r="F78">
            <v>0</v>
          </cell>
        </row>
        <row r="79">
          <cell r="F79">
            <v>0</v>
          </cell>
        </row>
        <row r="80">
          <cell r="F80">
            <v>44.1</v>
          </cell>
        </row>
        <row r="81">
          <cell r="F81">
            <v>0</v>
          </cell>
        </row>
        <row r="82">
          <cell r="F82">
            <v>0</v>
          </cell>
        </row>
        <row r="83">
          <cell r="F83">
            <v>0</v>
          </cell>
        </row>
        <row r="84">
          <cell r="F84">
            <v>0</v>
          </cell>
        </row>
        <row r="85">
          <cell r="F85">
            <v>200</v>
          </cell>
        </row>
        <row r="86">
          <cell r="F86">
            <v>0</v>
          </cell>
        </row>
        <row r="87">
          <cell r="F87">
            <v>0</v>
          </cell>
        </row>
        <row r="88">
          <cell r="F88">
            <v>0</v>
          </cell>
        </row>
        <row r="89">
          <cell r="F89">
            <v>422.7</v>
          </cell>
        </row>
        <row r="90">
          <cell r="F90">
            <v>0</v>
          </cell>
        </row>
        <row r="91">
          <cell r="F91">
            <v>0</v>
          </cell>
        </row>
        <row r="92">
          <cell r="F92">
            <v>0</v>
          </cell>
        </row>
        <row r="94">
          <cell r="F94">
            <v>4696.1899999999996</v>
          </cell>
        </row>
        <row r="110">
          <cell r="F110">
            <v>475.98</v>
          </cell>
        </row>
        <row r="115">
          <cell r="F115">
            <v>0</v>
          </cell>
        </row>
        <row r="120">
          <cell r="F120">
            <v>796.6</v>
          </cell>
        </row>
        <row r="126">
          <cell r="F126">
            <v>2249.89</v>
          </cell>
        </row>
        <row r="136">
          <cell r="F136">
            <v>513.21</v>
          </cell>
        </row>
        <row r="146">
          <cell r="F146">
            <v>5666.73</v>
          </cell>
        </row>
        <row r="155">
          <cell r="G155"/>
        </row>
        <row r="161">
          <cell r="G161"/>
        </row>
        <row r="167">
          <cell r="G167"/>
        </row>
        <row r="173">
          <cell r="F173">
            <v>0</v>
          </cell>
        </row>
        <row r="179">
          <cell r="F179">
            <v>410.56</v>
          </cell>
        </row>
        <row r="185">
          <cell r="F185">
            <v>100</v>
          </cell>
        </row>
        <row r="195">
          <cell r="F195">
            <v>0</v>
          </cell>
        </row>
        <row r="205">
          <cell r="F205">
            <v>0</v>
          </cell>
        </row>
        <row r="215">
          <cell r="F215">
            <v>800</v>
          </cell>
        </row>
        <row r="225">
          <cell r="F225">
            <v>0</v>
          </cell>
        </row>
        <row r="236">
          <cell r="F236">
            <v>0</v>
          </cell>
        </row>
        <row r="246">
          <cell r="F246">
            <v>0</v>
          </cell>
        </row>
        <row r="256">
          <cell r="F256">
            <v>0</v>
          </cell>
        </row>
        <row r="266">
          <cell r="F266">
            <v>0</v>
          </cell>
        </row>
      </sheetData>
      <sheetData sheetId="13">
        <row r="6">
          <cell r="M6">
            <v>9979.3100000000013</v>
          </cell>
          <cell r="N6">
            <v>2014.7399999999986</v>
          </cell>
          <cell r="O6">
            <v>984</v>
          </cell>
          <cell r="P6">
            <v>185.99999999999997</v>
          </cell>
          <cell r="Q6">
            <v>175</v>
          </cell>
          <cell r="R6">
            <v>195</v>
          </cell>
          <cell r="S6">
            <v>282</v>
          </cell>
          <cell r="T6">
            <v>600</v>
          </cell>
          <cell r="U6">
            <v>4628.3999999999996</v>
          </cell>
        </row>
        <row r="127">
          <cell r="F127"/>
        </row>
        <row r="130">
          <cell r="F130"/>
        </row>
        <row r="134">
          <cell r="F134"/>
        </row>
        <row r="139">
          <cell r="F139"/>
        </row>
        <row r="146">
          <cell r="F146"/>
        </row>
        <row r="151">
          <cell r="F151"/>
        </row>
        <row r="156">
          <cell r="F156"/>
        </row>
        <row r="161">
          <cell r="F161"/>
        </row>
        <row r="165">
          <cell r="F165"/>
        </row>
        <row r="180">
          <cell r="F180"/>
        </row>
        <row r="184">
          <cell r="F184"/>
        </row>
      </sheetData>
      <sheetData sheetId="14">
        <row r="7">
          <cell r="F7">
            <v>407.4</v>
          </cell>
        </row>
        <row r="8">
          <cell r="F8">
            <v>69.39</v>
          </cell>
        </row>
        <row r="9">
          <cell r="F9">
            <v>48.78</v>
          </cell>
        </row>
        <row r="10">
          <cell r="F10">
            <v>306.18</v>
          </cell>
        </row>
        <row r="11">
          <cell r="F11">
            <v>200</v>
          </cell>
        </row>
        <row r="12">
          <cell r="F12">
            <v>6742.98</v>
          </cell>
        </row>
        <row r="13">
          <cell r="F13">
            <v>1423.62</v>
          </cell>
        </row>
        <row r="14">
          <cell r="F14">
            <v>810.81</v>
          </cell>
        </row>
        <row r="15">
          <cell r="F15">
            <v>99</v>
          </cell>
        </row>
        <row r="17">
          <cell r="F17">
            <v>396</v>
          </cell>
        </row>
        <row r="18">
          <cell r="F18">
            <v>158.4</v>
          </cell>
        </row>
        <row r="19">
          <cell r="F19">
            <v>475.2</v>
          </cell>
        </row>
        <row r="20">
          <cell r="F20">
            <v>524.70000000000005</v>
          </cell>
        </row>
        <row r="21">
          <cell r="F21">
            <v>29.7</v>
          </cell>
        </row>
        <row r="22">
          <cell r="F22">
            <v>117</v>
          </cell>
        </row>
        <row r="23">
          <cell r="F23">
            <v>2095.3000000000002</v>
          </cell>
        </row>
        <row r="24">
          <cell r="F24">
            <v>360</v>
          </cell>
        </row>
        <row r="25">
          <cell r="F25">
            <v>154.25</v>
          </cell>
        </row>
        <row r="26">
          <cell r="F26">
            <v>0.92999999999999994</v>
          </cell>
        </row>
        <row r="27">
          <cell r="F27">
            <v>0.92999999999999994</v>
          </cell>
        </row>
        <row r="28">
          <cell r="F28">
            <v>5053.03</v>
          </cell>
        </row>
        <row r="64">
          <cell r="F64">
            <v>5000</v>
          </cell>
        </row>
        <row r="65">
          <cell r="F65">
            <v>5000</v>
          </cell>
        </row>
        <row r="66">
          <cell r="F66">
            <v>3300.12</v>
          </cell>
        </row>
        <row r="67">
          <cell r="F67">
            <v>60</v>
          </cell>
        </row>
        <row r="68">
          <cell r="F68">
            <v>215</v>
          </cell>
        </row>
        <row r="69">
          <cell r="F69">
            <v>200</v>
          </cell>
        </row>
        <row r="70">
          <cell r="F70">
            <v>40</v>
          </cell>
        </row>
        <row r="71">
          <cell r="F71">
            <v>1148.24</v>
          </cell>
        </row>
        <row r="72">
          <cell r="F72">
            <v>41.39</v>
          </cell>
        </row>
        <row r="73">
          <cell r="F73">
            <v>40</v>
          </cell>
        </row>
        <row r="74">
          <cell r="F74">
            <v>600</v>
          </cell>
        </row>
        <row r="75">
          <cell r="F75">
            <v>60</v>
          </cell>
        </row>
        <row r="76">
          <cell r="F76">
            <v>213.49</v>
          </cell>
        </row>
        <row r="77">
          <cell r="F77">
            <v>318.35000000000002</v>
          </cell>
        </row>
        <row r="78">
          <cell r="F78">
            <v>313.64999999999998</v>
          </cell>
        </row>
        <row r="79">
          <cell r="F79">
            <v>50</v>
          </cell>
        </row>
        <row r="80">
          <cell r="F80">
            <v>100</v>
          </cell>
        </row>
        <row r="81">
          <cell r="F81">
            <v>100</v>
          </cell>
        </row>
        <row r="82">
          <cell r="F82">
            <v>1240</v>
          </cell>
        </row>
        <row r="83">
          <cell r="F83">
            <v>1160</v>
          </cell>
        </row>
        <row r="84">
          <cell r="F84">
            <v>80</v>
          </cell>
        </row>
        <row r="86">
          <cell r="F86">
            <v>200</v>
          </cell>
        </row>
        <row r="102">
          <cell r="F102"/>
        </row>
        <row r="107">
          <cell r="F107"/>
        </row>
        <row r="112">
          <cell r="F112"/>
        </row>
        <row r="118">
          <cell r="F118"/>
        </row>
        <row r="134">
          <cell r="F134"/>
        </row>
        <row r="145">
          <cell r="F145"/>
        </row>
        <row r="151">
          <cell r="H151"/>
        </row>
        <row r="157">
          <cell r="H157"/>
        </row>
        <row r="163">
          <cell r="H163"/>
        </row>
        <row r="169">
          <cell r="F169"/>
        </row>
        <row r="175">
          <cell r="F175"/>
        </row>
        <row r="204">
          <cell r="F204"/>
        </row>
        <row r="214">
          <cell r="F214"/>
        </row>
        <row r="224">
          <cell r="F224"/>
        </row>
        <row r="234">
          <cell r="F234"/>
        </row>
        <row r="244">
          <cell r="F244"/>
        </row>
        <row r="255">
          <cell r="F255"/>
        </row>
        <row r="265">
          <cell r="F265"/>
        </row>
        <row r="275">
          <cell r="F275"/>
        </row>
        <row r="285">
          <cell r="F285"/>
        </row>
      </sheetData>
      <sheetData sheetId="15"/>
      <sheetData sheetId="16"/>
      <sheetData sheetId="17"/>
      <sheetData sheetId="18">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3">
          <cell r="F153">
            <v>0</v>
          </cell>
        </row>
        <row r="158">
          <cell r="F158">
            <v>0</v>
          </cell>
        </row>
        <row r="163">
          <cell r="F163">
            <v>0</v>
          </cell>
        </row>
        <row r="167">
          <cell r="F167">
            <v>0</v>
          </cell>
        </row>
        <row r="182">
          <cell r="F182">
            <v>0</v>
          </cell>
        </row>
        <row r="186">
          <cell r="F186">
            <v>0</v>
          </cell>
        </row>
      </sheetData>
      <sheetData sheetId="19">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7">
          <cell r="F87">
            <v>0</v>
          </cell>
        </row>
        <row r="103">
          <cell r="F103">
            <v>0</v>
          </cell>
        </row>
        <row r="108">
          <cell r="F108">
            <v>0</v>
          </cell>
        </row>
        <row r="113">
          <cell r="F113">
            <v>0</v>
          </cell>
        </row>
        <row r="119">
          <cell r="F119">
            <v>0</v>
          </cell>
        </row>
        <row r="138">
          <cell r="F138">
            <v>0</v>
          </cell>
        </row>
        <row r="149">
          <cell r="H149"/>
        </row>
        <row r="155">
          <cell r="H155"/>
        </row>
        <row r="161">
          <cell r="H161"/>
        </row>
        <row r="167">
          <cell r="H167"/>
        </row>
        <row r="173">
          <cell r="F173">
            <v>0</v>
          </cell>
        </row>
        <row r="179">
          <cell r="F179">
            <v>0</v>
          </cell>
        </row>
        <row r="208">
          <cell r="F208">
            <v>0</v>
          </cell>
        </row>
        <row r="218">
          <cell r="F218">
            <v>0</v>
          </cell>
        </row>
        <row r="228">
          <cell r="F228">
            <v>0</v>
          </cell>
        </row>
        <row r="238">
          <cell r="F238">
            <v>0</v>
          </cell>
        </row>
        <row r="248">
          <cell r="F248">
            <v>0</v>
          </cell>
        </row>
        <row r="259">
          <cell r="F259">
            <v>0</v>
          </cell>
        </row>
        <row r="269">
          <cell r="F269">
            <v>0</v>
          </cell>
        </row>
        <row r="279">
          <cell r="F279">
            <v>0</v>
          </cell>
        </row>
        <row r="289">
          <cell r="F289">
            <v>0</v>
          </cell>
        </row>
        <row r="299">
          <cell r="F299">
            <v>0</v>
          </cell>
        </row>
      </sheetData>
      <sheetData sheetId="20">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1">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7">
          <cell r="F87">
            <v>0</v>
          </cell>
        </row>
        <row r="103">
          <cell r="F103">
            <v>0</v>
          </cell>
        </row>
        <row r="108">
          <cell r="F108">
            <v>0</v>
          </cell>
        </row>
        <row r="113">
          <cell r="F113">
            <v>0</v>
          </cell>
        </row>
        <row r="119">
          <cell r="F119">
            <v>0</v>
          </cell>
        </row>
        <row r="138">
          <cell r="F138">
            <v>0</v>
          </cell>
        </row>
        <row r="149">
          <cell r="H149"/>
        </row>
        <row r="155">
          <cell r="H155"/>
        </row>
        <row r="161">
          <cell r="H161"/>
        </row>
        <row r="167">
          <cell r="H167"/>
        </row>
        <row r="173">
          <cell r="F173">
            <v>0</v>
          </cell>
        </row>
        <row r="179">
          <cell r="F179">
            <v>0</v>
          </cell>
        </row>
        <row r="208">
          <cell r="F208">
            <v>0</v>
          </cell>
        </row>
        <row r="218">
          <cell r="F218">
            <v>0</v>
          </cell>
        </row>
        <row r="228">
          <cell r="F228">
            <v>0</v>
          </cell>
        </row>
        <row r="238">
          <cell r="F238">
            <v>0</v>
          </cell>
        </row>
        <row r="248">
          <cell r="F248">
            <v>0</v>
          </cell>
        </row>
        <row r="259">
          <cell r="F259">
            <v>0</v>
          </cell>
        </row>
        <row r="269">
          <cell r="F269">
            <v>0</v>
          </cell>
        </row>
        <row r="279">
          <cell r="F279">
            <v>0</v>
          </cell>
        </row>
        <row r="289">
          <cell r="F289">
            <v>0</v>
          </cell>
        </row>
        <row r="311">
          <cell r="F311">
            <v>0</v>
          </cell>
        </row>
      </sheetData>
      <sheetData sheetId="22">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3">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113">
          <cell r="F113">
            <v>0</v>
          </cell>
        </row>
        <row r="119">
          <cell r="F119">
            <v>0</v>
          </cell>
        </row>
        <row r="138">
          <cell r="F138">
            <v>0</v>
          </cell>
        </row>
        <row r="152">
          <cell r="F152">
            <v>0</v>
          </cell>
        </row>
        <row r="158">
          <cell r="F158">
            <v>0</v>
          </cell>
        </row>
        <row r="164">
          <cell r="F164">
            <v>0</v>
          </cell>
        </row>
        <row r="170">
          <cell r="F170">
            <v>0</v>
          </cell>
        </row>
        <row r="173">
          <cell r="F173">
            <v>0</v>
          </cell>
        </row>
        <row r="182">
          <cell r="F182">
            <v>0</v>
          </cell>
        </row>
        <row r="211">
          <cell r="F211">
            <v>0</v>
          </cell>
        </row>
        <row r="218">
          <cell r="F218">
            <v>0</v>
          </cell>
        </row>
        <row r="228">
          <cell r="F228">
            <v>0</v>
          </cell>
        </row>
        <row r="241">
          <cell r="F241">
            <v>0</v>
          </cell>
        </row>
        <row r="248">
          <cell r="F248">
            <v>0</v>
          </cell>
        </row>
        <row r="259">
          <cell r="F259">
            <v>0</v>
          </cell>
        </row>
        <row r="269">
          <cell r="F269">
            <v>0</v>
          </cell>
        </row>
        <row r="279">
          <cell r="F279">
            <v>0</v>
          </cell>
        </row>
        <row r="289">
          <cell r="F289">
            <v>0</v>
          </cell>
        </row>
        <row r="311">
          <cell r="F311">
            <v>0</v>
          </cell>
        </row>
      </sheetData>
      <sheetData sheetId="24">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5">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116">
          <cell r="F116">
            <v>0</v>
          </cell>
        </row>
        <row r="122">
          <cell r="F122">
            <v>0</v>
          </cell>
        </row>
        <row r="138">
          <cell r="F138">
            <v>0</v>
          </cell>
        </row>
        <row r="152">
          <cell r="F152">
            <v>0</v>
          </cell>
        </row>
        <row r="158">
          <cell r="G158"/>
        </row>
        <row r="164">
          <cell r="G164"/>
        </row>
        <row r="170">
          <cell r="G170"/>
        </row>
        <row r="173">
          <cell r="F173">
            <v>0</v>
          </cell>
        </row>
        <row r="182">
          <cell r="F182">
            <v>0</v>
          </cell>
        </row>
        <row r="211">
          <cell r="F211">
            <v>0</v>
          </cell>
        </row>
        <row r="221">
          <cell r="F221">
            <v>0</v>
          </cell>
        </row>
        <row r="231">
          <cell r="F231">
            <v>0</v>
          </cell>
        </row>
        <row r="241">
          <cell r="F241">
            <v>0</v>
          </cell>
        </row>
        <row r="251">
          <cell r="F251">
            <v>0</v>
          </cell>
        </row>
        <row r="259">
          <cell r="F259">
            <v>0</v>
          </cell>
        </row>
        <row r="269">
          <cell r="F269">
            <v>0</v>
          </cell>
        </row>
        <row r="279">
          <cell r="F279">
            <v>0</v>
          </cell>
        </row>
        <row r="289">
          <cell r="F289">
            <v>0</v>
          </cell>
        </row>
        <row r="311">
          <cell r="F311">
            <v>0</v>
          </cell>
        </row>
      </sheetData>
      <sheetData sheetId="26">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6">
          <cell r="F146">
            <v>0</v>
          </cell>
        </row>
        <row r="155">
          <cell r="F155">
            <v>0</v>
          </cell>
        </row>
        <row r="160">
          <cell r="F160">
            <v>0</v>
          </cell>
        </row>
        <row r="165">
          <cell r="F165">
            <v>0</v>
          </cell>
        </row>
        <row r="169">
          <cell r="F169">
            <v>0</v>
          </cell>
        </row>
        <row r="184">
          <cell r="F184">
            <v>0</v>
          </cell>
        </row>
        <row r="188">
          <cell r="F188">
            <v>0</v>
          </cell>
        </row>
      </sheetData>
      <sheetData sheetId="27">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3">
          <cell r="F43">
            <v>0</v>
          </cell>
        </row>
        <row r="44">
          <cell r="F44">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90">
          <cell r="F90">
            <v>0</v>
          </cell>
        </row>
        <row r="106">
          <cell r="F106">
            <v>0</v>
          </cell>
        </row>
        <row r="111">
          <cell r="F111">
            <v>0</v>
          </cell>
        </row>
        <row r="116">
          <cell r="F116">
            <v>0</v>
          </cell>
        </row>
        <row r="122">
          <cell r="F122">
            <v>0</v>
          </cell>
        </row>
        <row r="138">
          <cell r="F138">
            <v>0</v>
          </cell>
        </row>
        <row r="152">
          <cell r="F152">
            <v>0</v>
          </cell>
        </row>
        <row r="158">
          <cell r="H158"/>
        </row>
        <row r="164">
          <cell r="H164"/>
        </row>
        <row r="170">
          <cell r="H170"/>
        </row>
        <row r="173">
          <cell r="F173">
            <v>0</v>
          </cell>
        </row>
        <row r="182">
          <cell r="F182">
            <v>0</v>
          </cell>
        </row>
        <row r="211">
          <cell r="F211">
            <v>0</v>
          </cell>
        </row>
        <row r="221">
          <cell r="F221">
            <v>0</v>
          </cell>
        </row>
        <row r="231">
          <cell r="F231">
            <v>0</v>
          </cell>
        </row>
        <row r="241">
          <cell r="F241">
            <v>0</v>
          </cell>
        </row>
        <row r="251">
          <cell r="F251">
            <v>0</v>
          </cell>
        </row>
        <row r="259">
          <cell r="F259">
            <v>0</v>
          </cell>
        </row>
        <row r="269">
          <cell r="F269">
            <v>0</v>
          </cell>
        </row>
        <row r="279">
          <cell r="F279">
            <v>0</v>
          </cell>
        </row>
        <row r="289">
          <cell r="F289">
            <v>0</v>
          </cell>
        </row>
        <row r="311">
          <cell r="F311">
            <v>0</v>
          </cell>
        </row>
      </sheetData>
      <sheetData sheetId="28">
        <row r="6">
          <cell r="M6">
            <v>0</v>
          </cell>
          <cell r="N6">
            <v>0</v>
          </cell>
          <cell r="O6">
            <v>0</v>
          </cell>
          <cell r="P6">
            <v>0</v>
          </cell>
          <cell r="Q6">
            <v>0</v>
          </cell>
          <cell r="R6">
            <v>0</v>
          </cell>
          <cell r="S6">
            <v>0</v>
          </cell>
          <cell r="T6">
            <v>0</v>
          </cell>
          <cell r="U6">
            <v>0</v>
          </cell>
        </row>
        <row r="127">
          <cell r="F127">
            <v>0</v>
          </cell>
        </row>
        <row r="130">
          <cell r="F130">
            <v>0</v>
          </cell>
        </row>
        <row r="134">
          <cell r="F134">
            <v>0</v>
          </cell>
        </row>
        <row r="139">
          <cell r="F139">
            <v>0</v>
          </cell>
        </row>
        <row r="145">
          <cell r="F145">
            <v>0</v>
          </cell>
        </row>
        <row r="155">
          <cell r="F155">
            <v>0</v>
          </cell>
        </row>
        <row r="160">
          <cell r="F160">
            <v>0</v>
          </cell>
        </row>
        <row r="164">
          <cell r="F164">
            <v>0</v>
          </cell>
        </row>
        <row r="169">
          <cell r="F169">
            <v>0</v>
          </cell>
        </row>
        <row r="183">
          <cell r="F183">
            <v>0</v>
          </cell>
        </row>
        <row r="187">
          <cell r="F187">
            <v>0</v>
          </cell>
        </row>
      </sheetData>
      <sheetData sheetId="29">
        <row r="10">
          <cell r="F10">
            <v>0</v>
          </cell>
        </row>
        <row r="11">
          <cell r="F11">
            <v>0</v>
          </cell>
        </row>
        <row r="12">
          <cell r="F12">
            <v>0</v>
          </cell>
        </row>
        <row r="13">
          <cell r="F13">
            <v>0</v>
          </cell>
        </row>
        <row r="14">
          <cell r="F14">
            <v>0</v>
          </cell>
        </row>
        <row r="15">
          <cell r="F15">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44">
          <cell r="F44">
            <v>0</v>
          </cell>
        </row>
        <row r="45">
          <cell r="F45">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G88"/>
        </row>
        <row r="89">
          <cell r="F89">
            <v>0</v>
          </cell>
        </row>
        <row r="91">
          <cell r="F91">
            <v>0</v>
          </cell>
        </row>
        <row r="107">
          <cell r="F107">
            <v>0</v>
          </cell>
        </row>
        <row r="112">
          <cell r="F112">
            <v>0</v>
          </cell>
        </row>
        <row r="117">
          <cell r="F117">
            <v>0</v>
          </cell>
        </row>
        <row r="125">
          <cell r="F125">
            <v>0</v>
          </cell>
        </row>
        <row r="144">
          <cell r="F144">
            <v>0</v>
          </cell>
        </row>
        <row r="155">
          <cell r="F155">
            <v>0</v>
          </cell>
        </row>
        <row r="161">
          <cell r="I161"/>
        </row>
        <row r="167">
          <cell r="I167"/>
        </row>
        <row r="173">
          <cell r="I173"/>
        </row>
        <row r="179">
          <cell r="F179">
            <v>0</v>
          </cell>
        </row>
        <row r="185">
          <cell r="F185">
            <v>0</v>
          </cell>
        </row>
        <row r="214">
          <cell r="F214">
            <v>0</v>
          </cell>
        </row>
        <row r="224">
          <cell r="F224">
            <v>0</v>
          </cell>
        </row>
        <row r="234">
          <cell r="F234">
            <v>0</v>
          </cell>
        </row>
        <row r="244">
          <cell r="F244">
            <v>0</v>
          </cell>
        </row>
        <row r="254">
          <cell r="F254">
            <v>0</v>
          </cell>
        </row>
        <row r="265">
          <cell r="F265">
            <v>0</v>
          </cell>
        </row>
        <row r="275">
          <cell r="F275">
            <v>0</v>
          </cell>
        </row>
        <row r="285">
          <cell r="F285">
            <v>0</v>
          </cell>
        </row>
        <row r="295">
          <cell r="F295">
            <v>0</v>
          </cell>
        </row>
        <row r="317">
          <cell r="F317">
            <v>0</v>
          </cell>
        </row>
      </sheetData>
      <sheetData sheetId="30"/>
      <sheetData sheetId="31"/>
      <sheetData sheetId="32"/>
      <sheetData sheetId="33"/>
      <sheetData sheetId="34"/>
      <sheetData sheetId="35"/>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Lrvz77hCs-9Ap-_hYtGDYxki1G3ANRlg/view?usp=drive_link" TargetMode="External"/><Relationship Id="rId13" Type="http://schemas.openxmlformats.org/officeDocument/2006/relationships/hyperlink" Target="https://drive.google.com/file/d/154fyTE2hE2-eF-mYvbl4PsFrIA4CvEBh/view?usp=drive_link" TargetMode="External"/><Relationship Id="rId18" Type="http://schemas.openxmlformats.org/officeDocument/2006/relationships/hyperlink" Target="https://drive.google.com/file/d/1_jNZMYCrAGGWzhMBq9-LhIw9GpW9Czv-/view?usp=drive_link" TargetMode="External"/><Relationship Id="rId26" Type="http://schemas.openxmlformats.org/officeDocument/2006/relationships/hyperlink" Target="https://drive.google.com/file/d/1PbaU7Fv5HFwiIWV5lBe7dhPBw8zMXLNt/view?usp=drive_link" TargetMode="External"/><Relationship Id="rId3" Type="http://schemas.openxmlformats.org/officeDocument/2006/relationships/hyperlink" Target="https://drive.google.com/file/d/1armK0m59uAYu4CUS54qTVAiGc4D58WRv/view?usp=drive_link" TargetMode="External"/><Relationship Id="rId21" Type="http://schemas.openxmlformats.org/officeDocument/2006/relationships/hyperlink" Target="https://drive.google.com/file/d/1xc_buoMPmLg1YUP_RRXDtoeCLwFWHc__/view?usp=drive_link" TargetMode="External"/><Relationship Id="rId7" Type="http://schemas.openxmlformats.org/officeDocument/2006/relationships/hyperlink" Target="https://drive.google.com/file/d/1Ze8pvPmSyC-jJebtaDGmWRAVg1EjtwxZ/view?usp=drive_link" TargetMode="External"/><Relationship Id="rId12" Type="http://schemas.openxmlformats.org/officeDocument/2006/relationships/hyperlink" Target="https://drive.google.com/file/d/1upTOtwJrjO-9QEwX0pEf6Xu4dDw0VTRX/view?usp=drive_link" TargetMode="External"/><Relationship Id="rId17" Type="http://schemas.openxmlformats.org/officeDocument/2006/relationships/hyperlink" Target="https://drive.google.com/file/d/1P-zr1Ezy8pcmrVnt_qoETRI434kGz9Bv/view?usp=drive_link" TargetMode="External"/><Relationship Id="rId25" Type="http://schemas.openxmlformats.org/officeDocument/2006/relationships/hyperlink" Target="https://drive.google.com/file/d/1ACoLhqqu2ElpFbC_vXT07BchQjtIdoa8/view?usp=drive_link" TargetMode="External"/><Relationship Id="rId2" Type="http://schemas.openxmlformats.org/officeDocument/2006/relationships/hyperlink" Target="https://drive.google.com/file/d/1K6wk-3aiUDrSIcQpIg07SrxvPGrFP-DY/view?usp=drive_link" TargetMode="External"/><Relationship Id="rId16" Type="http://schemas.openxmlformats.org/officeDocument/2006/relationships/hyperlink" Target="https://drive.google.com/file/d/1jqskAC3ezP8yULTHgRoYQmbM6N641kMA/view?usp=drive_link" TargetMode="External"/><Relationship Id="rId20" Type="http://schemas.openxmlformats.org/officeDocument/2006/relationships/hyperlink" Target="https://drive.google.com/file/d/1qLpnSY08jJAk3CFmmsoIEDw0Xywt6fEt/view?usp=drive_link" TargetMode="External"/><Relationship Id="rId1" Type="http://schemas.openxmlformats.org/officeDocument/2006/relationships/hyperlink" Target="https://drive.google.com/file/d/1HxfPZMes6T4DpkfQ9SN_bQakL0wH2ONT/view?usp=drive_link" TargetMode="External"/><Relationship Id="rId6" Type="http://schemas.openxmlformats.org/officeDocument/2006/relationships/hyperlink" Target="https://drive.google.com/file/d/1cHkb8Yo3pPerc3nasiot9hJr4l1NKzRr/view?usp=drive_link" TargetMode="External"/><Relationship Id="rId11" Type="http://schemas.openxmlformats.org/officeDocument/2006/relationships/hyperlink" Target="https://drive.google.com/file/d/1-wYPjr9-RuWpx8mwPbBKgbEW_-ao1nJ2/view?usp=drive_link" TargetMode="External"/><Relationship Id="rId24" Type="http://schemas.openxmlformats.org/officeDocument/2006/relationships/hyperlink" Target="https://drive.google.com/file/d/17ofvNPYapCSBzRT6DJjG04Tbx3xZDdXt/view?usp=drive_link" TargetMode="External"/><Relationship Id="rId5" Type="http://schemas.openxmlformats.org/officeDocument/2006/relationships/hyperlink" Target="https://drive.google.com/file/d/16meczPDHPc1QEuGSscL4d7D707LYwmfm/view?usp=drive_link" TargetMode="External"/><Relationship Id="rId15" Type="http://schemas.openxmlformats.org/officeDocument/2006/relationships/hyperlink" Target="https://drive.google.com/file/d/1I6z53UUGdn_2WHC0Wbf8Uboov-m0h4Gh/view?usp=drive_link" TargetMode="External"/><Relationship Id="rId23" Type="http://schemas.openxmlformats.org/officeDocument/2006/relationships/hyperlink" Target="https://drive.google.com/file/d/1srsaHG1w9NW11nyUj7jCVo-s_R4ZAOOd/view?usp=drive_link" TargetMode="External"/><Relationship Id="rId28" Type="http://schemas.openxmlformats.org/officeDocument/2006/relationships/hyperlink" Target="https://drive.google.com/file/d/1HSMhjl4rdP3_LjHIPlrOR2YMkMDpJEQn/view?usp=drive_link" TargetMode="External"/><Relationship Id="rId10" Type="http://schemas.openxmlformats.org/officeDocument/2006/relationships/hyperlink" Target="https://drive.google.com/file/d/19M0xZrZjCQjoBB2X8KbSUNgdb2ElEME8/view?usp=sharing" TargetMode="External"/><Relationship Id="rId19" Type="http://schemas.openxmlformats.org/officeDocument/2006/relationships/hyperlink" Target="https://drive.google.com/file/d/1-8_zDpcbXg1Q9ElAhbCwiAwIGBZzl8r3/view?usp=drive_link" TargetMode="External"/><Relationship Id="rId4" Type="http://schemas.openxmlformats.org/officeDocument/2006/relationships/hyperlink" Target="https://drive.google.com/file/d/1cArE6avLBdLZ_P5rT3rm_SHq9NEZyHHr/view?usp=drive_link" TargetMode="External"/><Relationship Id="rId9" Type="http://schemas.openxmlformats.org/officeDocument/2006/relationships/hyperlink" Target="https://drive.google.com/file/d/11LttsR061P4v40YjP52xj6kuSFCfOTYi/view?usp=drive_link" TargetMode="External"/><Relationship Id="rId14" Type="http://schemas.openxmlformats.org/officeDocument/2006/relationships/hyperlink" Target="https://drive.google.com/file/d/1XNnx8OvJv3e9g5t7kDyG_22UT3Gy9hE9/view?usp=drive_link" TargetMode="External"/><Relationship Id="rId22" Type="http://schemas.openxmlformats.org/officeDocument/2006/relationships/hyperlink" Target="https://drive.google.com/file/d/1NpPDi-qwRq7R9JU-bSLfTNE7-zPHKuta/view?usp=drive_link" TargetMode="External"/><Relationship Id="rId27" Type="http://schemas.openxmlformats.org/officeDocument/2006/relationships/hyperlink" Target="https://drive.google.com/file/d/1sKbLifz-t9XpX7_pDmbLDjWrFRa9m-r7/view?usp=drive_link"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drive.google.com/open?id=1n5Sig2je9s_93XrjjUNd4tGcIoglHbTJ&amp;usp=drive_fs" TargetMode="External"/><Relationship Id="rId21" Type="http://schemas.openxmlformats.org/officeDocument/2006/relationships/hyperlink" Target="https://drive.google.com/open?id=1hFSIHwRwuaQiYwWsWQxE8pSyVgKFTuLZ&amp;usp=drive_fs" TargetMode="External"/><Relationship Id="rId42" Type="http://schemas.openxmlformats.org/officeDocument/2006/relationships/hyperlink" Target="https://drive.google.com/open?id=1lqlQT10luc3ZSVa28ZmEQpVazP5bSNZr&amp;usp=drive_fs" TargetMode="External"/><Relationship Id="rId47" Type="http://schemas.openxmlformats.org/officeDocument/2006/relationships/hyperlink" Target="https://drive.google.com/open?id=1nACkBiXNK65b8tBh_LWg5ALxCACYpvtR&amp;usp=drive_fs" TargetMode="External"/><Relationship Id="rId63" Type="http://schemas.openxmlformats.org/officeDocument/2006/relationships/hyperlink" Target="https://drive.google.com/open?id=1_-QXwdDVIJyladXFPHZIopiaKUOK8wKo&amp;usp=drive_fs" TargetMode="External"/><Relationship Id="rId68" Type="http://schemas.openxmlformats.org/officeDocument/2006/relationships/hyperlink" Target="https://drive.google.com/open?id=1pwjilVpur0GjYfwe_WYd5MsZpcPNFx_4&amp;usp=drive_fs" TargetMode="External"/><Relationship Id="rId2" Type="http://schemas.openxmlformats.org/officeDocument/2006/relationships/hyperlink" Target="https://drive.google.com/open?id=1yfj64PilsAhg2ps6P13cPj6FSWgIed3F&amp;usp=drive_fs" TargetMode="External"/><Relationship Id="rId16" Type="http://schemas.openxmlformats.org/officeDocument/2006/relationships/hyperlink" Target="https://drive.google.com/open?id=1JiL4IMQV5qgjJVyaHpjfjyHxSF8AtRx5&amp;usp=drive_fs" TargetMode="External"/><Relationship Id="rId29" Type="http://schemas.openxmlformats.org/officeDocument/2006/relationships/hyperlink" Target="https://drive.google.com/open?id=1mDGly3g1G-oIK4Z7r4AbKZKPss2un1JF&amp;usp=drive_fs" TargetMode="External"/><Relationship Id="rId11" Type="http://schemas.openxmlformats.org/officeDocument/2006/relationships/hyperlink" Target="https://drive.google.com/open?id=1yEGIa44JRzSyB9hsDq2v5wHpRZ_ExjoJ&amp;usp=drive_fs" TargetMode="External"/><Relationship Id="rId24" Type="http://schemas.openxmlformats.org/officeDocument/2006/relationships/hyperlink" Target="https://drive.google.com/open?id=1hfgQ-3NbxUZ47dvLGHUXcz6AdKYhXVs2&amp;usp=drive_fs" TargetMode="External"/><Relationship Id="rId32" Type="http://schemas.openxmlformats.org/officeDocument/2006/relationships/hyperlink" Target="https://drive.google.com/open?id=1lrtlxjHHABv_0lSzyuQdEv0MUg-DHK_B&amp;usp=drive_fs" TargetMode="External"/><Relationship Id="rId37" Type="http://schemas.openxmlformats.org/officeDocument/2006/relationships/hyperlink" Target="https://drive.google.com/open?id=1V_yMQKaE-8HrCzyTw6m1CUmmSMgk0Pvq&amp;usp=drive_fs" TargetMode="External"/><Relationship Id="rId40" Type="http://schemas.openxmlformats.org/officeDocument/2006/relationships/hyperlink" Target="https://drive.google.com/open?id=1fmdjNaVxzj-GwXzVEc7xNRm7tR53xoyu&amp;usp=drive_fs" TargetMode="External"/><Relationship Id="rId45" Type="http://schemas.openxmlformats.org/officeDocument/2006/relationships/hyperlink" Target="https://drive.google.com/open?id=1hOLW8aRys29Dz7D_krTSIPwkKbWxN2rf&amp;usp=drive_fs" TargetMode="External"/><Relationship Id="rId53" Type="http://schemas.openxmlformats.org/officeDocument/2006/relationships/hyperlink" Target="https://drive.google.com/open?id=1xGfYtmbYoEjCNrh20oKAJs7Mj9xDzqXH&amp;usp=drive_fs" TargetMode="External"/><Relationship Id="rId58" Type="http://schemas.openxmlformats.org/officeDocument/2006/relationships/hyperlink" Target="https://drive.google.com/open?id=1lalNvA19Elxahysse10_3K8qDIzidrk6&amp;usp=drive_fs" TargetMode="External"/><Relationship Id="rId66" Type="http://schemas.openxmlformats.org/officeDocument/2006/relationships/hyperlink" Target="https://drive.google.com/open?id=1pgOu6736vf6oQYFM-5OvFJe78jvqDqVl&amp;usp=drive_fs" TargetMode="External"/><Relationship Id="rId74" Type="http://schemas.openxmlformats.org/officeDocument/2006/relationships/hyperlink" Target="https://drive.google.com/open?id=1D_8jc8oxRRyar3_wztfKm046aMM6r-LD&amp;usp=drive_fs" TargetMode="External"/><Relationship Id="rId5" Type="http://schemas.openxmlformats.org/officeDocument/2006/relationships/hyperlink" Target="https://drive.google.com/open?id=1gNhVwxUFoN7ZOYPVqARL9Bb276j9U7PY&amp;usp=drive_fs" TargetMode="External"/><Relationship Id="rId61" Type="http://schemas.openxmlformats.org/officeDocument/2006/relationships/hyperlink" Target="https://drive.google.com/open?id=1pJxIDTOCZvGAGjMypWsabulU2xbx2Zyo&amp;usp=drive_fs" TargetMode="External"/><Relationship Id="rId19" Type="http://schemas.openxmlformats.org/officeDocument/2006/relationships/hyperlink" Target="https://drive.google.com/open?id=1mpUqEgxj0ZB73Y__9pdBZeufFcqznfb8&amp;usp=drive_fs" TargetMode="External"/><Relationship Id="rId14" Type="http://schemas.openxmlformats.org/officeDocument/2006/relationships/hyperlink" Target="https://drive.google.com/open?id=1nYs5-oiWryI6gqMDbVz2yIXNsS9wlpfW&amp;usp=drive_fs" TargetMode="External"/><Relationship Id="rId22" Type="http://schemas.openxmlformats.org/officeDocument/2006/relationships/hyperlink" Target="https://drive.google.com/open?id=1hJdc66d6kGI8Rp3MXD8dxoc-6x3uS3Vg&amp;usp=drive_fs" TargetMode="External"/><Relationship Id="rId27" Type="http://schemas.openxmlformats.org/officeDocument/2006/relationships/hyperlink" Target="https://drive.google.com/open?id=1_YWVUPgvM0gwIOxfYsT1KfHs92QgjxHH&amp;usp=drive_fs" TargetMode="External"/><Relationship Id="rId30" Type="http://schemas.openxmlformats.org/officeDocument/2006/relationships/hyperlink" Target="https://drive.google.com/open?id=1lc-jV3MDu9Pt6VNBLSE32ETg1AvCE8zW&amp;usp=drive_fs" TargetMode="External"/><Relationship Id="rId35" Type="http://schemas.openxmlformats.org/officeDocument/2006/relationships/hyperlink" Target="https://drive.google.com/open?id=1hFi3kqDg5CmQZr_L5FGbK_r2kstkObQd&amp;usp=drive_fs" TargetMode="External"/><Relationship Id="rId43" Type="http://schemas.openxmlformats.org/officeDocument/2006/relationships/hyperlink" Target="https://drive.google.com/open?id=1gwBeZ6H1nLVGLwiukJEcg3jE-aREBIMl&amp;usp=drive_fs" TargetMode="External"/><Relationship Id="rId48" Type="http://schemas.openxmlformats.org/officeDocument/2006/relationships/hyperlink" Target="https://drive.google.com/open?id=1Ba0O1_G0GcO8prm7BuB2-NyEkjBZUq2J&amp;usp=drive_fs" TargetMode="External"/><Relationship Id="rId56" Type="http://schemas.openxmlformats.org/officeDocument/2006/relationships/hyperlink" Target="https://drive.google.com/open?id=1pnRl6FYlvq2PtVwCc68JgrFiG5Hbxx6o&amp;usp=drive_fs" TargetMode="External"/><Relationship Id="rId64" Type="http://schemas.openxmlformats.org/officeDocument/2006/relationships/hyperlink" Target="https://drive.google.com/open?id=1pTZbtSz7JYI6s4gAOfRmLJzLaSE52Lnj&amp;usp=drive_fs" TargetMode="External"/><Relationship Id="rId69" Type="http://schemas.openxmlformats.org/officeDocument/2006/relationships/hyperlink" Target="https://drive.google.com/open?id=1uQRGi02CzvSrPfwnP9jvLua9Y-5zSDEf&amp;usp=drive_fs" TargetMode="External"/><Relationship Id="rId8" Type="http://schemas.openxmlformats.org/officeDocument/2006/relationships/hyperlink" Target="https://drive.google.com/open?id=1me6oMu0QuwSOf0672D1h16itpT7CXm8W&amp;usp=drive_fs" TargetMode="External"/><Relationship Id="rId51" Type="http://schemas.openxmlformats.org/officeDocument/2006/relationships/hyperlink" Target="https://drive.google.com/open?id=1XlVADbZtcXWzEBTIqPWShhKUtzx-AXoK&amp;usp=drive_fs" TargetMode="External"/><Relationship Id="rId72" Type="http://schemas.openxmlformats.org/officeDocument/2006/relationships/hyperlink" Target="https://drive.google.com/open?id=1hP_LEXzyzw0kPQxSQK6Jl_eaQDG10TxE&amp;usp=drive_fs" TargetMode="External"/><Relationship Id="rId3" Type="http://schemas.openxmlformats.org/officeDocument/2006/relationships/hyperlink" Target="https://drive.google.com/open?id=1gRnlDb8DmOVHUU_-CiM9efxoSRDOjTjU&amp;usp=drive_fs" TargetMode="External"/><Relationship Id="rId12" Type="http://schemas.openxmlformats.org/officeDocument/2006/relationships/hyperlink" Target="https://drive.google.com/open?id=1jHVfJCXu0-ZoBNffO1AqvlkvOq2K4JJP&amp;usp=drive_fs" TargetMode="External"/><Relationship Id="rId17" Type="http://schemas.openxmlformats.org/officeDocument/2006/relationships/hyperlink" Target="https://drive.google.com/open?id=1DPX6Bl60DmNnWtEFQvRXFl9BbLOJk8gP&amp;usp=drive_fs" TargetMode="External"/><Relationship Id="rId25" Type="http://schemas.openxmlformats.org/officeDocument/2006/relationships/hyperlink" Target="https://drive.google.com/open?id=1nGrgfNljyrGW_1JiwA98QtZaCEVme198&amp;usp=drive_fs" TargetMode="External"/><Relationship Id="rId33" Type="http://schemas.openxmlformats.org/officeDocument/2006/relationships/hyperlink" Target="https://drive.google.com/open?id=1loYwaTNByUvK_K_8wluh6PeqwuE-Aggz&amp;usp=drive_fs" TargetMode="External"/><Relationship Id="rId38" Type="http://schemas.openxmlformats.org/officeDocument/2006/relationships/hyperlink" Target="https://drive.google.com/open?id=1lkx6NraSyx_G_Yzr3sATDslJtVm8JaXD&amp;usp=drive_fs" TargetMode="External"/><Relationship Id="rId46" Type="http://schemas.openxmlformats.org/officeDocument/2006/relationships/hyperlink" Target="https://drive.google.com/open?id=1Y6W2yJNEpxHpXnLCX9sMGYNQ1oQjsRJR&amp;usp=drive_fs" TargetMode="External"/><Relationship Id="rId59" Type="http://schemas.openxmlformats.org/officeDocument/2006/relationships/hyperlink" Target="https://drive.google.com/open?id=1g9J-n1ezrgL74FdGeAWzG4ps8beql_R3&amp;usp=drive_fs" TargetMode="External"/><Relationship Id="rId67" Type="http://schemas.openxmlformats.org/officeDocument/2006/relationships/hyperlink" Target="https://drive.google.com/open?id=1rdzI9yYRZa5ScdBgHjZyAC9I4uwyjhIZ&amp;usp=drive_fs" TargetMode="External"/><Relationship Id="rId20" Type="http://schemas.openxmlformats.org/officeDocument/2006/relationships/hyperlink" Target="https://drive.google.com/open?id=1kDFmKoVNN0aixKjQHsg4n42tlMbm3_W3&amp;usp=drive_fs" TargetMode="External"/><Relationship Id="rId41" Type="http://schemas.openxmlformats.org/officeDocument/2006/relationships/hyperlink" Target="https://drive.google.com/open?id=1nP-aw1axAorqtxZkqW0I4CQUtKTon4Am&amp;usp=drive_fs" TargetMode="External"/><Relationship Id="rId54" Type="http://schemas.openxmlformats.org/officeDocument/2006/relationships/hyperlink" Target="https://drive.google.com/open?id=1piCwfBSe8iLmfdSN_dqU813HQEF4cQjW&amp;usp=drive_fs" TargetMode="External"/><Relationship Id="rId62" Type="http://schemas.openxmlformats.org/officeDocument/2006/relationships/hyperlink" Target="https://drive.google.com/open?id=1pT8oj9iIK8QDJuUILv2IImjBVfugYSOH&amp;usp=drive_fs" TargetMode="External"/><Relationship Id="rId70" Type="http://schemas.openxmlformats.org/officeDocument/2006/relationships/hyperlink" Target="https://drive.google.com/open?id=1GC_AV_zi37Tn_YP3ksD8PAFHjWB18M4E&amp;usp=drive_fs" TargetMode="External"/><Relationship Id="rId1" Type="http://schemas.openxmlformats.org/officeDocument/2006/relationships/hyperlink" Target="https://drive.google.com/open?id=1mdcGvPCJ-b56kQcTTnv0NHR9lz6bhKaS&amp;usp=drive_fs" TargetMode="External"/><Relationship Id="rId6" Type="http://schemas.openxmlformats.org/officeDocument/2006/relationships/hyperlink" Target="https://drive.google.com/open?id=1IfoI9Iif_r_WmewDu7PzFevppvyzTPGY&amp;usp=drive_fs" TargetMode="External"/><Relationship Id="rId15" Type="http://schemas.openxmlformats.org/officeDocument/2006/relationships/hyperlink" Target="https://drive.google.com/open?id=1TFH-yvYsU0O4H-HXjX5jxifCZ1CRuV5i&amp;usp=drive_fs" TargetMode="External"/><Relationship Id="rId23" Type="http://schemas.openxmlformats.org/officeDocument/2006/relationships/hyperlink" Target="https://drive.google.com/open?id=1Y6W2yJNEpxHpXnLCX9sMGYNQ1oQjsRJR&amp;usp=drive_fs" TargetMode="External"/><Relationship Id="rId28" Type="http://schemas.openxmlformats.org/officeDocument/2006/relationships/hyperlink" Target="https://drive.google.com/open?id=1nRM5lAsZ2shANLHnOZCz6YEiS8DusuX7&amp;usp=drive_fs" TargetMode="External"/><Relationship Id="rId36" Type="http://schemas.openxmlformats.org/officeDocument/2006/relationships/hyperlink" Target="https://drive.google.com/open?id=1n8ST-46Lp7fm5G579i1O8uVfNhkLs-cU&amp;usp=drive_fs" TargetMode="External"/><Relationship Id="rId49" Type="http://schemas.openxmlformats.org/officeDocument/2006/relationships/hyperlink" Target="https://drive.google.com/open?id=1Ba0O1_G0GcO8prm7BuB2-NyEkjBZUq2J&amp;usp=drive_fs" TargetMode="External"/><Relationship Id="rId57" Type="http://schemas.openxmlformats.org/officeDocument/2006/relationships/hyperlink" Target="https://drive.google.com/open?id=1pmLoKOhchJF02ERjcydVFzpT1gJ80_v7&amp;usp=drive_fs" TargetMode="External"/><Relationship Id="rId10" Type="http://schemas.openxmlformats.org/officeDocument/2006/relationships/hyperlink" Target="https://drive.google.com/open?id=1XlVADbZtcXWzEBTIqPWShhKUtzx-AXoK&amp;usp=drive_fs" TargetMode="External"/><Relationship Id="rId31" Type="http://schemas.openxmlformats.org/officeDocument/2006/relationships/hyperlink" Target="https://drive.google.com/open?id=1m8TSvmL1_wmdN1UY5ImRRMfsPN415Beu&amp;usp=drive_fs" TargetMode="External"/><Relationship Id="rId44" Type="http://schemas.openxmlformats.org/officeDocument/2006/relationships/hyperlink" Target="https://drive.google.com/open?id=1hMwMj1gPVzaAn6Eb0d_7OIVv74IrNpRL&amp;usp=drive_fs" TargetMode="External"/><Relationship Id="rId52" Type="http://schemas.openxmlformats.org/officeDocument/2006/relationships/hyperlink" Target="https://drive.google.com/open?id=1yEGIa44JRzSyB9hsDq2v5wHpRZ_ExjoJ&amp;usp=drive_fs" TargetMode="External"/><Relationship Id="rId60" Type="http://schemas.openxmlformats.org/officeDocument/2006/relationships/hyperlink" Target="https://drive.google.com/open?id=1pLOHQt3TvyK1_3UlIhYJ9Qo_qoGj7TwU&amp;usp=drive_fs" TargetMode="External"/><Relationship Id="rId65" Type="http://schemas.openxmlformats.org/officeDocument/2006/relationships/hyperlink" Target="https://drive.google.com/open?id=1pZoXKIvNFzE6oajBsKIee0TZ-_HZZcFu&amp;usp=drive_fs" TargetMode="External"/><Relationship Id="rId73" Type="http://schemas.openxmlformats.org/officeDocument/2006/relationships/hyperlink" Target="https://drive.google.com/open?id=1hP1CNZnfLiGktgCD62HFqG3j9ps86Lk-&amp;usp=drive_fs" TargetMode="External"/><Relationship Id="rId4" Type="http://schemas.openxmlformats.org/officeDocument/2006/relationships/hyperlink" Target="https://drive.google.com/open?id=1gVthgjd-xQLy4bzTITepW9-LSo7JZLV9&amp;usp=drive_fs" TargetMode="External"/><Relationship Id="rId9" Type="http://schemas.openxmlformats.org/officeDocument/2006/relationships/hyperlink" Target="https://drive.google.com/open?id=1fneKxS8fcSCEk6941q_y4bYQB-3y2aNp&amp;usp=drive_fs" TargetMode="External"/><Relationship Id="rId13" Type="http://schemas.openxmlformats.org/officeDocument/2006/relationships/hyperlink" Target="https://drive.google.com/open?id=1ma8w6Q6gU7pvYjO6f4zoUEVNUEMJ0uEg&amp;usp=drive_fs" TargetMode="External"/><Relationship Id="rId18" Type="http://schemas.openxmlformats.org/officeDocument/2006/relationships/hyperlink" Target="https://drive.google.com/open?id=1kTqwFs699bV9KwPZoXSmRktkBrO9pzuU&amp;usp=drive_fs" TargetMode="External"/><Relationship Id="rId39" Type="http://schemas.openxmlformats.org/officeDocument/2006/relationships/hyperlink" Target="https://drive.google.com/open?id=1twIVgKAhncKi0Zxz9x_9R7frN1L99vBe&amp;usp=drive_fs" TargetMode="External"/><Relationship Id="rId34" Type="http://schemas.openxmlformats.org/officeDocument/2006/relationships/hyperlink" Target="https://drive.google.com/open?id=1Y6W2yJNEpxHpXnLCX9sMGYNQ1oQjsRJR&amp;usp=drive_fs" TargetMode="External"/><Relationship Id="rId50" Type="http://schemas.openxmlformats.org/officeDocument/2006/relationships/hyperlink" Target="https://drive.google.com/open?id=1fgWEY9rV9cmFpVN-52CIpkfpQg7cCtAl&amp;usp=drive_fs" TargetMode="External"/><Relationship Id="rId55" Type="http://schemas.openxmlformats.org/officeDocument/2006/relationships/hyperlink" Target="https://drive.google.com/open?id=1mWgTGAK_PAItjfDSCNCjOYkJ1Nwk8B9i&amp;usp=drive_fs" TargetMode="External"/><Relationship Id="rId7" Type="http://schemas.openxmlformats.org/officeDocument/2006/relationships/hyperlink" Target="https://drive.google.com/open?id=1qyuapgNjKzGYut8sjI4isL4ao-Dil0W5&amp;usp=drive_fs" TargetMode="External"/><Relationship Id="rId71" Type="http://schemas.openxmlformats.org/officeDocument/2006/relationships/hyperlink" Target="https://drive.google.com/open?id=1hVk4DWqVmKcg7dmK7YWz6tlRfIkbolkI&amp;usp=drive_fs"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drive.google.com/open?id=14jgG_XXs40B0Jlmq5Yxj--UPkQR2N7Na&amp;usp=drive_fs" TargetMode="External"/><Relationship Id="rId21" Type="http://schemas.openxmlformats.org/officeDocument/2006/relationships/hyperlink" Target="https://drive.google.com/open?id=1ixgRGpDpS0EhZzTfMdQBWWsyol3anVpR&amp;usp=drive_fs" TargetMode="External"/><Relationship Id="rId34" Type="http://schemas.openxmlformats.org/officeDocument/2006/relationships/hyperlink" Target="https://drive.google.com/open?id=1aoGS2cof2HrfgBlzqg1FKHIxtXyOSVP-&amp;usp=drive_fs" TargetMode="External"/><Relationship Id="rId42" Type="http://schemas.openxmlformats.org/officeDocument/2006/relationships/hyperlink" Target="https://drive.google.com/open?id=1bfkKkev6CsRLnMhwPksk3ZmEBVsrgOOE&amp;usp=drive_fs" TargetMode="External"/><Relationship Id="rId47" Type="http://schemas.openxmlformats.org/officeDocument/2006/relationships/hyperlink" Target="https://drive.google.com/open?id=1_TWPCUVzLwWKHlX-88PTaaeEBZ_ujD-5&amp;usp=drive_fs" TargetMode="External"/><Relationship Id="rId50" Type="http://schemas.openxmlformats.org/officeDocument/2006/relationships/hyperlink" Target="https://drive.google.com/open?id=1d7-T7EdJDqrYYholeAwwMsolyxHWvcGC&amp;usp=drive_fs" TargetMode="External"/><Relationship Id="rId55" Type="http://schemas.openxmlformats.org/officeDocument/2006/relationships/hyperlink" Target="https://drive.google.com/open?id=105G3h7ysijD6VtOreWfw2TXY8x5NAIgF&amp;usp=drive_fs" TargetMode="External"/><Relationship Id="rId63" Type="http://schemas.openxmlformats.org/officeDocument/2006/relationships/hyperlink" Target="https://drive.google.com/open?id=122i0I7wm6O6-epUyDacT0Jj4KqI9rU0y&amp;usp=drive_fs" TargetMode="External"/><Relationship Id="rId68" Type="http://schemas.openxmlformats.org/officeDocument/2006/relationships/hyperlink" Target="https://drive.google.com/open?id=1OBzidJYfKfV2VLztIIVPpIpErUW60QEZ&amp;usp=drive_fs" TargetMode="External"/><Relationship Id="rId7" Type="http://schemas.openxmlformats.org/officeDocument/2006/relationships/hyperlink" Target="https://drive.google.com/open?id=1Qev215rRAFtb-WX8wlSxfiZmjf01B-uq&amp;usp=drive_fs" TargetMode="External"/><Relationship Id="rId2" Type="http://schemas.openxmlformats.org/officeDocument/2006/relationships/hyperlink" Target="https://drive.google.com/open?id=1_6Fp_ExyTvjqF1-M_cFw6x_XHF5SBwfd&amp;usp=drive_fs" TargetMode="External"/><Relationship Id="rId16" Type="http://schemas.openxmlformats.org/officeDocument/2006/relationships/hyperlink" Target="https://drive.google.com/open?id=1SWRPL_XQ4U3I_el6ODCAtdMV9hiBqS0C&amp;usp=drive_fs" TargetMode="External"/><Relationship Id="rId29" Type="http://schemas.openxmlformats.org/officeDocument/2006/relationships/hyperlink" Target="https://drive.google.com/open?id=12uTj9_HSjfZGk17GE1L7DM8xHNgbjwjm&amp;usp=drive_fs" TargetMode="External"/><Relationship Id="rId11" Type="http://schemas.openxmlformats.org/officeDocument/2006/relationships/hyperlink" Target="https://drive.google.com/open?id=1lkLy44LTEH8bIakW8xjzsl2Dvq7Pj4nw&amp;usp=drive_fs" TargetMode="External"/><Relationship Id="rId24" Type="http://schemas.openxmlformats.org/officeDocument/2006/relationships/hyperlink" Target="https://drive.google.com/open?id=1XSPaxZsHs2ETNkZoubdK1KuQGDslR2YT&amp;usp=drive_fs" TargetMode="External"/><Relationship Id="rId32" Type="http://schemas.openxmlformats.org/officeDocument/2006/relationships/hyperlink" Target="https://drive.google.com/open?id=14jgG_XXs40B0Jlmq5Yxj--UPkQR2N7Na&amp;usp=drive_fs" TargetMode="External"/><Relationship Id="rId37" Type="http://schemas.openxmlformats.org/officeDocument/2006/relationships/hyperlink" Target="https://drive.google.com/open?id=1OT9YzvdI1mWv1rx0oVZ4jJLktVxkSDdK&amp;usp=drive_fs" TargetMode="External"/><Relationship Id="rId40" Type="http://schemas.openxmlformats.org/officeDocument/2006/relationships/hyperlink" Target="https://drive.google.com/open?id=1ALkyGby2dS61gylsutVZ8UFpExH25KBF&amp;usp=drive_fs" TargetMode="External"/><Relationship Id="rId45" Type="http://schemas.openxmlformats.org/officeDocument/2006/relationships/hyperlink" Target="https://drive.google.com/open?id=1RaRLgBJ0MZ6pTZRpu5eFBQclsKnLWDny&amp;usp=drive_fs" TargetMode="External"/><Relationship Id="rId53" Type="http://schemas.openxmlformats.org/officeDocument/2006/relationships/hyperlink" Target="https://drive.google.com/open?id=14jgG_XXs40B0Jlmq5Yxj--UPkQR2N7Na&amp;usp=drive_fs" TargetMode="External"/><Relationship Id="rId58" Type="http://schemas.openxmlformats.org/officeDocument/2006/relationships/hyperlink" Target="https://drive.google.com/open?id=1iMuv3-WaovSp2-_OfKHDR8AB3aOIpfFn&amp;usp=drive_fs" TargetMode="External"/><Relationship Id="rId66" Type="http://schemas.openxmlformats.org/officeDocument/2006/relationships/hyperlink" Target="https://drive.google.com/open?id=1PsoTTDdrvVABgPMQYjPKx3uW-SKUNGbI&amp;usp=drive_fs" TargetMode="External"/><Relationship Id="rId5" Type="http://schemas.openxmlformats.org/officeDocument/2006/relationships/hyperlink" Target="https://drive.google.com/open?id=1hHruZaR6cC30sU6q-7R-YHFyKmrXFSAy&amp;usp=drive_fs" TargetMode="External"/><Relationship Id="rId61" Type="http://schemas.openxmlformats.org/officeDocument/2006/relationships/hyperlink" Target="https://drive.google.com/open?id=1H-Zwh5q9hnnzWG6yszV-6s-jsPljVrgW&amp;usp=drive_fs" TargetMode="External"/><Relationship Id="rId19" Type="http://schemas.openxmlformats.org/officeDocument/2006/relationships/hyperlink" Target="https://drive.google.com/open?id=1yPQau5DqlkuT8rzI-LREwJYI2W27Wi0X&amp;usp=drive_fs" TargetMode="External"/><Relationship Id="rId14" Type="http://schemas.openxmlformats.org/officeDocument/2006/relationships/hyperlink" Target="https://drive.google.com/open?id=1qM0bmoZb2tRtYR_dkQ9EOIt2CY2QrEgp&amp;usp=drive_fs" TargetMode="External"/><Relationship Id="rId22" Type="http://schemas.openxmlformats.org/officeDocument/2006/relationships/hyperlink" Target="https://drive.google.com/open?id=1vrjrq3eoP7iM4XdbTcyIheWhbMVvzfiD&amp;usp=drive_fs" TargetMode="External"/><Relationship Id="rId27" Type="http://schemas.openxmlformats.org/officeDocument/2006/relationships/hyperlink" Target="https://drive.google.com/open?id=1vN2OKmi72TDB89I6IjHdlHYd4Z1gYPqY&amp;usp=drive_fs" TargetMode="External"/><Relationship Id="rId30" Type="http://schemas.openxmlformats.org/officeDocument/2006/relationships/hyperlink" Target="https://drive.google.com/open?id=1QAB4baNTSUL2lGZqyEa8DpuraAYJ5o6G&amp;usp=drive_fs" TargetMode="External"/><Relationship Id="rId35" Type="http://schemas.openxmlformats.org/officeDocument/2006/relationships/hyperlink" Target="https://drive.google.com/open?id=1GkzUtyqCyzEFSaSKpa1622qQTh5RlHTg&amp;usp=drive_fs" TargetMode="External"/><Relationship Id="rId43" Type="http://schemas.openxmlformats.org/officeDocument/2006/relationships/hyperlink" Target="https://drive.google.com/open?id=1PColXYGRBBEw6Ey2f2UV0Tcb5uDUB4Yc&amp;usp=drive_fs" TargetMode="External"/><Relationship Id="rId48" Type="http://schemas.openxmlformats.org/officeDocument/2006/relationships/hyperlink" Target="https://drive.google.com/open?id=1LOpjoV75K40D3b6N1YDOnCKt30AC0tZA&amp;usp=drive_fs" TargetMode="External"/><Relationship Id="rId56" Type="http://schemas.openxmlformats.org/officeDocument/2006/relationships/hyperlink" Target="https://drive.google.com/open?id=1mFbBXTGg2N9BsiYV4iBqvHD0YVlVDECs&amp;usp=drive_fs" TargetMode="External"/><Relationship Id="rId64" Type="http://schemas.openxmlformats.org/officeDocument/2006/relationships/hyperlink" Target="https://drive.google.com/open?id=1_oZcJkqSTGdAnZ9xtOtEGy_jqIpctnPW&amp;usp=drive_fs" TargetMode="External"/><Relationship Id="rId8" Type="http://schemas.openxmlformats.org/officeDocument/2006/relationships/hyperlink" Target="https://drive.google.com/open?id=1a5hTa8y0XMozRz-dSa0UfTNgd1TXVSNN&amp;usp=drive_fs" TargetMode="External"/><Relationship Id="rId51" Type="http://schemas.openxmlformats.org/officeDocument/2006/relationships/hyperlink" Target="https://drive.google.com/open?id=12N3VS1kyj0K-JZ15H6D8Q-Dc3vmKHE83&amp;usp=drive_fs" TargetMode="External"/><Relationship Id="rId3" Type="http://schemas.openxmlformats.org/officeDocument/2006/relationships/hyperlink" Target="https://drive.google.com/open?id=1PRSSbRhljf-e9cOSeCLfcLlcya7A-WGn&amp;usp=drive_fs" TargetMode="External"/><Relationship Id="rId12" Type="http://schemas.openxmlformats.org/officeDocument/2006/relationships/hyperlink" Target="https://drive.google.com/open?id=1DkfAoPGLAksRJx39XhQZ5I7U-PW2DCPH&amp;usp=drive_fs" TargetMode="External"/><Relationship Id="rId17" Type="http://schemas.openxmlformats.org/officeDocument/2006/relationships/hyperlink" Target="https://drive.google.com/open?id=1RERbl7w2UXAn8Ac0mJoHHC54Q4ufAls7&amp;usp=drive_fs" TargetMode="External"/><Relationship Id="rId25" Type="http://schemas.openxmlformats.org/officeDocument/2006/relationships/hyperlink" Target="https://drive.google.com/open?id=1wxOUDpvD9hlGn7MskIi_K76SpL1YDx_2&amp;usp=drive_fs" TargetMode="External"/><Relationship Id="rId33" Type="http://schemas.openxmlformats.org/officeDocument/2006/relationships/hyperlink" Target="https://drive.google.com/open?id=1Mngk9E_Ns0wD52FbMvIKCsvUQGplnmZk&amp;usp=drive_fs" TargetMode="External"/><Relationship Id="rId38" Type="http://schemas.openxmlformats.org/officeDocument/2006/relationships/hyperlink" Target="https://drive.google.com/open?id=1pB6eTF_KtxS_i5oNsKg3N36kF7mtycv2&amp;usp=drive_fs" TargetMode="External"/><Relationship Id="rId46" Type="http://schemas.openxmlformats.org/officeDocument/2006/relationships/hyperlink" Target="https://drive.google.com/open?id=1ju2VdDn5dYFTK9ikvfIioHPvI5UvzkRE&amp;usp=drive_fs" TargetMode="External"/><Relationship Id="rId59" Type="http://schemas.openxmlformats.org/officeDocument/2006/relationships/hyperlink" Target="https://drive.google.com/open?id=1TxffYxWhye3P4I3Nvk3RkuONabNYvNPn&amp;usp=drive_fs" TargetMode="External"/><Relationship Id="rId67" Type="http://schemas.openxmlformats.org/officeDocument/2006/relationships/hyperlink" Target="https://drive.google.com/open?id=1KdCqwEoeLcVmY5ubxWHf_ztPnsvSOfaB&amp;usp=drive_fs" TargetMode="External"/><Relationship Id="rId20" Type="http://schemas.openxmlformats.org/officeDocument/2006/relationships/hyperlink" Target="https://drive.google.com/open?id=1AaH7sYx4Us13jdMCTKjkWbtzMP-EAgqB&amp;usp=drive_fs" TargetMode="External"/><Relationship Id="rId41" Type="http://schemas.openxmlformats.org/officeDocument/2006/relationships/hyperlink" Target="https://drive.google.com/open?id=1snO2Uwa30PnDb8AlJxmSmHoolqxnp2Lf&amp;usp=drive_fs" TargetMode="External"/><Relationship Id="rId54" Type="http://schemas.openxmlformats.org/officeDocument/2006/relationships/hyperlink" Target="https://drive.google.com/open?id=1GK5pxJVo6nBsCc-qqDyMmiBWE_av7GvX&amp;usp=drive_fs" TargetMode="External"/><Relationship Id="rId62" Type="http://schemas.openxmlformats.org/officeDocument/2006/relationships/hyperlink" Target="https://drive.google.com/open?id=1I7L4jAF_omtn4RinazhSocnFgKHTW8sE&amp;usp=drive_fs" TargetMode="External"/><Relationship Id="rId1" Type="http://schemas.openxmlformats.org/officeDocument/2006/relationships/hyperlink" Target="https://drive.google.com/open?id=1O6wt_FJqQeu9sRaLffH-7f8S0G1oTxGT&amp;usp=drive_fs" TargetMode="External"/><Relationship Id="rId6" Type="http://schemas.openxmlformats.org/officeDocument/2006/relationships/hyperlink" Target="https://drive.google.com/open?id=1BV1TM7EJJOxGzv3O6dWUL6FCUk_S1IqE&amp;usp=drive_fs" TargetMode="External"/><Relationship Id="rId15" Type="http://schemas.openxmlformats.org/officeDocument/2006/relationships/hyperlink" Target="https://drive.google.com/open?id=1fv7DPHWgAJ90vz5Z9Nz1vYkK6QuHHFIC&amp;usp=drive_fs" TargetMode="External"/><Relationship Id="rId23" Type="http://schemas.openxmlformats.org/officeDocument/2006/relationships/hyperlink" Target="https://drive.google.com/open?id=1QtmrmcrHAkMPqWUwvUavu2A0tPnRZ9Vo&amp;usp=drive_fs" TargetMode="External"/><Relationship Id="rId28" Type="http://schemas.openxmlformats.org/officeDocument/2006/relationships/hyperlink" Target="https://drive.google.com/open?id=1XFikbqKy32SczPI25V1bLCLRh10mhQrw&amp;usp=drive_fs" TargetMode="External"/><Relationship Id="rId36" Type="http://schemas.openxmlformats.org/officeDocument/2006/relationships/hyperlink" Target="https://drive.google.com/open?id=1bKloDsyijPDLPydlWzB_LxxuX_EuElZV&amp;usp=drive_fs" TargetMode="External"/><Relationship Id="rId49" Type="http://schemas.openxmlformats.org/officeDocument/2006/relationships/hyperlink" Target="https://drive.google.com/open?id=1Jg6q5ZIPIJd2UFg9KWyCPz2kQeqS_BmL&amp;usp=drive_fs" TargetMode="External"/><Relationship Id="rId57" Type="http://schemas.openxmlformats.org/officeDocument/2006/relationships/hyperlink" Target="https://drive.google.com/open?id=1Evsb34W9f55DQQ_PplvtHzv9WqsdsFjZ&amp;usp=drive_fs" TargetMode="External"/><Relationship Id="rId10" Type="http://schemas.openxmlformats.org/officeDocument/2006/relationships/hyperlink" Target="https://drive.google.com/open?id=1EZKxuF5v6r4e1MWObNeB-OSTAhOjh2so&amp;usp=drive_fs" TargetMode="External"/><Relationship Id="rId31" Type="http://schemas.openxmlformats.org/officeDocument/2006/relationships/hyperlink" Target="https://drive.google.com/open?id=1hmXMNMTl1tTJibMrNkII57pzEc9QhNLq&amp;usp=drive_fs" TargetMode="External"/><Relationship Id="rId44" Type="http://schemas.openxmlformats.org/officeDocument/2006/relationships/hyperlink" Target="https://drive.google.com/open?id=1mfOvRjwW3fWcb9QDBEjTSfh9L2jIGf24&amp;usp=drive_fs" TargetMode="External"/><Relationship Id="rId52" Type="http://schemas.openxmlformats.org/officeDocument/2006/relationships/hyperlink" Target="https://drive.google.com/open?id=1nxjkDBVWYQE2DunT3pK3jW0FJ3AJP_t_&amp;usp=drive_fs" TargetMode="External"/><Relationship Id="rId60" Type="http://schemas.openxmlformats.org/officeDocument/2006/relationships/hyperlink" Target="https://drive.google.com/open?id=1zr2oV5_ndmu6HWU2hIdTM-Vv8-RDfa4l&amp;usp=drive_fs" TargetMode="External"/><Relationship Id="rId65" Type="http://schemas.openxmlformats.org/officeDocument/2006/relationships/hyperlink" Target="https://drive.google.com/open?id=1idwxXUenUSIBIw_F3q624K83GqrLqRx0&amp;usp=drive_fs" TargetMode="External"/><Relationship Id="rId4" Type="http://schemas.openxmlformats.org/officeDocument/2006/relationships/hyperlink" Target="https://drive.google.com/open?id=1C0yr4ScNd5mr0j4PNPd0eYK7pwse8o-v&amp;usp=drive_fs" TargetMode="External"/><Relationship Id="rId9" Type="http://schemas.openxmlformats.org/officeDocument/2006/relationships/hyperlink" Target="https://drive.google.com/open?id=1yMIEbscznedImJATd1aMtLmE74IOR5Pc&amp;usp=drive_fs" TargetMode="External"/><Relationship Id="rId13" Type="http://schemas.openxmlformats.org/officeDocument/2006/relationships/hyperlink" Target="https://drive.google.com/open?id=1zcTOhjziZmZOazHr9soDf0vj6t6FzluS&amp;usp=drive_fs" TargetMode="External"/><Relationship Id="rId18" Type="http://schemas.openxmlformats.org/officeDocument/2006/relationships/hyperlink" Target="https://drive.google.com/open?id=1UcpZH2PTAFgTZ04X04oZikW8sWlTBVHr&amp;usp=drive_fs" TargetMode="External"/><Relationship Id="rId39" Type="http://schemas.openxmlformats.org/officeDocument/2006/relationships/hyperlink" Target="https://drive.google.com/open?id=1O8g7NtH-cgVJu5t9f-0d8ZdEkyEIYQmH&amp;usp=drive_fs"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drive.google.com/open?id=1oM3KLcnd8tq9RDMA5nJpUM5OatHGqR6j&amp;usp=drive_fs" TargetMode="External"/><Relationship Id="rId21" Type="http://schemas.openxmlformats.org/officeDocument/2006/relationships/hyperlink" Target="https://drive.google.com/open?id=1y-p9-lG1XFZ7aF3EvQcBgbO4F1gk0qfc&amp;usp=drive_fs" TargetMode="External"/><Relationship Id="rId42" Type="http://schemas.openxmlformats.org/officeDocument/2006/relationships/hyperlink" Target="https://drive.google.com/open?id=12C3nswHQ4kNxkAtze4u2EXvzqgXrgHWu&amp;usp=drive_fs" TargetMode="External"/><Relationship Id="rId47" Type="http://schemas.openxmlformats.org/officeDocument/2006/relationships/hyperlink" Target="https://drive.google.com/open?id=1Y4O9wGLxmUEmYmvmYFnzRBPckRNxKIco&amp;usp=drive_fs" TargetMode="External"/><Relationship Id="rId63" Type="http://schemas.openxmlformats.org/officeDocument/2006/relationships/hyperlink" Target="https://drive.google.com/open?id=118c-PovRQANfnBTIOc7xFIDg8B_roEn6&amp;usp=drive_fs" TargetMode="External"/><Relationship Id="rId68" Type="http://schemas.openxmlformats.org/officeDocument/2006/relationships/hyperlink" Target="https://drive.google.com/open?id=1K5mFp7A3FVxcYMHbb3k8zNur6m80cR8F&amp;usp=drive_fs" TargetMode="External"/><Relationship Id="rId7" Type="http://schemas.openxmlformats.org/officeDocument/2006/relationships/hyperlink" Target="https://drive.google.com/open?id=1_w3yvOraYiL9W74LOHJAwwS1SUtF0bvu&amp;usp=drive_fs" TargetMode="External"/><Relationship Id="rId71" Type="http://schemas.openxmlformats.org/officeDocument/2006/relationships/hyperlink" Target="https://drive.google.com/open?id=1yyelNGxZjCmazl_yfQhTwTuW8lQ8fvKc&amp;usp=drive_fs" TargetMode="External"/><Relationship Id="rId2" Type="http://schemas.openxmlformats.org/officeDocument/2006/relationships/hyperlink" Target="https://drive.google.com/open?id=1ujI8a_oqLUc7rBoVDx2ID3eC7bRUnfiA&amp;usp=drive_fs" TargetMode="External"/><Relationship Id="rId16" Type="http://schemas.openxmlformats.org/officeDocument/2006/relationships/hyperlink" Target="https://drive.google.com/open?id=1Or3Q7XhqjMYfiOfmMAIDggZaQN9hNSf3&amp;usp=drive_fs" TargetMode="External"/><Relationship Id="rId29" Type="http://schemas.openxmlformats.org/officeDocument/2006/relationships/hyperlink" Target="https://drive.google.com/open?id=1ijJUdGpbtHb5OimNrr_Z_TGHvpyJzHqS&amp;usp=drive_fs" TargetMode="External"/><Relationship Id="rId11" Type="http://schemas.openxmlformats.org/officeDocument/2006/relationships/hyperlink" Target="https://drive.google.com/open?id=1Gc8-Qpk12tJJ_wmZPKelNBjv30Ab7bBi&amp;usp=drive_fs" TargetMode="External"/><Relationship Id="rId24" Type="http://schemas.openxmlformats.org/officeDocument/2006/relationships/hyperlink" Target="https://drive.google.com/open?id=1uCkrRpjS3H0ytof71IfnD5oItG2Km5ch&amp;usp=drive_fs" TargetMode="External"/><Relationship Id="rId32" Type="http://schemas.openxmlformats.org/officeDocument/2006/relationships/hyperlink" Target="https://drive.google.com/open?id=1Hi9MLyopnibbCMvW7cQTgLet-OR4mjre&amp;usp=drive_fs" TargetMode="External"/><Relationship Id="rId37" Type="http://schemas.openxmlformats.org/officeDocument/2006/relationships/hyperlink" Target="https://drive.google.com/open?id=1qRZPy3tRa86OWLWSbJtRIlHAbVKEjlJK&amp;usp=drive_fs" TargetMode="External"/><Relationship Id="rId40" Type="http://schemas.openxmlformats.org/officeDocument/2006/relationships/hyperlink" Target="https://drive.google.com/open?id=10JUSSJKeNHq86EJmHsobMYgj9e-zP6m1&amp;usp=drive_fs" TargetMode="External"/><Relationship Id="rId45" Type="http://schemas.openxmlformats.org/officeDocument/2006/relationships/hyperlink" Target="https://drive.google.com/open?id=1Y-hAVItXEI66dUIXv0B6c4USWqH6WKd8&amp;usp=drive_fs" TargetMode="External"/><Relationship Id="rId53" Type="http://schemas.openxmlformats.org/officeDocument/2006/relationships/hyperlink" Target="https://drive.google.com/open?id=1m5vmAlh97_Y7zQEp3ntVygez_Cn8gZBU&amp;usp=drive_fs" TargetMode="External"/><Relationship Id="rId58" Type="http://schemas.openxmlformats.org/officeDocument/2006/relationships/hyperlink" Target="https://drive.google.com/open?id=1Y5bTo2B2PUcaI3yKUkyAoy_m33-rMlPi&amp;usp=drive_fs" TargetMode="External"/><Relationship Id="rId66" Type="http://schemas.openxmlformats.org/officeDocument/2006/relationships/hyperlink" Target="https://drive.google.com/open?id=1fuvlSOX2yCOS5OCJ-p2hnDPW-5w8cqBs&amp;usp=drive_fs" TargetMode="External"/><Relationship Id="rId5" Type="http://schemas.openxmlformats.org/officeDocument/2006/relationships/hyperlink" Target="https://drive.google.com/open?id=1HZeT-0vjuUnvsLH1BVHF24c9WWwKRCMN&amp;usp=drive_fs" TargetMode="External"/><Relationship Id="rId61" Type="http://schemas.openxmlformats.org/officeDocument/2006/relationships/hyperlink" Target="https://drive.google.com/open?id=1Jr8uYzRwRQ-oI8yB9FTSWHB1BL5x0iRY&amp;usp=drive_fs" TargetMode="External"/><Relationship Id="rId19" Type="http://schemas.openxmlformats.org/officeDocument/2006/relationships/hyperlink" Target="https://drive.google.com/open?id=1xOKm4Ot2q3UTCvRZuoMSd8uGlxj0K37E&amp;usp=drive_fs" TargetMode="External"/><Relationship Id="rId14" Type="http://schemas.openxmlformats.org/officeDocument/2006/relationships/hyperlink" Target="https://drive.google.com/open?id=1sEhktvxUnQlyX6DU1arvU_nUpKPO_HYa&amp;usp=drive_fs" TargetMode="External"/><Relationship Id="rId22" Type="http://schemas.openxmlformats.org/officeDocument/2006/relationships/hyperlink" Target="https://drive.google.com/open?id=1_JHnJJk7UBPOl3fGLzVvbdlom0eze2di&amp;usp=drive_fs" TargetMode="External"/><Relationship Id="rId27" Type="http://schemas.openxmlformats.org/officeDocument/2006/relationships/hyperlink" Target="https://drive.google.com/open?id=14pZceNRMOPJo9VyTXvH1MjP8oO5tR5ei&amp;usp=drive_fs" TargetMode="External"/><Relationship Id="rId30" Type="http://schemas.openxmlformats.org/officeDocument/2006/relationships/hyperlink" Target="https://drive.google.com/open?id=1VCpDae0NkLBpWAkga8_wv_8DMlMCHfu3&amp;usp=drive_fs" TargetMode="External"/><Relationship Id="rId35" Type="http://schemas.openxmlformats.org/officeDocument/2006/relationships/hyperlink" Target="https://drive.google.com/open?id=1RlkGl09sAsY1zYNlNRE04aWmL_azr_zx&amp;usp=drive_fs" TargetMode="External"/><Relationship Id="rId43" Type="http://schemas.openxmlformats.org/officeDocument/2006/relationships/hyperlink" Target="https://drive.google.com/open?id=1c03QkjV-6fT9VC6qe9L1FplNIBZPAh5k&amp;usp=drive_fs" TargetMode="External"/><Relationship Id="rId48" Type="http://schemas.openxmlformats.org/officeDocument/2006/relationships/hyperlink" Target="https://drive.google.com/open?id=1TvYSXT2wcVdYFxors7ow2TucmE8fIY5w&amp;usp=drive_fs" TargetMode="External"/><Relationship Id="rId56" Type="http://schemas.openxmlformats.org/officeDocument/2006/relationships/hyperlink" Target="https://drive.google.com/open?id=15a6t3mMUwwsUCq8aD2LxkDUx6Y_9Cz_6&amp;usp=drive_fs" TargetMode="External"/><Relationship Id="rId64" Type="http://schemas.openxmlformats.org/officeDocument/2006/relationships/hyperlink" Target="https://drive.google.com/open?id=1QQSujWV9WD-xp_RpnZrJ9hSglfCFxAdg&amp;usp=drive_fs" TargetMode="External"/><Relationship Id="rId69" Type="http://schemas.openxmlformats.org/officeDocument/2006/relationships/hyperlink" Target="https://drive.google.com/open?id=1V6WBjREGSD7_ubezViKIoWUVeQCYJVEW&amp;usp=drive_fs" TargetMode="External"/><Relationship Id="rId8" Type="http://schemas.openxmlformats.org/officeDocument/2006/relationships/hyperlink" Target="https://drive.google.com/open?id=1ZA8Eu3RD1CVG-OALm-lLaz8oRin4YY-h&amp;usp=drive_fs" TargetMode="External"/><Relationship Id="rId51" Type="http://schemas.openxmlformats.org/officeDocument/2006/relationships/hyperlink" Target="https://drive.google.com/open?id=1nJ35Kbkv8FNi8m6KxCWKc0hZNbihAiw2&amp;usp=drive_fs" TargetMode="External"/><Relationship Id="rId3" Type="http://schemas.openxmlformats.org/officeDocument/2006/relationships/hyperlink" Target="https://drive.google.com/open?id=1h8bEikVp70kfoP7PSGh-yFuZOL5F9XL2&amp;usp=drive_fs" TargetMode="External"/><Relationship Id="rId12" Type="http://schemas.openxmlformats.org/officeDocument/2006/relationships/hyperlink" Target="https://drive.google.com/open?id=1VRZP7gs3U0fw_iGlSf54lAyYvdmCSMc_&amp;usp=drive_fs" TargetMode="External"/><Relationship Id="rId17" Type="http://schemas.openxmlformats.org/officeDocument/2006/relationships/hyperlink" Target="https://drive.google.com/open?id=17hEaooT4ucV9iKNYornCBHsuoWscC0pT&amp;usp=drive_fs" TargetMode="External"/><Relationship Id="rId25" Type="http://schemas.openxmlformats.org/officeDocument/2006/relationships/hyperlink" Target="https://drive.google.com/open?id=1ntGxVOIQkvHJHSp48qxqP2GZLM18XQnp&amp;usp=drive_fs" TargetMode="External"/><Relationship Id="rId33" Type="http://schemas.openxmlformats.org/officeDocument/2006/relationships/hyperlink" Target="https://drive.google.com/open?id=1o0GErQ6OLMu7dLCG_4bZFoPdnK-0oP_h&amp;usp=drive_fs" TargetMode="External"/><Relationship Id="rId38" Type="http://schemas.openxmlformats.org/officeDocument/2006/relationships/hyperlink" Target="https://drive.google.com/open?id=1kRsnOIIcYjfqZUpr1Lcvo-IPm9980pKo&amp;usp=drive_fs" TargetMode="External"/><Relationship Id="rId46" Type="http://schemas.openxmlformats.org/officeDocument/2006/relationships/hyperlink" Target="https://drive.google.com/open?id=1mHICL6uiYMQuPIzxm53PUjiawaxkPV8m&amp;usp=drive_fs" TargetMode="External"/><Relationship Id="rId59" Type="http://schemas.openxmlformats.org/officeDocument/2006/relationships/hyperlink" Target="https://drive.google.com/open?id=1PyQ9_b4Uu_pEqMDCwk_xGfibhibHSyue&amp;usp=drive_fs" TargetMode="External"/><Relationship Id="rId67" Type="http://schemas.openxmlformats.org/officeDocument/2006/relationships/hyperlink" Target="https://drive.google.com/open?id=1tS73BhX93PvfljCmvOfLhL6CHe2En50Q&amp;usp=drive_fs" TargetMode="External"/><Relationship Id="rId20" Type="http://schemas.openxmlformats.org/officeDocument/2006/relationships/hyperlink" Target="https://drive.google.com/open?id=1Sq_xNV3din5fFxqX4lH0caI6L3PTCcO-&amp;usp=drive_fs" TargetMode="External"/><Relationship Id="rId41" Type="http://schemas.openxmlformats.org/officeDocument/2006/relationships/hyperlink" Target="https://drive.google.com/open?id=1yPzkqx1vP1KrZO1mr0rm2axlEi7xqk0W&amp;usp=drive_fs" TargetMode="External"/><Relationship Id="rId54" Type="http://schemas.openxmlformats.org/officeDocument/2006/relationships/hyperlink" Target="https://drive.google.com/open?id=12TYc6zFLipcq97ZsAxzkkXiTx8lsWUZX&amp;usp=drive_fs" TargetMode="External"/><Relationship Id="rId62" Type="http://schemas.openxmlformats.org/officeDocument/2006/relationships/hyperlink" Target="https://drive.google.com/open?id=1nKvdcRb9teOUIqe0IwSf72KyIw4-R4mo&amp;usp=drive_fs" TargetMode="External"/><Relationship Id="rId70" Type="http://schemas.openxmlformats.org/officeDocument/2006/relationships/hyperlink" Target="https://drive.google.com/open?id=1yyelNGxZjCmazl_yfQhTwTuW8lQ8fvKc&amp;usp=drive_fs" TargetMode="External"/><Relationship Id="rId1" Type="http://schemas.openxmlformats.org/officeDocument/2006/relationships/hyperlink" Target="https://drive.google.com/open?id=1fmOa5s2GyDuKg45561JpFUSxt65QzzOb&amp;usp=drive_fs" TargetMode="External"/><Relationship Id="rId6" Type="http://schemas.openxmlformats.org/officeDocument/2006/relationships/hyperlink" Target="https://drive.google.com/open?id=1H7R8gAec_-3_KmmdeGkNCXwj7r1Ool6Z&amp;usp=drive_fs" TargetMode="External"/><Relationship Id="rId15" Type="http://schemas.openxmlformats.org/officeDocument/2006/relationships/hyperlink" Target="https://drive.google.com/open?id=1sOMlr0Qp62v23MFr9Ze4sJPNGGB2VW_H&amp;usp=drive_fs" TargetMode="External"/><Relationship Id="rId23" Type="http://schemas.openxmlformats.org/officeDocument/2006/relationships/hyperlink" Target="https://drive.google.com/open?id=1kiGnYxitYMqkzIOoCSGIZQUnTCJqqTBr&amp;usp=drive_fs" TargetMode="External"/><Relationship Id="rId28" Type="http://schemas.openxmlformats.org/officeDocument/2006/relationships/hyperlink" Target="https://drive.google.com/open?id=19OCpZtKoc2-fXBrLLzS2K8DvDA7irdV8&amp;usp=drive_fs" TargetMode="External"/><Relationship Id="rId36" Type="http://schemas.openxmlformats.org/officeDocument/2006/relationships/hyperlink" Target="https://drive.google.com/open?id=1l_RnGkvrrKfDvbjPJCF34TTvYQS2ozIT&amp;usp=drive_fs" TargetMode="External"/><Relationship Id="rId49" Type="http://schemas.openxmlformats.org/officeDocument/2006/relationships/hyperlink" Target="https://drive.google.com/open?id=1m1hKSntVlzotRRX9xAUh0RrWedSlxfpR&amp;usp=drive_fs" TargetMode="External"/><Relationship Id="rId57" Type="http://schemas.openxmlformats.org/officeDocument/2006/relationships/hyperlink" Target="https://drive.google.com/open?id=1V-yjGBi62eIWDSDWi9pRRAaKRSHIkbQI&amp;usp=drive_fs" TargetMode="External"/><Relationship Id="rId10" Type="http://schemas.openxmlformats.org/officeDocument/2006/relationships/hyperlink" Target="https://drive.google.com/open?id=1yyelNGxZjCmazl_yfQhTwTuW8lQ8fvKc&amp;usp=drive_fs" TargetMode="External"/><Relationship Id="rId31" Type="http://schemas.openxmlformats.org/officeDocument/2006/relationships/hyperlink" Target="https://drive.google.com/open?id=1MVn5m26XBsy-rCtBpXHPgRQNx6A5cH8n&amp;usp=drive_fs" TargetMode="External"/><Relationship Id="rId44" Type="http://schemas.openxmlformats.org/officeDocument/2006/relationships/hyperlink" Target="https://drive.google.com/open?id=1YKCcSiOdWUNKunuWtMUhNbcc_W8DU2XO&amp;usp=drive_fs" TargetMode="External"/><Relationship Id="rId52" Type="http://schemas.openxmlformats.org/officeDocument/2006/relationships/hyperlink" Target="https://drive.google.com/open?id=1vtfGThki1D96lsNtD_4heypUL_dyAwpB&amp;usp=drive_fs" TargetMode="External"/><Relationship Id="rId60" Type="http://schemas.openxmlformats.org/officeDocument/2006/relationships/hyperlink" Target="https://drive.google.com/open?id=1Kr9DNbBRkzlkOc0QaJvPf_S2pRbKOP5V&amp;usp=drive_fs" TargetMode="External"/><Relationship Id="rId65" Type="http://schemas.openxmlformats.org/officeDocument/2006/relationships/hyperlink" Target="https://drive.google.com/open?id=1wvjfgdRbMG8xFuk5rVkhd6fjg7w8SaAE&amp;usp=drive_fs" TargetMode="External"/><Relationship Id="rId4" Type="http://schemas.openxmlformats.org/officeDocument/2006/relationships/hyperlink" Target="https://drive.google.com/open?id=1RjGAo_VKAbbsi5CPsU_l7wiuv07SFlId&amp;usp=drive_fs" TargetMode="External"/><Relationship Id="rId9" Type="http://schemas.openxmlformats.org/officeDocument/2006/relationships/hyperlink" Target="https://drive.google.com/open?id=1V6WBjREGSD7_ubezViKIoWUVeQCYJVEW&amp;usp=drive_fs" TargetMode="External"/><Relationship Id="rId13" Type="http://schemas.openxmlformats.org/officeDocument/2006/relationships/hyperlink" Target="https://drive.google.com/open?id=1oy9tBo7fUsPW6jDP0L6i6vCJc21DHrxm&amp;usp=drive_fs" TargetMode="External"/><Relationship Id="rId18" Type="http://schemas.openxmlformats.org/officeDocument/2006/relationships/hyperlink" Target="https://drive.google.com/open?id=1d_bbK1dhE9Eai7Yk2CjZ84ksB092AqlO&amp;usp=drive_fs" TargetMode="External"/><Relationship Id="rId39" Type="http://schemas.openxmlformats.org/officeDocument/2006/relationships/hyperlink" Target="https://drive.google.com/open?id=1vtfGThki1D96lsNtD_4heypUL_dyAwpB&amp;usp=drive_fs" TargetMode="External"/><Relationship Id="rId34" Type="http://schemas.openxmlformats.org/officeDocument/2006/relationships/hyperlink" Target="https://drive.google.com/open?id=1FTRc57VnPh0jK2TKTGP9hPekh6D0sdv4&amp;usp=drive_fs" TargetMode="External"/><Relationship Id="rId50" Type="http://schemas.openxmlformats.org/officeDocument/2006/relationships/hyperlink" Target="https://drive.google.com/open?id=1hF3zelfEsnLBZCaCP6NLiHrcmWgFpd5W&amp;usp=drive_fs" TargetMode="External"/><Relationship Id="rId55" Type="http://schemas.openxmlformats.org/officeDocument/2006/relationships/hyperlink" Target="https://drive.google.com/open?id=1tWUb-AaDrteFcf9SmDTWQTAAUmcxouQ3&amp;usp=drive_fs"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drive.google.com/open?id=1xTBBjmys9W-C6DjjozMqC614xzPRLOPi&amp;usp=drive_fs" TargetMode="External"/><Relationship Id="rId18" Type="http://schemas.openxmlformats.org/officeDocument/2006/relationships/hyperlink" Target="https://drive.google.com/open?id=1IXFCZxIRFbhi4rsl4krBykiNXYSwN3rR&amp;usp=drive_fs" TargetMode="External"/><Relationship Id="rId26" Type="http://schemas.openxmlformats.org/officeDocument/2006/relationships/hyperlink" Target="https://drive.google.com/open?id=1_AP_KFcoiE0fuXwmNi38eZXszSgArqe5&amp;usp=drive_fs" TargetMode="External"/><Relationship Id="rId39" Type="http://schemas.openxmlformats.org/officeDocument/2006/relationships/hyperlink" Target="https://drive.google.com/open?id=1cANSGmgXQvn9V6ooLOSZP4zqCL8cwTLY&amp;usp=drive_fs" TargetMode="External"/><Relationship Id="rId21" Type="http://schemas.openxmlformats.org/officeDocument/2006/relationships/hyperlink" Target="https://drive.google.com/open?id=15nTbCiyJWzBoMmMRCI6kphwxcdWmoIoF&amp;usp=drive_fs" TargetMode="External"/><Relationship Id="rId34" Type="http://schemas.openxmlformats.org/officeDocument/2006/relationships/hyperlink" Target="https://drive.google.com/open?id=1nyqywGT9C9tsE8v9a-YnjpT5A7Rwu0kB&amp;usp=drive_fs" TargetMode="External"/><Relationship Id="rId42" Type="http://schemas.openxmlformats.org/officeDocument/2006/relationships/hyperlink" Target="https://drive.google.com/open?id=19UwExT1TGIGGIvcoUpthcnqn6BvNcBv1&amp;usp=drive_fs" TargetMode="External"/><Relationship Id="rId47" Type="http://schemas.openxmlformats.org/officeDocument/2006/relationships/hyperlink" Target="https://drive.google.com/open?id=14dxKdBrO8M-O-YqHAu4pGyylunhXLUEY&amp;usp=drive_fs" TargetMode="External"/><Relationship Id="rId50" Type="http://schemas.openxmlformats.org/officeDocument/2006/relationships/hyperlink" Target="https://drive.google.com/open?id=1COGmuFXIdDHPWGi_pmfA98cAZHYm5402&amp;usp=drive_fs" TargetMode="External"/><Relationship Id="rId55" Type="http://schemas.openxmlformats.org/officeDocument/2006/relationships/hyperlink" Target="https://drive.google.com/open?id=19x6_RXsVYiE_nhchICRpScAnAM__PLkS&amp;usp=drive_fs" TargetMode="External"/><Relationship Id="rId7" Type="http://schemas.openxmlformats.org/officeDocument/2006/relationships/hyperlink" Target="https://drive.google.com/open?id=1v7H994GbiHZXaRLt0mczP6YxnXlTmc4e&amp;usp=drive_fs" TargetMode="External"/><Relationship Id="rId2" Type="http://schemas.openxmlformats.org/officeDocument/2006/relationships/hyperlink" Target="https://drive.google.com/open?id=1u4KazLleMGK0KpPDssEd2p1O2DHlKfa2&amp;usp=drive_fs" TargetMode="External"/><Relationship Id="rId16" Type="http://schemas.openxmlformats.org/officeDocument/2006/relationships/hyperlink" Target="https://drive.google.com/open?id=1W_ulAYrr4sSWbuKur_qIoQPmDbxSnJdw&amp;usp=drive_fs" TargetMode="External"/><Relationship Id="rId29" Type="http://schemas.openxmlformats.org/officeDocument/2006/relationships/hyperlink" Target="https://drive.google.com/open?id=1g-1buuvp7XQPLiuA90tYXArSZYNk_rau&amp;usp=drive_fs" TargetMode="External"/><Relationship Id="rId11" Type="http://schemas.openxmlformats.org/officeDocument/2006/relationships/hyperlink" Target="https://drive.google.com/open?id=1obcjfohXSZasuQzF7NgduORTLP4SSS8-&amp;usp=drive_fs" TargetMode="External"/><Relationship Id="rId24" Type="http://schemas.openxmlformats.org/officeDocument/2006/relationships/hyperlink" Target="https://drive.google.com/open?id=1cI56F2xxZ6tEK-Qnn_xWH8mrpwW019yp&amp;usp=drive_fs" TargetMode="External"/><Relationship Id="rId32" Type="http://schemas.openxmlformats.org/officeDocument/2006/relationships/hyperlink" Target="https://drive.google.com/open?id=1S2JmM1y44O142VVM-JblzkSNl9PrzrQ6&amp;usp=drive_fs" TargetMode="External"/><Relationship Id="rId37" Type="http://schemas.openxmlformats.org/officeDocument/2006/relationships/hyperlink" Target="https://drive.google.com/open?id=1GLSEjfAEqn873Bg5dvBwtbNUqhGBZu-H&amp;usp=drive_fs" TargetMode="External"/><Relationship Id="rId40" Type="http://schemas.openxmlformats.org/officeDocument/2006/relationships/hyperlink" Target="https://drive.google.com/open?id=1o44aHFcEaPHOPXlTReK4nPLjoUG1ZSEa&amp;usp=drive_fs" TargetMode="External"/><Relationship Id="rId45" Type="http://schemas.openxmlformats.org/officeDocument/2006/relationships/hyperlink" Target="https://drive.google.com/open?id=1QbeXO2DoFcgWNeXmtTXQYEDGOj1fq6zt&amp;usp=drive_fs" TargetMode="External"/><Relationship Id="rId53" Type="http://schemas.openxmlformats.org/officeDocument/2006/relationships/hyperlink" Target="https://drive.google.com/open?id=1iPLSJChTWm-7F8dG0b1iuf8j0LtG6DRu&amp;usp=drive_fs" TargetMode="External"/><Relationship Id="rId58" Type="http://schemas.openxmlformats.org/officeDocument/2006/relationships/hyperlink" Target="https://drive.google.com/open?id=1a5MPHrO60u173kF8IR2BPWtoVhD-u_bB&amp;usp=drive_fs" TargetMode="External"/><Relationship Id="rId5" Type="http://schemas.openxmlformats.org/officeDocument/2006/relationships/hyperlink" Target="https://drive.google.com/open?id=1WgavmHoEFi7uen8N09_rqzlaqsLjFcfA&amp;usp=drive_fs" TargetMode="External"/><Relationship Id="rId19" Type="http://schemas.openxmlformats.org/officeDocument/2006/relationships/hyperlink" Target="https://drive.google.com/open?id=1u-8PlcHX1ol-0bbGfIGW9za3vMgKYOl3&amp;usp=drive_fs" TargetMode="External"/><Relationship Id="rId4" Type="http://schemas.openxmlformats.org/officeDocument/2006/relationships/hyperlink" Target="https://drive.google.com/open?id=17M5gDsHLW2Q71pP8rDrwXOiWgc4hLcL_&amp;usp=drive_fs" TargetMode="External"/><Relationship Id="rId9" Type="http://schemas.openxmlformats.org/officeDocument/2006/relationships/hyperlink" Target="https://drive.google.com/open?id=1HVo3w40oFp4NP-X1IgXPwzwIJuVasjD5&amp;usp=drive_fs" TargetMode="External"/><Relationship Id="rId14" Type="http://schemas.openxmlformats.org/officeDocument/2006/relationships/hyperlink" Target="https://drive.google.com/open?id=1j_1DlCU0Idtq9FhitWgmur-g-56Fb8pH&amp;usp=drive_fs" TargetMode="External"/><Relationship Id="rId22" Type="http://schemas.openxmlformats.org/officeDocument/2006/relationships/hyperlink" Target="https://drive.google.com/open?id=1sWCArhTeuzaNcQBvm8dZdszN38DzwZrD&amp;usp=drive_fs" TargetMode="External"/><Relationship Id="rId27" Type="http://schemas.openxmlformats.org/officeDocument/2006/relationships/hyperlink" Target="https://drive.google.com/open?id=1lXcuXaz9K1yV4R_G4Rq4rRIcg9ERyxnm&amp;usp=drive_fs" TargetMode="External"/><Relationship Id="rId30" Type="http://schemas.openxmlformats.org/officeDocument/2006/relationships/hyperlink" Target="https://drive.google.com/open?id=1MHuaVt3ecki1CZf1SW2uwfUZ0WxjxJ9J&amp;usp=drive_fs" TargetMode="External"/><Relationship Id="rId35" Type="http://schemas.openxmlformats.org/officeDocument/2006/relationships/hyperlink" Target="https://drive.google.com/open?id=1cxCkqEjlUWStp2-T-iOV8BSpqc0NQTp0&amp;usp=drive_fs" TargetMode="External"/><Relationship Id="rId43" Type="http://schemas.openxmlformats.org/officeDocument/2006/relationships/hyperlink" Target="https://drive.google.com/open?id=19UwExT1TGIGGIvcoUpthcnqn6BvNcBv1&amp;usp=drive_fs" TargetMode="External"/><Relationship Id="rId48" Type="http://schemas.openxmlformats.org/officeDocument/2006/relationships/hyperlink" Target="https://drive.google.com/open?id=1eH2tWzB0Q5HmY66H8c1T_lnJTlPxx3iZ&amp;usp=drive_fs" TargetMode="External"/><Relationship Id="rId56" Type="http://schemas.openxmlformats.org/officeDocument/2006/relationships/hyperlink" Target="https://drive.google.com/open?id=1HVo3w40oFp4NP-X1IgXPwzwIJuVasjD5&amp;usp=drive_fs" TargetMode="External"/><Relationship Id="rId8" Type="http://schemas.openxmlformats.org/officeDocument/2006/relationships/hyperlink" Target="https://drive.google.com/open?id=1odUmahm6zRdMS4_eARcyAyfprwHwDRiz&amp;usp=drive_fs" TargetMode="External"/><Relationship Id="rId51" Type="http://schemas.openxmlformats.org/officeDocument/2006/relationships/hyperlink" Target="https://drive.google.com/open?id=1B6k8UMUEpOWkDZ7lM53UkDBSdNdzr1vI&amp;usp=drive_fs" TargetMode="External"/><Relationship Id="rId3" Type="http://schemas.openxmlformats.org/officeDocument/2006/relationships/hyperlink" Target="https://drive.google.com/open?id=1TJOUmYE9fiQcjUVMAkNGiedb2jmHEnru&amp;usp=drive_fs" TargetMode="External"/><Relationship Id="rId12" Type="http://schemas.openxmlformats.org/officeDocument/2006/relationships/hyperlink" Target="https://drive.google.com/open?id=1g7ZmxkgE-Pcpp_CWD4JIpxowTnut1SLv&amp;usp=drive_fs" TargetMode="External"/><Relationship Id="rId17" Type="http://schemas.openxmlformats.org/officeDocument/2006/relationships/hyperlink" Target="https://drive.google.com/open?id=1RmAfwN3_oT2KTr59TgjbbNa0mLIKLDwl&amp;usp=drive_fs" TargetMode="External"/><Relationship Id="rId25" Type="http://schemas.openxmlformats.org/officeDocument/2006/relationships/hyperlink" Target="https://drive.google.com/open?id=1KepkIkMmjuXwTcsYaYaeHWbgzl8Wnq46&amp;usp=drive_fs" TargetMode="External"/><Relationship Id="rId33" Type="http://schemas.openxmlformats.org/officeDocument/2006/relationships/hyperlink" Target="https://drive.google.com/open?id=1rH4iyYokSOy3J3hWXyVSq-YR9hguOT_Y&amp;usp=drive_fs" TargetMode="External"/><Relationship Id="rId38" Type="http://schemas.openxmlformats.org/officeDocument/2006/relationships/hyperlink" Target="https://drive.google.com/open?id=1wvA0i1ND5MokCUuxZaRSyDegpf20pyoR&amp;usp=drive_fs" TargetMode="External"/><Relationship Id="rId46" Type="http://schemas.openxmlformats.org/officeDocument/2006/relationships/hyperlink" Target="https://drive.google.com/open?id=17aiOmdLypcdI-2_amEn2UFk5pl4LtJhM&amp;usp=drive_fs" TargetMode="External"/><Relationship Id="rId59" Type="http://schemas.openxmlformats.org/officeDocument/2006/relationships/hyperlink" Target="https://drive.google.com/open?id=1bT3kyFPnL2X6_LTHyiudGLsMGcWTeJ4x&amp;usp=drive_fs" TargetMode="External"/><Relationship Id="rId20" Type="http://schemas.openxmlformats.org/officeDocument/2006/relationships/hyperlink" Target="https://drive.google.com/open?id=1n4NRzF61foviqEhL_J-pLm9YZHnKgKtY&amp;usp=drive_fs" TargetMode="External"/><Relationship Id="rId41" Type="http://schemas.openxmlformats.org/officeDocument/2006/relationships/hyperlink" Target="https://drive.google.com/open?id=1CXBCMoY-ZdqPNPptgDmtjS3EByr5AiS8&amp;usp=drive_fs" TargetMode="External"/><Relationship Id="rId54" Type="http://schemas.openxmlformats.org/officeDocument/2006/relationships/hyperlink" Target="https://drive.google.com/open?id=1_9Dkd1vUD6BjqUDD4tr2LLVQstHWm5jC&amp;usp=drive_fs" TargetMode="External"/><Relationship Id="rId1" Type="http://schemas.openxmlformats.org/officeDocument/2006/relationships/hyperlink" Target="https://drive.google.com/open?id=1RvkO-7c-uW6wZ2Sfo6MNuVGD6mbkkHv_&amp;usp=drive_fs" TargetMode="External"/><Relationship Id="rId6" Type="http://schemas.openxmlformats.org/officeDocument/2006/relationships/hyperlink" Target="https://drive.google.com/open?id=1hbzosf11pZcG_etLi_nUtMaXzIKHahdK&amp;usp=drive_fs" TargetMode="External"/><Relationship Id="rId15" Type="http://schemas.openxmlformats.org/officeDocument/2006/relationships/hyperlink" Target="https://drive.google.com/open?id=1UCiFvx3MILIl11HQFXFnnWYKfLEj7Nhb&amp;usp=drive_fs" TargetMode="External"/><Relationship Id="rId23" Type="http://schemas.openxmlformats.org/officeDocument/2006/relationships/hyperlink" Target="https://drive.google.com/open?id=1rbE6c1RO3Pq9veoFYM4hw19M7m_w-k1w&amp;usp=drive_fs" TargetMode="External"/><Relationship Id="rId28" Type="http://schemas.openxmlformats.org/officeDocument/2006/relationships/hyperlink" Target="https://drive.google.com/open?id=1nA_GZf-ly8DSKk71z8jMuobC9U4pjOVo&amp;usp=drive_fs" TargetMode="External"/><Relationship Id="rId36" Type="http://schemas.openxmlformats.org/officeDocument/2006/relationships/hyperlink" Target="https://drive.google.com/open?id=1jh0XzEWfNzrQfL-pYfQBpKP2pgB30-Z8&amp;usp=drive_fs" TargetMode="External"/><Relationship Id="rId49" Type="http://schemas.openxmlformats.org/officeDocument/2006/relationships/hyperlink" Target="https://drive.google.com/open?id=1AHtHlx_Gj2rA2EBcFJnH6dMdy8ZrTXNw&amp;usp=drive_fs" TargetMode="External"/><Relationship Id="rId57" Type="http://schemas.openxmlformats.org/officeDocument/2006/relationships/hyperlink" Target="https://drive.google.com/open?id=1HVo3w40oFp4NP-X1IgXPwzwIJuVasjD5&amp;usp=drive_fs" TargetMode="External"/><Relationship Id="rId10" Type="http://schemas.openxmlformats.org/officeDocument/2006/relationships/hyperlink" Target="https://drive.google.com/open?id=11p0-Ck2K51_c6H1aXAptZ6Nu1lDXxm0L&amp;usp=drive_fs" TargetMode="External"/><Relationship Id="rId31" Type="http://schemas.openxmlformats.org/officeDocument/2006/relationships/hyperlink" Target="https://drive.google.com/open?id=1myHBvgDWheNE2gZ2z5WKazLQm48VKwTG&amp;usp=drive_fs" TargetMode="External"/><Relationship Id="rId44" Type="http://schemas.openxmlformats.org/officeDocument/2006/relationships/hyperlink" Target="https://drive.google.com/open?id=1w9eV6LGck8yq52XUAp0MXjBTsB6O6Ty5&amp;usp=drive_fs" TargetMode="External"/><Relationship Id="rId52" Type="http://schemas.openxmlformats.org/officeDocument/2006/relationships/hyperlink" Target="https://drive.google.com/open?id=1JL92FJ8RQ1zqW-_Bi1YKwFm7t1SGDBjL&amp;usp=drive_fs"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drive.google.com/open?id=1yYQmXmlSJAorAIJ5_gsi8lOZk2OtxPT5&amp;usp=drive_fs" TargetMode="External"/><Relationship Id="rId18" Type="http://schemas.openxmlformats.org/officeDocument/2006/relationships/hyperlink" Target="https://drive.google.com/open?id=10W-gj7i_0VI2RqLLTHEMjoUKWDECGcBB&amp;usp=drive_fs" TargetMode="External"/><Relationship Id="rId26" Type="http://schemas.openxmlformats.org/officeDocument/2006/relationships/hyperlink" Target="https://drive.google.com/open?id=1Og2vJDqzXn4P3ETGiYbaffHgPy83HaD8&amp;usp=drive_fs" TargetMode="External"/><Relationship Id="rId39" Type="http://schemas.openxmlformats.org/officeDocument/2006/relationships/hyperlink" Target="https://drive.google.com/open?id=1RLC3Tn7k43Uze9jhcKMsqyFM12qPgKTk&amp;usp=drive_fs" TargetMode="External"/><Relationship Id="rId21" Type="http://schemas.openxmlformats.org/officeDocument/2006/relationships/hyperlink" Target="https://drive.google.com/open?id=16JMxKe1HBNimxzQDuQqf1OHgUtO-K-di&amp;usp=drive_fs" TargetMode="External"/><Relationship Id="rId34" Type="http://schemas.openxmlformats.org/officeDocument/2006/relationships/hyperlink" Target="https://drive.google.com/open?id=1E6syI8In2O1--voIfa7e4Vy2LcThKLI8&amp;usp=drive_fs" TargetMode="External"/><Relationship Id="rId42" Type="http://schemas.openxmlformats.org/officeDocument/2006/relationships/hyperlink" Target="https://drive.google.com/open?id=1bK8fgTiJr0arK2XFJY6Ff2FrtiWAPy4r&amp;usp=drive_fs" TargetMode="External"/><Relationship Id="rId47" Type="http://schemas.openxmlformats.org/officeDocument/2006/relationships/hyperlink" Target="https://drive.google.com/open?id=1IOdbA81qbIHofE3ZoIdz-8MbxtLmrviT&amp;usp=drive_fs" TargetMode="External"/><Relationship Id="rId50" Type="http://schemas.openxmlformats.org/officeDocument/2006/relationships/hyperlink" Target="https://drive.google.com/open?id=1FcW4As_P2nq4F5T_vobZcwZbLlArY9FJ&amp;usp=drive_fs" TargetMode="External"/><Relationship Id="rId55" Type="http://schemas.openxmlformats.org/officeDocument/2006/relationships/hyperlink" Target="https://drive.google.com/open?id=1iEQ1EHDPJs4K5JcD6bDzo4XQx7YV8A1X&amp;usp=drive_fs" TargetMode="External"/><Relationship Id="rId7" Type="http://schemas.openxmlformats.org/officeDocument/2006/relationships/hyperlink" Target="https://drive.google.com/open?id=1jh70J8_VZhhxU80PH3orbkiJeq_8uITc&amp;usp=drive_fs" TargetMode="External"/><Relationship Id="rId2" Type="http://schemas.openxmlformats.org/officeDocument/2006/relationships/hyperlink" Target="https://drive.google.com/open?id=1LwVn2N7-GWCVvIY_P2U17Ja3_uboW2JN&amp;usp=drive_fs" TargetMode="External"/><Relationship Id="rId16" Type="http://schemas.openxmlformats.org/officeDocument/2006/relationships/hyperlink" Target="https://drive.google.com/open?id=1fhkNtw-cxSZQdC7i06BLYemn_ms2-60f&amp;usp=drive_fs" TargetMode="External"/><Relationship Id="rId29" Type="http://schemas.openxmlformats.org/officeDocument/2006/relationships/hyperlink" Target="https://drive.google.com/open?id=195oDXBnZuTb4a4onOXzBFTRjVQsOiA3N&amp;usp=drive_fs" TargetMode="External"/><Relationship Id="rId11" Type="http://schemas.openxmlformats.org/officeDocument/2006/relationships/hyperlink" Target="https://drive.google.com/open?id=1D92hYoFoefGb-TAZUP8micYulmkAcUnC&amp;usp=drive_fs" TargetMode="External"/><Relationship Id="rId24" Type="http://schemas.openxmlformats.org/officeDocument/2006/relationships/hyperlink" Target="https://drive.google.com/open?id=1uEXywt0ep61mTqwRQ0II9dezhAAWl_Nl&amp;usp=drive_fs" TargetMode="External"/><Relationship Id="rId32" Type="http://schemas.openxmlformats.org/officeDocument/2006/relationships/hyperlink" Target="https://drive.google.com/open?id=1EfOizv-k3nJ4Y_R9P2OXNPmyBjsdKhcb&amp;usp=drive_fs" TargetMode="External"/><Relationship Id="rId37" Type="http://schemas.openxmlformats.org/officeDocument/2006/relationships/hyperlink" Target="https://drive.google.com/open?id=1V7mjHzZ3sFcBJaKzM_mT1Ax0I4UbOMcU&amp;usp=drive_fs" TargetMode="External"/><Relationship Id="rId40" Type="http://schemas.openxmlformats.org/officeDocument/2006/relationships/hyperlink" Target="https://drive.google.com/open?id=1bLTz5YEHr6kAXEUn-VQ_HQ9VBi5Y0oAq&amp;usp=drive_fs" TargetMode="External"/><Relationship Id="rId45" Type="http://schemas.openxmlformats.org/officeDocument/2006/relationships/hyperlink" Target="https://drive.google.com/open?id=1R3BEAQW6YI89k5nbQz_pSxuh6h0J6oxN&amp;usp=drive_fs" TargetMode="External"/><Relationship Id="rId53" Type="http://schemas.openxmlformats.org/officeDocument/2006/relationships/hyperlink" Target="https://drive.google.com/open?id=1MM11De9kWB8i2twqWmJErj3oct0-jD-6&amp;usp=drive_fs" TargetMode="External"/><Relationship Id="rId58" Type="http://schemas.openxmlformats.org/officeDocument/2006/relationships/hyperlink" Target="https://drive.google.com/open?id=1aDs9IiE48SOv82KTfBwRzOesXE7n2Se7&amp;usp=drive_fs" TargetMode="External"/><Relationship Id="rId5" Type="http://schemas.openxmlformats.org/officeDocument/2006/relationships/hyperlink" Target="https://drive.google.com/open?id=1uNhwZLmKk7CkQbTE00zixPQNN8D9LO4C&amp;usp=drive_fs" TargetMode="External"/><Relationship Id="rId19" Type="http://schemas.openxmlformats.org/officeDocument/2006/relationships/hyperlink" Target="https://drive.google.com/open?id=1nNG0sa8OpAkLDm4Y3gUvl3o6TCjPFzYS&amp;usp=drive_fs" TargetMode="External"/><Relationship Id="rId4" Type="http://schemas.openxmlformats.org/officeDocument/2006/relationships/hyperlink" Target="https://drive.google.com/open?id=1_2jwUWDh4AkTxh5L3LxKxM8LvyLniSPh&amp;usp=drive_fs" TargetMode="External"/><Relationship Id="rId9" Type="http://schemas.openxmlformats.org/officeDocument/2006/relationships/hyperlink" Target="https://drive.google.com/open?id=1nKdwA3GzdAQcOA5xx2enpRuYaaEQ6GBt&amp;usp=drive_fs" TargetMode="External"/><Relationship Id="rId14" Type="http://schemas.openxmlformats.org/officeDocument/2006/relationships/hyperlink" Target="https://drive.google.com/open?id=1ZfeZXLZeIFG7q1UOE36KE0xGjX34cELE&amp;usp=drive_fs" TargetMode="External"/><Relationship Id="rId22" Type="http://schemas.openxmlformats.org/officeDocument/2006/relationships/hyperlink" Target="https://drive.google.com/open?id=13lIKcXKFmwy17RNEZbxClY3nEdBoohNX&amp;usp=drive_fs" TargetMode="External"/><Relationship Id="rId27" Type="http://schemas.openxmlformats.org/officeDocument/2006/relationships/hyperlink" Target="https://drive.google.com/open?id=1fcbgaBw-N68YvcHRafNKpm4rPvV4z7CQ&amp;usp=drive_fs" TargetMode="External"/><Relationship Id="rId30" Type="http://schemas.openxmlformats.org/officeDocument/2006/relationships/hyperlink" Target="https://drive.google.com/open?id=1wz9N8E-K6H7u2qvRXfHeJMVxAyM_9kuk&amp;usp=drive_fs" TargetMode="External"/><Relationship Id="rId35" Type="http://schemas.openxmlformats.org/officeDocument/2006/relationships/hyperlink" Target="https://drive.google.com/open?id=1c5uKuKbx7IpnQOTplaCOGJ1qIC4-ly1k&amp;usp=drive_fs" TargetMode="External"/><Relationship Id="rId43" Type="http://schemas.openxmlformats.org/officeDocument/2006/relationships/hyperlink" Target="https://drive.google.com/open?id=17_Bw0Apvdx_b11hOYczq_SpgJlZSvJCN&amp;usp=drive_fs" TargetMode="External"/><Relationship Id="rId48" Type="http://schemas.openxmlformats.org/officeDocument/2006/relationships/hyperlink" Target="https://drive.google.com/open?id=16c792T_aDUgpu1iaVLfd1MS5UxOEoVC1&amp;usp=drive_fs" TargetMode="External"/><Relationship Id="rId56" Type="http://schemas.openxmlformats.org/officeDocument/2006/relationships/hyperlink" Target="https://drive.google.com/open?id=1TROqm3K5o6TgxbHzWqcYKrn7bgr6vX5F&amp;usp=drive_fs" TargetMode="External"/><Relationship Id="rId8" Type="http://schemas.openxmlformats.org/officeDocument/2006/relationships/hyperlink" Target="https://drive.google.com/open?id=1KxN4YaW8Rfi54sbnGkWv231gdSCL3koF&amp;usp=drive_fs" TargetMode="External"/><Relationship Id="rId51" Type="http://schemas.openxmlformats.org/officeDocument/2006/relationships/hyperlink" Target="https://drive.google.com/open?id=12K3qIa89LoitTUYIi-uYc2yJwOOYkXST&amp;usp=drive_fs" TargetMode="External"/><Relationship Id="rId3" Type="http://schemas.openxmlformats.org/officeDocument/2006/relationships/hyperlink" Target="https://drive.google.com/open?id=1cJKwZbrPHxJdlem5Vhs68R6Fn5X9L6ME&amp;usp=drive_fs" TargetMode="External"/><Relationship Id="rId12" Type="http://schemas.openxmlformats.org/officeDocument/2006/relationships/hyperlink" Target="https://drive.google.com/open?id=1yQm9X4KwxzwcqvP-F6d46f8wsfCE-ZG_&amp;usp=drive_fs" TargetMode="External"/><Relationship Id="rId17" Type="http://schemas.openxmlformats.org/officeDocument/2006/relationships/hyperlink" Target="https://drive.google.com/open?id=1bIL526VpKXfLw8VLMz8lnqpu0_-PE_vx&amp;usp=drive_fs" TargetMode="External"/><Relationship Id="rId25" Type="http://schemas.openxmlformats.org/officeDocument/2006/relationships/hyperlink" Target="https://drive.google.com/open?id=1n2tN5fn4mH2B3kD6cxntBAbAtzlfACTB&amp;usp=drive_fs" TargetMode="External"/><Relationship Id="rId33" Type="http://schemas.openxmlformats.org/officeDocument/2006/relationships/hyperlink" Target="https://drive.google.com/open?id=1koCJI_hn8RQ5Fs9LgWqjxLCYu9KsPbii&amp;usp=drive_fs" TargetMode="External"/><Relationship Id="rId38" Type="http://schemas.openxmlformats.org/officeDocument/2006/relationships/hyperlink" Target="https://drive.google.com/open?id=1MvRJVqnaFV_UkGDyEj5HHLaBrfdcppyj&amp;usp=drive_fs" TargetMode="External"/><Relationship Id="rId46" Type="http://schemas.openxmlformats.org/officeDocument/2006/relationships/hyperlink" Target="https://drive.google.com/open?id=1IAbH9A3Zw9PBVzpTc9temdTJGLC9BIJv&amp;usp=drive_fs" TargetMode="External"/><Relationship Id="rId59" Type="http://schemas.openxmlformats.org/officeDocument/2006/relationships/hyperlink" Target="https://drive.google.com/open?id=1EXsnt67Mh6gYJfFjQsGQYNhUJWypa5GT&amp;usp=drive_fs" TargetMode="External"/><Relationship Id="rId20" Type="http://schemas.openxmlformats.org/officeDocument/2006/relationships/hyperlink" Target="https://drive.google.com/open?id=1Ob0SxModW5pm-JTnoChr2-8x8yjHFYxu&amp;usp=drive_fs" TargetMode="External"/><Relationship Id="rId41" Type="http://schemas.openxmlformats.org/officeDocument/2006/relationships/hyperlink" Target="https://drive.google.com/open?id=1GZPLtfH-1_uvlwXEPz8cmuDRhPXHhaMx&amp;usp=drive_fs" TargetMode="External"/><Relationship Id="rId54" Type="http://schemas.openxmlformats.org/officeDocument/2006/relationships/hyperlink" Target="https://drive.google.com/open?id=1ekFu8WQNboSA6sD6bSW6M4SSzRLtEdE_&amp;usp=drive_fs" TargetMode="External"/><Relationship Id="rId1" Type="http://schemas.openxmlformats.org/officeDocument/2006/relationships/hyperlink" Target="https://drive.google.com/open?id=1Tyoflpzuo4KRqt6sFef6d6ntELBZmvSf&amp;usp=drive_fs" TargetMode="External"/><Relationship Id="rId6" Type="http://schemas.openxmlformats.org/officeDocument/2006/relationships/hyperlink" Target="https://drive.google.com/open?id=1BinfwRC6010n7GICWQOAQPYKlFiIv2Dm&amp;usp=drive_fs" TargetMode="External"/><Relationship Id="rId15" Type="http://schemas.openxmlformats.org/officeDocument/2006/relationships/hyperlink" Target="https://drive.google.com/open?id=1dzlxGS2gPpsicSwaLD2xnNpBGUYM6YTF&amp;usp=drive_fs" TargetMode="External"/><Relationship Id="rId23" Type="http://schemas.openxmlformats.org/officeDocument/2006/relationships/hyperlink" Target="https://drive.google.com/open?id=1FVQX6oq1Tgkbzp0Q2rWcdPboQV7bQhxu&amp;usp=drive_fs" TargetMode="External"/><Relationship Id="rId28" Type="http://schemas.openxmlformats.org/officeDocument/2006/relationships/hyperlink" Target="https://drive.google.com/open?id=1TSv6SHD3tUmjSYBMi-_J5uRLc4uY9U2u&amp;usp=drive_fs" TargetMode="External"/><Relationship Id="rId36" Type="http://schemas.openxmlformats.org/officeDocument/2006/relationships/hyperlink" Target="https://drive.google.com/open?id=1L_fbzPgXDv_sqTu5xQ4epB4rC7jbPSfZ&amp;usp=drive_fs" TargetMode="External"/><Relationship Id="rId49" Type="http://schemas.openxmlformats.org/officeDocument/2006/relationships/hyperlink" Target="https://drive.google.com/open?id=1CeQdTMcu6cDtLdBPkT0z2U1sSefEZQXb&amp;usp=drive_fs" TargetMode="External"/><Relationship Id="rId57" Type="http://schemas.openxmlformats.org/officeDocument/2006/relationships/hyperlink" Target="https://drive.google.com/open?id=1RK1ztO5kn3PRWhtHf3aDMEaCgmPPcJc5&amp;usp=drive_fs" TargetMode="External"/><Relationship Id="rId10" Type="http://schemas.openxmlformats.org/officeDocument/2006/relationships/hyperlink" Target="https://drive.google.com/open?id=1aDs9IiE48SOv82KTfBwRzOesXE7n2Se7&amp;usp=drive_fs" TargetMode="External"/><Relationship Id="rId31" Type="http://schemas.openxmlformats.org/officeDocument/2006/relationships/hyperlink" Target="https://drive.google.com/open?id=1EvhbQts6Rc83okD-SmT5XSM2rQMgs4-n&amp;usp=drive_fs" TargetMode="External"/><Relationship Id="rId44" Type="http://schemas.openxmlformats.org/officeDocument/2006/relationships/hyperlink" Target="https://drive.google.com/open?id=1_3Jw1-czQRAhXauGTgqZZW2JorrQEN2F&amp;usp=drive_fs" TargetMode="External"/><Relationship Id="rId52" Type="http://schemas.openxmlformats.org/officeDocument/2006/relationships/hyperlink" Target="https://drive.google.com/open?id=10JlNE5LCNAeV6R3vGziTwdC5MAuj603g&amp;usp=drive_fs" TargetMode="External"/><Relationship Id="rId60" Type="http://schemas.openxmlformats.org/officeDocument/2006/relationships/hyperlink" Target="https://drive.google.com/open?id=177nY7pxSx_a_8fhpKJpZEr3tushQ1iF9&amp;usp=drive_fs"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drive.google.com/open?id=1SfFkvnX-TrcuzUDlpWEn62vMc8avyU3o&amp;usp=drive_fs" TargetMode="External"/><Relationship Id="rId18" Type="http://schemas.openxmlformats.org/officeDocument/2006/relationships/hyperlink" Target="https://drive.google.com/open?id=15JccZoDLWzsuE2MqLtQq2yoPW95AcdCg&amp;usp=drive_fs" TargetMode="External"/><Relationship Id="rId26" Type="http://schemas.openxmlformats.org/officeDocument/2006/relationships/hyperlink" Target="https://drive.google.com/open?id=1HIlG_KEAtNJlCSoLaEuIZ2i5I-6OtLA3&amp;usp=drive_fs" TargetMode="External"/><Relationship Id="rId39" Type="http://schemas.openxmlformats.org/officeDocument/2006/relationships/hyperlink" Target="https://drive.google.com/open?id=1WxvChJ6fGSAqMbNGVD6yettVeuU8_D7W&amp;usp=drive_fs" TargetMode="External"/><Relationship Id="rId21" Type="http://schemas.openxmlformats.org/officeDocument/2006/relationships/hyperlink" Target="https://drive.google.com/open?id=1zRIzp_Cd_yWKzcCngZLeQig8U-x2zEjC&amp;usp=drive_fs" TargetMode="External"/><Relationship Id="rId34" Type="http://schemas.openxmlformats.org/officeDocument/2006/relationships/hyperlink" Target="https://drive.google.com/open?id=1GE3lmOPexQMpRqNbk-vx_sGma8ORKwPm&amp;usp=drive_fs" TargetMode="External"/><Relationship Id="rId7" Type="http://schemas.openxmlformats.org/officeDocument/2006/relationships/hyperlink" Target="https://drive.google.com/open?id=1NzSgNP2R-fQkx1_TK-va3OYeVixZz67v&amp;usp=drive_fs" TargetMode="External"/><Relationship Id="rId2" Type="http://schemas.openxmlformats.org/officeDocument/2006/relationships/hyperlink" Target="https://drive.google.com/open?id=1GK9rA3Y1N2QuWmjbr8Z2aQVOIDUbT7bx&amp;usp=drive_fs" TargetMode="External"/><Relationship Id="rId16" Type="http://schemas.openxmlformats.org/officeDocument/2006/relationships/hyperlink" Target="https://drive.google.com/open?id=1BL5bI2vOj8u-8WYHhloqgGBx_hdNcinW&amp;usp=drive_fs" TargetMode="External"/><Relationship Id="rId20" Type="http://schemas.openxmlformats.org/officeDocument/2006/relationships/hyperlink" Target="https://drive.google.com/open?id=1h5WRCOLW4Q-YAf83vXLFOqT1_nFlSdcW&amp;usp=drive_fs" TargetMode="External"/><Relationship Id="rId29" Type="http://schemas.openxmlformats.org/officeDocument/2006/relationships/hyperlink" Target="https://drive.google.com/open?id=1SNMvmG3eEmU3bA28Nf7LpNpOL34euGfZ&amp;usp=drive_fs" TargetMode="External"/><Relationship Id="rId41" Type="http://schemas.openxmlformats.org/officeDocument/2006/relationships/hyperlink" Target="https://drive.google.com/open?id=1vUcjzZ5v_0JqcoUqNtFMDU-MrQT5D9gD&amp;usp=drive_fs" TargetMode="External"/><Relationship Id="rId1" Type="http://schemas.openxmlformats.org/officeDocument/2006/relationships/hyperlink" Target="https://drive.google.com/open?id=1E80IgLB_wgbtrbAWBRtL0b76U3NM22yS&amp;usp=drive_fs" TargetMode="External"/><Relationship Id="rId6" Type="http://schemas.openxmlformats.org/officeDocument/2006/relationships/hyperlink" Target="https://drive.google.com/open?id=1r-wsC7ZpTyapKu9aOx9TXVw-pwOYgFAn&amp;usp=drive_fs" TargetMode="External"/><Relationship Id="rId11" Type="http://schemas.openxmlformats.org/officeDocument/2006/relationships/hyperlink" Target="https://drive.google.com/open?id=1F5ECpxTUGsgancrbnA1u0oIRJI4DbGEq&amp;usp=drive_fs" TargetMode="External"/><Relationship Id="rId24" Type="http://schemas.openxmlformats.org/officeDocument/2006/relationships/hyperlink" Target="https://drive.google.com/open?id=1z06JUPq5lJ3ovVRb6BZuT4gc8GSbFNsW&amp;usp=drive_fs" TargetMode="External"/><Relationship Id="rId32" Type="http://schemas.openxmlformats.org/officeDocument/2006/relationships/hyperlink" Target="https://drive.google.com/open?id=1Oyw0_oTTWNlmjTtXhV459lT4V04CX85X&amp;usp=drive_fs" TargetMode="External"/><Relationship Id="rId37" Type="http://schemas.openxmlformats.org/officeDocument/2006/relationships/hyperlink" Target="https://drive.google.com/open?id=19rxLXUzLIRJYmj4Yu8NMSBEcTIAq8bzy&amp;usp=drive_fs" TargetMode="External"/><Relationship Id="rId40" Type="http://schemas.openxmlformats.org/officeDocument/2006/relationships/hyperlink" Target="https://drive.google.com/open?id=1CqW1SrktV4RVWz-sRYRJyIb9WcVGgHyJ&amp;usp=drive_fs" TargetMode="External"/><Relationship Id="rId5" Type="http://schemas.openxmlformats.org/officeDocument/2006/relationships/hyperlink" Target="https://drive.google.com/open?id=1Mpch8dBkoCf5cmY8KZnkm8wDGkvLVGMV&amp;usp=drive_fs" TargetMode="External"/><Relationship Id="rId15" Type="http://schemas.openxmlformats.org/officeDocument/2006/relationships/hyperlink" Target="https://drive.google.com/open?id=1M6MXdrIDHSE9vFbYIZTF87jVWEYBav-f&amp;usp=drive_fs" TargetMode="External"/><Relationship Id="rId23" Type="http://schemas.openxmlformats.org/officeDocument/2006/relationships/hyperlink" Target="https://drive.google.com/open?id=10mgxjb9E5XlocaZTxIFYEqB6ztyOQN-z&amp;usp=drive_fs" TargetMode="External"/><Relationship Id="rId28" Type="http://schemas.openxmlformats.org/officeDocument/2006/relationships/hyperlink" Target="https://drive.google.com/open?id=1M30Q0HgbThZYCViRnKEzolHYryjNt8NW&amp;usp=drive_fs" TargetMode="External"/><Relationship Id="rId36" Type="http://schemas.openxmlformats.org/officeDocument/2006/relationships/hyperlink" Target="https://drive.google.com/open?id=1C8XjTOHg-ik8H9_FGMPC_g3j6q-zUUJi&amp;usp=drive_fs" TargetMode="External"/><Relationship Id="rId10" Type="http://schemas.openxmlformats.org/officeDocument/2006/relationships/hyperlink" Target="https://drive.google.com/open?id=1JNtkajY3kFmHmnaT8C2hQBNluUWS0f3c&amp;usp=drive_fs" TargetMode="External"/><Relationship Id="rId19" Type="http://schemas.openxmlformats.org/officeDocument/2006/relationships/hyperlink" Target="https://drive.google.com/open?id=1Cvp6709fvi8Byjn7d7JYGWarCRjRMYq5&amp;usp=drive_fs" TargetMode="External"/><Relationship Id="rId31" Type="http://schemas.openxmlformats.org/officeDocument/2006/relationships/hyperlink" Target="https://drive.google.com/open?id=1CL9bVw5vxIa4qJpNmgUghe-9SrJi9621&amp;usp=drive_fs" TargetMode="External"/><Relationship Id="rId4" Type="http://schemas.openxmlformats.org/officeDocument/2006/relationships/hyperlink" Target="https://drive.google.com/open?id=1tXyS2wdGZ8QEA34Ki7f1yZq3yYPY35e0&amp;usp=drive_fs" TargetMode="External"/><Relationship Id="rId9" Type="http://schemas.openxmlformats.org/officeDocument/2006/relationships/hyperlink" Target="https://drive.google.com/open?id=1B-1ZnRi6sCw8Ugjpi6mKy4mKh2e3cFdR&amp;usp=drive_fs" TargetMode="External"/><Relationship Id="rId14" Type="http://schemas.openxmlformats.org/officeDocument/2006/relationships/hyperlink" Target="https://drive.google.com/open?id=1lrldO1eU1KGhQ5RQsXWjO4cAWws1uyQs&amp;usp=drive_fs" TargetMode="External"/><Relationship Id="rId22" Type="http://schemas.openxmlformats.org/officeDocument/2006/relationships/hyperlink" Target="https://drive.google.com/open?id=12mCPkK2W23-GB0wXV6u9PQI4ZSJRV1UQ&amp;usp=drive_fs" TargetMode="External"/><Relationship Id="rId27" Type="http://schemas.openxmlformats.org/officeDocument/2006/relationships/hyperlink" Target="https://drive.google.com/open?id=1haXZk2sP_QbWy4c4Vs-_o7LsiL70SlSv&amp;usp=drive_fs" TargetMode="External"/><Relationship Id="rId30" Type="http://schemas.openxmlformats.org/officeDocument/2006/relationships/hyperlink" Target="https://drive.google.com/open?id=1fqPR71GOVo0G73akYepcQPazRphIFb-M&amp;usp=drive_fs" TargetMode="External"/><Relationship Id="rId35" Type="http://schemas.openxmlformats.org/officeDocument/2006/relationships/hyperlink" Target="https://drive.google.com/open?id=1X-FseHH5sExZofhqjXqaQSFMxyVayBFV&amp;usp=drive_fs" TargetMode="External"/><Relationship Id="rId8" Type="http://schemas.openxmlformats.org/officeDocument/2006/relationships/hyperlink" Target="https://drive.google.com/open?id=15TLCQRv2jqCRVt9aF3ATYpiW38RTGKCj&amp;usp=drive_fs" TargetMode="External"/><Relationship Id="rId3" Type="http://schemas.openxmlformats.org/officeDocument/2006/relationships/hyperlink" Target="https://drive.google.com/open?id=17_fRHWQksGmiepl3aj-x_m6cBT5F0eCb&amp;usp=drive_fs" TargetMode="External"/><Relationship Id="rId12" Type="http://schemas.openxmlformats.org/officeDocument/2006/relationships/hyperlink" Target="https://drive.google.com/open?id=12WxnqtBPF8PXCnLcU_7HNkf5-nbNQeTp&amp;usp=drive_fs" TargetMode="External"/><Relationship Id="rId17" Type="http://schemas.openxmlformats.org/officeDocument/2006/relationships/hyperlink" Target="https://drive.google.com/open?id=16OKL-y9BqSuuvk703lVEEV-JXQyVNQy7&amp;usp=drive_fs" TargetMode="External"/><Relationship Id="rId25" Type="http://schemas.openxmlformats.org/officeDocument/2006/relationships/hyperlink" Target="https://drive.google.com/open?id=1-JbCmvgKQcxgirPggOhXYiO7dZtYi5aZ&amp;usp=drive_fs" TargetMode="External"/><Relationship Id="rId33" Type="http://schemas.openxmlformats.org/officeDocument/2006/relationships/hyperlink" Target="https://drive.google.com/open?id=1lgT-vturcgzf4V1aLzQfli4w411onkme&amp;usp=drive_fs" TargetMode="External"/><Relationship Id="rId38" Type="http://schemas.openxmlformats.org/officeDocument/2006/relationships/hyperlink" Target="https://drive.google.com/open?id=1vraC1XMb-SrWkCJvT3r2wk-kyAP0qHx4&amp;usp=drive_fs"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https://drive.google.com/open?id=1s_bZ5iGJjlaVsDVQExlElFarm3HUNZG3&amp;usp=drive_fs" TargetMode="External"/><Relationship Id="rId18" Type="http://schemas.openxmlformats.org/officeDocument/2006/relationships/hyperlink" Target="https://drive.google.com/open?id=1MS20EQl0eTi4UTpO7hwbB59_YAH5WqRA&amp;usp=drive_fs" TargetMode="External"/><Relationship Id="rId26" Type="http://schemas.openxmlformats.org/officeDocument/2006/relationships/hyperlink" Target="https://drive.google.com/open?id=1PCs7M_9eBqvGcv7LyHrN2nyk0yqLQpMQ&amp;usp=drive_fs" TargetMode="External"/><Relationship Id="rId39" Type="http://schemas.openxmlformats.org/officeDocument/2006/relationships/hyperlink" Target="https://drive.google.com/open?id=1JnFMcaV2wGUCL2d5C3FCxEnLTYSh1IhZ&amp;usp=drive_fs" TargetMode="External"/><Relationship Id="rId21" Type="http://schemas.openxmlformats.org/officeDocument/2006/relationships/hyperlink" Target="https://drive.google.com/open?id=1c9l-YNt59Vx6Or9R2btlByD7P1nqMXiC&amp;usp=drive_fs" TargetMode="External"/><Relationship Id="rId34" Type="http://schemas.openxmlformats.org/officeDocument/2006/relationships/hyperlink" Target="https://drive.google.com/open?id=1SoPOJ_yYA1m3dUL7HxwRu25N_yp2HHvo&amp;usp=drive_fs" TargetMode="External"/><Relationship Id="rId42" Type="http://schemas.openxmlformats.org/officeDocument/2006/relationships/hyperlink" Target="https://drive.google.com/open?id=1Rp1Xm3iorOkUjSxawgN1vMrBdEo22zbi&amp;usp=drive_fs" TargetMode="External"/><Relationship Id="rId47" Type="http://schemas.openxmlformats.org/officeDocument/2006/relationships/hyperlink" Target="https://drive.google.com/open?id=1vOEaJY-pZCaNev5SFn4wTDja1noNLGRN&amp;usp=drive_fs" TargetMode="External"/><Relationship Id="rId50" Type="http://schemas.openxmlformats.org/officeDocument/2006/relationships/hyperlink" Target="https://drive.google.com/open?id=1EeElcToUxJSWO3RKIuPW5A4Dm0Lw51GF&amp;usp=drive_fs" TargetMode="External"/><Relationship Id="rId7" Type="http://schemas.openxmlformats.org/officeDocument/2006/relationships/hyperlink" Target="https://drive.google.com/open?id=1SbXZnVPcMmncvmAb6tylDoIB0XZoH0dR&amp;usp=drive_fs" TargetMode="External"/><Relationship Id="rId2" Type="http://schemas.openxmlformats.org/officeDocument/2006/relationships/hyperlink" Target="https://drive.google.com/open?id=1dZR1CH0gDhBP7LcP6UganfJUY_7xZd-u&amp;usp=drive_fs" TargetMode="External"/><Relationship Id="rId16" Type="http://schemas.openxmlformats.org/officeDocument/2006/relationships/hyperlink" Target="https://drive.google.com/open?id=1wPnqgplqpzK_A59W5A1yWgA5Ys3dBoqW&amp;usp=drive_fs" TargetMode="External"/><Relationship Id="rId29" Type="http://schemas.openxmlformats.org/officeDocument/2006/relationships/hyperlink" Target="https://drive.google.com/open?id=1M9teVU09qFH_diIRN2cajTmZW0csaYtK&amp;usp=drive_fs" TargetMode="External"/><Relationship Id="rId11" Type="http://schemas.openxmlformats.org/officeDocument/2006/relationships/hyperlink" Target="https://drive.google.com/open?id=15DLQwNKkeQ0KUCS01IcWWYJMrTu5XqhA&amp;usp=drive_fs" TargetMode="External"/><Relationship Id="rId24" Type="http://schemas.openxmlformats.org/officeDocument/2006/relationships/hyperlink" Target="https://drive.google.com/open?id=1HnBWVYRzVFskiaOUl4KEKZG0Elo1CXGu&amp;usp=drive_fs" TargetMode="External"/><Relationship Id="rId32" Type="http://schemas.openxmlformats.org/officeDocument/2006/relationships/hyperlink" Target="https://drive.google.com/open?id=1YtadT9LkjJJxvt8of2ZlxPw7MELK_yha&amp;usp=drive_fs" TargetMode="External"/><Relationship Id="rId37" Type="http://schemas.openxmlformats.org/officeDocument/2006/relationships/hyperlink" Target="https://drive.google.com/open?id=1bY6Y83nlB1drlfKN45rqPtyLS76KchaQ&amp;usp=drive_fs" TargetMode="External"/><Relationship Id="rId40" Type="http://schemas.openxmlformats.org/officeDocument/2006/relationships/hyperlink" Target="https://drive.google.com/open?id=120EZacOjNqjxZRV1eSJwZo3MsRfRv5Yv&amp;usp=drive_fs" TargetMode="External"/><Relationship Id="rId45" Type="http://schemas.openxmlformats.org/officeDocument/2006/relationships/hyperlink" Target="https://drive.google.com/open?id=1jY0cM25q_KLDgdcp-saaIc4in_ZgYkFz&amp;usp=drive_fs" TargetMode="External"/><Relationship Id="rId53" Type="http://schemas.openxmlformats.org/officeDocument/2006/relationships/hyperlink" Target="https://drive.google.com/open?id=1R8-8Ebl5hVr7Jf3A2BoGeVEDQeMIZZCD&amp;usp=drive_fs" TargetMode="External"/><Relationship Id="rId5" Type="http://schemas.openxmlformats.org/officeDocument/2006/relationships/hyperlink" Target="https://drive.google.com/open?id=1qHnjPyzHlIOcZs84P30tBYYGdBgz9XkE&amp;usp=drive_fs" TargetMode="External"/><Relationship Id="rId10" Type="http://schemas.openxmlformats.org/officeDocument/2006/relationships/hyperlink" Target="https://drive.google.com/open?id=1iVjMWDstTK7JNaeNheOTVwdG4_82JDCT&amp;usp=drive_fs" TargetMode="External"/><Relationship Id="rId19" Type="http://schemas.openxmlformats.org/officeDocument/2006/relationships/hyperlink" Target="https://drive.google.com/open?id=1AhHoKi7Q6G23rEN71YRkdS2xnMleJBn_&amp;usp=drive_fs" TargetMode="External"/><Relationship Id="rId31" Type="http://schemas.openxmlformats.org/officeDocument/2006/relationships/hyperlink" Target="https://drive.google.com/open?id=1iwMGBiU_0LcPe80KVYYpWm5gSEe8nKZa&amp;usp=drive_fs" TargetMode="External"/><Relationship Id="rId44" Type="http://schemas.openxmlformats.org/officeDocument/2006/relationships/hyperlink" Target="https://drive.google.com/open?id=1ypnQDHDArPxCrdr5G6wHuKhnJWr77OOQ&amp;usp=drive_fs" TargetMode="External"/><Relationship Id="rId52" Type="http://schemas.openxmlformats.org/officeDocument/2006/relationships/hyperlink" Target="https://drive.google.com/open?id=1RAD7JC0d_hFXvGXtOKOcjgNvLYxh-Dkk&amp;usp=drive_fs" TargetMode="External"/><Relationship Id="rId4" Type="http://schemas.openxmlformats.org/officeDocument/2006/relationships/hyperlink" Target="https://drive.google.com/open?id=1zCeeyP7sO_vrw1-ezM1xCztrsEIdcAe5&amp;usp=drive_fs" TargetMode="External"/><Relationship Id="rId9" Type="http://schemas.openxmlformats.org/officeDocument/2006/relationships/hyperlink" Target="https://drive.google.com/open?id=1wnN9zYI_4ktZD50dIV-wUv6W1_aVfWfT&amp;usp=drive_fs" TargetMode="External"/><Relationship Id="rId14" Type="http://schemas.openxmlformats.org/officeDocument/2006/relationships/hyperlink" Target="https://drive.google.com/open?id=1s_bZ5iGJjlaVsDVQExlElFarm3HUNZG3&amp;usp=drive_fs" TargetMode="External"/><Relationship Id="rId22" Type="http://schemas.openxmlformats.org/officeDocument/2006/relationships/hyperlink" Target="https://drive.google.com/open?id=1ilroCuC9C8rv9lhOyBTpu68tuVeNhDFc&amp;usp=drive_fs" TargetMode="External"/><Relationship Id="rId27" Type="http://schemas.openxmlformats.org/officeDocument/2006/relationships/hyperlink" Target="https://drive.google.com/open?id=1aLzGO_KjDQc6zlW4zQMa18mvk-pDhZkD&amp;usp=drive_fs" TargetMode="External"/><Relationship Id="rId30" Type="http://schemas.openxmlformats.org/officeDocument/2006/relationships/hyperlink" Target="https://drive.google.com/open?id=1Ge8GTKtcCwWDldEvEL57fr9CEiHloqWP&amp;usp=drive_fs" TargetMode="External"/><Relationship Id="rId35" Type="http://schemas.openxmlformats.org/officeDocument/2006/relationships/hyperlink" Target="https://drive.google.com/open?id=1bXY8-Jk2WcwO3ONMMmR4Cr81I8tx5z52&amp;usp=drive_fs" TargetMode="External"/><Relationship Id="rId43" Type="http://schemas.openxmlformats.org/officeDocument/2006/relationships/hyperlink" Target="https://drive.google.com/open?id=17B3_qNEQftZ9Z3BIHuktwqgF5tI0rK3u&amp;usp=drive_fs" TargetMode="External"/><Relationship Id="rId48" Type="http://schemas.openxmlformats.org/officeDocument/2006/relationships/hyperlink" Target="https://drive.google.com/open?id=1VmEQUugMjeFd_GXbvNRHHoUtjXLjZBNf&amp;usp=drive_fs" TargetMode="External"/><Relationship Id="rId8" Type="http://schemas.openxmlformats.org/officeDocument/2006/relationships/hyperlink" Target="https://drive.google.com/open?id=1CXj_K_xdPHqc0w1XlUum0JmIBQbE8MaV&amp;usp=drive_fs" TargetMode="External"/><Relationship Id="rId51" Type="http://schemas.openxmlformats.org/officeDocument/2006/relationships/hyperlink" Target="https://drive.google.com/open?id=1aa6siCGhQjjeUFbc3n9rJGbtE-YBZJ8q&amp;usp=drive_fs" TargetMode="External"/><Relationship Id="rId3" Type="http://schemas.openxmlformats.org/officeDocument/2006/relationships/hyperlink" Target="https://drive.google.com/open?id=1tBJShTh12P7twa3I0iJ0uW8Sbbvd9NYl&amp;usp=drive_fs" TargetMode="External"/><Relationship Id="rId12" Type="http://schemas.openxmlformats.org/officeDocument/2006/relationships/hyperlink" Target="https://drive.google.com/open?id=1Y1jGSOzRPWq_BUndPG88v6hvd4kJ52Xe&amp;usp=drive_fs" TargetMode="External"/><Relationship Id="rId17" Type="http://schemas.openxmlformats.org/officeDocument/2006/relationships/hyperlink" Target="https://drive.google.com/open?id=1Z3FH87fixSEbS0vvyQ58o6iaIKSfiCbQ&amp;usp=drive_fs" TargetMode="External"/><Relationship Id="rId25" Type="http://schemas.openxmlformats.org/officeDocument/2006/relationships/hyperlink" Target="https://drive.google.com/open?id=1EmjSXKdzlGlv6JQGBwE5m2KxfwZy3bPS&amp;usp=drive_fs" TargetMode="External"/><Relationship Id="rId33" Type="http://schemas.openxmlformats.org/officeDocument/2006/relationships/hyperlink" Target="https://drive.google.com/open?id=1hBaKQkh39uF20rAqmdOOXLCev4wFN_8l&amp;usp=drive_fs" TargetMode="External"/><Relationship Id="rId38" Type="http://schemas.openxmlformats.org/officeDocument/2006/relationships/hyperlink" Target="https://drive.google.com/open?id=1Zh-pCayg6r3nboG1LqKZeEM8E7SSdpQo&amp;usp=drive_fs" TargetMode="External"/><Relationship Id="rId46" Type="http://schemas.openxmlformats.org/officeDocument/2006/relationships/hyperlink" Target="https://drive.google.com/open?id=1m_54gx5klPgdJ3poTCgU4_MGTG6qZLuP&amp;usp=drive_fs" TargetMode="External"/><Relationship Id="rId20" Type="http://schemas.openxmlformats.org/officeDocument/2006/relationships/hyperlink" Target="https://drive.google.com/open?id=1tdpYrNpN6r8ZCWxYPaVQQ6OlGn_7f3qh&amp;usp=drive_fs" TargetMode="External"/><Relationship Id="rId41" Type="http://schemas.openxmlformats.org/officeDocument/2006/relationships/hyperlink" Target="https://drive.google.com/open?id=1u7zDVbZu9XPLdhKFyHrPDXRVJmtXO-Ju&amp;usp=drive_fs" TargetMode="External"/><Relationship Id="rId54" Type="http://schemas.openxmlformats.org/officeDocument/2006/relationships/hyperlink" Target="https://drive.google.com/open?id=1SvcAUGA-rW3nxrpD52wbwMLIa5fSoR9F&amp;usp=drive_fs" TargetMode="External"/><Relationship Id="rId1" Type="http://schemas.openxmlformats.org/officeDocument/2006/relationships/hyperlink" Target="https://drive.google.com/open?id=1i3DPAjnlahffP6q7DAOfBDogmI58sNxO&amp;usp=drive_fs" TargetMode="External"/><Relationship Id="rId6" Type="http://schemas.openxmlformats.org/officeDocument/2006/relationships/hyperlink" Target="https://drive.google.com/open?id=1OzRuA7UJgi-P1h8K9RDr-q5qYhxhcVSA&amp;usp=drive_fs" TargetMode="External"/><Relationship Id="rId15" Type="http://schemas.openxmlformats.org/officeDocument/2006/relationships/hyperlink" Target="https://drive.google.com/open?id=1Is-kyAPZ-ACRo82Qt6-XLQndqUAMY5Qd&amp;usp=drive_fs" TargetMode="External"/><Relationship Id="rId23" Type="http://schemas.openxmlformats.org/officeDocument/2006/relationships/hyperlink" Target="https://drive.google.com/open?id=1o27sULfsFHq8k2geGDoHLDWiWi8ll5ET&amp;usp=drive_fs" TargetMode="External"/><Relationship Id="rId28" Type="http://schemas.openxmlformats.org/officeDocument/2006/relationships/hyperlink" Target="https://drive.google.com/open?id=1ilroCuC9C8rv9lhOyBTpu68tuVeNhDFc&amp;usp=drive_fs" TargetMode="External"/><Relationship Id="rId36" Type="http://schemas.openxmlformats.org/officeDocument/2006/relationships/hyperlink" Target="https://drive.google.com/open?id=1fmRb2yesCpUMtRXcgnEyxspW_d8lKiih&amp;usp=drive_fs" TargetMode="External"/><Relationship Id="rId49" Type="http://schemas.openxmlformats.org/officeDocument/2006/relationships/hyperlink" Target="https://drive.google.com/open?id=1yqda_SXTPBjBO2eyQaSwDqzIMTtQylqr&amp;usp=drive_fs"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drive.google.com/open?id=1NRgonWn3ijpYRK41nmq2WEwWQoRZgw_3&amp;usp=drive_fs" TargetMode="External"/><Relationship Id="rId18" Type="http://schemas.openxmlformats.org/officeDocument/2006/relationships/hyperlink" Target="https://drive.google.com/open?id=1IcpFM11Anu9ycwliOV6zwGrbTYj_eFsN&amp;usp=drive_fs" TargetMode="External"/><Relationship Id="rId26" Type="http://schemas.openxmlformats.org/officeDocument/2006/relationships/hyperlink" Target="https://drive.google.com/open?id=1L3eOiUPmf-B54uXO-cuiFxgp-qrYpwjF&amp;usp=drive_fs" TargetMode="External"/><Relationship Id="rId39" Type="http://schemas.openxmlformats.org/officeDocument/2006/relationships/hyperlink" Target="https://drive.google.com/open?id=1KB5Wya-cl_w1E09T27jBbxZ_xQ8eoxbh&amp;usp=drive_fs" TargetMode="External"/><Relationship Id="rId21" Type="http://schemas.openxmlformats.org/officeDocument/2006/relationships/hyperlink" Target="https://drive.google.com/open?id=1Ppzbl1l6FnVEEmox0pDEqZagEl0icRnW&amp;usp=drive_fs" TargetMode="External"/><Relationship Id="rId34" Type="http://schemas.openxmlformats.org/officeDocument/2006/relationships/hyperlink" Target="https://drive.google.com/open?id=1-6hHDcGc5NZkMpwUWhkpiri7pUsjenGw&amp;usp=drive_fs" TargetMode="External"/><Relationship Id="rId42" Type="http://schemas.openxmlformats.org/officeDocument/2006/relationships/hyperlink" Target="https://drive.google.com/open?id=1MIra0NBs7iCUG9MV8sUsI0ozR7QUSWFb&amp;usp=drive_fs" TargetMode="External"/><Relationship Id="rId47" Type="http://schemas.openxmlformats.org/officeDocument/2006/relationships/hyperlink" Target="https://drive.google.com/open?id=1cHsVCC0GCPmliFGsAOcPx8fd0PpB89kd&amp;usp=drive_fs" TargetMode="External"/><Relationship Id="rId7" Type="http://schemas.openxmlformats.org/officeDocument/2006/relationships/hyperlink" Target="https://drive.google.com/open?id=1N-8_29jxHcpAfW7eCbt9vQxzlyRnleOq&amp;usp=drive_fs" TargetMode="External"/><Relationship Id="rId2" Type="http://schemas.openxmlformats.org/officeDocument/2006/relationships/hyperlink" Target="https://drive.google.com/open?id=1ioJFSYW0bNNMRQnyQajrE5OQrPyigSWk&amp;usp=drive_fs" TargetMode="External"/><Relationship Id="rId16" Type="http://schemas.openxmlformats.org/officeDocument/2006/relationships/hyperlink" Target="https://drive.google.com/open?id=1PZq3Oyw6oxaBzKS4hqVsWIW1L4yS3lJQ&amp;usp=drive_fs" TargetMode="External"/><Relationship Id="rId29" Type="http://schemas.openxmlformats.org/officeDocument/2006/relationships/hyperlink" Target="https://drive.google.com/open?id=1qgugX8noce6IymQUhbZJ5QVdFC9I_qOo&amp;usp=drive_fs" TargetMode="External"/><Relationship Id="rId1" Type="http://schemas.openxmlformats.org/officeDocument/2006/relationships/hyperlink" Target="https://drive.google.com/open?id=1WqdwF7U_FLEmZCGKZR-AOUSSV86gSnKN&amp;usp=drive_fs" TargetMode="External"/><Relationship Id="rId6" Type="http://schemas.openxmlformats.org/officeDocument/2006/relationships/hyperlink" Target="https://drive.google.com/open?id=1HlXX3S_Sq-x-dMKfZ2yzTkzqTfTIXhR1&amp;usp=drive_fs" TargetMode="External"/><Relationship Id="rId11" Type="http://schemas.openxmlformats.org/officeDocument/2006/relationships/hyperlink" Target="https://drive.google.com/open?id=1MTwWgJf-Skmlcr24aEP2C0jAeuGwqVFp&amp;usp=drive_fs" TargetMode="External"/><Relationship Id="rId24" Type="http://schemas.openxmlformats.org/officeDocument/2006/relationships/hyperlink" Target="https://drive.google.com/open?id=1kMiOt4N33VAqY2J-50KhdqaaEEjceaQn&amp;usp=drive_fs" TargetMode="External"/><Relationship Id="rId32" Type="http://schemas.openxmlformats.org/officeDocument/2006/relationships/hyperlink" Target="https://drive.google.com/open?id=1Wu0rh1Obu4ZDldj1BFd1Db4QDiIhP1FO&amp;usp=drive_fs" TargetMode="External"/><Relationship Id="rId37" Type="http://schemas.openxmlformats.org/officeDocument/2006/relationships/hyperlink" Target="https://drive.google.com/open?id=1JvHFnrIeZTPhFiHbUINaE_65-FJ3SUE6&amp;usp=drive_fs" TargetMode="External"/><Relationship Id="rId40" Type="http://schemas.openxmlformats.org/officeDocument/2006/relationships/hyperlink" Target="https://drive.google.com/open?id=1d_ym_KkARo6VPFwXLq7THWLQHrCm7Zmi&amp;usp=drive_fs" TargetMode="External"/><Relationship Id="rId45" Type="http://schemas.openxmlformats.org/officeDocument/2006/relationships/hyperlink" Target="https://drive.google.com/open?id=1rklmQUawKjOo4QQ0vc6tLJul3V3XzD3L&amp;usp=drive_fs" TargetMode="External"/><Relationship Id="rId5" Type="http://schemas.openxmlformats.org/officeDocument/2006/relationships/hyperlink" Target="https://drive.google.com/open?id=1sgGP3SpDoHZBywWNND39iAtziOhQLy_l&amp;usp=drive_fs" TargetMode="External"/><Relationship Id="rId15" Type="http://schemas.openxmlformats.org/officeDocument/2006/relationships/hyperlink" Target="https://drive.google.com/open?id=1IcpFM11Anu9ycwliOV6zwGrbTYj_eFsN&amp;usp=drive_fs" TargetMode="External"/><Relationship Id="rId23" Type="http://schemas.openxmlformats.org/officeDocument/2006/relationships/hyperlink" Target="https://drive.google.com/open?id=1QV-hYm65_9VjD7ozGB9mGTQMHoH5YKKb&amp;usp=drive_fs" TargetMode="External"/><Relationship Id="rId28" Type="http://schemas.openxmlformats.org/officeDocument/2006/relationships/hyperlink" Target="https://drive.google.com/open?id=1CHewQ4ZHFFS-5JggwkLVFaKgmzlsKDqH&amp;usp=drive_fs" TargetMode="External"/><Relationship Id="rId36" Type="http://schemas.openxmlformats.org/officeDocument/2006/relationships/hyperlink" Target="https://drive.google.com/open?id=1qKQHgMHVPjIJtfRu0QlqOrqEIMV6d25d&amp;usp=drive_fs" TargetMode="External"/><Relationship Id="rId10" Type="http://schemas.openxmlformats.org/officeDocument/2006/relationships/hyperlink" Target="https://drive.google.com/open?id=1mZclsXSXYFBfFcaPgMY9JtaIKeXMt0R4&amp;usp=drive_fs" TargetMode="External"/><Relationship Id="rId19" Type="http://schemas.openxmlformats.org/officeDocument/2006/relationships/hyperlink" Target="https://drive.google.com/open?id=1JP8boRuEtOekxLTWAlCdHY86oQNvNwHq&amp;usp=drive_fs" TargetMode="External"/><Relationship Id="rId31" Type="http://schemas.openxmlformats.org/officeDocument/2006/relationships/hyperlink" Target="https://drive.google.com/open?id=1KB5Wya-cl_w1E09T27jBbxZ_xQ8eoxbh&amp;usp=drive_fs" TargetMode="External"/><Relationship Id="rId44" Type="http://schemas.openxmlformats.org/officeDocument/2006/relationships/hyperlink" Target="https://drive.google.com/open?id=1BFn_da6KLD4InXAYx3T6vfes8ivIoRkN&amp;usp=drive_fs" TargetMode="External"/><Relationship Id="rId4" Type="http://schemas.openxmlformats.org/officeDocument/2006/relationships/hyperlink" Target="https://drive.google.com/open?id=1gvEl1GwcBQLAKdjbJJJboSUiJL6rMNTx&amp;usp=drive_fs" TargetMode="External"/><Relationship Id="rId9" Type="http://schemas.openxmlformats.org/officeDocument/2006/relationships/hyperlink" Target="https://drive.google.com/open?id=1OU3ow40ZdYPuSjgf7NIiHXhPnW1ytO7n&amp;usp=drive_fs" TargetMode="External"/><Relationship Id="rId14" Type="http://schemas.openxmlformats.org/officeDocument/2006/relationships/hyperlink" Target="https://drive.google.com/open?id=1MDIqsthNhV2VEQrdxqOcP_fLvsJ-kinl&amp;usp=drive_fs" TargetMode="External"/><Relationship Id="rId22" Type="http://schemas.openxmlformats.org/officeDocument/2006/relationships/hyperlink" Target="https://drive.google.com/open?id=1YDeVrMWAxJKf49reGTBjwQ7lSgtB8_dk&amp;usp=drive_fs" TargetMode="External"/><Relationship Id="rId27" Type="http://schemas.openxmlformats.org/officeDocument/2006/relationships/hyperlink" Target="https://drive.google.com/open?id=1zBaRCY9L54mObWkVAKSaoHJ_Xa6v2SrQ&amp;usp=drive_fs" TargetMode="External"/><Relationship Id="rId30" Type="http://schemas.openxmlformats.org/officeDocument/2006/relationships/hyperlink" Target="https://drive.google.com/open?id=1Hrgh8dI6VaXafJ8IFpDmsevxJhyHBGX9&amp;usp=drive_fs" TargetMode="External"/><Relationship Id="rId35" Type="http://schemas.openxmlformats.org/officeDocument/2006/relationships/hyperlink" Target="https://drive.google.com/open?id=1wmLceIJILyyBqbMeG46oOyT5NzaGoytV&amp;usp=drive_fs" TargetMode="External"/><Relationship Id="rId43" Type="http://schemas.openxmlformats.org/officeDocument/2006/relationships/hyperlink" Target="https://drive.google.com/open?id=1IcpFM11Anu9ycwliOV6zwGrbTYj_eFsN&amp;usp=drive_fs" TargetMode="External"/><Relationship Id="rId8" Type="http://schemas.openxmlformats.org/officeDocument/2006/relationships/hyperlink" Target="https://drive.google.com/open?id=1yJ2bznJZtPWTfYDwxz_vEDufvepPqio6&amp;usp=drive_fs" TargetMode="External"/><Relationship Id="rId3" Type="http://schemas.openxmlformats.org/officeDocument/2006/relationships/hyperlink" Target="https://drive.google.com/open?id=1Yzd1PIJw_MNFxo0nDVDCuGjdE8DpMf9e&amp;usp=drive_fs" TargetMode="External"/><Relationship Id="rId12" Type="http://schemas.openxmlformats.org/officeDocument/2006/relationships/hyperlink" Target="https://drive.google.com/open?id=1UlS9mqcU0YZLUY68EY6z5C8Oye5rsskb&amp;usp=drive_fs" TargetMode="External"/><Relationship Id="rId17" Type="http://schemas.openxmlformats.org/officeDocument/2006/relationships/hyperlink" Target="https://drive.google.com/open?id=188uWobEu8uInm3AMcni8bGj6H-SWDg0R&amp;usp=drive_fs" TargetMode="External"/><Relationship Id="rId25" Type="http://schemas.openxmlformats.org/officeDocument/2006/relationships/hyperlink" Target="https://drive.google.com/open?id=1gOk7FPf1WFUGFX2OFAT4vuCVoyVEG67R&amp;usp=drive_fs" TargetMode="External"/><Relationship Id="rId33" Type="http://schemas.openxmlformats.org/officeDocument/2006/relationships/hyperlink" Target="https://drive.google.com/open?id=1qRSL7tgqKPcJuIu4XF3QC2QNZ8CEGrIL&amp;usp=drive_fs" TargetMode="External"/><Relationship Id="rId38" Type="http://schemas.openxmlformats.org/officeDocument/2006/relationships/hyperlink" Target="https://drive.google.com/open?id=1yOsZAktNg4f8QIPYEEuiJM_F4J8wYy5M&amp;usp=drive_fs" TargetMode="External"/><Relationship Id="rId46" Type="http://schemas.openxmlformats.org/officeDocument/2006/relationships/hyperlink" Target="https://drive.google.com/open?id=1z6gg3wBYpCdhCNFC02i-rWykGqK_FAOP&amp;usp=drive_fs" TargetMode="External"/><Relationship Id="rId20" Type="http://schemas.openxmlformats.org/officeDocument/2006/relationships/hyperlink" Target="https://drive.google.com/open?id=1EYngs8-lmVzMgYif4IRHmCfLSgTLtoNv&amp;usp=drive_fs" TargetMode="External"/><Relationship Id="rId41" Type="http://schemas.openxmlformats.org/officeDocument/2006/relationships/hyperlink" Target="https://drive.google.com/open?id=1lqYLk5YZ0W3PvMXnNQ0VyJMFxFndflZ_&amp;usp=drive_fs" TargetMode="External"/></Relationships>
</file>

<file path=xl/worksheets/_rels/sheet26.xml.rels><?xml version="1.0" encoding="UTF-8" standalone="yes"?>
<Relationships xmlns="http://schemas.openxmlformats.org/package/2006/relationships"><Relationship Id="rId13" Type="http://schemas.openxmlformats.org/officeDocument/2006/relationships/hyperlink" Target="https://drive.google.com/open?id=1QRm7hi2OpJXQswYvdlSQeFu8gIm7PMOW&amp;usp=drive_fs" TargetMode="External"/><Relationship Id="rId18" Type="http://schemas.openxmlformats.org/officeDocument/2006/relationships/hyperlink" Target="https://drive.google.com/open?id=1qdYWdxX3qnkW8geq34_gUFrUu_StjssY&amp;usp=drive_fs" TargetMode="External"/><Relationship Id="rId26" Type="http://schemas.openxmlformats.org/officeDocument/2006/relationships/hyperlink" Target="https://drive.google.com/open?id=1oFK04OaAYUycvO3oGEYkrnF8KAyzVJoc&amp;usp=drive_fs" TargetMode="External"/><Relationship Id="rId39" Type="http://schemas.openxmlformats.org/officeDocument/2006/relationships/hyperlink" Target="https://drive.google.com/open?id=18K4WP2a5-yDoaKvqjahX52HXAvNUIl8y&amp;usp=drive_fs" TargetMode="External"/><Relationship Id="rId21" Type="http://schemas.openxmlformats.org/officeDocument/2006/relationships/hyperlink" Target="https://drive.google.com/open?id=1r5ZV-bItzRrGW14kkOiiB5gYIJY8_pUT&amp;usp=drive_fs" TargetMode="External"/><Relationship Id="rId34" Type="http://schemas.openxmlformats.org/officeDocument/2006/relationships/hyperlink" Target="https://drive.google.com/open?id=138RCOgjrCSWCBEpX5ibtaP9IJocDlL58&amp;usp=drive_fs" TargetMode="External"/><Relationship Id="rId42" Type="http://schemas.openxmlformats.org/officeDocument/2006/relationships/hyperlink" Target="https://drive.google.com/open?id=1n1FE_jOzvmLITtEEoReZCvqB4JC94Gkk&amp;usp=drive_fs" TargetMode="External"/><Relationship Id="rId7" Type="http://schemas.openxmlformats.org/officeDocument/2006/relationships/hyperlink" Target="https://drive.google.com/open?id=1WJLTbe0ivRXHTPbZhfuzTSAs832RzaQm&amp;usp=drive_fs" TargetMode="External"/><Relationship Id="rId2" Type="http://schemas.openxmlformats.org/officeDocument/2006/relationships/hyperlink" Target="https://drive.google.com/open?id=1LOIUFNh66yOlMi2nq0M8rvtuAUhsPLAH&amp;usp=drive_fs" TargetMode="External"/><Relationship Id="rId16" Type="http://schemas.openxmlformats.org/officeDocument/2006/relationships/hyperlink" Target="https://drive.google.com/open?id=1bChmwWPwfSbN-yur1THCv3v37uadmgzH&amp;usp=drive_fs" TargetMode="External"/><Relationship Id="rId29" Type="http://schemas.openxmlformats.org/officeDocument/2006/relationships/hyperlink" Target="https://drive.google.com/open?id=1DzO8pHj9mNqxaKPK_W0Kr2BIJ7ZIg2qs&amp;usp=drive_fs" TargetMode="External"/><Relationship Id="rId1" Type="http://schemas.openxmlformats.org/officeDocument/2006/relationships/hyperlink" Target="https://drive.google.com/open?id=1BBwSUljtF221AJUkLRX7lZKUXas8AAKx&amp;usp=drive_fs" TargetMode="External"/><Relationship Id="rId6" Type="http://schemas.openxmlformats.org/officeDocument/2006/relationships/hyperlink" Target="https://drive.google.com/open?id=12wT8lB1AgN-Vu1FQslFSb6hBHb1Umawz&amp;usp=drive_fs" TargetMode="External"/><Relationship Id="rId11" Type="http://schemas.openxmlformats.org/officeDocument/2006/relationships/hyperlink" Target="https://drive.google.com/open?id=1X0pfRR8zqSE6GUvGPQcPf4jpWub4x4N9&amp;usp=drive_fs" TargetMode="External"/><Relationship Id="rId24" Type="http://schemas.openxmlformats.org/officeDocument/2006/relationships/hyperlink" Target="https://drive.google.com/open?id=19ONfqqEEtzN4EHKSVTSTKWHkyw0l5SSX&amp;usp=drive_fs" TargetMode="External"/><Relationship Id="rId32" Type="http://schemas.openxmlformats.org/officeDocument/2006/relationships/hyperlink" Target="https://drive.google.com/open?id=1SjJq0aS358EIar0eT99vop0keWXB_z5t&amp;usp=drive_fs" TargetMode="External"/><Relationship Id="rId37" Type="http://schemas.openxmlformats.org/officeDocument/2006/relationships/hyperlink" Target="https://drive.google.com/open?id=10bcWfJJ_jAABr9yFPhy_tfer43yQ29ta&amp;usp=drive_fs" TargetMode="External"/><Relationship Id="rId40" Type="http://schemas.openxmlformats.org/officeDocument/2006/relationships/hyperlink" Target="https://drive.google.com/open?id=1EwaGcMksOU81Bnh3gXCJvf0hEAX0EvQ7&amp;usp=drive_fs" TargetMode="External"/><Relationship Id="rId45" Type="http://schemas.openxmlformats.org/officeDocument/2006/relationships/hyperlink" Target="https://drive.google.com/open?id=1CcEssLgFSemeO2UnqkAE8BoxY4l-Gr5m&amp;usp=drive_fs" TargetMode="External"/><Relationship Id="rId5" Type="http://schemas.openxmlformats.org/officeDocument/2006/relationships/hyperlink" Target="https://drive.google.com/open?id=1rPoQxPgwXiRrblvIz2dxgMSrzP3SdlQI&amp;usp=drive_fs" TargetMode="External"/><Relationship Id="rId15" Type="http://schemas.openxmlformats.org/officeDocument/2006/relationships/hyperlink" Target="https://drive.google.com/open?id=12NS19EFYFH7oUxGujwBEN8i2v7Y9mtx3&amp;usp=drive_fs" TargetMode="External"/><Relationship Id="rId23" Type="http://schemas.openxmlformats.org/officeDocument/2006/relationships/hyperlink" Target="https://drive.google.com/open?id=1XJDPfEVPo9jPmJKmh8Co97tWmVV5PCoL&amp;usp=drive_fs" TargetMode="External"/><Relationship Id="rId28" Type="http://schemas.openxmlformats.org/officeDocument/2006/relationships/hyperlink" Target="https://drive.google.com/open?id=1rxzzA3U5Y6K-fXf1w1vLAkL3srCb2nKD&amp;usp=drive_fs" TargetMode="External"/><Relationship Id="rId36" Type="http://schemas.openxmlformats.org/officeDocument/2006/relationships/hyperlink" Target="https://drive.google.com/open?id=1d4_NxpiLW4IwojC0H2Ov0VPlZNbWVlOf&amp;usp=drive_fs" TargetMode="External"/><Relationship Id="rId10" Type="http://schemas.openxmlformats.org/officeDocument/2006/relationships/hyperlink" Target="https://drive.google.com/open?id=1TAsSOHr4vTmFHj8oiROTwoPJriB97Nly&amp;usp=drive_fs" TargetMode="External"/><Relationship Id="rId19" Type="http://schemas.openxmlformats.org/officeDocument/2006/relationships/hyperlink" Target="https://drive.google.com/open?id=1vRmyfocJiVdXqJ5QTz4Bv3ju6eOmurXP&amp;usp=drive_fs" TargetMode="External"/><Relationship Id="rId31" Type="http://schemas.openxmlformats.org/officeDocument/2006/relationships/hyperlink" Target="https://drive.google.com/open?id=1UK_a3KhQ9BF7zf6aKX1xXBPb9f4AdkJt&amp;usp=drive_fs" TargetMode="External"/><Relationship Id="rId44" Type="http://schemas.openxmlformats.org/officeDocument/2006/relationships/hyperlink" Target="https://drive.google.com/open?id=1EGRpwC0XsQKcSoBoJQzzmc_mwqkJvcBU&amp;usp=drive_fs" TargetMode="External"/><Relationship Id="rId4" Type="http://schemas.openxmlformats.org/officeDocument/2006/relationships/hyperlink" Target="https://drive.google.com/open?id=1tNsyVnjhfKmV47eUdnn2dqoHnslCSi_g&amp;usp=drive_fs" TargetMode="External"/><Relationship Id="rId9" Type="http://schemas.openxmlformats.org/officeDocument/2006/relationships/hyperlink" Target="https://drive.google.com/open?id=1c4nIyIkuFejQrJdmvw2754NeDxD8yhch&amp;usp=drive_fs" TargetMode="External"/><Relationship Id="rId14" Type="http://schemas.openxmlformats.org/officeDocument/2006/relationships/hyperlink" Target="https://drive.google.com/open?id=12NS19EFYFH7oUxGujwBEN8i2v7Y9mtx3&amp;usp=drive_fs" TargetMode="External"/><Relationship Id="rId22" Type="http://schemas.openxmlformats.org/officeDocument/2006/relationships/hyperlink" Target="https://drive.google.com/open?id=19tpj7g0-gqThSPp-P0S4NMwfANF3xjM4&amp;usp=drive_fs" TargetMode="External"/><Relationship Id="rId27" Type="http://schemas.openxmlformats.org/officeDocument/2006/relationships/hyperlink" Target="https://drive.google.com/open?id=15eSQ6jYqa0VfhGN3QdU8eM7R-rVK3dkn&amp;usp=drive_fs" TargetMode="External"/><Relationship Id="rId30" Type="http://schemas.openxmlformats.org/officeDocument/2006/relationships/hyperlink" Target="https://drive.google.com/open?id=12EDnD8sMN1-yg9IgmqCW76Pc6iccr_6r&amp;usp=drive_fs" TargetMode="External"/><Relationship Id="rId35" Type="http://schemas.openxmlformats.org/officeDocument/2006/relationships/hyperlink" Target="https://drive.google.com/open?id=1NH1uxHqtkhsffW0wuV6H0sDCBqtv_Vc0&amp;usp=drive_fs" TargetMode="External"/><Relationship Id="rId43" Type="http://schemas.openxmlformats.org/officeDocument/2006/relationships/hyperlink" Target="https://drive.google.com/open?id=1ejJhS3FJ5YtLjER2tZwVzZvfXmW-HbM8&amp;usp=drive_fs" TargetMode="External"/><Relationship Id="rId8" Type="http://schemas.openxmlformats.org/officeDocument/2006/relationships/hyperlink" Target="https://drive.google.com/open?id=1EwaGcMksOU81Bnh3gXCJvf0hEAX0EvQ7&amp;usp=drive_fs" TargetMode="External"/><Relationship Id="rId3" Type="http://schemas.openxmlformats.org/officeDocument/2006/relationships/hyperlink" Target="https://drive.google.com/open?id=1S3GwZtZ7whOF1AKkuWSdhZT6u_eAOhTB&amp;usp=drive_fs" TargetMode="External"/><Relationship Id="rId12" Type="http://schemas.openxmlformats.org/officeDocument/2006/relationships/hyperlink" Target="https://drive.google.com/open?id=1OP0jnT0PV7rXa4w2r0O3AaATHQW90y6t&amp;usp=drive_fs" TargetMode="External"/><Relationship Id="rId17" Type="http://schemas.openxmlformats.org/officeDocument/2006/relationships/hyperlink" Target="https://drive.google.com/open?id=1QI8HBhxtFP_JFoxauxGuATnoECXgHiW6&amp;usp=drive_fs" TargetMode="External"/><Relationship Id="rId25" Type="http://schemas.openxmlformats.org/officeDocument/2006/relationships/hyperlink" Target="https://drive.google.com/open?id=12IW_VH44uPLUWG5K0D7H0UzUAsnZ0SbV&amp;usp=drive_fs" TargetMode="External"/><Relationship Id="rId33" Type="http://schemas.openxmlformats.org/officeDocument/2006/relationships/hyperlink" Target="https://drive.google.com/open?id=1NgHo6BH7s76Z6u3jkZslmW2QNTvw2LYZ&amp;usp=drive_fs" TargetMode="External"/><Relationship Id="rId38" Type="http://schemas.openxmlformats.org/officeDocument/2006/relationships/hyperlink" Target="https://drive.google.com/open?id=1ULxas7dzAfYCbnG6ejZRhWBUkYtcWlAh&amp;usp=drive_fs" TargetMode="External"/><Relationship Id="rId46" Type="http://schemas.openxmlformats.org/officeDocument/2006/relationships/hyperlink" Target="https://drive.google.com/open?id=1qHppYxbOQVwfPGbpkkQENcuGs_HuVEbF&amp;usp=drive_fs" TargetMode="External"/><Relationship Id="rId20" Type="http://schemas.openxmlformats.org/officeDocument/2006/relationships/hyperlink" Target="https://drive.google.com/open?id=1XpyNl2FaONkJlIAE0gvaMbP8jVMAKhc5&amp;usp=drive_fs" TargetMode="External"/><Relationship Id="rId41" Type="http://schemas.openxmlformats.org/officeDocument/2006/relationships/hyperlink" Target="https://drive.google.com/open?id=1EoXym9YLJPnMu5bsqyBS0kLNAKwoQ2rz&amp;usp=drive_fs" TargetMode="External"/></Relationships>
</file>

<file path=xl/worksheets/_rels/sheet28.xml.rels><?xml version="1.0" encoding="UTF-8" standalone="yes"?>
<Relationships xmlns="http://schemas.openxmlformats.org/package/2006/relationships"><Relationship Id="rId26" Type="http://schemas.openxmlformats.org/officeDocument/2006/relationships/hyperlink" Target="https://drive.google.com/open?id=1Vreot9BjOktZsMnoU0XBMHLoeQALxv_q&amp;usp=drive_fs" TargetMode="External"/><Relationship Id="rId21" Type="http://schemas.openxmlformats.org/officeDocument/2006/relationships/hyperlink" Target="https://drive.google.com/open?id=19c2UlmvnkgOdwPb5J7ZS8tSCkYRs7H5h&amp;usp=drive_fs" TargetMode="External"/><Relationship Id="rId42" Type="http://schemas.openxmlformats.org/officeDocument/2006/relationships/hyperlink" Target="https://drive.google.com/open?id=1V-yXKPueBptu-mNnBdJtBEzG3keffe6-&amp;usp=drive_fs" TargetMode="External"/><Relationship Id="rId47" Type="http://schemas.openxmlformats.org/officeDocument/2006/relationships/hyperlink" Target="https://drive.google.com/open?id=1Rr7GsGhDfmzZQi4Y-UD0vJcBGm3Z-_wQ&amp;usp=drive_fs" TargetMode="External"/><Relationship Id="rId63" Type="http://schemas.openxmlformats.org/officeDocument/2006/relationships/hyperlink" Target="https://drive.google.com/open?id=1J8OXPacWMGzsvNL9hRodqf8RXYDDC0Zr&amp;usp=drive_fs" TargetMode="External"/><Relationship Id="rId68" Type="http://schemas.openxmlformats.org/officeDocument/2006/relationships/hyperlink" Target="https://drive.google.com/open?id=1ets5GE_EtNgcKd9MRMYG8mJpbOXKJLDX&amp;usp=drive_fs" TargetMode="External"/><Relationship Id="rId84" Type="http://schemas.openxmlformats.org/officeDocument/2006/relationships/hyperlink" Target="https://drive.google.com/open?id=1KqccG-GrMYgDP3QiT7AXOrCwhijPNNHL&amp;usp=drive_fs" TargetMode="External"/><Relationship Id="rId89" Type="http://schemas.openxmlformats.org/officeDocument/2006/relationships/hyperlink" Target="https://drive.google.com/open?id=12v6Q7ArVpMsUzUDiCmcCV_e4-wFNEFYX&amp;usp=drive_fs" TargetMode="External"/><Relationship Id="rId16" Type="http://schemas.openxmlformats.org/officeDocument/2006/relationships/hyperlink" Target="https://drive.google.com/open?id=1tLs9dzfsnU9Ig2J33E2Hv51FJJok3Hbe&amp;usp=drive_fs" TargetMode="External"/><Relationship Id="rId11" Type="http://schemas.openxmlformats.org/officeDocument/2006/relationships/hyperlink" Target="https://drive.google.com/open?id=1-eRcXqOPl62z8S9TvrjZrLiJI6nwseQM&amp;usp=drive_fs" TargetMode="External"/><Relationship Id="rId32" Type="http://schemas.openxmlformats.org/officeDocument/2006/relationships/hyperlink" Target="https://drive.google.com/open?id=1eLQYB5hAZyA0TYJSQ0bAnfF_Lj6x39au&amp;usp=drive_fs" TargetMode="External"/><Relationship Id="rId37" Type="http://schemas.openxmlformats.org/officeDocument/2006/relationships/hyperlink" Target="https://drive.google.com/open?id=1M-dVJb19yUDr8JVfSVnAQZQPS3U2ypPB&amp;usp=drive_fs" TargetMode="External"/><Relationship Id="rId53" Type="http://schemas.openxmlformats.org/officeDocument/2006/relationships/hyperlink" Target="https://drive.google.com/open?id=1YRN6zhP5mFtfaSgyEZ4b_mEyTXxnZSmD&amp;usp=drive_fs" TargetMode="External"/><Relationship Id="rId58" Type="http://schemas.openxmlformats.org/officeDocument/2006/relationships/hyperlink" Target="https://drive.google.com/open?id=1MBvpl7URjFVekjr13OSp-ebizoua775B&amp;usp=drive_fs" TargetMode="External"/><Relationship Id="rId74" Type="http://schemas.openxmlformats.org/officeDocument/2006/relationships/hyperlink" Target="https://drive.google.com/open?id=12fjc81eUSqpDUUGbGiapFRqXGublMFA6&amp;usp=drive_fs" TargetMode="External"/><Relationship Id="rId79" Type="http://schemas.openxmlformats.org/officeDocument/2006/relationships/hyperlink" Target="https://drive.google.com/open?id=1djpy0s_qwXZYvD5S21Kcs5pqbTdvw-hy&amp;usp=drive_fs" TargetMode="External"/><Relationship Id="rId5" Type="http://schemas.openxmlformats.org/officeDocument/2006/relationships/hyperlink" Target="https://drive.google.com/open?id=1IjPVDoaxUKKyjn8dW4awSGBJohBo2JaL&amp;usp=drive_fs" TargetMode="External"/><Relationship Id="rId90" Type="http://schemas.openxmlformats.org/officeDocument/2006/relationships/hyperlink" Target="https://drive.google.com/open?id=18-RvlbuUC-BnKV9g0WxVsqTMWuV_As_E&amp;usp=drive_fs" TargetMode="External"/><Relationship Id="rId14" Type="http://schemas.openxmlformats.org/officeDocument/2006/relationships/hyperlink" Target="https://drive.google.com/open?id=1_SZAmC8fZhLa-zE2AhZI_0pblToGJlxX&amp;usp=drive_fs" TargetMode="External"/><Relationship Id="rId22" Type="http://schemas.openxmlformats.org/officeDocument/2006/relationships/hyperlink" Target="https://drive.google.com/open?id=1PaIUCHrPBuE0os7TojSok9aLKq25x2us&amp;usp=drive_fs" TargetMode="External"/><Relationship Id="rId27" Type="http://schemas.openxmlformats.org/officeDocument/2006/relationships/hyperlink" Target="https://drive.google.com/open?id=1BK8IoctQTelJ6Lwmph_7JTki9bHjR4LF&amp;usp=drive_fs" TargetMode="External"/><Relationship Id="rId30" Type="http://schemas.openxmlformats.org/officeDocument/2006/relationships/hyperlink" Target="https://drive.google.com/open?id=123eAfValioyF20Slfo0xxKNCBnd-ZNuR&amp;usp=drive_fs" TargetMode="External"/><Relationship Id="rId35" Type="http://schemas.openxmlformats.org/officeDocument/2006/relationships/hyperlink" Target="https://drive.google.com/open?id=125g4NMYm2dy0wR3C8jxu70s7I3mErM2x&amp;usp=drive_fs" TargetMode="External"/><Relationship Id="rId43" Type="http://schemas.openxmlformats.org/officeDocument/2006/relationships/hyperlink" Target="https://drive.google.com/open?id=1KSihAvjFtFwnI13a-SZNDiH9ACEjrYpF&amp;usp=drive_fs" TargetMode="External"/><Relationship Id="rId48" Type="http://schemas.openxmlformats.org/officeDocument/2006/relationships/hyperlink" Target="https://drive.google.com/open?id=155ATY-u_fHPIb3RAtWFCThZP8viTwzxL&amp;usp=drive_fs" TargetMode="External"/><Relationship Id="rId56" Type="http://schemas.openxmlformats.org/officeDocument/2006/relationships/hyperlink" Target="https://drive.google.com/open?id=1neyqTAnpXbluBQ5bDeAQfpXx8JtSSmp8&amp;usp=drive_fs" TargetMode="External"/><Relationship Id="rId64" Type="http://schemas.openxmlformats.org/officeDocument/2006/relationships/hyperlink" Target="https://drive.google.com/open?id=17RpEnZ0RVDICnpnshPiC2ABMdq9oQyrN&amp;usp=drive_fs" TargetMode="External"/><Relationship Id="rId69" Type="http://schemas.openxmlformats.org/officeDocument/2006/relationships/hyperlink" Target="https://drive.google.com/open?id=18DMpWVNeII9Fa-RECgyAHbDoCOjKgnsw&amp;usp=drive_fs" TargetMode="External"/><Relationship Id="rId77" Type="http://schemas.openxmlformats.org/officeDocument/2006/relationships/hyperlink" Target="https://drive.google.com/open?id=1y_PSFwxAg15gvZzpFTf5Twk2mb8jcF71&amp;usp=drive_fs" TargetMode="External"/><Relationship Id="rId8" Type="http://schemas.openxmlformats.org/officeDocument/2006/relationships/hyperlink" Target="https://drive.google.com/open?id=1v4rHoyv9GoqjmdzZ-IB21omkTTA5hmoh&amp;usp=drive_fs" TargetMode="External"/><Relationship Id="rId51" Type="http://schemas.openxmlformats.org/officeDocument/2006/relationships/hyperlink" Target="https://drive.google.com/open?id=1zHjLdjHOX77QTe9YzMZAcvgcgWTDFxUu&amp;usp=drive_fs" TargetMode="External"/><Relationship Id="rId72" Type="http://schemas.openxmlformats.org/officeDocument/2006/relationships/hyperlink" Target="https://drive.google.com/open?id=1-eRcXqOPl62z8S9TvrjZrLiJI6nwseQM&amp;usp=drive_fs" TargetMode="External"/><Relationship Id="rId80" Type="http://schemas.openxmlformats.org/officeDocument/2006/relationships/hyperlink" Target="https://drive.google.com/open?id=12m-Tv1QeqeQ_hmmA1EC-A-_AOI_TWYPm&amp;usp=drive_fs" TargetMode="External"/><Relationship Id="rId85" Type="http://schemas.openxmlformats.org/officeDocument/2006/relationships/hyperlink" Target="https://drive.google.com/open?id=1FU_h3rDoJqbF4BHQ_Y4CUDJVodP58IBF&amp;usp=drive_fs" TargetMode="External"/><Relationship Id="rId3" Type="http://schemas.openxmlformats.org/officeDocument/2006/relationships/hyperlink" Target="https://drive.google.com/open?id=1XBk7ujN-qov_2jKFCHvQI9r84Ze_Dd2w&amp;usp=drive_fs" TargetMode="External"/><Relationship Id="rId12" Type="http://schemas.openxmlformats.org/officeDocument/2006/relationships/hyperlink" Target="https://drive.google.com/open?id=1i4yZC1fAocUTIWDlwdIzjCYaH4ul01LO&amp;usp=drive_fs" TargetMode="External"/><Relationship Id="rId17" Type="http://schemas.openxmlformats.org/officeDocument/2006/relationships/hyperlink" Target="https://drive.google.com/open?id=1-R5BKGyx6siT-niVbLRkcSjZSVecNDe-&amp;usp=drive_fs" TargetMode="External"/><Relationship Id="rId25" Type="http://schemas.openxmlformats.org/officeDocument/2006/relationships/hyperlink" Target="https://drive.google.com/open?id=1V-yXKPueBptu-mNnBdJtBEzG3keffe6-&amp;usp=drive_fs" TargetMode="External"/><Relationship Id="rId33" Type="http://schemas.openxmlformats.org/officeDocument/2006/relationships/hyperlink" Target="https://drive.google.com/open?id=1aRrWO8WD8dPp11_jNboGsi84NiKwNx0X&amp;usp=drive_fs" TargetMode="External"/><Relationship Id="rId38" Type="http://schemas.openxmlformats.org/officeDocument/2006/relationships/hyperlink" Target="https://drive.google.com/open?id=1bbcHiFZewCoN_M-9ZnpcvNeyohZmzfV5&amp;usp=drive_fs" TargetMode="External"/><Relationship Id="rId46" Type="http://schemas.openxmlformats.org/officeDocument/2006/relationships/hyperlink" Target="https://drive.google.com/open?id=1jWsieOcqse8RyYihKUVF6q-1XI-dblSj&amp;usp=drive_fs" TargetMode="External"/><Relationship Id="rId59" Type="http://schemas.openxmlformats.org/officeDocument/2006/relationships/hyperlink" Target="https://drive.google.com/open?id=1jpg5Gt2u9dFNaN3qeaf9DXsHJoPPlSE0&amp;usp=drive_fs" TargetMode="External"/><Relationship Id="rId67" Type="http://schemas.openxmlformats.org/officeDocument/2006/relationships/hyperlink" Target="https://drive.google.com/open?id=1Xg0ipISe9-VBPZwt5XUBYocQdPMnzMK1&amp;usp=drive_fs" TargetMode="External"/><Relationship Id="rId20" Type="http://schemas.openxmlformats.org/officeDocument/2006/relationships/hyperlink" Target="https://drive.google.com/open?id=1hE7HRzkkZ3hAmf532R2dqGbtv4Vmu3ZW&amp;usp=drive_fs" TargetMode="External"/><Relationship Id="rId41" Type="http://schemas.openxmlformats.org/officeDocument/2006/relationships/hyperlink" Target="https://drive.google.com/open?id=1kJcBJ2l_7jNnVxGpwBQDtPwUarb-3TtT&amp;usp=drive_fs" TargetMode="External"/><Relationship Id="rId54" Type="http://schemas.openxmlformats.org/officeDocument/2006/relationships/hyperlink" Target="https://drive.google.com/open?id=1l3ZR9qxIYsVDrL3YyjA6pokPW39hot_9&amp;usp=drive_fs" TargetMode="External"/><Relationship Id="rId62" Type="http://schemas.openxmlformats.org/officeDocument/2006/relationships/hyperlink" Target="https://drive.google.com/open?id=10rrx1DE-mOJKmT0g4c01pS3H54w3_pKp&amp;usp=drive_fs" TargetMode="External"/><Relationship Id="rId70" Type="http://schemas.openxmlformats.org/officeDocument/2006/relationships/hyperlink" Target="https://drive.google.com/open?id=1OciQnacS0RwJllfipazrfD9sERaIoeux&amp;usp=drive_fs" TargetMode="External"/><Relationship Id="rId75" Type="http://schemas.openxmlformats.org/officeDocument/2006/relationships/hyperlink" Target="https://drive.google.com/open?id=12NVGRRrpoGqzCg1Q8kYQtWjvuzmrxfNa&amp;usp=drive_fs" TargetMode="External"/><Relationship Id="rId83" Type="http://schemas.openxmlformats.org/officeDocument/2006/relationships/hyperlink" Target="https://drive.google.com/open?id=1FNpSMRy9hz6qxqEvaJKqvOldYhqbClj_&amp;usp=drive_fs" TargetMode="External"/><Relationship Id="rId88" Type="http://schemas.openxmlformats.org/officeDocument/2006/relationships/hyperlink" Target="https://drive.google.com/open?id=15LPMsVYhjxU2iw76wlETHw1w6DJGzoUZ&amp;usp=drive_fs" TargetMode="External"/><Relationship Id="rId91" Type="http://schemas.openxmlformats.org/officeDocument/2006/relationships/hyperlink" Target="https://drive.google.com/open?id=1IC6gaUn_F6u1EAtK2i9QHZYfadNNesbF&amp;usp=drive_fs" TargetMode="External"/><Relationship Id="rId1" Type="http://schemas.openxmlformats.org/officeDocument/2006/relationships/hyperlink" Target="https://drive.google.com/open?id=1fwkA3XrcPLGGbIA--xQdWeavewLm84RL&amp;usp=drive_fs" TargetMode="External"/><Relationship Id="rId6" Type="http://schemas.openxmlformats.org/officeDocument/2006/relationships/hyperlink" Target="https://drive.google.com/open?id=11KpsjB-GxlTjnvjIDdXVGjS0zWSLph0e&amp;usp=drive_fs" TargetMode="External"/><Relationship Id="rId15" Type="http://schemas.openxmlformats.org/officeDocument/2006/relationships/hyperlink" Target="https://drive.google.com/open?id=1Fo6x6iq2Fpjlxd27S4pkR0-1SMqXgfD1&amp;usp=drive_fs" TargetMode="External"/><Relationship Id="rId23" Type="http://schemas.openxmlformats.org/officeDocument/2006/relationships/hyperlink" Target="https://drive.google.com/open?id=1IzBMsHkIx1PQlK-tCNQCnCUxMNZWMLcZ&amp;usp=drive_fs" TargetMode="External"/><Relationship Id="rId28" Type="http://schemas.openxmlformats.org/officeDocument/2006/relationships/hyperlink" Target="https://drive.google.com/open?id=1Nlh-OKJWr7tHaiCOgW8Ig-P0b_sOEBRk&amp;usp=drive_fs" TargetMode="External"/><Relationship Id="rId36" Type="http://schemas.openxmlformats.org/officeDocument/2006/relationships/hyperlink" Target="https://drive.google.com/open?id=1Pd5veX4gp6WqA0pkcE-k9eS707KNexMN&amp;usp=drive_fs" TargetMode="External"/><Relationship Id="rId49" Type="http://schemas.openxmlformats.org/officeDocument/2006/relationships/hyperlink" Target="https://drive.google.com/open?id=1cFu8fiR05HjKXkR67uhrBOGMTUk9WFte&amp;usp=drive_fs" TargetMode="External"/><Relationship Id="rId57" Type="http://schemas.openxmlformats.org/officeDocument/2006/relationships/hyperlink" Target="https://docs.google.com/spreadsheets/d/1Ace-3C_oNrjr7ccZ6w4O0F58nWWQSrkpUNh5zUPLNSI/edit?usp=sharing" TargetMode="External"/><Relationship Id="rId10" Type="http://schemas.openxmlformats.org/officeDocument/2006/relationships/hyperlink" Target="https://drive.google.com/open?id=1rxWXAORfPejwZ48CqtNcB0GKbgxfVrGE&amp;usp=drive_fs" TargetMode="External"/><Relationship Id="rId31" Type="http://schemas.openxmlformats.org/officeDocument/2006/relationships/hyperlink" Target="https://drive.google.com/open?id=1Og33X9GPHyWw314SKayRrSFGix1-VN6_&amp;usp=drive_fs" TargetMode="External"/><Relationship Id="rId44" Type="http://schemas.openxmlformats.org/officeDocument/2006/relationships/hyperlink" Target="https://drive.google.com/open?id=16VBQPNsRCqSS-fYNiciIJ16Chy2-h0cD&amp;usp=drive_fs" TargetMode="External"/><Relationship Id="rId52" Type="http://schemas.openxmlformats.org/officeDocument/2006/relationships/hyperlink" Target="https://drive.google.com/open?id=1TUaEFGM10IGG45EBVCcDEOnolENNGWk4&amp;usp=drive_fs" TargetMode="External"/><Relationship Id="rId60" Type="http://schemas.openxmlformats.org/officeDocument/2006/relationships/hyperlink" Target="https://drive.google.com/open?id=1aRKln23fXPWcIDaNRQMOxQJ6KRf4BnW4&amp;usp=drive_fs" TargetMode="External"/><Relationship Id="rId65" Type="http://schemas.openxmlformats.org/officeDocument/2006/relationships/hyperlink" Target="https://drive.google.com/open?id=1LxEAcmCQwxxBCXdni39xsviYEwvlGwRj&amp;usp=drive_fs" TargetMode="External"/><Relationship Id="rId73" Type="http://schemas.openxmlformats.org/officeDocument/2006/relationships/hyperlink" Target="https://drive.google.com/open?id=1i4yZC1fAocUTIWDlwdIzjCYaH4ul01LO&amp;usp=drive_fs" TargetMode="External"/><Relationship Id="rId78" Type="http://schemas.openxmlformats.org/officeDocument/2006/relationships/hyperlink" Target="https://drive.google.com/open?id=1R_Pr31gsjLbQA6kZZ5cRgLSi1w3gPgQ_&amp;usp=drive_fs" TargetMode="External"/><Relationship Id="rId81" Type="http://schemas.openxmlformats.org/officeDocument/2006/relationships/hyperlink" Target="https://drive.google.com/open?id=1oTwDZJ_XW91bIMb_6bLxEqQsP78jOve5&amp;usp=drive_fs" TargetMode="External"/><Relationship Id="rId86" Type="http://schemas.openxmlformats.org/officeDocument/2006/relationships/hyperlink" Target="https://drive.google.com/open?id=1_4lPYbCNMkRDhkfXP1tyJpkEO20EwbbL&amp;usp=drive_fs" TargetMode="External"/><Relationship Id="rId4" Type="http://schemas.openxmlformats.org/officeDocument/2006/relationships/hyperlink" Target="https://drive.google.com/open?id=1yLWJMHUboi7NhjkML6HihCFPQWLd0Qfj&amp;usp=drive_fs" TargetMode="External"/><Relationship Id="rId9" Type="http://schemas.openxmlformats.org/officeDocument/2006/relationships/hyperlink" Target="https://drive.google.com/open?id=1PFz0ACRwkkyzWCzgb7q8btFmwzyjCC_f&amp;usp=drive_fs" TargetMode="External"/><Relationship Id="rId13" Type="http://schemas.openxmlformats.org/officeDocument/2006/relationships/hyperlink" Target="https://drive.google.com/open?id=1haObgdFGMyxOxIt2Uzxa-FfVZYOvpUhq&amp;usp=drive_fs" TargetMode="External"/><Relationship Id="rId18" Type="http://schemas.openxmlformats.org/officeDocument/2006/relationships/hyperlink" Target="https://drive.google.com/open?id=181c1tE1k8DSKgIYla1wDI7z5GeDsDdJd&amp;usp=drive_fs" TargetMode="External"/><Relationship Id="rId39" Type="http://schemas.openxmlformats.org/officeDocument/2006/relationships/hyperlink" Target="https://drive.google.com/open?id=1mCXMOloy-z5juGLyBLA6luHQKQIyHJw8&amp;usp=drive_fs" TargetMode="External"/><Relationship Id="rId34" Type="http://schemas.openxmlformats.org/officeDocument/2006/relationships/hyperlink" Target="https://drive.google.com/open?id=1gt3kHnYbYHmPOLD143vG1qMcuuDwaGko&amp;usp=drive_fs" TargetMode="External"/><Relationship Id="rId50" Type="http://schemas.openxmlformats.org/officeDocument/2006/relationships/hyperlink" Target="https://drive.google.com/open?id=194FGfeZGMijhZHVidiG0JGp1jw1iT19a&amp;usp=drive_fs" TargetMode="External"/><Relationship Id="rId55" Type="http://schemas.openxmlformats.org/officeDocument/2006/relationships/hyperlink" Target="https://drive.google.com/open?id=1g0gVGGk-u8DY2CIooq4gxUul4MqlqTmi&amp;usp=drive_fs" TargetMode="External"/><Relationship Id="rId76" Type="http://schemas.openxmlformats.org/officeDocument/2006/relationships/hyperlink" Target="https://drive.google.com/open?id=1P4AGlKiYuV2oJAZV5RpEwZHjy-NpTHTP&amp;usp=drive_fs" TargetMode="External"/><Relationship Id="rId7" Type="http://schemas.openxmlformats.org/officeDocument/2006/relationships/hyperlink" Target="https://drive.google.com/open?id=1wdPaMlWKEylIilBi0Zf88XnEKhoTjxZU&amp;usp=drive_fs" TargetMode="External"/><Relationship Id="rId71" Type="http://schemas.openxmlformats.org/officeDocument/2006/relationships/hyperlink" Target="https://drive.google.com/open?id=1Y4nWcCcP-d6NhBb7-mqoRWCuKbaKTzJW&amp;usp=drive_fs" TargetMode="External"/><Relationship Id="rId2" Type="http://schemas.openxmlformats.org/officeDocument/2006/relationships/hyperlink" Target="https://drive.google.com/open?id=1Lx6LCVW6PjzV1667qxmAm5nbn5jtI6Y3&amp;usp=drive_fs" TargetMode="External"/><Relationship Id="rId29" Type="http://schemas.openxmlformats.org/officeDocument/2006/relationships/hyperlink" Target="https://drive.google.com/open?id=1U617lWKaZ7q2j1cltST9nIcq2K80OG3h&amp;usp=drive_fs" TargetMode="External"/><Relationship Id="rId24" Type="http://schemas.openxmlformats.org/officeDocument/2006/relationships/hyperlink" Target="https://drive.google.com/open?id=1iA6IEsajXhK1eUk0Se8JWIn7q-4HD1NA&amp;usp=drive_fs" TargetMode="External"/><Relationship Id="rId40" Type="http://schemas.openxmlformats.org/officeDocument/2006/relationships/hyperlink" Target="https://drive.google.com/open?id=14cpQ0-2CJoShbGIQI6NxeoYLKu64l4MM&amp;usp=drive_fs" TargetMode="External"/><Relationship Id="rId45" Type="http://schemas.openxmlformats.org/officeDocument/2006/relationships/hyperlink" Target="https://drive.google.com/open?id=15IJo5u-9CVSo1NzcHCH4k-j3111DLVfj&amp;usp=drive_fs" TargetMode="External"/><Relationship Id="rId66" Type="http://schemas.openxmlformats.org/officeDocument/2006/relationships/hyperlink" Target="https://drive.google.com/open?id=1Haszh-pkRNy6DvEJcpQB81d9j_fMGGjk&amp;usp=drive_fs" TargetMode="External"/><Relationship Id="rId87" Type="http://schemas.openxmlformats.org/officeDocument/2006/relationships/hyperlink" Target="https://drive.google.com/open?id=1aYO6LThgWS6K-tCnpgsH4GaDpUSSeBxO&amp;usp=drive_fs" TargetMode="External"/><Relationship Id="rId61" Type="http://schemas.openxmlformats.org/officeDocument/2006/relationships/hyperlink" Target="https://drive.google.com/open?id=13xLPeIrCbHXMpJN8eF5xni53Unyaxe_m&amp;usp=drive_fs" TargetMode="External"/><Relationship Id="rId82" Type="http://schemas.openxmlformats.org/officeDocument/2006/relationships/hyperlink" Target="https://drive.google.com/open?id=1rpieBimWJQd2G7TuyVXwwoVID-j3b6iS&amp;usp=drive_fs" TargetMode="External"/><Relationship Id="rId19" Type="http://schemas.openxmlformats.org/officeDocument/2006/relationships/hyperlink" Target="https://drive.google.com/open?id=14AtHZFgyWL3j3CRhWzE8DA6fVX3P28Xq&amp;usp=drive_fs" TargetMode="External"/></Relationships>
</file>

<file path=xl/worksheets/_rels/sheet30.xml.rels><?xml version="1.0" encoding="UTF-8" standalone="yes"?>
<Relationships xmlns="http://schemas.openxmlformats.org/package/2006/relationships"><Relationship Id="rId26" Type="http://schemas.openxmlformats.org/officeDocument/2006/relationships/hyperlink" Target="https://drive.google.com/open?id=1KACH0bC1NU765MT0JNNgWqy35UnDO86e&amp;usp=drive_fs" TargetMode="External"/><Relationship Id="rId21" Type="http://schemas.openxmlformats.org/officeDocument/2006/relationships/hyperlink" Target="https://drive.google.com/open?id=1QF8dY0lYwq_2JdKddhnYvn8e5IgPaoDB&amp;usp=drive_fs" TargetMode="External"/><Relationship Id="rId42" Type="http://schemas.openxmlformats.org/officeDocument/2006/relationships/hyperlink" Target="https://drive.google.com/open?id=19SqFu-NnuOrzVuJPuYBiTeAldxXFt3uY&amp;usp=drive_fs" TargetMode="External"/><Relationship Id="rId47" Type="http://schemas.openxmlformats.org/officeDocument/2006/relationships/hyperlink" Target="https://drive.google.com/open?id=19SqFu-NnuOrzVuJPuYBiTeAldxXFt3uY&amp;usp=drive_fs" TargetMode="External"/><Relationship Id="rId63" Type="http://schemas.openxmlformats.org/officeDocument/2006/relationships/hyperlink" Target="https://drive.google.com/open?id=1FiyFlHmOYPNanCvXKdfdmFwSCRohKGF4&amp;usp=drive_fs" TargetMode="External"/><Relationship Id="rId68" Type="http://schemas.openxmlformats.org/officeDocument/2006/relationships/hyperlink" Target="https://drive.google.com/open?id=1nDTYgSi0BPPh7G-s1joXIjktMOH-yCmY&amp;usp=drive_fs" TargetMode="External"/><Relationship Id="rId7" Type="http://schemas.openxmlformats.org/officeDocument/2006/relationships/hyperlink" Target="https://drive.google.com/open?id=10uukCRRoGe64uKJT91E5hOaLYYJLCNGM&amp;usp=drive_fs" TargetMode="External"/><Relationship Id="rId2" Type="http://schemas.openxmlformats.org/officeDocument/2006/relationships/hyperlink" Target="https://drive.google.com/open?id=1n5W6VkZoeUUzQgI5OuY5Z1Lo9wOewuHA&amp;usp=drive_fs" TargetMode="External"/><Relationship Id="rId16" Type="http://schemas.openxmlformats.org/officeDocument/2006/relationships/hyperlink" Target="https://drive.google.com/open?id=19SqFu-NnuOrzVuJPuYBiTeAldxXFt3uY&amp;usp=drive_fs" TargetMode="External"/><Relationship Id="rId29" Type="http://schemas.openxmlformats.org/officeDocument/2006/relationships/hyperlink" Target="https://drive.google.com/open?id=1kbBwULRVGRYyTpbFP_u7AoK9kQYsauct&amp;usp=drive_fs" TargetMode="External"/><Relationship Id="rId11" Type="http://schemas.openxmlformats.org/officeDocument/2006/relationships/hyperlink" Target="https://drive.google.com/open?id=1WHX3qu-sXuVI9k9KPvKe5WyfFpIg3upG&amp;usp=drive_fs" TargetMode="External"/><Relationship Id="rId24" Type="http://schemas.openxmlformats.org/officeDocument/2006/relationships/hyperlink" Target="https://drive.google.com/open?id=1QF8dY0lYwq_2JdKddhnYvn8e5IgPaoDB&amp;usp=drive_fs" TargetMode="External"/><Relationship Id="rId32" Type="http://schemas.openxmlformats.org/officeDocument/2006/relationships/hyperlink" Target="https://drive.google.com/open?id=1YSHmXwjpU4n748Cgmnjc9E8f2pectbU8&amp;usp=drive_fs" TargetMode="External"/><Relationship Id="rId37" Type="http://schemas.openxmlformats.org/officeDocument/2006/relationships/hyperlink" Target="https://drive.google.com/open?id=1lY3HBLGYG05oOnUv29XtkRtRhHazba0D&amp;usp=drive_fs" TargetMode="External"/><Relationship Id="rId40" Type="http://schemas.openxmlformats.org/officeDocument/2006/relationships/hyperlink" Target="https://drive.google.com/open?id=19SqFu-NnuOrzVuJPuYBiTeAldxXFt3uY&amp;usp=drive_fs" TargetMode="External"/><Relationship Id="rId45" Type="http://schemas.openxmlformats.org/officeDocument/2006/relationships/hyperlink" Target="https://drive.google.com/open?id=19SqFu-NnuOrzVuJPuYBiTeAldxXFt3uY&amp;usp=drive_fs" TargetMode="External"/><Relationship Id="rId53" Type="http://schemas.openxmlformats.org/officeDocument/2006/relationships/hyperlink" Target="https://drive.google.com/open?id=1PqzbbbRmNAs7TWSBtu6-DyHQ5I5OZlT1&amp;usp=drive_fs" TargetMode="External"/><Relationship Id="rId58" Type="http://schemas.openxmlformats.org/officeDocument/2006/relationships/hyperlink" Target="https://drive.google.com/open?id=180Vs4Dvp3eDrUo1NcM21TdmtZ6xRWwRb&amp;usp=drive_fs" TargetMode="External"/><Relationship Id="rId66" Type="http://schemas.openxmlformats.org/officeDocument/2006/relationships/hyperlink" Target="https://drive.google.com/open?id=1orqgXbcDghIKP16NoizI_6MStn3--sBy&amp;usp=drive_fs" TargetMode="External"/><Relationship Id="rId5" Type="http://schemas.openxmlformats.org/officeDocument/2006/relationships/hyperlink" Target="https://drive.google.com/open?id=1b5Afn1P9bidXeZTDoOlzGVClMmymaHMr&amp;usp=drive_fs" TargetMode="External"/><Relationship Id="rId61" Type="http://schemas.openxmlformats.org/officeDocument/2006/relationships/hyperlink" Target="https://drive.google.com/open?id=1HDtfi_5ymG1rVtn75ttnMnOZbioAJda6&amp;usp=drive_fs" TargetMode="External"/><Relationship Id="rId19" Type="http://schemas.openxmlformats.org/officeDocument/2006/relationships/hyperlink" Target="https://drive.google.com/open?id=19m3V0kK5UyHzgcDLU9gHItCbY_AUPdLH&amp;usp=drive_fs" TargetMode="External"/><Relationship Id="rId14" Type="http://schemas.openxmlformats.org/officeDocument/2006/relationships/hyperlink" Target="https://drive.google.com/open?id=1nK7uj-JEr3tLN9D5m2uhAbe7UK5GbU4o&amp;usp=drive_fs" TargetMode="External"/><Relationship Id="rId22" Type="http://schemas.openxmlformats.org/officeDocument/2006/relationships/hyperlink" Target="https://drive.google.com/open?id=1ZZrg4nX5jWT0qv2kuyxI7aQ7bzFgTaVX&amp;usp=drive_fs" TargetMode="External"/><Relationship Id="rId27" Type="http://schemas.openxmlformats.org/officeDocument/2006/relationships/hyperlink" Target="https://drive.google.com/open?id=1zynbqTgLQRFM-JzCIh7sYRf4ZewTt1HC&amp;usp=drive_fs" TargetMode="External"/><Relationship Id="rId30" Type="http://schemas.openxmlformats.org/officeDocument/2006/relationships/hyperlink" Target="https://drive.google.com/open?id=1Oejz1_qDJc1n7akMk-GQgwHrxHmnDs5b&amp;usp=drive_fs" TargetMode="External"/><Relationship Id="rId35" Type="http://schemas.openxmlformats.org/officeDocument/2006/relationships/hyperlink" Target="https://drive.google.com/open?id=1CWIfO27zacm4VKH9HY2GbgMqdC8P8PcV&amp;usp=drive_fs" TargetMode="External"/><Relationship Id="rId43" Type="http://schemas.openxmlformats.org/officeDocument/2006/relationships/hyperlink" Target="https://drive.google.com/open?id=1ppKgdstRYwlfNw3Z0skiJts03PpG0w90&amp;usp=drive_fs" TargetMode="External"/><Relationship Id="rId48" Type="http://schemas.openxmlformats.org/officeDocument/2006/relationships/hyperlink" Target="https://drive.google.com/open?id=1PuUXBuFcSK1D8It_UAOCFpk3dwqS3bJF&amp;usp=drive_fs" TargetMode="External"/><Relationship Id="rId56" Type="http://schemas.openxmlformats.org/officeDocument/2006/relationships/hyperlink" Target="https://drive.google.com/open?id=1A3KowXktdF2QI58CWXBNxR6kSp4Fqalb&amp;usp=drive_fs" TargetMode="External"/><Relationship Id="rId64" Type="http://schemas.openxmlformats.org/officeDocument/2006/relationships/hyperlink" Target="https://drive.google.com/open?id=1qz78J1S6AKE1-xFjmgJF0PMUH8B6Eu3G&amp;usp=drive_fs" TargetMode="External"/><Relationship Id="rId69" Type="http://schemas.openxmlformats.org/officeDocument/2006/relationships/hyperlink" Target="https://drive.google.com/open?id=19MpF_GOWOl51jvSMyDgYYC0Fa15IJV7N&amp;usp=drive_fs" TargetMode="External"/><Relationship Id="rId8" Type="http://schemas.openxmlformats.org/officeDocument/2006/relationships/hyperlink" Target="https://drive.google.com/open?id=1C43pcDD2-yRr7yAFFC203EuOP0nc3Evq&amp;usp=drive_fs" TargetMode="External"/><Relationship Id="rId51" Type="http://schemas.openxmlformats.org/officeDocument/2006/relationships/hyperlink" Target="https://drive.google.com/open?id=1iID4oWOv3EPhoG7WolITBy7Njlc2JjoK&amp;usp=drive_fs" TargetMode="External"/><Relationship Id="rId3" Type="http://schemas.openxmlformats.org/officeDocument/2006/relationships/hyperlink" Target="https://drive.google.com/open?id=13XOVq35LL-7_3SSTNa7wPrHVCWFecWQY&amp;usp=drive_fs" TargetMode="External"/><Relationship Id="rId12" Type="http://schemas.openxmlformats.org/officeDocument/2006/relationships/hyperlink" Target="https://drive.google.com/open?id=1-Z4xsHNBH6LIfkv9Crrmo2p47lYn2Psm&amp;usp=drive_fs" TargetMode="External"/><Relationship Id="rId17" Type="http://schemas.openxmlformats.org/officeDocument/2006/relationships/hyperlink" Target="https://drive.google.com/open?id=1zSi_OF5TYIVSvL5MBbutEyXqTl0UdQ4E&amp;usp=drive_fs" TargetMode="External"/><Relationship Id="rId25" Type="http://schemas.openxmlformats.org/officeDocument/2006/relationships/hyperlink" Target="https://drive.google.com/open?id=1TF_Oyy7fcT_4X_HyjEAXEaLxHXer8Unz&amp;usp=drive_fs" TargetMode="External"/><Relationship Id="rId33" Type="http://schemas.openxmlformats.org/officeDocument/2006/relationships/hyperlink" Target="https://drive.google.com/open?id=1W9apMQ2yybq0AasQhUiz3juTRXrNgypX&amp;usp=drive_fs" TargetMode="External"/><Relationship Id="rId38" Type="http://schemas.openxmlformats.org/officeDocument/2006/relationships/hyperlink" Target="https://drive.google.com/open?id=19SqFu-NnuOrzVuJPuYBiTeAldxXFt3uY&amp;usp=drive_fs" TargetMode="External"/><Relationship Id="rId46" Type="http://schemas.openxmlformats.org/officeDocument/2006/relationships/hyperlink" Target="https://drive.google.com/open?id=19SqFu-NnuOrzVuJPuYBiTeAldxXFt3uY&amp;usp=drive_fs" TargetMode="External"/><Relationship Id="rId59" Type="http://schemas.openxmlformats.org/officeDocument/2006/relationships/hyperlink" Target="https://drive.google.com/open?id=1gpmjhoyNARquYX6toOlM86HlBLBzxq-5&amp;usp=drive_fs" TargetMode="External"/><Relationship Id="rId67" Type="http://schemas.openxmlformats.org/officeDocument/2006/relationships/hyperlink" Target="https://drive.google.com/open?id=1xI3JIBDGQzC3uS6xKFx0NDxEi1uFWp0k&amp;usp=drive_fs" TargetMode="External"/><Relationship Id="rId20" Type="http://schemas.openxmlformats.org/officeDocument/2006/relationships/hyperlink" Target="https://drive.google.com/open?id=1Z64atKiqcf5yUYXQg0Pez_B2MH-jnxWW&amp;usp=drive_fs" TargetMode="External"/><Relationship Id="rId41" Type="http://schemas.openxmlformats.org/officeDocument/2006/relationships/hyperlink" Target="https://drive.google.com/open?id=19SqFu-NnuOrzVuJPuYBiTeAldxXFt3uY&amp;usp=drive_fs" TargetMode="External"/><Relationship Id="rId54" Type="http://schemas.openxmlformats.org/officeDocument/2006/relationships/hyperlink" Target="https://drive.google.com/open?id=1J8zYkC5W_t3QIe6RAUseemWx-X707kgb&amp;usp=drive_fs" TargetMode="External"/><Relationship Id="rId62" Type="http://schemas.openxmlformats.org/officeDocument/2006/relationships/hyperlink" Target="https://drive.google.com/open?id=1pGbGoVOnJxN9BsO53CYRfv-zYLjzdi1H&amp;usp=drive_fs" TargetMode="External"/><Relationship Id="rId1" Type="http://schemas.openxmlformats.org/officeDocument/2006/relationships/hyperlink" Target="https://drive.google.com/open?id=11YDwGkJnbnHjhaKXoxJNGDpVHrqqtEqp&amp;usp=drive_fs" TargetMode="External"/><Relationship Id="rId6" Type="http://schemas.openxmlformats.org/officeDocument/2006/relationships/hyperlink" Target="https://drive.google.com/open?id=1Z5mHWAzJww57NFaClbs_mP5woEnoNQTM&amp;usp=drive_fs" TargetMode="External"/><Relationship Id="rId15" Type="http://schemas.openxmlformats.org/officeDocument/2006/relationships/hyperlink" Target="https://drive.google.com/open?id=1x7ZZ3HAyAWwx9FvceX3IMfd6zbAbUu_P&amp;usp=drive_fs" TargetMode="External"/><Relationship Id="rId23" Type="http://schemas.openxmlformats.org/officeDocument/2006/relationships/hyperlink" Target="https://drive.google.com/open?id=1Id8EEdGAkSLpAyG4GFhHyKUIYI3zUmdw&amp;usp=drive_fs" TargetMode="External"/><Relationship Id="rId28" Type="http://schemas.openxmlformats.org/officeDocument/2006/relationships/hyperlink" Target="https://drive.google.com/open?id=1iXUVoC2CJzfxbWCYGzkCTulj2rgAAkAH&amp;usp=drive_fs" TargetMode="External"/><Relationship Id="rId36" Type="http://schemas.openxmlformats.org/officeDocument/2006/relationships/hyperlink" Target="https://drive.google.com/open?id=1p3UwiJCOHZKyTzLrjaF8oIJcodBurb68&amp;usp=drive_fs" TargetMode="External"/><Relationship Id="rId49" Type="http://schemas.openxmlformats.org/officeDocument/2006/relationships/hyperlink" Target="https://drive.google.com/open?id=19SqFu-NnuOrzVuJPuYBiTeAldxXFt3uY&amp;usp=drive_fs" TargetMode="External"/><Relationship Id="rId57" Type="http://schemas.openxmlformats.org/officeDocument/2006/relationships/hyperlink" Target="https://drive.google.com/open?id=1q0ztxqT01UuxLGYFL2mBsNnA8TrTPw0y&amp;usp=drive_fs" TargetMode="External"/><Relationship Id="rId10" Type="http://schemas.openxmlformats.org/officeDocument/2006/relationships/hyperlink" Target="https://drive.google.com/open?id=1_8hpACrv_6Tp7qc7BHJvwizIchdbKHXu&amp;usp=drive_fs" TargetMode="External"/><Relationship Id="rId31" Type="http://schemas.openxmlformats.org/officeDocument/2006/relationships/hyperlink" Target="https://drive.google.com/open?id=11e9bLR0EkZzwxQPR1TELBlxS0qZJ9YLh&amp;usp=drive_fs" TargetMode="External"/><Relationship Id="rId44" Type="http://schemas.openxmlformats.org/officeDocument/2006/relationships/hyperlink" Target="https://drive.google.com/open?id=19SqFu-NnuOrzVuJPuYBiTeAldxXFt3uY&amp;usp=drive_fs" TargetMode="External"/><Relationship Id="rId52" Type="http://schemas.openxmlformats.org/officeDocument/2006/relationships/hyperlink" Target="https://drive.google.com/open?id=1pA62WpS8tlnX6IuPpwvU_TQ01gXnDd76&amp;usp=drive_fs" TargetMode="External"/><Relationship Id="rId60" Type="http://schemas.openxmlformats.org/officeDocument/2006/relationships/hyperlink" Target="https://drive.google.com/open?id=1rR2Z-581uEWHrYWcTnBPgYzcW948XvBC&amp;usp=drive_fs" TargetMode="External"/><Relationship Id="rId65" Type="http://schemas.openxmlformats.org/officeDocument/2006/relationships/hyperlink" Target="https://drive.google.com/open?id=1zWhUdHkMlPUKqxzkixoSpwCpKtwZV_z4&amp;usp=drive_fs" TargetMode="External"/><Relationship Id="rId4" Type="http://schemas.openxmlformats.org/officeDocument/2006/relationships/hyperlink" Target="https://drive.google.com/open?id=1ZUQ8dmWclP_lIu-elhahNAn4qH3smB_2&amp;usp=drive_fs" TargetMode="External"/><Relationship Id="rId9" Type="http://schemas.openxmlformats.org/officeDocument/2006/relationships/hyperlink" Target="https://drive.google.com/open?id=160QX4wNbH8zeULDqFIkcW5siNlctixnv&amp;usp=drive_fs" TargetMode="External"/><Relationship Id="rId13" Type="http://schemas.openxmlformats.org/officeDocument/2006/relationships/hyperlink" Target="https://drive.google.com/open?id=1Kkyao-ErtVFfzhioRUCt2_-fATo2KbYJ&amp;usp=drive_fs" TargetMode="External"/><Relationship Id="rId18" Type="http://schemas.openxmlformats.org/officeDocument/2006/relationships/hyperlink" Target="https://drive.google.com/open?id=1BPy0OypUqBWDgwFcx8qBcD69Wc2VSI8-&amp;usp=drive_fs" TargetMode="External"/><Relationship Id="rId39" Type="http://schemas.openxmlformats.org/officeDocument/2006/relationships/hyperlink" Target="https://drive.google.com/open?id=19SqFu-NnuOrzVuJPuYBiTeAldxXFt3uY&amp;usp=drive_fs" TargetMode="External"/><Relationship Id="rId34" Type="http://schemas.openxmlformats.org/officeDocument/2006/relationships/hyperlink" Target="https://drive.google.com/open?id=1Nn-74dgTBZvXNUwEIyORb_NwxmThDAG7&amp;usp=drive_fs" TargetMode="External"/><Relationship Id="rId50" Type="http://schemas.openxmlformats.org/officeDocument/2006/relationships/hyperlink" Target="https://drive.google.com/open?id=19SqFu-NnuOrzVuJPuYBiTeAldxXFt3uY&amp;usp=drive_fs" TargetMode="External"/><Relationship Id="rId55" Type="http://schemas.openxmlformats.org/officeDocument/2006/relationships/hyperlink" Target="https://drive.google.com/open?id=1IUrlPL0j58qn25UKFuDtam_BVuoFL2y9&amp;usp=drive_fs"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2.xml.rels><?xml version="1.0" encoding="UTF-8" standalone="yes"?>
<Relationships xmlns="http://schemas.openxmlformats.org/package/2006/relationships"><Relationship Id="rId13" Type="http://schemas.openxmlformats.org/officeDocument/2006/relationships/hyperlink" Target="https://drive.google.com/open?id=11GGJY96kWwiSsV2bHW0h9smj0taNLD8d&amp;usp=drive_fs" TargetMode="External"/><Relationship Id="rId18" Type="http://schemas.openxmlformats.org/officeDocument/2006/relationships/hyperlink" Target="https://drive.google.com/open?id=1IzcyuX2m4PUc_01BRMHpO_mjS-iBu40o&amp;usp=drive_fs" TargetMode="External"/><Relationship Id="rId26" Type="http://schemas.openxmlformats.org/officeDocument/2006/relationships/hyperlink" Target="https://drive.google.com/open?id=1-9VT2_0yECvtMXng_4Ytx_o_Hdu9YiOB&amp;usp=drive_fs" TargetMode="External"/><Relationship Id="rId39" Type="http://schemas.openxmlformats.org/officeDocument/2006/relationships/hyperlink" Target="https://drive.google.com/open?id=1GDUw5QdZmO5QE7Cv7DWGMdOZV1QVCsHy&amp;usp=drive_fs" TargetMode="External"/><Relationship Id="rId21" Type="http://schemas.openxmlformats.org/officeDocument/2006/relationships/hyperlink" Target="https://drive.google.com/open?id=17pomqv8wWfk4GiY2vzKeUF2H0khH84o7&amp;usp=drive_fs" TargetMode="External"/><Relationship Id="rId34" Type="http://schemas.openxmlformats.org/officeDocument/2006/relationships/hyperlink" Target="https://drive.google.com/open?id=1aeGYdAwW1FdjWUMY5_5y3Df6HTfKpBay&amp;usp=drive_fs" TargetMode="External"/><Relationship Id="rId42" Type="http://schemas.openxmlformats.org/officeDocument/2006/relationships/hyperlink" Target="https://drive.google.com/open?id=1oUiibOo7jZvb2NqKOJ7jM5u6IrZDbMr-&amp;usp=drive_fs" TargetMode="External"/><Relationship Id="rId47" Type="http://schemas.openxmlformats.org/officeDocument/2006/relationships/hyperlink" Target="https://drive.google.com/open?id=1ortp6lK9cATtv9hWyt5k9J8fQtycL0HQ&amp;usp=drive_fs" TargetMode="External"/><Relationship Id="rId50" Type="http://schemas.openxmlformats.org/officeDocument/2006/relationships/hyperlink" Target="https://drive.google.com/open?id=1MCVI3wsm_Njl4-4oOuwK9Ys0B-og8KU6&amp;usp=drive_fs" TargetMode="External"/><Relationship Id="rId55" Type="http://schemas.openxmlformats.org/officeDocument/2006/relationships/hyperlink" Target="https://drive.google.com/open?id=1aTec5512pyDmYJys7s7GHJ_3kD0iph0I&amp;usp=drive_fs" TargetMode="External"/><Relationship Id="rId7" Type="http://schemas.openxmlformats.org/officeDocument/2006/relationships/hyperlink" Target="https://drive.google.com/open?id=1NK6jWk9Ew7r7tjfhw__rIKFDisKnJTde&amp;usp=drive_fs" TargetMode="External"/><Relationship Id="rId2" Type="http://schemas.openxmlformats.org/officeDocument/2006/relationships/hyperlink" Target="https://drive.google.com/open?id=19ZEYm3HhTtZFpUQX99FGgX5zSeIxvOOb&amp;usp=drive_fs" TargetMode="External"/><Relationship Id="rId16" Type="http://schemas.openxmlformats.org/officeDocument/2006/relationships/hyperlink" Target="https://drive.google.com/open?id=19LJpUjJpsQeJbJnOKxbOcAzZNkmAxh4j&amp;usp=drive_fs" TargetMode="External"/><Relationship Id="rId29" Type="http://schemas.openxmlformats.org/officeDocument/2006/relationships/hyperlink" Target="https://drive.google.com/open?id=1wjG_Z0VFksZQ9smqXdTOv6grt4nK6v2z&amp;usp=drive_fs" TargetMode="External"/><Relationship Id="rId11" Type="http://schemas.openxmlformats.org/officeDocument/2006/relationships/hyperlink" Target="https://drive.google.com/open?id=10Qyly8J1CL61dzyQ-zI5rRP7b--vPGzW&amp;usp=drive_fs" TargetMode="External"/><Relationship Id="rId24" Type="http://schemas.openxmlformats.org/officeDocument/2006/relationships/hyperlink" Target="https://drive.google.com/open?id=1SuttEyEfrYIb7itFeSmeti2EW1OJ4As8&amp;usp=drive_fs" TargetMode="External"/><Relationship Id="rId32" Type="http://schemas.openxmlformats.org/officeDocument/2006/relationships/hyperlink" Target="https://drive.google.com/open?id=1w9tp3UJxmMbQPhXluybUzfIbs-w5kvxw&amp;usp=drive_fs" TargetMode="External"/><Relationship Id="rId37" Type="http://schemas.openxmlformats.org/officeDocument/2006/relationships/hyperlink" Target="https://drive.google.com/open?id=1KrbXEpyeXmENEGReeLumfkuIaYVz3K_8&amp;usp=drive_fs" TargetMode="External"/><Relationship Id="rId40" Type="http://schemas.openxmlformats.org/officeDocument/2006/relationships/hyperlink" Target="https://drive.google.com/open?id=1mEbzVG_ZmQd8TdIQjDO9pkW1Xw_GBN4n&amp;usp=drive_fs" TargetMode="External"/><Relationship Id="rId45" Type="http://schemas.openxmlformats.org/officeDocument/2006/relationships/hyperlink" Target="https://drive.google.com/open?id=1YzSbhF2G76vaDU4kXIE8dtrN8FiV1JnH&amp;usp=drive_fs" TargetMode="External"/><Relationship Id="rId53" Type="http://schemas.openxmlformats.org/officeDocument/2006/relationships/hyperlink" Target="https://drive.google.com/open?id=1ElyhftUr_nqORbXzmbMayNk7N6r2M0AV&amp;usp=drive_fs" TargetMode="External"/><Relationship Id="rId5" Type="http://schemas.openxmlformats.org/officeDocument/2006/relationships/hyperlink" Target="https://drive.google.com/open?id=1REKa9gPlZOCTKJltjheiIbvXZwmtCWcU&amp;usp=drive_fs" TargetMode="External"/><Relationship Id="rId19" Type="http://schemas.openxmlformats.org/officeDocument/2006/relationships/hyperlink" Target="https://drive.google.com/open?id=12TO3LeyMV2s8vKVSuUKrw2Ty84ElqhON&amp;usp=drive_fs" TargetMode="External"/><Relationship Id="rId4" Type="http://schemas.openxmlformats.org/officeDocument/2006/relationships/hyperlink" Target="https://drive.google.com/open?id=1pmDzLHCzDw97bqXOpsOUvzimrIcAmGDP&amp;usp=drive_fs" TargetMode="External"/><Relationship Id="rId9" Type="http://schemas.openxmlformats.org/officeDocument/2006/relationships/hyperlink" Target="https://drive.google.com/open?id=1CwcbHFcLs9c5jtMexrk9QAKmM-dk-beA&amp;usp=drive_fs" TargetMode="External"/><Relationship Id="rId14" Type="http://schemas.openxmlformats.org/officeDocument/2006/relationships/hyperlink" Target="https://drive.google.com/open?id=11CSagB7-MTvxYmD7B9lobO9l7F8wUhbj&amp;usp=drive_fs" TargetMode="External"/><Relationship Id="rId22" Type="http://schemas.openxmlformats.org/officeDocument/2006/relationships/hyperlink" Target="https://drive.google.com/open?id=1eAZvjfd1-EWMPP4XUov-ygluxfxXt9C2&amp;usp=drive_fs" TargetMode="External"/><Relationship Id="rId27" Type="http://schemas.openxmlformats.org/officeDocument/2006/relationships/hyperlink" Target="https://drive.google.com/open?id=1I_TjNJAX-vJnSJ1NtvsMoEZj5_JToxiI&amp;usp=drive_fs" TargetMode="External"/><Relationship Id="rId30" Type="http://schemas.openxmlformats.org/officeDocument/2006/relationships/hyperlink" Target="https://drive.google.com/open?id=1xJ7Oj8CbCi7Q6BC6KFFTYnrr_COOX9Dt&amp;usp=drive_fs" TargetMode="External"/><Relationship Id="rId35" Type="http://schemas.openxmlformats.org/officeDocument/2006/relationships/hyperlink" Target="https://drive.google.com/open?id=1SqyZEy2slvfCasUbc7Z1UV5FKSfPTJjS&amp;usp=drive_fs" TargetMode="External"/><Relationship Id="rId43" Type="http://schemas.openxmlformats.org/officeDocument/2006/relationships/hyperlink" Target="https://drive.google.com/open?id=1ZUr65mmCG2NqWTsBp2_Za6RmnZ0wNrie&amp;usp=drive_fs" TargetMode="External"/><Relationship Id="rId48" Type="http://schemas.openxmlformats.org/officeDocument/2006/relationships/hyperlink" Target="https://drive.google.com/open?id=1gz8LjjeA6A0ePp8d2PTrgeA1nV1mc7WL&amp;usp=drive_fs" TargetMode="External"/><Relationship Id="rId56" Type="http://schemas.openxmlformats.org/officeDocument/2006/relationships/hyperlink" Target="https://drive.google.com/open?id=1xJaB3ek8X6pqfqN8ukoXV_irrcN9dMSa&amp;usp=drive_fs" TargetMode="External"/><Relationship Id="rId8" Type="http://schemas.openxmlformats.org/officeDocument/2006/relationships/hyperlink" Target="https://drive.google.com/open?id=1Fo7AehOS62nXD4dwVDgEO6M1KFQk36rr&amp;usp=drive_fs" TargetMode="External"/><Relationship Id="rId51" Type="http://schemas.openxmlformats.org/officeDocument/2006/relationships/hyperlink" Target="https://drive.google.com/open?id=1MCVI3wsm_Njl4-4oOuwK9Ys0B-og8KU6&amp;usp=drive_fs" TargetMode="External"/><Relationship Id="rId3" Type="http://schemas.openxmlformats.org/officeDocument/2006/relationships/hyperlink" Target="https://drive.google.com/open?id=1cayrb24Kbb38ksa7Qe4vRnMDAEwowWNs&amp;usp=drive_fs" TargetMode="External"/><Relationship Id="rId12" Type="http://schemas.openxmlformats.org/officeDocument/2006/relationships/hyperlink" Target="https://drive.google.com/open?id=1WmvktmUBfFS8FP4rGthCGEJVEEspv8us&amp;usp=drive_fs" TargetMode="External"/><Relationship Id="rId17" Type="http://schemas.openxmlformats.org/officeDocument/2006/relationships/hyperlink" Target="https://drive.google.com/open?id=1AmIq3fMPh9lC3w_QJeJ7IFJmrKRdsZoG&amp;usp=drive_fs" TargetMode="External"/><Relationship Id="rId25" Type="http://schemas.openxmlformats.org/officeDocument/2006/relationships/hyperlink" Target="https://drive.google.com/open?id=13ny3dsN1L_XyItfKatJQhIhew77IsAqO&amp;usp=drive_fs" TargetMode="External"/><Relationship Id="rId33" Type="http://schemas.openxmlformats.org/officeDocument/2006/relationships/hyperlink" Target="https://drive.google.com/open?id=1FHHfAIz5kVmp5NitDwOC6bWysTruoMdM&amp;usp=drive_fs" TargetMode="External"/><Relationship Id="rId38" Type="http://schemas.openxmlformats.org/officeDocument/2006/relationships/hyperlink" Target="https://drive.google.com/open?id=13KN2_t6Febywk-bzTIHaL8pLIN47qpUG&amp;usp=drive_fs" TargetMode="External"/><Relationship Id="rId46" Type="http://schemas.openxmlformats.org/officeDocument/2006/relationships/hyperlink" Target="https://drive.google.com/open?id=1i7I0Z9d3ExTEg__kKmo2TJqQ-WMwb-Qr&amp;usp=drive_fs" TargetMode="External"/><Relationship Id="rId20" Type="http://schemas.openxmlformats.org/officeDocument/2006/relationships/hyperlink" Target="https://drive.google.com/open?id=1OulidxtkKtFSJy75ncjYg2r8Ylhc0sqx&amp;usp=drive_fs" TargetMode="External"/><Relationship Id="rId41" Type="http://schemas.openxmlformats.org/officeDocument/2006/relationships/hyperlink" Target="https://docs.google.com/spreadsheets/d/1Ace-3C_oNrjr7ccZ6w4O0F58nWWQSrkpUNh5zUPLNSI/edit?usp=sharing" TargetMode="External"/><Relationship Id="rId54" Type="http://schemas.openxmlformats.org/officeDocument/2006/relationships/hyperlink" Target="https://drive.google.com/open?id=1_zdDayTz-Qn6IROcdfdrr1LwVZ2oOvos&amp;usp=drive_fs" TargetMode="External"/><Relationship Id="rId1" Type="http://schemas.openxmlformats.org/officeDocument/2006/relationships/hyperlink" Target="https://drive.google.com/open?id=1o7wyaKi1n1FMJlenmGeCwBYfi0UlNTM1&amp;usp=drive_fs" TargetMode="External"/><Relationship Id="rId6" Type="http://schemas.openxmlformats.org/officeDocument/2006/relationships/hyperlink" Target="https://drive.google.com/open?id=1-QbooxcfwHrj5Acc7Pu08dCxj97mzs8s&amp;usp=drive_fs" TargetMode="External"/><Relationship Id="rId15" Type="http://schemas.openxmlformats.org/officeDocument/2006/relationships/hyperlink" Target="https://drive.google.com/open?id=1eT4M-p7MAPDEBXGInbDzuzLORdTmmaML&amp;usp=drive_fs" TargetMode="External"/><Relationship Id="rId23" Type="http://schemas.openxmlformats.org/officeDocument/2006/relationships/hyperlink" Target="https://drive.google.com/open?id=1oAKY9tvuq1UHfcdliWwfEHuHXKFfnIBo&amp;usp=drive_fs" TargetMode="External"/><Relationship Id="rId28" Type="http://schemas.openxmlformats.org/officeDocument/2006/relationships/hyperlink" Target="https://drive.google.com/open?id=1Zm6OmJGSnykG_aNF7wqBaQwzgDdCgGlC&amp;usp=drive_fs" TargetMode="External"/><Relationship Id="rId36" Type="http://schemas.openxmlformats.org/officeDocument/2006/relationships/hyperlink" Target="https://drive.google.com/open?id=1-8bsnEhhE_p3nY3RWp59pKL8xTmmE27x&amp;usp=drive_fs" TargetMode="External"/><Relationship Id="rId49" Type="http://schemas.openxmlformats.org/officeDocument/2006/relationships/hyperlink" Target="https://drive.google.com/open?id=1MCVI3wsm_Njl4-4oOuwK9Ys0B-og8KU6&amp;usp=drive_fs" TargetMode="External"/><Relationship Id="rId57" Type="http://schemas.openxmlformats.org/officeDocument/2006/relationships/printerSettings" Target="../printerSettings/printerSettings6.bin"/><Relationship Id="rId10" Type="http://schemas.openxmlformats.org/officeDocument/2006/relationships/hyperlink" Target="https://drive.google.com/open?id=1alqkdHoTzN9-gUFesrstqsmHVsOt1kz_&amp;usp=drive_fs" TargetMode="External"/><Relationship Id="rId31" Type="http://schemas.openxmlformats.org/officeDocument/2006/relationships/hyperlink" Target="https://drive.google.com/open?id=1f3ATX7k8xouY0mYG3WPszcOrAhIR2909&amp;usp=drive_fs" TargetMode="External"/><Relationship Id="rId44" Type="http://schemas.openxmlformats.org/officeDocument/2006/relationships/hyperlink" Target="https://drive.google.com/open?id=1YzSbhF2G76vaDU4kXIE8dtrN8FiV1JnH&amp;usp=drive_fs" TargetMode="External"/><Relationship Id="rId52" Type="http://schemas.openxmlformats.org/officeDocument/2006/relationships/hyperlink" Target="https://drive.google.com/open?id=1HYebcHYfDoh1f0I_hfGoCXLAy0SY0T1p&amp;usp=drive_fs"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Z1000"/>
  <sheetViews>
    <sheetView showGridLines="0" workbookViewId="0"/>
  </sheetViews>
  <sheetFormatPr defaultColWidth="14.44140625" defaultRowHeight="15" customHeight="1" x14ac:dyDescent="0.3"/>
  <cols>
    <col min="1" max="1" width="1.5546875" customWidth="1"/>
    <col min="2" max="2" width="3" customWidth="1"/>
    <col min="3" max="3" width="164.6640625" customWidth="1"/>
    <col min="4" max="6" width="9.109375" customWidth="1"/>
    <col min="7" max="23" width="8.6640625" customWidth="1"/>
  </cols>
  <sheetData>
    <row r="1" spans="1:26" ht="8.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8" x14ac:dyDescent="0.3">
      <c r="A2" s="2"/>
      <c r="B2" s="197" t="s">
        <v>0</v>
      </c>
      <c r="C2" s="194"/>
      <c r="D2" s="2"/>
      <c r="E2" s="2"/>
      <c r="F2" s="2"/>
      <c r="G2" s="2"/>
      <c r="H2" s="2"/>
      <c r="I2" s="2"/>
      <c r="J2" s="2"/>
      <c r="K2" s="2"/>
      <c r="L2" s="2"/>
      <c r="M2" s="2"/>
      <c r="N2" s="2"/>
      <c r="O2" s="2"/>
      <c r="P2" s="2"/>
      <c r="Q2" s="2"/>
      <c r="R2" s="2"/>
      <c r="S2" s="2"/>
      <c r="T2" s="2"/>
      <c r="U2" s="2"/>
      <c r="V2" s="2"/>
      <c r="W2" s="2"/>
      <c r="X2" s="2"/>
      <c r="Y2" s="2"/>
      <c r="Z2" s="2"/>
    </row>
    <row r="3" spans="1:26" ht="8.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8" x14ac:dyDescent="0.3">
      <c r="A4" s="2"/>
      <c r="B4" s="198" t="s">
        <v>1</v>
      </c>
      <c r="C4" s="194"/>
      <c r="D4" s="2"/>
      <c r="E4" s="2"/>
      <c r="F4" s="2"/>
      <c r="G4" s="2"/>
      <c r="H4" s="2"/>
      <c r="I4" s="2"/>
      <c r="J4" s="2"/>
      <c r="K4" s="2"/>
      <c r="L4" s="2"/>
      <c r="M4" s="2"/>
      <c r="N4" s="2"/>
      <c r="O4" s="2"/>
      <c r="P4" s="2"/>
      <c r="Q4" s="2"/>
      <c r="R4" s="2"/>
      <c r="S4" s="2"/>
      <c r="T4" s="2"/>
      <c r="U4" s="2"/>
      <c r="V4" s="2"/>
      <c r="W4" s="2"/>
      <c r="X4" s="2"/>
      <c r="Y4" s="2"/>
      <c r="Z4" s="2"/>
    </row>
    <row r="5" spans="1:26" ht="14.4" x14ac:dyDescent="0.3">
      <c r="A5" s="1"/>
      <c r="B5" s="1"/>
      <c r="C5" s="1" t="s">
        <v>2</v>
      </c>
      <c r="D5" s="1"/>
      <c r="E5" s="1"/>
      <c r="F5" s="1"/>
      <c r="G5" s="1"/>
      <c r="H5" s="1"/>
      <c r="I5" s="1"/>
      <c r="J5" s="1"/>
      <c r="K5" s="1"/>
      <c r="L5" s="1"/>
      <c r="M5" s="1"/>
      <c r="N5" s="1"/>
      <c r="O5" s="1"/>
      <c r="P5" s="1"/>
      <c r="Q5" s="1"/>
      <c r="R5" s="1"/>
      <c r="S5" s="1"/>
      <c r="T5" s="1"/>
      <c r="U5" s="1"/>
      <c r="V5" s="1"/>
      <c r="W5" s="1"/>
      <c r="X5" s="1"/>
      <c r="Y5" s="1"/>
      <c r="Z5" s="1"/>
    </row>
    <row r="6" spans="1:26" ht="14.4" x14ac:dyDescent="0.3">
      <c r="A6" s="1"/>
      <c r="B6" s="1"/>
      <c r="C6" s="1"/>
      <c r="D6" s="1"/>
      <c r="E6" s="1"/>
      <c r="F6" s="1"/>
      <c r="G6" s="1"/>
      <c r="H6" s="1"/>
      <c r="I6" s="1"/>
      <c r="J6" s="1"/>
      <c r="K6" s="1"/>
      <c r="L6" s="1"/>
      <c r="M6" s="1"/>
      <c r="N6" s="1"/>
      <c r="O6" s="1"/>
      <c r="P6" s="1"/>
      <c r="Q6" s="1"/>
      <c r="R6" s="1"/>
      <c r="S6" s="1"/>
      <c r="T6" s="1"/>
      <c r="U6" s="1"/>
      <c r="V6" s="1"/>
      <c r="W6" s="1"/>
      <c r="X6" s="1"/>
      <c r="Y6" s="1"/>
      <c r="Z6" s="1"/>
    </row>
    <row r="7" spans="1:26" ht="18" x14ac:dyDescent="0.3">
      <c r="A7" s="2"/>
      <c r="B7" s="198" t="s">
        <v>3</v>
      </c>
      <c r="C7" s="194"/>
      <c r="D7" s="2"/>
      <c r="E7" s="2"/>
      <c r="F7" s="2"/>
      <c r="G7" s="2"/>
      <c r="H7" s="2"/>
      <c r="I7" s="2"/>
      <c r="J7" s="2"/>
      <c r="K7" s="2"/>
      <c r="L7" s="2"/>
      <c r="M7" s="2"/>
      <c r="N7" s="2"/>
      <c r="O7" s="2"/>
      <c r="P7" s="2"/>
      <c r="Q7" s="2"/>
      <c r="R7" s="2"/>
      <c r="S7" s="2"/>
      <c r="T7" s="2"/>
      <c r="U7" s="2"/>
      <c r="V7" s="2"/>
      <c r="W7" s="2"/>
      <c r="X7" s="2"/>
      <c r="Y7" s="2"/>
      <c r="Z7" s="2"/>
    </row>
    <row r="8" spans="1:26" ht="57.6" x14ac:dyDescent="0.3">
      <c r="A8" s="1"/>
      <c r="B8" s="1"/>
      <c r="C8" s="1" t="s">
        <v>4</v>
      </c>
      <c r="D8" s="1"/>
      <c r="E8" s="1"/>
      <c r="F8" s="1"/>
      <c r="G8" s="1"/>
      <c r="H8" s="1"/>
      <c r="I8" s="1"/>
      <c r="J8" s="1"/>
      <c r="K8" s="1"/>
      <c r="L8" s="1"/>
      <c r="M8" s="1"/>
      <c r="N8" s="1"/>
      <c r="O8" s="1"/>
      <c r="P8" s="1"/>
      <c r="Q8" s="1"/>
      <c r="R8" s="1"/>
      <c r="S8" s="1"/>
      <c r="T8" s="1"/>
      <c r="U8" s="1"/>
      <c r="V8" s="1"/>
      <c r="W8" s="1"/>
      <c r="X8" s="1"/>
      <c r="Y8" s="1"/>
      <c r="Z8" s="1"/>
    </row>
    <row r="9" spans="1:26" ht="14.4" x14ac:dyDescent="0.3">
      <c r="A9" s="1"/>
      <c r="B9" s="1"/>
      <c r="C9" s="1"/>
      <c r="D9" s="1"/>
      <c r="E9" s="1"/>
      <c r="F9" s="1"/>
      <c r="G9" s="1"/>
      <c r="H9" s="1"/>
      <c r="I9" s="1"/>
      <c r="J9" s="1"/>
      <c r="K9" s="1"/>
      <c r="L9" s="1"/>
      <c r="M9" s="1"/>
      <c r="N9" s="1"/>
      <c r="O9" s="1"/>
      <c r="P9" s="1"/>
      <c r="Q9" s="1"/>
      <c r="R9" s="1"/>
      <c r="S9" s="1"/>
      <c r="T9" s="1"/>
      <c r="U9" s="1"/>
      <c r="V9" s="1"/>
      <c r="W9" s="1"/>
      <c r="X9" s="1"/>
      <c r="Y9" s="1"/>
      <c r="Z9" s="1"/>
    </row>
    <row r="10" spans="1:26" ht="18" x14ac:dyDescent="0.3">
      <c r="A10" s="2"/>
      <c r="B10" s="198" t="s">
        <v>5</v>
      </c>
      <c r="C10" s="194"/>
      <c r="D10" s="2"/>
      <c r="E10" s="2"/>
      <c r="F10" s="2"/>
      <c r="G10" s="2"/>
      <c r="H10" s="2"/>
      <c r="I10" s="2"/>
      <c r="J10" s="2"/>
      <c r="K10" s="2"/>
      <c r="L10" s="2"/>
      <c r="M10" s="2"/>
      <c r="N10" s="2"/>
      <c r="O10" s="2"/>
      <c r="P10" s="2"/>
      <c r="Q10" s="2"/>
      <c r="R10" s="2"/>
      <c r="S10" s="2"/>
      <c r="T10" s="2"/>
      <c r="U10" s="2"/>
      <c r="V10" s="2"/>
      <c r="W10" s="2"/>
      <c r="X10" s="2"/>
      <c r="Y10" s="2"/>
      <c r="Z10" s="2"/>
    </row>
    <row r="11" spans="1:26" ht="86.4" x14ac:dyDescent="0.3">
      <c r="A11" s="1"/>
      <c r="B11" s="1"/>
      <c r="C11" s="1" t="s">
        <v>6</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 x14ac:dyDescent="0.3">
      <c r="A13" s="2"/>
      <c r="B13" s="198" t="s">
        <v>7</v>
      </c>
      <c r="C13" s="194"/>
      <c r="D13" s="2"/>
      <c r="E13" s="2"/>
      <c r="F13" s="2"/>
      <c r="G13" s="2"/>
      <c r="H13" s="2"/>
      <c r="I13" s="2"/>
      <c r="J13" s="2"/>
      <c r="K13" s="2"/>
      <c r="L13" s="2"/>
      <c r="M13" s="2"/>
      <c r="N13" s="2"/>
      <c r="O13" s="2"/>
      <c r="P13" s="2"/>
      <c r="Q13" s="2"/>
      <c r="R13" s="2"/>
      <c r="S13" s="2"/>
      <c r="T13" s="2"/>
      <c r="U13" s="2"/>
      <c r="V13" s="2"/>
      <c r="W13" s="2"/>
      <c r="X13" s="2"/>
      <c r="Y13" s="2"/>
      <c r="Z13" s="2"/>
    </row>
    <row r="14" spans="1:26" ht="72" x14ac:dyDescent="0.3">
      <c r="A14" s="1"/>
      <c r="B14" s="1"/>
      <c r="C14" s="1" t="s">
        <v>8</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x14ac:dyDescent="0.3">
      <c r="A16" s="2"/>
      <c r="B16" s="199" t="s">
        <v>9</v>
      </c>
      <c r="C16" s="194"/>
      <c r="D16" s="2"/>
      <c r="E16" s="2"/>
      <c r="F16" s="2"/>
      <c r="G16" s="2"/>
      <c r="H16" s="2"/>
      <c r="I16" s="2"/>
      <c r="J16" s="2"/>
      <c r="K16" s="2"/>
      <c r="L16" s="2"/>
      <c r="M16" s="2"/>
      <c r="N16" s="2"/>
      <c r="O16" s="2"/>
      <c r="P16" s="2"/>
      <c r="Q16" s="2"/>
      <c r="R16" s="2"/>
      <c r="S16" s="2"/>
      <c r="T16" s="2"/>
      <c r="U16" s="2"/>
      <c r="V16" s="2"/>
      <c r="W16" s="2"/>
      <c r="X16" s="2"/>
      <c r="Y16" s="2"/>
      <c r="Z16" s="2"/>
    </row>
    <row r="17" spans="1:26" ht="43.2" x14ac:dyDescent="0.3">
      <c r="A17" s="1"/>
      <c r="B17" s="1"/>
      <c r="C17" s="1" t="s">
        <v>10</v>
      </c>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 x14ac:dyDescent="0.3">
      <c r="A19" s="2"/>
      <c r="B19" s="200" t="s">
        <v>11</v>
      </c>
      <c r="C19" s="194"/>
      <c r="D19" s="2"/>
      <c r="E19" s="2"/>
      <c r="F19" s="2"/>
      <c r="G19" s="2"/>
      <c r="H19" s="2"/>
      <c r="I19" s="2"/>
      <c r="J19" s="2"/>
      <c r="K19" s="2"/>
      <c r="L19" s="2"/>
      <c r="M19" s="2"/>
      <c r="N19" s="2"/>
      <c r="O19" s="2"/>
      <c r="P19" s="2"/>
      <c r="Q19" s="2"/>
      <c r="R19" s="2"/>
      <c r="S19" s="2"/>
      <c r="T19" s="2"/>
      <c r="U19" s="2"/>
      <c r="V19" s="2"/>
      <c r="W19" s="2"/>
      <c r="X19" s="2"/>
      <c r="Y19" s="2"/>
      <c r="Z19" s="2"/>
    </row>
    <row r="20" spans="1:26" ht="57.6" x14ac:dyDescent="0.3">
      <c r="A20" s="1"/>
      <c r="B20" s="1"/>
      <c r="C20" s="1" t="s">
        <v>12</v>
      </c>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2"/>
      <c r="B22" s="193" t="s">
        <v>13</v>
      </c>
      <c r="C22" s="194"/>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1"/>
      <c r="B23" s="1"/>
      <c r="C23" s="1" t="s">
        <v>14</v>
      </c>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2"/>
      <c r="B25" s="195" t="s">
        <v>15</v>
      </c>
      <c r="C25" s="194"/>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1"/>
      <c r="B26" s="1"/>
      <c r="C26" s="1" t="s">
        <v>16</v>
      </c>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2"/>
      <c r="B28" s="196" t="s">
        <v>17</v>
      </c>
      <c r="C28" s="194"/>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1"/>
      <c r="B29" s="1"/>
      <c r="C29" s="1" t="s">
        <v>18</v>
      </c>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2"/>
      <c r="B31" s="197" t="s">
        <v>19</v>
      </c>
      <c r="C31" s="194"/>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1"/>
      <c r="B32" s="1"/>
      <c r="C32" s="1" t="s">
        <v>20</v>
      </c>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1">
    <mergeCell ref="B22:C22"/>
    <mergeCell ref="B25:C25"/>
    <mergeCell ref="B28:C28"/>
    <mergeCell ref="B31:C31"/>
    <mergeCell ref="B2:C2"/>
    <mergeCell ref="B4:C4"/>
    <mergeCell ref="B7:C7"/>
    <mergeCell ref="B10:C10"/>
    <mergeCell ref="B13:C13"/>
    <mergeCell ref="B16:C16"/>
    <mergeCell ref="B19:C19"/>
  </mergeCells>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D1000"/>
  <sheetViews>
    <sheetView showGridLines="0" workbookViewId="0">
      <selection activeCell="B14" sqref="B14"/>
    </sheetView>
  </sheetViews>
  <sheetFormatPr defaultColWidth="14.44140625" defaultRowHeight="15" customHeight="1" x14ac:dyDescent="0.3"/>
  <cols>
    <col min="1" max="1" width="0.44140625" customWidth="1"/>
    <col min="2" max="2" width="40.33203125" customWidth="1"/>
    <col min="3" max="3" width="14.109375" hidden="1" customWidth="1"/>
    <col min="4" max="4" width="14.109375" customWidth="1"/>
  </cols>
  <sheetData>
    <row r="1" spans="1:4" ht="2.25" customHeight="1" x14ac:dyDescent="0.3"/>
    <row r="2" spans="1:4" ht="14.4" x14ac:dyDescent="0.3">
      <c r="A2" s="3"/>
      <c r="B2" s="201" t="s">
        <v>21</v>
      </c>
      <c r="C2" s="203" t="s">
        <v>22</v>
      </c>
      <c r="D2" s="174"/>
    </row>
    <row r="3" spans="1:4" thickBot="1" x14ac:dyDescent="0.35">
      <c r="A3" s="3"/>
      <c r="B3" s="202"/>
      <c r="C3" s="204"/>
      <c r="D3" s="6" t="s">
        <v>34</v>
      </c>
    </row>
    <row r="4" spans="1:4" ht="20.399999999999999" x14ac:dyDescent="0.3">
      <c r="A4" s="3"/>
      <c r="B4" s="7" t="s">
        <v>35</v>
      </c>
      <c r="C4" s="8">
        <v>33064.720000000001</v>
      </c>
      <c r="D4" s="8">
        <v>15514.559999999943</v>
      </c>
    </row>
    <row r="5" spans="1:4" ht="14.4" x14ac:dyDescent="0.3">
      <c r="A5" s="3"/>
      <c r="B5" s="9" t="s">
        <v>36</v>
      </c>
      <c r="C5" s="10">
        <v>1076.55</v>
      </c>
      <c r="D5" s="12">
        <v>3057.2</v>
      </c>
    </row>
    <row r="6" spans="1:4" ht="14.4" x14ac:dyDescent="0.3">
      <c r="A6" s="3"/>
      <c r="B6" s="9" t="s">
        <v>37</v>
      </c>
      <c r="C6" s="10">
        <v>582.42999999999995</v>
      </c>
      <c r="D6" s="12">
        <v>9212.389999999963</v>
      </c>
    </row>
    <row r="7" spans="1:4" ht="14.4" x14ac:dyDescent="0.3">
      <c r="A7" s="3"/>
      <c r="B7" s="9" t="s">
        <v>38</v>
      </c>
      <c r="C7" s="10">
        <v>31405.74</v>
      </c>
      <c r="D7" s="12">
        <v>741.95999999997662</v>
      </c>
    </row>
    <row r="8" spans="1:4" ht="14.4" x14ac:dyDescent="0.3">
      <c r="A8" s="3"/>
      <c r="B8" s="9" t="s">
        <v>39</v>
      </c>
      <c r="C8" s="10"/>
      <c r="D8" s="12">
        <v>2496.260000000002</v>
      </c>
    </row>
    <row r="9" spans="1:4" ht="14.4" x14ac:dyDescent="0.3">
      <c r="A9" s="3"/>
      <c r="B9" s="9" t="s">
        <v>40</v>
      </c>
      <c r="C9" s="10"/>
      <c r="D9" s="12">
        <v>6.75</v>
      </c>
    </row>
    <row r="10" spans="1:4" ht="14.4" x14ac:dyDescent="0.3">
      <c r="B10" s="13"/>
      <c r="D10" s="15"/>
    </row>
    <row r="11" spans="1:4" ht="15.75" customHeight="1" x14ac:dyDescent="0.3">
      <c r="B11" s="205" t="s">
        <v>2567</v>
      </c>
      <c r="C11" s="206"/>
      <c r="D11" s="207"/>
    </row>
    <row r="12" spans="1:4" ht="15.75" customHeight="1" x14ac:dyDescent="0.3">
      <c r="B12" s="208"/>
      <c r="C12" s="209"/>
      <c r="D12" s="210"/>
    </row>
    <row r="13" spans="1:4" ht="15" customHeight="1" x14ac:dyDescent="0.3">
      <c r="D13" s="14"/>
    </row>
    <row r="14" spans="1:4" ht="15" customHeight="1" x14ac:dyDescent="0.3">
      <c r="D14" s="173"/>
    </row>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B2:B3"/>
    <mergeCell ref="C2:C3"/>
    <mergeCell ref="B11:D12"/>
  </mergeCells>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M1000"/>
  <sheetViews>
    <sheetView showGridLines="0" workbookViewId="0">
      <selection activeCell="H17" sqref="H17"/>
    </sheetView>
  </sheetViews>
  <sheetFormatPr defaultColWidth="14.44140625" defaultRowHeight="15" customHeight="1" x14ac:dyDescent="0.3"/>
  <cols>
    <col min="1" max="1" width="0.44140625" customWidth="1"/>
    <col min="2" max="2" width="40.33203125" customWidth="1"/>
    <col min="3" max="4" width="14.109375" customWidth="1"/>
    <col min="5" max="13" width="8.6640625" customWidth="1"/>
  </cols>
  <sheetData>
    <row r="1" spans="1:13" ht="2.25" customHeight="1" x14ac:dyDescent="0.3"/>
    <row r="2" spans="1:13" ht="15" customHeight="1" x14ac:dyDescent="0.3">
      <c r="A2" s="3"/>
      <c r="B2" s="201" t="s">
        <v>3</v>
      </c>
      <c r="C2" s="211" t="s">
        <v>41</v>
      </c>
      <c r="D2" s="174"/>
    </row>
    <row r="3" spans="1:13" thickBot="1" x14ac:dyDescent="0.35">
      <c r="A3" s="3"/>
      <c r="B3" s="202"/>
      <c r="C3" s="204"/>
      <c r="D3" s="6" t="s">
        <v>34</v>
      </c>
    </row>
    <row r="4" spans="1:13" ht="19.5" customHeight="1" thickBot="1" x14ac:dyDescent="0.35">
      <c r="A4" s="3"/>
      <c r="B4" s="17" t="s">
        <v>42</v>
      </c>
      <c r="C4" s="18">
        <v>15514.560000000018</v>
      </c>
      <c r="D4" s="172">
        <v>601.52999999999884</v>
      </c>
      <c r="E4" s="3"/>
      <c r="F4" s="3"/>
      <c r="G4" s="3"/>
      <c r="H4" s="3"/>
      <c r="I4" s="3"/>
      <c r="J4" s="3"/>
      <c r="K4" s="3"/>
      <c r="L4" s="3"/>
      <c r="M4" s="3"/>
    </row>
    <row r="5" spans="1:13" ht="20.399999999999999" x14ac:dyDescent="0.3">
      <c r="A5" s="3"/>
      <c r="B5" s="19" t="s">
        <v>43</v>
      </c>
      <c r="C5" s="20" t="s">
        <v>44</v>
      </c>
      <c r="D5" s="21">
        <v>25865.699999999997</v>
      </c>
    </row>
    <row r="6" spans="1:13" ht="14.4" x14ac:dyDescent="0.3">
      <c r="A6" s="3"/>
      <c r="B6" s="9" t="s">
        <v>45</v>
      </c>
      <c r="C6" s="10">
        <v>10138.279999999992</v>
      </c>
      <c r="D6" s="11">
        <v>20062.199999999997</v>
      </c>
    </row>
    <row r="7" spans="1:13" ht="14.4" x14ac:dyDescent="0.3">
      <c r="A7" s="3"/>
      <c r="B7" s="9" t="s">
        <v>46</v>
      </c>
      <c r="C7" s="10">
        <v>790.28999999999814</v>
      </c>
      <c r="D7" s="11">
        <v>141.59999999999997</v>
      </c>
    </row>
    <row r="8" spans="1:13" ht="14.4" x14ac:dyDescent="0.3">
      <c r="A8" s="3"/>
      <c r="B8" s="9" t="s">
        <v>47</v>
      </c>
      <c r="C8" s="10">
        <v>1460.81</v>
      </c>
      <c r="D8" s="11">
        <v>174.4</v>
      </c>
    </row>
    <row r="9" spans="1:13" ht="14.4" x14ac:dyDescent="0.3">
      <c r="A9" s="3"/>
      <c r="B9" s="9" t="s">
        <v>48</v>
      </c>
      <c r="C9" s="10">
        <v>1527.5300000000007</v>
      </c>
      <c r="D9" s="11">
        <v>130</v>
      </c>
    </row>
    <row r="10" spans="1:13" ht="14.4" x14ac:dyDescent="0.3">
      <c r="A10" s="3"/>
      <c r="B10" s="9" t="s">
        <v>49</v>
      </c>
      <c r="C10" s="10">
        <v>1597.6499999999996</v>
      </c>
      <c r="D10" s="11">
        <v>235</v>
      </c>
    </row>
    <row r="11" spans="1:13" ht="14.4" x14ac:dyDescent="0.3">
      <c r="A11" s="3"/>
      <c r="B11" s="9" t="s">
        <v>50</v>
      </c>
      <c r="C11" s="10">
        <v>2.9103830456733704E-11</v>
      </c>
      <c r="D11" s="11">
        <v>5122.5</v>
      </c>
    </row>
    <row r="12" spans="1:13" ht="14.4" x14ac:dyDescent="0.3">
      <c r="C12" s="14"/>
    </row>
    <row r="13" spans="1:13" ht="20.399999999999999" x14ac:dyDescent="0.3">
      <c r="A13" s="3"/>
      <c r="B13" s="22" t="s">
        <v>51</v>
      </c>
      <c r="C13" s="23" t="s">
        <v>44</v>
      </c>
      <c r="D13" s="23">
        <v>25264.17</v>
      </c>
    </row>
    <row r="14" spans="1:13" ht="14.4" x14ac:dyDescent="0.3">
      <c r="A14" s="3"/>
      <c r="B14" s="9" t="s">
        <v>45</v>
      </c>
      <c r="C14" s="212" t="s">
        <v>44</v>
      </c>
      <c r="D14" s="11">
        <v>18740.71</v>
      </c>
    </row>
    <row r="15" spans="1:13" ht="14.4" x14ac:dyDescent="0.3">
      <c r="A15" s="3"/>
      <c r="B15" s="9" t="s">
        <v>52</v>
      </c>
      <c r="C15" s="213"/>
      <c r="D15" s="11">
        <v>114</v>
      </c>
    </row>
    <row r="16" spans="1:13" ht="14.4" x14ac:dyDescent="0.3">
      <c r="A16" s="3"/>
      <c r="B16" s="9" t="s">
        <v>53</v>
      </c>
      <c r="C16" s="213"/>
      <c r="D16" s="11">
        <v>4203.57</v>
      </c>
    </row>
    <row r="17" spans="1:4" ht="14.4" x14ac:dyDescent="0.3">
      <c r="A17" s="3"/>
      <c r="B17" s="9" t="s">
        <v>54</v>
      </c>
      <c r="C17" s="213"/>
      <c r="D17" s="11">
        <v>0</v>
      </c>
    </row>
    <row r="18" spans="1:4" ht="14.4" x14ac:dyDescent="0.3">
      <c r="A18" s="3"/>
      <c r="B18" s="9" t="s">
        <v>46</v>
      </c>
      <c r="C18" s="213"/>
      <c r="D18" s="11">
        <v>100</v>
      </c>
    </row>
    <row r="19" spans="1:4" ht="14.4" x14ac:dyDescent="0.3">
      <c r="A19" s="3"/>
      <c r="B19" s="9" t="s">
        <v>47</v>
      </c>
      <c r="C19" s="213"/>
      <c r="D19" s="11">
        <v>0</v>
      </c>
    </row>
    <row r="20" spans="1:4" ht="14.4" x14ac:dyDescent="0.3">
      <c r="A20" s="3"/>
      <c r="B20" s="9" t="s">
        <v>48</v>
      </c>
      <c r="C20" s="213"/>
      <c r="D20" s="11">
        <v>80</v>
      </c>
    </row>
    <row r="21" spans="1:4" ht="15.75" customHeight="1" x14ac:dyDescent="0.3">
      <c r="A21" s="3"/>
      <c r="B21" s="9" t="s">
        <v>49</v>
      </c>
      <c r="C21" s="213"/>
      <c r="D21" s="11">
        <v>0</v>
      </c>
    </row>
    <row r="22" spans="1:4" ht="15.75" customHeight="1" x14ac:dyDescent="0.3">
      <c r="A22" s="3"/>
      <c r="B22" s="9" t="s">
        <v>50</v>
      </c>
      <c r="C22" s="214"/>
      <c r="D22" s="11">
        <v>2025.8899999999999</v>
      </c>
    </row>
    <row r="23" spans="1:4" ht="15.75" customHeight="1" x14ac:dyDescent="0.3">
      <c r="C23" s="14"/>
    </row>
    <row r="24" spans="1:4" ht="15.75" customHeight="1" x14ac:dyDescent="0.3">
      <c r="B24" s="215" t="s">
        <v>55</v>
      </c>
      <c r="C24" s="206"/>
      <c r="D24" s="207"/>
    </row>
    <row r="25" spans="1:4" ht="15.75" customHeight="1" x14ac:dyDescent="0.3">
      <c r="B25" s="208"/>
      <c r="C25" s="209"/>
      <c r="D25" s="210"/>
    </row>
    <row r="26" spans="1:4" ht="15.75" customHeight="1" x14ac:dyDescent="0.3"/>
    <row r="27" spans="1:4" ht="15.75" customHeight="1" x14ac:dyDescent="0.3">
      <c r="C27" s="14"/>
    </row>
    <row r="28" spans="1:4" ht="15.75" customHeight="1" x14ac:dyDescent="0.3">
      <c r="C28" s="14"/>
    </row>
    <row r="29" spans="1:4" ht="15.75" customHeight="1" x14ac:dyDescent="0.3">
      <c r="C29" s="14"/>
    </row>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B3"/>
    <mergeCell ref="C2:C3"/>
    <mergeCell ref="C14:C22"/>
    <mergeCell ref="B24:D25"/>
  </mergeCells>
  <pageMargins left="0.511811024" right="0.511811024" top="0.78740157499999996" bottom="0.78740157499999996"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M1000"/>
  <sheetViews>
    <sheetView showGridLines="0" workbookViewId="0">
      <selection activeCell="G16" sqref="G16"/>
    </sheetView>
  </sheetViews>
  <sheetFormatPr defaultColWidth="14.44140625" defaultRowHeight="15" customHeight="1" x14ac:dyDescent="0.3"/>
  <cols>
    <col min="1" max="1" width="0.44140625" customWidth="1"/>
    <col min="2" max="2" width="40.33203125" customWidth="1"/>
    <col min="3" max="4" width="14.109375" customWidth="1"/>
    <col min="5" max="13" width="8.6640625" customWidth="1"/>
  </cols>
  <sheetData>
    <row r="1" spans="1:13" ht="2.25" customHeight="1" x14ac:dyDescent="0.3"/>
    <row r="2" spans="1:13" ht="15" customHeight="1" x14ac:dyDescent="0.3">
      <c r="A2" s="3"/>
      <c r="B2" s="201" t="s">
        <v>56</v>
      </c>
      <c r="C2" s="211" t="s">
        <v>41</v>
      </c>
      <c r="D2" s="174"/>
    </row>
    <row r="3" spans="1:13" thickBot="1" x14ac:dyDescent="0.35">
      <c r="A3" s="3"/>
      <c r="B3" s="202"/>
      <c r="C3" s="204"/>
      <c r="D3" s="6" t="s">
        <v>34</v>
      </c>
    </row>
    <row r="4" spans="1:13" ht="19.5" customHeight="1" thickBot="1" x14ac:dyDescent="0.35">
      <c r="A4" s="3"/>
      <c r="B4" s="17" t="s">
        <v>42</v>
      </c>
      <c r="C4" s="24">
        <v>3057.2</v>
      </c>
      <c r="D4" s="18">
        <v>-500</v>
      </c>
      <c r="E4" s="3"/>
      <c r="F4" s="3"/>
      <c r="G4" s="3"/>
      <c r="H4" s="3"/>
      <c r="I4" s="3"/>
      <c r="J4" s="3"/>
      <c r="K4" s="3"/>
      <c r="L4" s="3"/>
      <c r="M4" s="3"/>
    </row>
    <row r="5" spans="1:13" ht="20.399999999999999" x14ac:dyDescent="0.3">
      <c r="A5" s="3"/>
      <c r="B5" s="19" t="s">
        <v>43</v>
      </c>
      <c r="C5" s="25" t="s">
        <v>44</v>
      </c>
      <c r="D5" s="21">
        <v>0</v>
      </c>
    </row>
    <row r="6" spans="1:13" ht="14.4" x14ac:dyDescent="0.3">
      <c r="A6" s="3"/>
      <c r="B6" s="9" t="s">
        <v>57</v>
      </c>
      <c r="C6" s="11"/>
      <c r="D6" s="11">
        <v>0</v>
      </c>
    </row>
    <row r="7" spans="1:13" ht="14.4" x14ac:dyDescent="0.3">
      <c r="A7" s="3"/>
      <c r="B7" s="9" t="s">
        <v>58</v>
      </c>
      <c r="C7" s="11"/>
      <c r="D7" s="11">
        <v>0</v>
      </c>
    </row>
    <row r="8" spans="1:13" ht="14.4" x14ac:dyDescent="0.3">
      <c r="A8" s="3"/>
      <c r="B8" s="9" t="s">
        <v>59</v>
      </c>
      <c r="C8" s="11"/>
      <c r="D8" s="11">
        <v>0</v>
      </c>
    </row>
    <row r="9" spans="1:13" ht="14.4" x14ac:dyDescent="0.3">
      <c r="A9" s="3"/>
      <c r="B9" s="9" t="s">
        <v>60</v>
      </c>
      <c r="C9" s="11"/>
      <c r="D9" s="11">
        <v>0</v>
      </c>
    </row>
    <row r="10" spans="1:13" ht="14.4" x14ac:dyDescent="0.3">
      <c r="A10" s="3"/>
      <c r="B10" s="9" t="s">
        <v>61</v>
      </c>
      <c r="C10" s="11"/>
      <c r="D10" s="11">
        <v>0</v>
      </c>
    </row>
    <row r="11" spans="1:13" ht="14.4" x14ac:dyDescent="0.3">
      <c r="A11" s="3"/>
      <c r="B11" s="9" t="s">
        <v>62</v>
      </c>
      <c r="C11" s="11"/>
      <c r="D11" s="11">
        <v>0</v>
      </c>
    </row>
    <row r="12" spans="1:13" ht="14.4" x14ac:dyDescent="0.3">
      <c r="A12" s="3"/>
      <c r="B12" s="9" t="s">
        <v>62</v>
      </c>
      <c r="C12" s="11"/>
      <c r="D12" s="11">
        <v>0</v>
      </c>
    </row>
    <row r="13" spans="1:13" ht="14.4" x14ac:dyDescent="0.3">
      <c r="A13" s="3"/>
      <c r="B13" s="9" t="s">
        <v>63</v>
      </c>
      <c r="C13" s="11"/>
      <c r="D13" s="11">
        <v>0</v>
      </c>
    </row>
    <row r="14" spans="1:13" ht="14.4" x14ac:dyDescent="0.3">
      <c r="A14" s="3"/>
      <c r="B14" s="9" t="s">
        <v>64</v>
      </c>
      <c r="C14" s="11"/>
      <c r="D14" s="11">
        <v>0</v>
      </c>
    </row>
    <row r="16" spans="1:13" ht="20.399999999999999" x14ac:dyDescent="0.3">
      <c r="A16" s="3"/>
      <c r="B16" s="22" t="s">
        <v>51</v>
      </c>
      <c r="C16" s="26" t="s">
        <v>44</v>
      </c>
      <c r="D16" s="23">
        <v>500</v>
      </c>
    </row>
    <row r="17" spans="1:4" ht="14.4" x14ac:dyDescent="0.3">
      <c r="A17" s="3"/>
      <c r="B17" s="9" t="s">
        <v>65</v>
      </c>
      <c r="C17" s="11"/>
      <c r="D17" s="11">
        <v>0</v>
      </c>
    </row>
    <row r="18" spans="1:4" ht="14.4" x14ac:dyDescent="0.3">
      <c r="A18" s="3"/>
      <c r="B18" s="9" t="s">
        <v>65</v>
      </c>
      <c r="C18" s="11"/>
      <c r="D18" s="11">
        <v>0</v>
      </c>
    </row>
    <row r="19" spans="1:4" ht="14.4" x14ac:dyDescent="0.3">
      <c r="A19" s="3"/>
      <c r="B19" s="9" t="s">
        <v>65</v>
      </c>
      <c r="C19" s="11"/>
      <c r="D19" s="11">
        <v>0</v>
      </c>
    </row>
    <row r="20" spans="1:4" ht="14.4" x14ac:dyDescent="0.3">
      <c r="A20" s="3"/>
      <c r="B20" s="9" t="s">
        <v>63</v>
      </c>
      <c r="C20" s="11"/>
      <c r="D20" s="11">
        <v>0</v>
      </c>
    </row>
    <row r="21" spans="1:4" ht="15.75" customHeight="1" x14ac:dyDescent="0.3">
      <c r="A21" s="3"/>
      <c r="B21" s="9" t="s">
        <v>66</v>
      </c>
      <c r="C21" s="11"/>
      <c r="D21" s="11">
        <v>0</v>
      </c>
    </row>
    <row r="22" spans="1:4" ht="15.75" customHeight="1" x14ac:dyDescent="0.3">
      <c r="A22" s="3"/>
      <c r="B22" s="9" t="s">
        <v>66</v>
      </c>
      <c r="C22" s="11"/>
      <c r="D22" s="11">
        <v>0</v>
      </c>
    </row>
    <row r="23" spans="1:4" ht="15.75" customHeight="1" x14ac:dyDescent="0.3">
      <c r="A23" s="3"/>
      <c r="B23" s="9" t="s">
        <v>66</v>
      </c>
      <c r="C23" s="11"/>
      <c r="D23" s="11">
        <v>0</v>
      </c>
    </row>
    <row r="24" spans="1:4" ht="15.75" customHeight="1" x14ac:dyDescent="0.3">
      <c r="A24" s="3"/>
      <c r="B24" s="9" t="s">
        <v>67</v>
      </c>
      <c r="C24" s="11"/>
      <c r="D24" s="11">
        <v>500</v>
      </c>
    </row>
    <row r="25" spans="1:4" ht="15.75" customHeight="1" x14ac:dyDescent="0.3"/>
    <row r="26" spans="1:4" ht="37.5" customHeight="1" x14ac:dyDescent="0.3">
      <c r="B26" s="216" t="s">
        <v>68</v>
      </c>
      <c r="C26" s="217"/>
    </row>
    <row r="27" spans="1:4" ht="15.75" customHeight="1" x14ac:dyDescent="0.3"/>
    <row r="28" spans="1:4" ht="15.75" customHeight="1" x14ac:dyDescent="0.3"/>
    <row r="29" spans="1:4" ht="15.75" customHeight="1" x14ac:dyDescent="0.3"/>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B2:B3"/>
    <mergeCell ref="C2:C3"/>
    <mergeCell ref="B26:C26"/>
  </mergeCells>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N1002"/>
  <sheetViews>
    <sheetView showGridLines="0" topLeftCell="B1" workbookViewId="0">
      <selection activeCell="D17" sqref="D17"/>
    </sheetView>
  </sheetViews>
  <sheetFormatPr defaultColWidth="14.44140625" defaultRowHeight="15" customHeight="1" x14ac:dyDescent="0.3"/>
  <cols>
    <col min="1" max="1" width="0.44140625" customWidth="1"/>
    <col min="2" max="2" width="40.33203125" customWidth="1"/>
    <col min="3" max="3" width="14.109375" customWidth="1"/>
    <col min="4" max="14" width="8.6640625" customWidth="1"/>
  </cols>
  <sheetData>
    <row r="1" spans="1:14" ht="2.25" customHeight="1" x14ac:dyDescent="0.3"/>
    <row r="2" spans="1:14" ht="15" customHeight="1" x14ac:dyDescent="0.3">
      <c r="A2" s="3"/>
      <c r="B2" s="218" t="s">
        <v>69</v>
      </c>
      <c r="C2" s="174"/>
      <c r="D2" s="3"/>
    </row>
    <row r="3" spans="1:14" ht="14.4" x14ac:dyDescent="0.3">
      <c r="A3" s="3"/>
      <c r="B3" s="202"/>
      <c r="C3" s="27" t="s">
        <v>34</v>
      </c>
      <c r="D3" s="3"/>
    </row>
    <row r="4" spans="1:14" ht="19.5" customHeight="1" x14ac:dyDescent="0.3">
      <c r="A4" s="3"/>
      <c r="B4" s="17" t="s">
        <v>42</v>
      </c>
      <c r="C4" s="18">
        <v>500</v>
      </c>
      <c r="D4" s="28"/>
      <c r="E4" s="28"/>
      <c r="F4" s="28"/>
      <c r="G4" s="28"/>
      <c r="H4" s="28"/>
      <c r="I4" s="3"/>
      <c r="K4" s="3"/>
      <c r="L4" s="3"/>
      <c r="M4" s="3"/>
      <c r="N4" s="3"/>
    </row>
    <row r="5" spans="1:14" ht="20.399999999999999" x14ac:dyDescent="0.3">
      <c r="A5" s="3"/>
      <c r="B5" s="19" t="s">
        <v>70</v>
      </c>
      <c r="C5" s="20">
        <v>500</v>
      </c>
      <c r="D5" s="3"/>
    </row>
    <row r="6" spans="1:14" ht="14.4" x14ac:dyDescent="0.3">
      <c r="A6" s="3"/>
      <c r="B6" s="9" t="s">
        <v>37</v>
      </c>
      <c r="C6" s="11">
        <v>500</v>
      </c>
      <c r="D6" s="3"/>
    </row>
    <row r="7" spans="1:14" ht="14.4" x14ac:dyDescent="0.3">
      <c r="A7" s="3"/>
      <c r="B7" s="9" t="s">
        <v>38</v>
      </c>
      <c r="C7" s="11">
        <v>0</v>
      </c>
      <c r="D7" s="3"/>
    </row>
    <row r="8" spans="1:14" ht="14.4" x14ac:dyDescent="0.3">
      <c r="A8" s="3"/>
      <c r="B8" s="9" t="s">
        <v>39</v>
      </c>
      <c r="C8" s="11">
        <v>0</v>
      </c>
      <c r="D8" s="3"/>
      <c r="E8" s="14"/>
    </row>
    <row r="9" spans="1:14" ht="14.4" x14ac:dyDescent="0.3">
      <c r="A9" s="3"/>
      <c r="B9" s="9" t="s">
        <v>40</v>
      </c>
      <c r="C9" s="11">
        <v>0</v>
      </c>
      <c r="D9" s="3"/>
      <c r="E9" s="14"/>
    </row>
    <row r="11" spans="1:14" ht="20.399999999999999" x14ac:dyDescent="0.3">
      <c r="A11" s="3"/>
      <c r="B11" s="22" t="s">
        <v>71</v>
      </c>
      <c r="C11" s="23">
        <v>0</v>
      </c>
      <c r="D11" s="3"/>
    </row>
    <row r="12" spans="1:14" ht="14.4" x14ac:dyDescent="0.3">
      <c r="A12" s="3"/>
      <c r="B12" s="9" t="s">
        <v>37</v>
      </c>
      <c r="C12" s="11">
        <v>0</v>
      </c>
      <c r="D12" s="3"/>
    </row>
    <row r="13" spans="1:14" ht="14.4" x14ac:dyDescent="0.3">
      <c r="A13" s="3"/>
      <c r="B13" s="9" t="s">
        <v>38</v>
      </c>
      <c r="C13" s="11">
        <v>0</v>
      </c>
      <c r="D13" s="3"/>
    </row>
    <row r="14" spans="1:14" ht="14.4" x14ac:dyDescent="0.3">
      <c r="A14" s="3"/>
      <c r="B14" s="9" t="s">
        <v>39</v>
      </c>
      <c r="C14" s="11">
        <v>0</v>
      </c>
      <c r="D14" s="3"/>
      <c r="E14" s="14"/>
    </row>
    <row r="15" spans="1:14" ht="14.4" x14ac:dyDescent="0.3">
      <c r="A15" s="3"/>
      <c r="B15" s="9" t="s">
        <v>40</v>
      </c>
      <c r="C15" s="11">
        <v>0</v>
      </c>
      <c r="D15" s="3"/>
      <c r="E15" s="14"/>
    </row>
    <row r="17" spans="2:3" ht="14.4" x14ac:dyDescent="0.3">
      <c r="B17" s="216" t="s">
        <v>72</v>
      </c>
      <c r="C17" s="194"/>
    </row>
    <row r="19" spans="2:3" ht="15.75" customHeight="1" x14ac:dyDescent="0.3"/>
    <row r="20" spans="2:3" ht="15.75" customHeight="1" x14ac:dyDescent="0.3"/>
    <row r="21" spans="2:3" ht="15.75" customHeight="1" x14ac:dyDescent="0.3"/>
    <row r="22" spans="2:3" ht="15.75" customHeight="1" x14ac:dyDescent="0.3"/>
    <row r="23" spans="2:3" ht="15.75" customHeight="1" x14ac:dyDescent="0.3"/>
    <row r="24" spans="2:3" ht="15.75" customHeight="1" x14ac:dyDescent="0.3"/>
    <row r="25" spans="2:3" ht="15.75" customHeight="1" x14ac:dyDescent="0.3"/>
    <row r="26" spans="2:3" ht="15.75" customHeight="1" x14ac:dyDescent="0.3"/>
    <row r="27" spans="2:3" ht="15.75" customHeight="1" x14ac:dyDescent="0.3"/>
    <row r="28" spans="2:3" ht="15.75" customHeight="1" x14ac:dyDescent="0.3"/>
    <row r="29" spans="2:3" ht="15.75" customHeight="1" x14ac:dyDescent="0.3"/>
    <row r="30" spans="2:3" ht="15.75" customHeight="1" x14ac:dyDescent="0.3"/>
    <row r="31" spans="2:3" ht="15.75" customHeight="1" x14ac:dyDescent="0.3"/>
    <row r="32" spans="2: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2">
    <mergeCell ref="B2:B3"/>
    <mergeCell ref="B17:C17"/>
  </mergeCells>
  <pageMargins left="0.511811024" right="0.511811024" top="0.78740157499999996" bottom="0.78740157499999996"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0" width="14.109375" customWidth="1"/>
    <col min="21" max="21" width="34" customWidth="1"/>
    <col min="22" max="22" width="9" customWidth="1"/>
    <col min="23" max="23" width="12.6640625" customWidth="1"/>
    <col min="24" max="26" width="8.6640625" customWidth="1"/>
  </cols>
  <sheetData>
    <row r="1" spans="1:26" ht="2.25" customHeight="1" x14ac:dyDescent="0.3">
      <c r="A1" s="29"/>
      <c r="B1" s="29"/>
      <c r="C1" s="30"/>
      <c r="D1" s="30"/>
      <c r="E1" s="30"/>
      <c r="F1" s="30"/>
      <c r="G1" s="30"/>
      <c r="H1" s="30"/>
      <c r="I1" s="30"/>
      <c r="J1" s="30"/>
      <c r="K1" s="30"/>
      <c r="L1" s="30"/>
      <c r="M1" s="30"/>
      <c r="N1" s="30"/>
      <c r="O1" s="30"/>
      <c r="P1" s="30"/>
      <c r="Q1" s="30"/>
      <c r="R1" s="30"/>
      <c r="S1" s="30"/>
      <c r="T1" s="30"/>
      <c r="U1" s="30"/>
      <c r="V1" s="31"/>
      <c r="W1" s="32"/>
      <c r="X1" s="29"/>
      <c r="Y1" s="29"/>
      <c r="Z1" s="29"/>
    </row>
    <row r="2" spans="1:26" ht="15" customHeight="1" x14ac:dyDescent="0.3">
      <c r="A2" s="3"/>
      <c r="B2" s="219" t="s">
        <v>73</v>
      </c>
      <c r="C2" s="33"/>
      <c r="D2" s="34"/>
      <c r="E2" s="34"/>
      <c r="F2" s="34"/>
      <c r="G2" s="34"/>
      <c r="H2" s="34"/>
      <c r="I2" s="34"/>
      <c r="J2" s="34"/>
      <c r="K2" s="34"/>
      <c r="L2" s="34"/>
      <c r="M2" s="34"/>
      <c r="N2" s="34"/>
      <c r="O2" s="34"/>
      <c r="P2" s="34"/>
      <c r="Q2" s="34"/>
      <c r="R2" s="34"/>
      <c r="S2" s="34"/>
      <c r="T2" s="34"/>
      <c r="U2" s="34"/>
      <c r="V2" s="35"/>
      <c r="W2" s="32"/>
      <c r="X2" s="3"/>
      <c r="Y2" s="3"/>
      <c r="Z2" s="3"/>
    </row>
    <row r="3" spans="1:26" ht="15" customHeight="1" x14ac:dyDescent="0.3">
      <c r="A3" s="3"/>
      <c r="B3" s="202"/>
      <c r="C3" s="36"/>
      <c r="D3" s="37"/>
      <c r="E3" s="37"/>
      <c r="F3" s="37"/>
      <c r="G3" s="37"/>
      <c r="H3" s="37"/>
      <c r="I3" s="37"/>
      <c r="J3" s="37"/>
      <c r="K3" s="37"/>
      <c r="L3" s="37"/>
      <c r="M3" s="37"/>
      <c r="N3" s="37"/>
      <c r="O3" s="37"/>
      <c r="P3" s="37"/>
      <c r="Q3" s="37"/>
      <c r="R3" s="37"/>
      <c r="S3" s="37"/>
      <c r="T3" s="37"/>
      <c r="U3" s="37"/>
      <c r="V3" s="35"/>
      <c r="W3" s="38"/>
      <c r="X3" s="3"/>
      <c r="Y3" s="3"/>
      <c r="Z3" s="3"/>
    </row>
    <row r="4" spans="1:26" ht="19.5" customHeight="1" x14ac:dyDescent="0.3">
      <c r="A4" s="3"/>
      <c r="B4" s="220" t="s">
        <v>74</v>
      </c>
      <c r="C4" s="39"/>
      <c r="D4" s="39"/>
      <c r="E4" s="18">
        <f t="shared" ref="E4:F4" si="0">SUM(E6,E127,E147,E166,E170)</f>
        <v>13054.130000000003</v>
      </c>
      <c r="F4" s="18">
        <f t="shared" si="0"/>
        <v>16583.84</v>
      </c>
      <c r="G4" s="40"/>
      <c r="H4" s="222" t="s">
        <v>1</v>
      </c>
      <c r="I4" s="223" t="s">
        <v>75</v>
      </c>
      <c r="J4" s="41"/>
      <c r="K4" s="39"/>
      <c r="L4" s="18"/>
      <c r="M4" s="18"/>
      <c r="N4" s="18"/>
      <c r="O4" s="18"/>
      <c r="P4" s="18"/>
      <c r="Q4" s="18"/>
      <c r="R4" s="18"/>
      <c r="S4" s="18"/>
      <c r="T4" s="18"/>
      <c r="U4" s="39"/>
      <c r="V4" s="42"/>
      <c r="W4" s="32"/>
      <c r="X4" s="3"/>
      <c r="Y4" s="3"/>
      <c r="Z4" s="3"/>
    </row>
    <row r="5" spans="1:26" ht="15" customHeight="1" x14ac:dyDescent="0.3">
      <c r="A5" s="3"/>
      <c r="B5" s="221"/>
      <c r="C5" s="43" t="s">
        <v>76</v>
      </c>
      <c r="D5" s="43" t="s">
        <v>77</v>
      </c>
      <c r="E5" s="44" t="s">
        <v>78</v>
      </c>
      <c r="F5" s="44" t="s">
        <v>79</v>
      </c>
      <c r="G5" s="43" t="s">
        <v>80</v>
      </c>
      <c r="H5" s="204"/>
      <c r="I5" s="224"/>
      <c r="J5" s="43" t="s">
        <v>81</v>
      </c>
      <c r="K5" s="43" t="s">
        <v>82</v>
      </c>
      <c r="L5" s="43" t="s">
        <v>83</v>
      </c>
      <c r="M5" s="43" t="s">
        <v>84</v>
      </c>
      <c r="N5" s="43" t="s">
        <v>85</v>
      </c>
      <c r="O5" s="43" t="s">
        <v>86</v>
      </c>
      <c r="P5" s="43" t="s">
        <v>87</v>
      </c>
      <c r="Q5" s="43" t="s">
        <v>48</v>
      </c>
      <c r="R5" s="43" t="s">
        <v>88</v>
      </c>
      <c r="S5" s="43" t="s">
        <v>89</v>
      </c>
      <c r="T5" s="43" t="s">
        <v>90</v>
      </c>
      <c r="U5" s="43" t="s">
        <v>91</v>
      </c>
      <c r="V5" s="35"/>
      <c r="W5" s="45" t="s">
        <v>92</v>
      </c>
      <c r="X5" s="3"/>
      <c r="Y5" s="3"/>
      <c r="Z5" s="3"/>
    </row>
    <row r="6" spans="1:26" ht="19.5" customHeight="1" x14ac:dyDescent="0.3">
      <c r="A6" s="3"/>
      <c r="B6" s="46" t="s">
        <v>93</v>
      </c>
      <c r="C6" s="47">
        <v>10</v>
      </c>
      <c r="D6" s="47" t="s">
        <v>44</v>
      </c>
      <c r="E6" s="48">
        <f t="shared" ref="E6:F6" si="1">SUM(E7:E126)</f>
        <v>13054.130000000003</v>
      </c>
      <c r="F6" s="48">
        <f t="shared" si="1"/>
        <v>13681.150000000001</v>
      </c>
      <c r="G6" s="49" t="s">
        <v>44</v>
      </c>
      <c r="H6" s="50"/>
      <c r="I6" s="50"/>
      <c r="J6" s="51">
        <f>(COUNTIF(D7:D126,"Pendente")+COUNTIF(D7:D126,"Parcial"))/COUNTA(B7:B126)</f>
        <v>0.13131313131313133</v>
      </c>
      <c r="K6" s="51">
        <f>IFERROR(-(W6/E6),"Pendente info")</f>
        <v>9.9068264219829255E-2</v>
      </c>
      <c r="L6" s="48">
        <f t="shared" ref="L6:T6" si="2">SUMIF($D$7:$D$126,"OK",L7:L126)+SUMIF($D$7:$D$126,"Parcial",L7:L126)</f>
        <v>8523.3000000000029</v>
      </c>
      <c r="M6" s="48">
        <f t="shared" si="2"/>
        <v>2186.7299999999991</v>
      </c>
      <c r="N6" s="48">
        <f t="shared" si="2"/>
        <v>1157</v>
      </c>
      <c r="O6" s="48">
        <f t="shared" si="2"/>
        <v>224.11999999999995</v>
      </c>
      <c r="P6" s="48">
        <f t="shared" si="2"/>
        <v>150</v>
      </c>
      <c r="Q6" s="48">
        <f t="shared" si="2"/>
        <v>295</v>
      </c>
      <c r="R6" s="48">
        <f t="shared" si="2"/>
        <v>390</v>
      </c>
      <c r="S6" s="48">
        <f t="shared" si="2"/>
        <v>705</v>
      </c>
      <c r="T6" s="48">
        <f t="shared" si="2"/>
        <v>50</v>
      </c>
      <c r="U6" s="47" t="s">
        <v>44</v>
      </c>
      <c r="V6" s="35" t="str">
        <f t="shared" ref="V6:V126" si="3">IF(F6=SUM(L6:T6),"OK","Diferente")</f>
        <v>OK</v>
      </c>
      <c r="W6" s="38">
        <f>SUM(W7:W126)</f>
        <v>-1293.25</v>
      </c>
      <c r="X6" s="3"/>
      <c r="Y6" s="3"/>
      <c r="Z6" s="3"/>
    </row>
    <row r="7" spans="1:26" ht="15" customHeight="1" outlineLevel="1" x14ac:dyDescent="0.3">
      <c r="A7" s="3"/>
      <c r="B7" s="52" t="s">
        <v>94</v>
      </c>
      <c r="C7" s="53">
        <v>12</v>
      </c>
      <c r="D7" s="53" t="s">
        <v>95</v>
      </c>
      <c r="E7" s="11">
        <v>140.44</v>
      </c>
      <c r="F7" s="11">
        <f t="shared" ref="F7:F12" si="4">E7</f>
        <v>140.44</v>
      </c>
      <c r="G7" s="225" t="s">
        <v>96</v>
      </c>
      <c r="H7" s="54" t="s">
        <v>37</v>
      </c>
      <c r="I7" s="54"/>
      <c r="J7" s="55" t="s">
        <v>97</v>
      </c>
      <c r="K7" s="53"/>
      <c r="L7" s="11">
        <v>76.430000000000007</v>
      </c>
      <c r="M7" s="11">
        <v>24.57</v>
      </c>
      <c r="N7" s="11">
        <v>13</v>
      </c>
      <c r="O7" s="11">
        <v>1.44</v>
      </c>
      <c r="P7" s="11">
        <v>5</v>
      </c>
      <c r="Q7" s="11">
        <v>5</v>
      </c>
      <c r="R7" s="11">
        <v>15</v>
      </c>
      <c r="S7" s="11"/>
      <c r="T7" s="11"/>
      <c r="U7" s="56"/>
      <c r="V7" s="35" t="str">
        <f t="shared" si="3"/>
        <v>OK</v>
      </c>
      <c r="W7" s="38" t="str">
        <f t="shared" ref="W7:W126" si="5">IF(V7="Diferente",F7-SUM(L7:T7),"")</f>
        <v/>
      </c>
      <c r="X7" s="3"/>
      <c r="Y7" s="3"/>
      <c r="Z7" s="3"/>
    </row>
    <row r="8" spans="1:26" ht="15" customHeight="1" outlineLevel="1" x14ac:dyDescent="0.3">
      <c r="A8" s="3"/>
      <c r="B8" s="52" t="s">
        <v>98</v>
      </c>
      <c r="C8" s="53">
        <v>12</v>
      </c>
      <c r="D8" s="53" t="s">
        <v>95</v>
      </c>
      <c r="E8" s="11">
        <v>101.29</v>
      </c>
      <c r="F8" s="11">
        <f t="shared" si="4"/>
        <v>101.29</v>
      </c>
      <c r="G8" s="226"/>
      <c r="H8" s="54" t="s">
        <v>37</v>
      </c>
      <c r="I8" s="54"/>
      <c r="J8" s="55" t="s">
        <v>97</v>
      </c>
      <c r="K8" s="53"/>
      <c r="L8" s="11">
        <v>52.28</v>
      </c>
      <c r="M8" s="11">
        <v>24.57</v>
      </c>
      <c r="N8" s="11">
        <v>13</v>
      </c>
      <c r="O8" s="11">
        <v>1.44</v>
      </c>
      <c r="P8" s="11">
        <v>5</v>
      </c>
      <c r="Q8" s="11">
        <v>5</v>
      </c>
      <c r="R8" s="11"/>
      <c r="S8" s="11"/>
      <c r="T8" s="11"/>
      <c r="U8" s="56"/>
      <c r="V8" s="35" t="str">
        <f t="shared" si="3"/>
        <v>OK</v>
      </c>
      <c r="W8" s="38" t="str">
        <f t="shared" si="5"/>
        <v/>
      </c>
      <c r="X8" s="3"/>
      <c r="Y8" s="3"/>
      <c r="Z8" s="3"/>
    </row>
    <row r="9" spans="1:26" ht="15" customHeight="1" outlineLevel="1" x14ac:dyDescent="0.3">
      <c r="A9" s="3"/>
      <c r="B9" s="52" t="s">
        <v>99</v>
      </c>
      <c r="C9" s="53">
        <v>12</v>
      </c>
      <c r="D9" s="53" t="s">
        <v>95</v>
      </c>
      <c r="E9" s="11">
        <v>91.29</v>
      </c>
      <c r="F9" s="11">
        <f t="shared" si="4"/>
        <v>91.29</v>
      </c>
      <c r="G9" s="226"/>
      <c r="H9" s="54" t="s">
        <v>37</v>
      </c>
      <c r="I9" s="54"/>
      <c r="J9" s="55" t="s">
        <v>97</v>
      </c>
      <c r="K9" s="53"/>
      <c r="L9" s="11">
        <v>52.28</v>
      </c>
      <c r="M9" s="11">
        <v>24.57</v>
      </c>
      <c r="N9" s="11">
        <v>13</v>
      </c>
      <c r="O9" s="11">
        <v>1.44</v>
      </c>
      <c r="P9" s="11"/>
      <c r="Q9" s="11"/>
      <c r="R9" s="11"/>
      <c r="S9" s="11"/>
      <c r="T9" s="11"/>
      <c r="U9" s="56"/>
      <c r="V9" s="35" t="str">
        <f t="shared" si="3"/>
        <v>OK</v>
      </c>
      <c r="W9" s="38" t="str">
        <f t="shared" si="5"/>
        <v/>
      </c>
      <c r="X9" s="3"/>
      <c r="Y9" s="3"/>
      <c r="Z9" s="3"/>
    </row>
    <row r="10" spans="1:26" ht="15" customHeight="1" outlineLevel="1" x14ac:dyDescent="0.3">
      <c r="A10" s="3"/>
      <c r="B10" s="52" t="s">
        <v>100</v>
      </c>
      <c r="C10" s="53">
        <v>12</v>
      </c>
      <c r="D10" s="53" t="s">
        <v>95</v>
      </c>
      <c r="E10" s="11">
        <v>112.79</v>
      </c>
      <c r="F10" s="11">
        <f t="shared" si="4"/>
        <v>112.79</v>
      </c>
      <c r="G10" s="227"/>
      <c r="H10" s="54" t="s">
        <v>37</v>
      </c>
      <c r="I10" s="54"/>
      <c r="J10" s="55" t="s">
        <v>97</v>
      </c>
      <c r="K10" s="53"/>
      <c r="L10" s="11">
        <v>63.78</v>
      </c>
      <c r="M10" s="11">
        <v>24.57</v>
      </c>
      <c r="N10" s="11">
        <v>13</v>
      </c>
      <c r="O10" s="11">
        <v>1.44</v>
      </c>
      <c r="P10" s="11">
        <v>5</v>
      </c>
      <c r="Q10" s="11">
        <v>5</v>
      </c>
      <c r="R10" s="11"/>
      <c r="S10" s="11"/>
      <c r="T10" s="11"/>
      <c r="U10" s="56"/>
      <c r="V10" s="35" t="str">
        <f t="shared" si="3"/>
        <v>OK</v>
      </c>
      <c r="W10" s="38" t="str">
        <f t="shared" si="5"/>
        <v/>
      </c>
      <c r="X10" s="3"/>
      <c r="Y10" s="3"/>
      <c r="Z10" s="3"/>
    </row>
    <row r="11" spans="1:26" ht="15" customHeight="1" outlineLevel="1" x14ac:dyDescent="0.3">
      <c r="A11" s="3"/>
      <c r="B11" s="9" t="s">
        <v>101</v>
      </c>
      <c r="C11" s="53">
        <v>11</v>
      </c>
      <c r="D11" s="53" t="s">
        <v>95</v>
      </c>
      <c r="E11" s="11">
        <v>166.17</v>
      </c>
      <c r="F11" s="11">
        <f t="shared" si="4"/>
        <v>166.17</v>
      </c>
      <c r="G11" s="225" t="s">
        <v>102</v>
      </c>
      <c r="H11" s="54" t="s">
        <v>37</v>
      </c>
      <c r="I11" s="54"/>
      <c r="J11" s="55" t="s">
        <v>97</v>
      </c>
      <c r="K11" s="53"/>
      <c r="L11" s="11">
        <v>107.16</v>
      </c>
      <c r="M11" s="11">
        <v>24.57</v>
      </c>
      <c r="N11" s="11">
        <v>13</v>
      </c>
      <c r="O11" s="11">
        <v>1.44</v>
      </c>
      <c r="P11" s="11"/>
      <c r="Q11" s="11">
        <v>10</v>
      </c>
      <c r="R11" s="11">
        <v>10</v>
      </c>
      <c r="S11" s="11"/>
      <c r="T11" s="11"/>
      <c r="U11" s="56"/>
      <c r="V11" s="35" t="str">
        <f t="shared" si="3"/>
        <v>OK</v>
      </c>
      <c r="W11" s="38" t="str">
        <f t="shared" si="5"/>
        <v/>
      </c>
      <c r="X11" s="3"/>
      <c r="Y11" s="3"/>
      <c r="Z11" s="3"/>
    </row>
    <row r="12" spans="1:26" ht="15" customHeight="1" outlineLevel="1" x14ac:dyDescent="0.3">
      <c r="A12" s="3"/>
      <c r="B12" s="9" t="s">
        <v>103</v>
      </c>
      <c r="C12" s="53">
        <v>11</v>
      </c>
      <c r="D12" s="53" t="s">
        <v>95</v>
      </c>
      <c r="E12" s="11">
        <v>146.16999999999999</v>
      </c>
      <c r="F12" s="11">
        <f t="shared" si="4"/>
        <v>146.16999999999999</v>
      </c>
      <c r="G12" s="227"/>
      <c r="H12" s="54" t="s">
        <v>37</v>
      </c>
      <c r="I12" s="54"/>
      <c r="J12" s="55" t="s">
        <v>97</v>
      </c>
      <c r="K12" s="53"/>
      <c r="L12" s="11">
        <v>107.16</v>
      </c>
      <c r="M12" s="11">
        <v>24.57</v>
      </c>
      <c r="N12" s="11">
        <v>13</v>
      </c>
      <c r="O12" s="11">
        <v>1.44</v>
      </c>
      <c r="P12" s="11"/>
      <c r="Q12" s="11"/>
      <c r="R12" s="11"/>
      <c r="S12" s="11"/>
      <c r="T12" s="11"/>
      <c r="U12" s="56"/>
      <c r="V12" s="35" t="str">
        <f t="shared" si="3"/>
        <v>OK</v>
      </c>
      <c r="W12" s="38" t="str">
        <f t="shared" si="5"/>
        <v/>
      </c>
      <c r="X12" s="3"/>
      <c r="Y12" s="3"/>
      <c r="Z12" s="3"/>
    </row>
    <row r="13" spans="1:26" ht="15" customHeight="1" outlineLevel="1" x14ac:dyDescent="0.3">
      <c r="A13" s="3"/>
      <c r="B13" s="52" t="s">
        <v>104</v>
      </c>
      <c r="C13" s="53"/>
      <c r="D13" s="53" t="s">
        <v>105</v>
      </c>
      <c r="E13" s="11">
        <v>296.49</v>
      </c>
      <c r="F13" s="11">
        <v>0</v>
      </c>
      <c r="G13" s="225"/>
      <c r="H13" s="54"/>
      <c r="I13" s="54"/>
      <c r="J13" s="55" t="s">
        <v>97</v>
      </c>
      <c r="K13" s="53"/>
      <c r="L13" s="11">
        <v>127.48</v>
      </c>
      <c r="M13" s="11">
        <v>24.57</v>
      </c>
      <c r="N13" s="11">
        <v>13</v>
      </c>
      <c r="O13" s="11">
        <v>1.44</v>
      </c>
      <c r="P13" s="11">
        <v>10</v>
      </c>
      <c r="Q13" s="11">
        <v>20</v>
      </c>
      <c r="R13" s="11">
        <v>50</v>
      </c>
      <c r="S13" s="11">
        <v>50</v>
      </c>
      <c r="T13" s="11"/>
      <c r="U13" s="56"/>
      <c r="V13" s="35" t="str">
        <f t="shared" si="3"/>
        <v>Diferente</v>
      </c>
      <c r="W13" s="38">
        <f t="shared" si="5"/>
        <v>-296.49</v>
      </c>
      <c r="X13" s="3"/>
      <c r="Y13" s="3"/>
      <c r="Z13" s="3"/>
    </row>
    <row r="14" spans="1:26" ht="15" customHeight="1" outlineLevel="1" x14ac:dyDescent="0.3">
      <c r="A14" s="3"/>
      <c r="B14" s="52" t="s">
        <v>106</v>
      </c>
      <c r="C14" s="53"/>
      <c r="D14" s="53" t="s">
        <v>105</v>
      </c>
      <c r="E14" s="11">
        <v>189.29</v>
      </c>
      <c r="F14" s="11">
        <v>0</v>
      </c>
      <c r="G14" s="227"/>
      <c r="H14" s="54"/>
      <c r="I14" s="54"/>
      <c r="J14" s="55" t="s">
        <v>97</v>
      </c>
      <c r="K14" s="53"/>
      <c r="L14" s="11">
        <v>95.28</v>
      </c>
      <c r="M14" s="11">
        <v>24.57</v>
      </c>
      <c r="N14" s="11">
        <v>13</v>
      </c>
      <c r="O14" s="11">
        <v>1.44</v>
      </c>
      <c r="P14" s="11">
        <v>5</v>
      </c>
      <c r="Q14" s="11"/>
      <c r="R14" s="11"/>
      <c r="S14" s="11">
        <v>50</v>
      </c>
      <c r="T14" s="11"/>
      <c r="U14" s="56"/>
      <c r="V14" s="35" t="str">
        <f t="shared" si="3"/>
        <v>Diferente</v>
      </c>
      <c r="W14" s="38">
        <f t="shared" si="5"/>
        <v>-189.29</v>
      </c>
      <c r="X14" s="3"/>
      <c r="Y14" s="3"/>
      <c r="Z14" s="3"/>
    </row>
    <row r="15" spans="1:26" ht="15" customHeight="1" outlineLevel="1" x14ac:dyDescent="0.3">
      <c r="A15" s="3"/>
      <c r="B15" s="9" t="s">
        <v>107</v>
      </c>
      <c r="C15" s="53">
        <v>19</v>
      </c>
      <c r="D15" s="53" t="s">
        <v>95</v>
      </c>
      <c r="E15" s="11">
        <v>186.14</v>
      </c>
      <c r="F15" s="11">
        <f t="shared" ref="F15:F16" si="6">E15*2</f>
        <v>372.28</v>
      </c>
      <c r="G15" s="228" t="s">
        <v>108</v>
      </c>
      <c r="H15" s="54" t="s">
        <v>37</v>
      </c>
      <c r="I15" s="54"/>
      <c r="J15" s="55" t="s">
        <v>97</v>
      </c>
      <c r="K15" s="53"/>
      <c r="L15" s="11">
        <f>117.13+186.14</f>
        <v>303.27</v>
      </c>
      <c r="M15" s="11">
        <v>24.57</v>
      </c>
      <c r="N15" s="11">
        <v>13</v>
      </c>
      <c r="O15" s="11">
        <v>1.44</v>
      </c>
      <c r="P15" s="11">
        <v>5</v>
      </c>
      <c r="Q15" s="11">
        <v>5</v>
      </c>
      <c r="R15" s="11">
        <v>20</v>
      </c>
      <c r="S15" s="11"/>
      <c r="T15" s="11"/>
      <c r="U15" s="56"/>
      <c r="V15" s="35" t="str">
        <f t="shared" si="3"/>
        <v>OK</v>
      </c>
      <c r="W15" s="38" t="str">
        <f t="shared" si="5"/>
        <v/>
      </c>
      <c r="X15" s="3"/>
      <c r="Y15" s="3"/>
      <c r="Z15" s="3"/>
    </row>
    <row r="16" spans="1:26" ht="15" customHeight="1" outlineLevel="1" x14ac:dyDescent="0.3">
      <c r="A16" s="3"/>
      <c r="B16" s="9" t="s">
        <v>109</v>
      </c>
      <c r="C16" s="53">
        <v>19</v>
      </c>
      <c r="D16" s="53" t="s">
        <v>95</v>
      </c>
      <c r="E16" s="11">
        <v>95.99</v>
      </c>
      <c r="F16" s="11">
        <f t="shared" si="6"/>
        <v>191.98</v>
      </c>
      <c r="G16" s="227"/>
      <c r="H16" s="54" t="s">
        <v>37</v>
      </c>
      <c r="I16" s="54"/>
      <c r="J16" s="55" t="s">
        <v>97</v>
      </c>
      <c r="K16" s="53"/>
      <c r="L16" s="11">
        <f>46.98+95.99</f>
        <v>142.97</v>
      </c>
      <c r="M16" s="11">
        <v>24.57</v>
      </c>
      <c r="N16" s="11">
        <v>13</v>
      </c>
      <c r="O16" s="11">
        <v>1.44</v>
      </c>
      <c r="P16" s="11">
        <v>5</v>
      </c>
      <c r="Q16" s="11">
        <v>5</v>
      </c>
      <c r="R16" s="11"/>
      <c r="S16" s="11"/>
      <c r="T16" s="11"/>
      <c r="U16" s="56"/>
      <c r="V16" s="35" t="str">
        <f t="shared" si="3"/>
        <v>OK</v>
      </c>
      <c r="W16" s="38" t="str">
        <f t="shared" si="5"/>
        <v/>
      </c>
      <c r="X16" s="3"/>
      <c r="Y16" s="3"/>
      <c r="Z16" s="3"/>
    </row>
    <row r="17" spans="1:26" ht="15" customHeight="1" outlineLevel="1" x14ac:dyDescent="0.3">
      <c r="A17" s="3"/>
      <c r="B17" s="52" t="s">
        <v>110</v>
      </c>
      <c r="C17" s="53">
        <v>8</v>
      </c>
      <c r="D17" s="53" t="s">
        <v>95</v>
      </c>
      <c r="E17" s="11">
        <v>192.19</v>
      </c>
      <c r="F17" s="11">
        <f t="shared" ref="F17:F22" si="7">E17</f>
        <v>192.19</v>
      </c>
      <c r="G17" s="225" t="s">
        <v>111</v>
      </c>
      <c r="H17" s="54" t="s">
        <v>37</v>
      </c>
      <c r="I17" s="54"/>
      <c r="J17" s="55" t="s">
        <v>97</v>
      </c>
      <c r="K17" s="53"/>
      <c r="L17" s="11">
        <v>148.18</v>
      </c>
      <c r="M17" s="11">
        <v>24.57</v>
      </c>
      <c r="N17" s="11">
        <v>13</v>
      </c>
      <c r="O17" s="11">
        <v>1.44</v>
      </c>
      <c r="P17" s="11">
        <v>5</v>
      </c>
      <c r="Q17" s="11"/>
      <c r="R17" s="11"/>
      <c r="S17" s="11"/>
      <c r="T17" s="11"/>
      <c r="U17" s="56"/>
      <c r="V17" s="35" t="str">
        <f t="shared" si="3"/>
        <v>OK</v>
      </c>
      <c r="W17" s="38" t="str">
        <f t="shared" si="5"/>
        <v/>
      </c>
      <c r="X17" s="3"/>
      <c r="Y17" s="3"/>
      <c r="Z17" s="3"/>
    </row>
    <row r="18" spans="1:26" ht="15" customHeight="1" outlineLevel="1" x14ac:dyDescent="0.3">
      <c r="A18" s="3"/>
      <c r="B18" s="52" t="s">
        <v>112</v>
      </c>
      <c r="C18" s="53">
        <v>8</v>
      </c>
      <c r="D18" s="53" t="s">
        <v>95</v>
      </c>
      <c r="E18" s="11">
        <v>131.99</v>
      </c>
      <c r="F18" s="11">
        <f t="shared" si="7"/>
        <v>131.99</v>
      </c>
      <c r="G18" s="227"/>
      <c r="H18" s="54" t="s">
        <v>37</v>
      </c>
      <c r="I18" s="54"/>
      <c r="J18" s="55" t="s">
        <v>97</v>
      </c>
      <c r="K18" s="53"/>
      <c r="L18" s="11">
        <v>92.98</v>
      </c>
      <c r="M18" s="11">
        <v>24.57</v>
      </c>
      <c r="N18" s="11">
        <v>13</v>
      </c>
      <c r="O18" s="11">
        <v>1.44</v>
      </c>
      <c r="P18" s="11"/>
      <c r="Q18" s="11"/>
      <c r="R18" s="11"/>
      <c r="S18" s="11"/>
      <c r="T18" s="11"/>
      <c r="U18" s="56"/>
      <c r="V18" s="35" t="str">
        <f t="shared" si="3"/>
        <v>OK</v>
      </c>
      <c r="W18" s="38" t="str">
        <f t="shared" si="5"/>
        <v/>
      </c>
      <c r="X18" s="3"/>
      <c r="Y18" s="3"/>
      <c r="Z18" s="3"/>
    </row>
    <row r="19" spans="1:26" ht="15" customHeight="1" outlineLevel="1" x14ac:dyDescent="0.3">
      <c r="A19" s="3"/>
      <c r="B19" s="9" t="s">
        <v>113</v>
      </c>
      <c r="C19" s="53">
        <v>1</v>
      </c>
      <c r="D19" s="53" t="s">
        <v>95</v>
      </c>
      <c r="E19" s="11">
        <v>434.29</v>
      </c>
      <c r="F19" s="11">
        <f t="shared" si="7"/>
        <v>434.29</v>
      </c>
      <c r="G19" s="225" t="s">
        <v>114</v>
      </c>
      <c r="H19" s="54" t="s">
        <v>37</v>
      </c>
      <c r="I19" s="54"/>
      <c r="J19" s="55" t="s">
        <v>97</v>
      </c>
      <c r="K19" s="53"/>
      <c r="L19" s="11">
        <v>325.27999999999997</v>
      </c>
      <c r="M19" s="11">
        <v>24.57</v>
      </c>
      <c r="N19" s="11">
        <v>13</v>
      </c>
      <c r="O19" s="11">
        <v>11.44</v>
      </c>
      <c r="P19" s="11"/>
      <c r="Q19" s="11">
        <v>10</v>
      </c>
      <c r="R19" s="11"/>
      <c r="S19" s="11">
        <v>50</v>
      </c>
      <c r="T19" s="11"/>
      <c r="U19" s="56"/>
      <c r="V19" s="35" t="str">
        <f t="shared" si="3"/>
        <v>OK</v>
      </c>
      <c r="W19" s="38" t="str">
        <f t="shared" si="5"/>
        <v/>
      </c>
      <c r="X19" s="3"/>
      <c r="Y19" s="3"/>
      <c r="Z19" s="3"/>
    </row>
    <row r="20" spans="1:26" ht="15" customHeight="1" outlineLevel="1" x14ac:dyDescent="0.3">
      <c r="A20" s="3"/>
      <c r="B20" s="9" t="s">
        <v>115</v>
      </c>
      <c r="C20" s="53">
        <v>1</v>
      </c>
      <c r="D20" s="53" t="s">
        <v>95</v>
      </c>
      <c r="E20" s="11">
        <v>424.29</v>
      </c>
      <c r="F20" s="11">
        <f t="shared" si="7"/>
        <v>424.29</v>
      </c>
      <c r="G20" s="227"/>
      <c r="H20" s="54" t="s">
        <v>37</v>
      </c>
      <c r="I20" s="54"/>
      <c r="J20" s="55" t="s">
        <v>97</v>
      </c>
      <c r="K20" s="53"/>
      <c r="L20" s="11">
        <v>325.27999999999997</v>
      </c>
      <c r="M20" s="11">
        <v>24.57</v>
      </c>
      <c r="N20" s="11">
        <v>13</v>
      </c>
      <c r="O20" s="11">
        <v>1.44</v>
      </c>
      <c r="P20" s="11"/>
      <c r="Q20" s="11">
        <v>10</v>
      </c>
      <c r="R20" s="11"/>
      <c r="S20" s="11">
        <v>50</v>
      </c>
      <c r="T20" s="11"/>
      <c r="U20" s="56"/>
      <c r="V20" s="35" t="str">
        <f t="shared" si="3"/>
        <v>OK</v>
      </c>
      <c r="W20" s="38" t="str">
        <f t="shared" si="5"/>
        <v/>
      </c>
      <c r="X20" s="3"/>
      <c r="Y20" s="3"/>
      <c r="Z20" s="3"/>
    </row>
    <row r="21" spans="1:26" ht="15" customHeight="1" outlineLevel="1" x14ac:dyDescent="0.3">
      <c r="A21" s="3"/>
      <c r="B21" s="52" t="s">
        <v>116</v>
      </c>
      <c r="C21" s="53">
        <v>1</v>
      </c>
      <c r="D21" s="53" t="s">
        <v>95</v>
      </c>
      <c r="E21" s="11">
        <v>171.99</v>
      </c>
      <c r="F21" s="11">
        <f t="shared" si="7"/>
        <v>171.99</v>
      </c>
      <c r="G21" s="225" t="s">
        <v>117</v>
      </c>
      <c r="H21" s="54" t="s">
        <v>37</v>
      </c>
      <c r="I21" s="54"/>
      <c r="J21" s="55" t="s">
        <v>97</v>
      </c>
      <c r="K21" s="53"/>
      <c r="L21" s="11">
        <v>92.98</v>
      </c>
      <c r="M21" s="11">
        <v>24.57</v>
      </c>
      <c r="N21" s="11">
        <v>13</v>
      </c>
      <c r="O21" s="11">
        <v>1.44</v>
      </c>
      <c r="P21" s="11">
        <v>5</v>
      </c>
      <c r="Q21" s="11">
        <v>5</v>
      </c>
      <c r="R21" s="11"/>
      <c r="S21" s="11">
        <v>30</v>
      </c>
      <c r="T21" s="11"/>
      <c r="U21" s="56"/>
      <c r="V21" s="35" t="str">
        <f t="shared" si="3"/>
        <v>OK</v>
      </c>
      <c r="W21" s="38" t="str">
        <f t="shared" si="5"/>
        <v/>
      </c>
      <c r="X21" s="3"/>
      <c r="Y21" s="3"/>
      <c r="Z21" s="3"/>
    </row>
    <row r="22" spans="1:26" ht="15" customHeight="1" outlineLevel="1" x14ac:dyDescent="0.3">
      <c r="A22" s="3"/>
      <c r="B22" s="52" t="s">
        <v>118</v>
      </c>
      <c r="C22" s="53">
        <v>1</v>
      </c>
      <c r="D22" s="53" t="s">
        <v>95</v>
      </c>
      <c r="E22" s="11">
        <v>143.59</v>
      </c>
      <c r="F22" s="11">
        <f t="shared" si="7"/>
        <v>143.59</v>
      </c>
      <c r="G22" s="227"/>
      <c r="H22" s="54" t="s">
        <v>37</v>
      </c>
      <c r="I22" s="54"/>
      <c r="J22" s="55" t="s">
        <v>97</v>
      </c>
      <c r="K22" s="53"/>
      <c r="L22" s="11">
        <v>74.58</v>
      </c>
      <c r="M22" s="11">
        <v>24.57</v>
      </c>
      <c r="N22" s="11">
        <v>13</v>
      </c>
      <c r="O22" s="11">
        <v>1.44</v>
      </c>
      <c r="P22" s="11"/>
      <c r="Q22" s="11"/>
      <c r="R22" s="11"/>
      <c r="S22" s="11">
        <v>30</v>
      </c>
      <c r="T22" s="11"/>
      <c r="U22" s="56"/>
      <c r="V22" s="35" t="str">
        <f t="shared" si="3"/>
        <v>OK</v>
      </c>
      <c r="W22" s="38" t="str">
        <f t="shared" si="5"/>
        <v/>
      </c>
      <c r="X22" s="3"/>
      <c r="Y22" s="3"/>
      <c r="Z22" s="3"/>
    </row>
    <row r="23" spans="1:26" ht="15" customHeight="1" outlineLevel="1" x14ac:dyDescent="0.3">
      <c r="A23" s="3"/>
      <c r="B23" s="9" t="s">
        <v>119</v>
      </c>
      <c r="C23" s="53">
        <v>21</v>
      </c>
      <c r="D23" s="53" t="s">
        <v>95</v>
      </c>
      <c r="E23" s="11">
        <v>83.34</v>
      </c>
      <c r="F23" s="11">
        <f>E23*2+50</f>
        <v>216.68</v>
      </c>
      <c r="G23" s="228" t="s">
        <v>120</v>
      </c>
      <c r="H23" s="54" t="s">
        <v>37</v>
      </c>
      <c r="I23" s="54"/>
      <c r="J23" s="55"/>
      <c r="K23" s="11"/>
      <c r="L23" s="11">
        <f>34.33*2</f>
        <v>68.66</v>
      </c>
      <c r="M23" s="11">
        <f t="shared" ref="M23:M24" si="8">24.57*2</f>
        <v>49.14</v>
      </c>
      <c r="N23" s="11">
        <v>26</v>
      </c>
      <c r="O23" s="11">
        <v>2.88</v>
      </c>
      <c r="P23" s="11">
        <v>10</v>
      </c>
      <c r="Q23" s="11">
        <v>10</v>
      </c>
      <c r="R23" s="11"/>
      <c r="S23" s="11"/>
      <c r="T23" s="11">
        <v>50</v>
      </c>
      <c r="U23" s="56" t="s">
        <v>121</v>
      </c>
      <c r="V23" s="35" t="str">
        <f t="shared" si="3"/>
        <v>OK</v>
      </c>
      <c r="W23" s="38" t="str">
        <f t="shared" si="5"/>
        <v/>
      </c>
      <c r="X23" s="3"/>
      <c r="Y23" s="3"/>
      <c r="Z23" s="3"/>
    </row>
    <row r="24" spans="1:26" ht="15" customHeight="1" outlineLevel="1" x14ac:dyDescent="0.3">
      <c r="A24" s="3"/>
      <c r="B24" s="9" t="s">
        <v>122</v>
      </c>
      <c r="C24" s="53">
        <v>21</v>
      </c>
      <c r="D24" s="53" t="s">
        <v>95</v>
      </c>
      <c r="E24" s="11">
        <v>114.44</v>
      </c>
      <c r="F24" s="11">
        <f>E24*2</f>
        <v>228.88</v>
      </c>
      <c r="G24" s="227"/>
      <c r="H24" s="54" t="s">
        <v>37</v>
      </c>
      <c r="I24" s="54"/>
      <c r="J24" s="55"/>
      <c r="K24" s="11"/>
      <c r="L24" s="11">
        <f>50.43*2</f>
        <v>100.86</v>
      </c>
      <c r="M24" s="11">
        <f t="shared" si="8"/>
        <v>49.14</v>
      </c>
      <c r="N24" s="11">
        <v>26</v>
      </c>
      <c r="O24" s="11">
        <v>2.88</v>
      </c>
      <c r="P24" s="11">
        <v>10</v>
      </c>
      <c r="Q24" s="11">
        <v>10</v>
      </c>
      <c r="R24" s="11"/>
      <c r="S24" s="11">
        <v>30</v>
      </c>
      <c r="T24" s="11"/>
      <c r="U24" s="56"/>
      <c r="V24" s="35" t="str">
        <f t="shared" si="3"/>
        <v>OK</v>
      </c>
      <c r="W24" s="38" t="str">
        <f t="shared" si="5"/>
        <v/>
      </c>
      <c r="X24" s="3"/>
      <c r="Y24" s="3"/>
      <c r="Z24" s="3"/>
    </row>
    <row r="25" spans="1:26" ht="15" customHeight="1" outlineLevel="1" x14ac:dyDescent="0.3">
      <c r="A25" s="3"/>
      <c r="B25" s="52" t="s">
        <v>123</v>
      </c>
      <c r="C25" s="53"/>
      <c r="D25" s="53" t="s">
        <v>105</v>
      </c>
      <c r="E25" s="11">
        <v>160.4</v>
      </c>
      <c r="F25" s="11">
        <v>0</v>
      </c>
      <c r="G25" s="225"/>
      <c r="H25" s="54"/>
      <c r="I25" s="54"/>
      <c r="J25" s="55"/>
      <c r="K25" s="11"/>
      <c r="L25" s="11">
        <v>106.39</v>
      </c>
      <c r="M25" s="11">
        <v>24.57</v>
      </c>
      <c r="N25" s="11">
        <v>13</v>
      </c>
      <c r="O25" s="11">
        <v>6.44</v>
      </c>
      <c r="P25" s="11"/>
      <c r="Q25" s="11">
        <v>10</v>
      </c>
      <c r="R25" s="11"/>
      <c r="S25" s="11"/>
      <c r="T25" s="11"/>
      <c r="U25" s="56"/>
      <c r="V25" s="35" t="str">
        <f t="shared" si="3"/>
        <v>Diferente</v>
      </c>
      <c r="W25" s="38">
        <f t="shared" si="5"/>
        <v>-160.4</v>
      </c>
      <c r="X25" s="3"/>
      <c r="Y25" s="3"/>
      <c r="Z25" s="3"/>
    </row>
    <row r="26" spans="1:26" ht="15" customHeight="1" outlineLevel="1" x14ac:dyDescent="0.3">
      <c r="A26" s="3"/>
      <c r="B26" s="52" t="s">
        <v>124</v>
      </c>
      <c r="C26" s="53"/>
      <c r="D26" s="53" t="s">
        <v>105</v>
      </c>
      <c r="E26" s="11">
        <v>118.35</v>
      </c>
      <c r="F26" s="11">
        <v>0</v>
      </c>
      <c r="G26" s="227"/>
      <c r="H26" s="54"/>
      <c r="I26" s="54"/>
      <c r="J26" s="55"/>
      <c r="K26" s="11"/>
      <c r="L26" s="11">
        <v>79.34</v>
      </c>
      <c r="M26" s="11">
        <v>24.57</v>
      </c>
      <c r="N26" s="11">
        <v>13</v>
      </c>
      <c r="O26" s="11">
        <v>1.44</v>
      </c>
      <c r="P26" s="11"/>
      <c r="Q26" s="11"/>
      <c r="R26" s="11"/>
      <c r="S26" s="11"/>
      <c r="T26" s="11"/>
      <c r="U26" s="56"/>
      <c r="V26" s="35" t="str">
        <f t="shared" si="3"/>
        <v>Diferente</v>
      </c>
      <c r="W26" s="38">
        <f t="shared" si="5"/>
        <v>-118.35</v>
      </c>
      <c r="X26" s="3"/>
      <c r="Y26" s="3"/>
      <c r="Z26" s="3"/>
    </row>
    <row r="27" spans="1:26" ht="15" customHeight="1" outlineLevel="1" x14ac:dyDescent="0.3">
      <c r="A27" s="3"/>
      <c r="B27" s="9" t="s">
        <v>125</v>
      </c>
      <c r="C27" s="53">
        <v>4</v>
      </c>
      <c r="D27" s="53" t="s">
        <v>95</v>
      </c>
      <c r="E27" s="11">
        <v>150</v>
      </c>
      <c r="F27" s="11">
        <v>645</v>
      </c>
      <c r="G27" s="57" t="s">
        <v>126</v>
      </c>
      <c r="H27" s="54" t="s">
        <v>37</v>
      </c>
      <c r="I27" s="54"/>
      <c r="J27" s="55"/>
      <c r="K27" s="11"/>
      <c r="L27" s="11">
        <f>110.43+(645-150)</f>
        <v>605.43000000000006</v>
      </c>
      <c r="M27" s="11">
        <v>24.57</v>
      </c>
      <c r="N27" s="11">
        <v>13</v>
      </c>
      <c r="O27" s="11">
        <v>2</v>
      </c>
      <c r="P27" s="11"/>
      <c r="Q27" s="11"/>
      <c r="R27" s="11"/>
      <c r="S27" s="11"/>
      <c r="T27" s="11"/>
      <c r="U27" s="56"/>
      <c r="V27" s="35" t="str">
        <f t="shared" si="3"/>
        <v>OK</v>
      </c>
      <c r="W27" s="38" t="str">
        <f t="shared" si="5"/>
        <v/>
      </c>
      <c r="X27" s="3"/>
      <c r="Y27" s="3"/>
      <c r="Z27" s="3"/>
    </row>
    <row r="28" spans="1:26" ht="15" customHeight="1" outlineLevel="1" x14ac:dyDescent="0.3">
      <c r="A28" s="3"/>
      <c r="B28" s="52" t="s">
        <v>127</v>
      </c>
      <c r="C28" s="53">
        <v>18</v>
      </c>
      <c r="D28" s="53" t="s">
        <v>95</v>
      </c>
      <c r="E28" s="11">
        <v>205.79</v>
      </c>
      <c r="F28" s="11">
        <f>E28</f>
        <v>205.79</v>
      </c>
      <c r="G28" s="228" t="s">
        <v>128</v>
      </c>
      <c r="H28" s="54" t="s">
        <v>37</v>
      </c>
      <c r="I28" s="54"/>
      <c r="J28" s="55"/>
      <c r="K28" s="11"/>
      <c r="L28" s="11">
        <f>106.78-37</f>
        <v>69.78</v>
      </c>
      <c r="M28" s="11">
        <v>24.57</v>
      </c>
      <c r="N28" s="11">
        <v>13</v>
      </c>
      <c r="O28" s="11">
        <v>11.44</v>
      </c>
      <c r="P28" s="11">
        <v>5</v>
      </c>
      <c r="Q28" s="11">
        <v>5</v>
      </c>
      <c r="R28" s="11">
        <v>10</v>
      </c>
      <c r="S28" s="11">
        <v>30</v>
      </c>
      <c r="T28" s="11"/>
      <c r="U28" s="56"/>
      <c r="V28" s="35" t="str">
        <f t="shared" si="3"/>
        <v>Diferente</v>
      </c>
      <c r="W28" s="38">
        <f t="shared" si="5"/>
        <v>37</v>
      </c>
      <c r="X28" s="3"/>
      <c r="Y28" s="3"/>
      <c r="Z28" s="3"/>
    </row>
    <row r="29" spans="1:26" ht="15" customHeight="1" outlineLevel="1" x14ac:dyDescent="0.3">
      <c r="A29" s="3"/>
      <c r="B29" s="52" t="s">
        <v>129</v>
      </c>
      <c r="C29" s="53">
        <v>18</v>
      </c>
      <c r="D29" s="53" t="s">
        <v>130</v>
      </c>
      <c r="E29" s="11">
        <v>195.79</v>
      </c>
      <c r="F29" s="11">
        <f>264.58-F28</f>
        <v>58.789999999999992</v>
      </c>
      <c r="G29" s="227"/>
      <c r="H29" s="54" t="s">
        <v>37</v>
      </c>
      <c r="I29" s="54"/>
      <c r="J29" s="55"/>
      <c r="K29" s="11"/>
      <c r="L29" s="11">
        <f>106.78-100</f>
        <v>6.7800000000000011</v>
      </c>
      <c r="M29" s="11">
        <v>24.57</v>
      </c>
      <c r="N29" s="11">
        <v>13</v>
      </c>
      <c r="O29" s="11">
        <v>1.44</v>
      </c>
      <c r="P29" s="11">
        <v>5</v>
      </c>
      <c r="Q29" s="11">
        <v>5</v>
      </c>
      <c r="R29" s="11">
        <v>10</v>
      </c>
      <c r="S29" s="11">
        <v>30</v>
      </c>
      <c r="T29" s="11"/>
      <c r="U29" s="56"/>
      <c r="V29" s="35" t="str">
        <f t="shared" si="3"/>
        <v>Diferente</v>
      </c>
      <c r="W29" s="38">
        <f t="shared" si="5"/>
        <v>-37</v>
      </c>
      <c r="X29" s="3"/>
      <c r="Y29" s="3"/>
      <c r="Z29" s="3"/>
    </row>
    <row r="30" spans="1:26" ht="15" customHeight="1" outlineLevel="1" x14ac:dyDescent="0.3">
      <c r="A30" s="3"/>
      <c r="B30" s="9" t="s">
        <v>131</v>
      </c>
      <c r="C30" s="53">
        <v>5</v>
      </c>
      <c r="D30" s="53" t="s">
        <v>95</v>
      </c>
      <c r="E30" s="11">
        <v>207.69</v>
      </c>
      <c r="F30" s="11">
        <f t="shared" ref="F30:F31" si="9">E30</f>
        <v>207.69</v>
      </c>
      <c r="G30" s="225" t="s">
        <v>132</v>
      </c>
      <c r="H30" s="54" t="s">
        <v>37</v>
      </c>
      <c r="I30" s="54"/>
      <c r="J30" s="55"/>
      <c r="K30" s="11"/>
      <c r="L30" s="11">
        <v>113.68</v>
      </c>
      <c r="M30" s="11">
        <v>24.57</v>
      </c>
      <c r="N30" s="11">
        <v>13</v>
      </c>
      <c r="O30" s="11">
        <v>1.44</v>
      </c>
      <c r="P30" s="11">
        <v>5</v>
      </c>
      <c r="Q30" s="11">
        <v>10</v>
      </c>
      <c r="R30" s="11">
        <v>10</v>
      </c>
      <c r="S30" s="11">
        <v>30</v>
      </c>
      <c r="T30" s="11"/>
      <c r="U30" s="56"/>
      <c r="V30" s="35" t="str">
        <f t="shared" si="3"/>
        <v>OK</v>
      </c>
      <c r="W30" s="38" t="str">
        <f t="shared" si="5"/>
        <v/>
      </c>
      <c r="X30" s="3"/>
      <c r="Y30" s="3"/>
      <c r="Z30" s="3"/>
    </row>
    <row r="31" spans="1:26" ht="15" customHeight="1" outlineLevel="1" x14ac:dyDescent="0.3">
      <c r="A31" s="3"/>
      <c r="B31" s="9" t="s">
        <v>133</v>
      </c>
      <c r="C31" s="53">
        <v>5</v>
      </c>
      <c r="D31" s="53" t="s">
        <v>95</v>
      </c>
      <c r="E31" s="11">
        <v>156.69</v>
      </c>
      <c r="F31" s="11">
        <f t="shared" si="9"/>
        <v>156.69</v>
      </c>
      <c r="G31" s="227"/>
      <c r="H31" s="54" t="s">
        <v>37</v>
      </c>
      <c r="I31" s="54"/>
      <c r="J31" s="55"/>
      <c r="K31" s="11"/>
      <c r="L31" s="11">
        <v>67.680000000000007</v>
      </c>
      <c r="M31" s="11">
        <v>24.57</v>
      </c>
      <c r="N31" s="11">
        <v>13</v>
      </c>
      <c r="O31" s="11">
        <v>1.44</v>
      </c>
      <c r="P31" s="11"/>
      <c r="Q31" s="11">
        <v>10</v>
      </c>
      <c r="R31" s="11">
        <v>10</v>
      </c>
      <c r="S31" s="11">
        <v>30</v>
      </c>
      <c r="T31" s="11"/>
      <c r="U31" s="56"/>
      <c r="V31" s="35" t="str">
        <f t="shared" si="3"/>
        <v>OK</v>
      </c>
      <c r="W31" s="38" t="str">
        <f t="shared" si="5"/>
        <v/>
      </c>
      <c r="X31" s="3"/>
      <c r="Y31" s="3"/>
      <c r="Z31" s="3"/>
    </row>
    <row r="32" spans="1:26" ht="15" customHeight="1" outlineLevel="1" x14ac:dyDescent="0.3">
      <c r="A32" s="3"/>
      <c r="B32" s="52" t="s">
        <v>134</v>
      </c>
      <c r="C32" s="53"/>
      <c r="D32" s="53" t="s">
        <v>105</v>
      </c>
      <c r="E32" s="11">
        <v>123.99</v>
      </c>
      <c r="F32" s="11">
        <v>0</v>
      </c>
      <c r="G32" s="225"/>
      <c r="H32" s="54"/>
      <c r="I32" s="54"/>
      <c r="J32" s="55" t="s">
        <v>97</v>
      </c>
      <c r="K32" s="11"/>
      <c r="L32" s="11">
        <v>69.98</v>
      </c>
      <c r="M32" s="11">
        <v>24.57</v>
      </c>
      <c r="N32" s="11">
        <v>13</v>
      </c>
      <c r="O32" s="11">
        <v>1.44</v>
      </c>
      <c r="P32" s="11">
        <v>5</v>
      </c>
      <c r="Q32" s="11"/>
      <c r="R32" s="11">
        <v>10</v>
      </c>
      <c r="S32" s="11"/>
      <c r="T32" s="11"/>
      <c r="U32" s="56"/>
      <c r="V32" s="35" t="str">
        <f t="shared" si="3"/>
        <v>Diferente</v>
      </c>
      <c r="W32" s="38">
        <f t="shared" si="5"/>
        <v>-123.99000000000001</v>
      </c>
      <c r="X32" s="3"/>
      <c r="Y32" s="3"/>
      <c r="Z32" s="3"/>
    </row>
    <row r="33" spans="1:26" ht="15" customHeight="1" outlineLevel="1" x14ac:dyDescent="0.3">
      <c r="A33" s="3"/>
      <c r="B33" s="52" t="s">
        <v>135</v>
      </c>
      <c r="C33" s="53"/>
      <c r="D33" s="53" t="s">
        <v>105</v>
      </c>
      <c r="E33" s="11">
        <v>118.99</v>
      </c>
      <c r="F33" s="11">
        <v>0</v>
      </c>
      <c r="G33" s="227"/>
      <c r="H33" s="54"/>
      <c r="I33" s="54"/>
      <c r="J33" s="55" t="s">
        <v>97</v>
      </c>
      <c r="K33" s="11"/>
      <c r="L33" s="11">
        <v>69.98</v>
      </c>
      <c r="M33" s="11">
        <v>24.57</v>
      </c>
      <c r="N33" s="11">
        <v>13</v>
      </c>
      <c r="O33" s="11">
        <v>1.44</v>
      </c>
      <c r="P33" s="11"/>
      <c r="Q33" s="11"/>
      <c r="R33" s="11">
        <v>10</v>
      </c>
      <c r="S33" s="11"/>
      <c r="T33" s="11"/>
      <c r="U33" s="56"/>
      <c r="V33" s="35" t="str">
        <f t="shared" si="3"/>
        <v>Diferente</v>
      </c>
      <c r="W33" s="38">
        <f t="shared" si="5"/>
        <v>-118.99000000000001</v>
      </c>
      <c r="X33" s="3"/>
      <c r="Y33" s="3"/>
      <c r="Z33" s="3"/>
    </row>
    <row r="34" spans="1:26" ht="15" customHeight="1" outlineLevel="1" x14ac:dyDescent="0.3">
      <c r="A34" s="3"/>
      <c r="B34" s="9" t="s">
        <v>136</v>
      </c>
      <c r="C34" s="53">
        <v>12</v>
      </c>
      <c r="D34" s="53" t="s">
        <v>95</v>
      </c>
      <c r="E34" s="11">
        <v>172.79</v>
      </c>
      <c r="F34" s="11">
        <f t="shared" ref="F34:F37" si="10">E34</f>
        <v>172.79</v>
      </c>
      <c r="G34" s="225" t="s">
        <v>137</v>
      </c>
      <c r="H34" s="54" t="s">
        <v>37</v>
      </c>
      <c r="I34" s="54"/>
      <c r="J34" s="55" t="s">
        <v>97</v>
      </c>
      <c r="K34" s="11"/>
      <c r="L34" s="11">
        <v>83.78</v>
      </c>
      <c r="M34" s="11">
        <v>24.57</v>
      </c>
      <c r="N34" s="11">
        <v>13</v>
      </c>
      <c r="O34" s="11">
        <v>1.44</v>
      </c>
      <c r="P34" s="11"/>
      <c r="Q34" s="11"/>
      <c r="R34" s="11"/>
      <c r="S34" s="11">
        <v>50</v>
      </c>
      <c r="T34" s="11"/>
      <c r="U34" s="56"/>
      <c r="V34" s="35" t="str">
        <f t="shared" si="3"/>
        <v>OK</v>
      </c>
      <c r="W34" s="38" t="str">
        <f t="shared" si="5"/>
        <v/>
      </c>
      <c r="X34" s="3"/>
      <c r="Y34" s="3"/>
      <c r="Z34" s="3"/>
    </row>
    <row r="35" spans="1:26" ht="15" customHeight="1" outlineLevel="1" x14ac:dyDescent="0.3">
      <c r="A35" s="3"/>
      <c r="B35" s="9" t="s">
        <v>138</v>
      </c>
      <c r="C35" s="53">
        <v>12</v>
      </c>
      <c r="D35" s="53" t="s">
        <v>95</v>
      </c>
      <c r="E35" s="11">
        <v>230.74</v>
      </c>
      <c r="F35" s="11">
        <f t="shared" si="10"/>
        <v>230.74</v>
      </c>
      <c r="G35" s="227"/>
      <c r="H35" s="54" t="s">
        <v>37</v>
      </c>
      <c r="I35" s="54"/>
      <c r="J35" s="55" t="s">
        <v>97</v>
      </c>
      <c r="K35" s="11"/>
      <c r="L35" s="11">
        <v>121.73</v>
      </c>
      <c r="M35" s="11">
        <v>24.57</v>
      </c>
      <c r="N35" s="11">
        <v>13</v>
      </c>
      <c r="O35" s="11">
        <v>11.44</v>
      </c>
      <c r="P35" s="11"/>
      <c r="Q35" s="11">
        <v>10</v>
      </c>
      <c r="R35" s="11"/>
      <c r="S35" s="11">
        <v>50</v>
      </c>
      <c r="T35" s="11"/>
      <c r="U35" s="56"/>
      <c r="V35" s="35" t="str">
        <f t="shared" si="3"/>
        <v>OK</v>
      </c>
      <c r="W35" s="38" t="str">
        <f t="shared" si="5"/>
        <v/>
      </c>
      <c r="X35" s="3"/>
      <c r="Y35" s="3"/>
      <c r="Z35" s="3"/>
    </row>
    <row r="36" spans="1:26" ht="15" customHeight="1" outlineLevel="1" x14ac:dyDescent="0.3">
      <c r="A36" s="3"/>
      <c r="B36" s="52" t="s">
        <v>139</v>
      </c>
      <c r="C36" s="53">
        <v>15</v>
      </c>
      <c r="D36" s="53" t="s">
        <v>95</v>
      </c>
      <c r="E36" s="11">
        <v>196.2</v>
      </c>
      <c r="F36" s="11">
        <f t="shared" si="10"/>
        <v>196.2</v>
      </c>
      <c r="G36" s="58"/>
      <c r="H36" s="54" t="s">
        <v>37</v>
      </c>
      <c r="I36" s="54"/>
      <c r="J36" s="55" t="s">
        <v>97</v>
      </c>
      <c r="K36" s="11"/>
      <c r="L36" s="11">
        <v>128.63</v>
      </c>
      <c r="M36" s="11">
        <v>24.57</v>
      </c>
      <c r="N36" s="11">
        <v>13</v>
      </c>
      <c r="O36" s="11">
        <v>10</v>
      </c>
      <c r="P36" s="11">
        <v>5</v>
      </c>
      <c r="Q36" s="11">
        <v>15</v>
      </c>
      <c r="R36" s="11"/>
      <c r="S36" s="11"/>
      <c r="T36" s="11"/>
      <c r="U36" s="56"/>
      <c r="V36" s="35" t="str">
        <f t="shared" si="3"/>
        <v>OK</v>
      </c>
      <c r="W36" s="38" t="str">
        <f t="shared" si="5"/>
        <v/>
      </c>
      <c r="X36" s="3"/>
      <c r="Y36" s="3"/>
      <c r="Z36" s="3"/>
    </row>
    <row r="37" spans="1:26" ht="15" customHeight="1" outlineLevel="1" x14ac:dyDescent="0.3">
      <c r="A37" s="3"/>
      <c r="B37" s="9" t="s">
        <v>140</v>
      </c>
      <c r="C37" s="53">
        <v>2</v>
      </c>
      <c r="D37" s="53" t="s">
        <v>95</v>
      </c>
      <c r="E37" s="11">
        <v>176.76</v>
      </c>
      <c r="F37" s="11">
        <f t="shared" si="10"/>
        <v>176.76</v>
      </c>
      <c r="G37" s="58"/>
      <c r="H37" s="54" t="s">
        <v>37</v>
      </c>
      <c r="I37" s="54"/>
      <c r="J37" s="55" t="s">
        <v>97</v>
      </c>
      <c r="K37" s="11"/>
      <c r="L37" s="11">
        <v>79.19</v>
      </c>
      <c r="M37" s="11">
        <v>24.57</v>
      </c>
      <c r="N37" s="11">
        <v>13</v>
      </c>
      <c r="O37" s="11">
        <v>5</v>
      </c>
      <c r="P37" s="11">
        <v>5</v>
      </c>
      <c r="Q37" s="11">
        <v>10</v>
      </c>
      <c r="R37" s="11">
        <v>10</v>
      </c>
      <c r="S37" s="11">
        <v>30</v>
      </c>
      <c r="T37" s="11"/>
      <c r="U37" s="56"/>
      <c r="V37" s="35" t="str">
        <f t="shared" si="3"/>
        <v>OK</v>
      </c>
      <c r="W37" s="38" t="str">
        <f t="shared" si="5"/>
        <v/>
      </c>
      <c r="X37" s="3"/>
      <c r="Y37" s="3"/>
      <c r="Z37" s="3"/>
    </row>
    <row r="38" spans="1:26" ht="15" customHeight="1" outlineLevel="1" x14ac:dyDescent="0.3">
      <c r="A38" s="3"/>
      <c r="B38" s="52" t="s">
        <v>141</v>
      </c>
      <c r="C38" s="53">
        <v>15</v>
      </c>
      <c r="D38" s="53" t="s">
        <v>95</v>
      </c>
      <c r="E38" s="11">
        <v>110.81</v>
      </c>
      <c r="F38" s="11">
        <f t="shared" ref="F38:F39" si="11">(271/2)+E38</f>
        <v>246.31</v>
      </c>
      <c r="G38" s="228" t="s">
        <v>142</v>
      </c>
      <c r="H38" s="54" t="s">
        <v>37</v>
      </c>
      <c r="I38" s="54"/>
      <c r="J38" s="55" t="s">
        <v>97</v>
      </c>
      <c r="K38" s="11"/>
      <c r="L38" s="11">
        <f t="shared" ref="L38:L39" si="12">71.74+135.5</f>
        <v>207.24</v>
      </c>
      <c r="M38" s="11">
        <v>24.57</v>
      </c>
      <c r="N38" s="11">
        <v>13</v>
      </c>
      <c r="O38" s="11">
        <v>1.5</v>
      </c>
      <c r="P38" s="11"/>
      <c r="Q38" s="11"/>
      <c r="R38" s="11"/>
      <c r="S38" s="11"/>
      <c r="T38" s="11"/>
      <c r="U38" s="56"/>
      <c r="V38" s="35" t="str">
        <f t="shared" si="3"/>
        <v>OK</v>
      </c>
      <c r="W38" s="38" t="str">
        <f t="shared" si="5"/>
        <v/>
      </c>
      <c r="X38" s="3"/>
      <c r="Y38" s="3"/>
      <c r="Z38" s="3"/>
    </row>
    <row r="39" spans="1:26" ht="15" customHeight="1" outlineLevel="1" x14ac:dyDescent="0.3">
      <c r="A39" s="3"/>
      <c r="B39" s="52" t="s">
        <v>143</v>
      </c>
      <c r="C39" s="53">
        <v>15</v>
      </c>
      <c r="D39" s="53" t="s">
        <v>95</v>
      </c>
      <c r="E39" s="11">
        <v>110.81</v>
      </c>
      <c r="F39" s="11">
        <f t="shared" si="11"/>
        <v>246.31</v>
      </c>
      <c r="G39" s="227"/>
      <c r="H39" s="54" t="s">
        <v>37</v>
      </c>
      <c r="I39" s="54"/>
      <c r="J39" s="55" t="s">
        <v>97</v>
      </c>
      <c r="K39" s="11"/>
      <c r="L39" s="11">
        <f t="shared" si="12"/>
        <v>207.24</v>
      </c>
      <c r="M39" s="11">
        <v>24.57</v>
      </c>
      <c r="N39" s="11">
        <v>13</v>
      </c>
      <c r="O39" s="11">
        <v>1.5</v>
      </c>
      <c r="P39" s="11"/>
      <c r="Q39" s="11"/>
      <c r="R39" s="11"/>
      <c r="S39" s="11"/>
      <c r="T39" s="11"/>
      <c r="U39" s="56"/>
      <c r="V39" s="35" t="str">
        <f t="shared" si="3"/>
        <v>OK</v>
      </c>
      <c r="W39" s="38" t="str">
        <f t="shared" si="5"/>
        <v/>
      </c>
      <c r="X39" s="3"/>
      <c r="Y39" s="3"/>
      <c r="Z39" s="3"/>
    </row>
    <row r="40" spans="1:26" ht="15" customHeight="1" outlineLevel="1" x14ac:dyDescent="0.3">
      <c r="A40" s="3"/>
      <c r="B40" s="9" t="s">
        <v>144</v>
      </c>
      <c r="C40" s="53">
        <v>1</v>
      </c>
      <c r="D40" s="53" t="s">
        <v>95</v>
      </c>
      <c r="E40" s="11">
        <v>118.59</v>
      </c>
      <c r="F40" s="11">
        <f t="shared" ref="F40:F48" si="13">E40</f>
        <v>118.59</v>
      </c>
      <c r="G40" s="225" t="s">
        <v>145</v>
      </c>
      <c r="H40" s="54" t="s">
        <v>37</v>
      </c>
      <c r="I40" s="54"/>
      <c r="J40" s="55"/>
      <c r="K40" s="11"/>
      <c r="L40" s="11">
        <v>74.58</v>
      </c>
      <c r="M40" s="11">
        <v>24.57</v>
      </c>
      <c r="N40" s="11">
        <v>13</v>
      </c>
      <c r="O40" s="11">
        <v>1.44</v>
      </c>
      <c r="P40" s="11"/>
      <c r="Q40" s="11">
        <v>5</v>
      </c>
      <c r="R40" s="11"/>
      <c r="S40" s="11"/>
      <c r="T40" s="11"/>
      <c r="U40" s="56"/>
      <c r="V40" s="35" t="str">
        <f t="shared" si="3"/>
        <v>OK</v>
      </c>
      <c r="W40" s="38" t="str">
        <f t="shared" si="5"/>
        <v/>
      </c>
      <c r="X40" s="3"/>
      <c r="Y40" s="3"/>
      <c r="Z40" s="3"/>
    </row>
    <row r="41" spans="1:26" ht="15" customHeight="1" outlineLevel="1" x14ac:dyDescent="0.3">
      <c r="A41" s="3"/>
      <c r="B41" s="9" t="s">
        <v>146</v>
      </c>
      <c r="C41" s="53">
        <v>1</v>
      </c>
      <c r="D41" s="53" t="s">
        <v>95</v>
      </c>
      <c r="E41" s="11">
        <v>123.59</v>
      </c>
      <c r="F41" s="11">
        <f t="shared" si="13"/>
        <v>123.59</v>
      </c>
      <c r="G41" s="226"/>
      <c r="H41" s="54" t="s">
        <v>37</v>
      </c>
      <c r="I41" s="54"/>
      <c r="J41" s="55" t="s">
        <v>97</v>
      </c>
      <c r="K41" s="11"/>
      <c r="L41" s="11">
        <v>74.58</v>
      </c>
      <c r="M41" s="11">
        <v>24.57</v>
      </c>
      <c r="N41" s="11">
        <v>13</v>
      </c>
      <c r="O41" s="11">
        <v>1.44</v>
      </c>
      <c r="P41" s="11">
        <v>5</v>
      </c>
      <c r="Q41" s="11">
        <v>5</v>
      </c>
      <c r="R41" s="11"/>
      <c r="S41" s="11"/>
      <c r="T41" s="11"/>
      <c r="U41" s="56"/>
      <c r="V41" s="35" t="str">
        <f t="shared" si="3"/>
        <v>OK</v>
      </c>
      <c r="W41" s="38" t="str">
        <f t="shared" si="5"/>
        <v/>
      </c>
      <c r="X41" s="3"/>
      <c r="Y41" s="3"/>
      <c r="Z41" s="3"/>
    </row>
    <row r="42" spans="1:26" ht="15" customHeight="1" outlineLevel="1" x14ac:dyDescent="0.3">
      <c r="A42" s="3"/>
      <c r="B42" s="9" t="s">
        <v>147</v>
      </c>
      <c r="C42" s="53">
        <v>1</v>
      </c>
      <c r="D42" s="53" t="s">
        <v>95</v>
      </c>
      <c r="E42" s="11">
        <v>118.59</v>
      </c>
      <c r="F42" s="11">
        <f t="shared" si="13"/>
        <v>118.59</v>
      </c>
      <c r="G42" s="226"/>
      <c r="H42" s="54" t="s">
        <v>37</v>
      </c>
      <c r="I42" s="54"/>
      <c r="J42" s="55" t="s">
        <v>97</v>
      </c>
      <c r="K42" s="11"/>
      <c r="L42" s="11">
        <v>74.58</v>
      </c>
      <c r="M42" s="11">
        <v>24.57</v>
      </c>
      <c r="N42" s="11">
        <v>13</v>
      </c>
      <c r="O42" s="11">
        <v>1.44</v>
      </c>
      <c r="P42" s="11"/>
      <c r="Q42" s="11">
        <v>5</v>
      </c>
      <c r="R42" s="11"/>
      <c r="S42" s="11"/>
      <c r="T42" s="11"/>
      <c r="U42" s="56"/>
      <c r="V42" s="35" t="str">
        <f t="shared" si="3"/>
        <v>OK</v>
      </c>
      <c r="W42" s="38" t="str">
        <f t="shared" si="5"/>
        <v/>
      </c>
      <c r="X42" s="3"/>
      <c r="Y42" s="3"/>
      <c r="Z42" s="3"/>
    </row>
    <row r="43" spans="1:26" ht="15" customHeight="1" outlineLevel="1" x14ac:dyDescent="0.3">
      <c r="A43" s="3"/>
      <c r="B43" s="9" t="s">
        <v>148</v>
      </c>
      <c r="C43" s="53">
        <v>1</v>
      </c>
      <c r="D43" s="53" t="s">
        <v>95</v>
      </c>
      <c r="E43" s="11">
        <v>67.59</v>
      </c>
      <c r="F43" s="11">
        <f t="shared" si="13"/>
        <v>67.59</v>
      </c>
      <c r="G43" s="227"/>
      <c r="H43" s="54" t="s">
        <v>37</v>
      </c>
      <c r="I43" s="54"/>
      <c r="J43" s="55" t="s">
        <v>97</v>
      </c>
      <c r="K43" s="11"/>
      <c r="L43" s="11">
        <v>28.58</v>
      </c>
      <c r="M43" s="11">
        <v>24.57</v>
      </c>
      <c r="N43" s="11">
        <v>13</v>
      </c>
      <c r="O43" s="11">
        <v>1.44</v>
      </c>
      <c r="P43" s="11"/>
      <c r="Q43" s="11"/>
      <c r="R43" s="11"/>
      <c r="S43" s="11"/>
      <c r="T43" s="11"/>
      <c r="U43" s="56"/>
      <c r="V43" s="35" t="str">
        <f t="shared" si="3"/>
        <v>OK</v>
      </c>
      <c r="W43" s="38" t="str">
        <f t="shared" si="5"/>
        <v/>
      </c>
      <c r="X43" s="3"/>
      <c r="Y43" s="3"/>
      <c r="Z43" s="3"/>
    </row>
    <row r="44" spans="1:26" ht="15" customHeight="1" outlineLevel="1" x14ac:dyDescent="0.3">
      <c r="A44" s="3"/>
      <c r="B44" s="52" t="s">
        <v>149</v>
      </c>
      <c r="C44" s="53">
        <v>1</v>
      </c>
      <c r="D44" s="53" t="s">
        <v>95</v>
      </c>
      <c r="E44" s="11">
        <v>100</v>
      </c>
      <c r="F44" s="11">
        <f t="shared" si="13"/>
        <v>100</v>
      </c>
      <c r="G44" s="58"/>
      <c r="H44" s="54" t="s">
        <v>37</v>
      </c>
      <c r="I44" s="54"/>
      <c r="J44" s="55" t="s">
        <v>97</v>
      </c>
      <c r="K44" s="11"/>
      <c r="L44" s="11">
        <v>50.99</v>
      </c>
      <c r="M44" s="11">
        <v>24.57</v>
      </c>
      <c r="N44" s="11">
        <v>13</v>
      </c>
      <c r="O44" s="11">
        <v>1.44</v>
      </c>
      <c r="P44" s="11"/>
      <c r="Q44" s="11">
        <v>5</v>
      </c>
      <c r="R44" s="11">
        <v>5</v>
      </c>
      <c r="S44" s="11"/>
      <c r="T44" s="11"/>
      <c r="U44" s="56"/>
      <c r="V44" s="35" t="str">
        <f t="shared" si="3"/>
        <v>OK</v>
      </c>
      <c r="W44" s="38" t="str">
        <f t="shared" si="5"/>
        <v/>
      </c>
      <c r="X44" s="3"/>
      <c r="Y44" s="3"/>
      <c r="Z44" s="3"/>
    </row>
    <row r="45" spans="1:26" ht="15" customHeight="1" outlineLevel="1" x14ac:dyDescent="0.3">
      <c r="A45" s="3"/>
      <c r="B45" s="9" t="s">
        <v>150</v>
      </c>
      <c r="C45" s="53">
        <v>15</v>
      </c>
      <c r="D45" s="53" t="s">
        <v>95</v>
      </c>
      <c r="E45" s="11">
        <v>378.44</v>
      </c>
      <c r="F45" s="11">
        <f t="shared" si="13"/>
        <v>378.44</v>
      </c>
      <c r="G45" s="225" t="s">
        <v>151</v>
      </c>
      <c r="H45" s="54" t="s">
        <v>37</v>
      </c>
      <c r="I45" s="54"/>
      <c r="J45" s="55" t="s">
        <v>97</v>
      </c>
      <c r="K45" s="11"/>
      <c r="L45" s="11">
        <v>234.43</v>
      </c>
      <c r="M45" s="11">
        <v>24.57</v>
      </c>
      <c r="N45" s="11">
        <v>13</v>
      </c>
      <c r="O45" s="11">
        <v>1.44</v>
      </c>
      <c r="P45" s="11">
        <v>5</v>
      </c>
      <c r="Q45" s="11"/>
      <c r="R45" s="11">
        <v>50</v>
      </c>
      <c r="S45" s="11">
        <v>50</v>
      </c>
      <c r="T45" s="11"/>
      <c r="U45" s="56"/>
      <c r="V45" s="35" t="str">
        <f t="shared" si="3"/>
        <v>OK</v>
      </c>
      <c r="W45" s="38" t="str">
        <f t="shared" si="5"/>
        <v/>
      </c>
      <c r="X45" s="3"/>
      <c r="Y45" s="3"/>
      <c r="Z45" s="3"/>
    </row>
    <row r="46" spans="1:26" ht="15" customHeight="1" outlineLevel="1" x14ac:dyDescent="0.3">
      <c r="A46" s="3"/>
      <c r="B46" s="9" t="s">
        <v>152</v>
      </c>
      <c r="C46" s="53">
        <v>15</v>
      </c>
      <c r="D46" s="53" t="s">
        <v>95</v>
      </c>
      <c r="E46" s="11">
        <v>132</v>
      </c>
      <c r="F46" s="11">
        <f t="shared" si="13"/>
        <v>132</v>
      </c>
      <c r="G46" s="227"/>
      <c r="H46" s="54" t="s">
        <v>37</v>
      </c>
      <c r="I46" s="54"/>
      <c r="J46" s="55" t="s">
        <v>97</v>
      </c>
      <c r="K46" s="11"/>
      <c r="L46" s="11">
        <v>87.43</v>
      </c>
      <c r="M46" s="11">
        <v>24.57</v>
      </c>
      <c r="N46" s="11">
        <v>13</v>
      </c>
      <c r="O46" s="11">
        <v>2</v>
      </c>
      <c r="P46" s="11"/>
      <c r="Q46" s="11"/>
      <c r="R46" s="11">
        <v>5</v>
      </c>
      <c r="S46" s="11"/>
      <c r="T46" s="11"/>
      <c r="U46" s="56"/>
      <c r="V46" s="35" t="str">
        <f t="shared" si="3"/>
        <v>OK</v>
      </c>
      <c r="W46" s="38" t="str">
        <f t="shared" si="5"/>
        <v/>
      </c>
      <c r="X46" s="3"/>
      <c r="Y46" s="3"/>
      <c r="Z46" s="3"/>
    </row>
    <row r="47" spans="1:26" ht="15" customHeight="1" outlineLevel="1" x14ac:dyDescent="0.3">
      <c r="A47" s="3"/>
      <c r="B47" s="52" t="s">
        <v>153</v>
      </c>
      <c r="C47" s="53">
        <v>5</v>
      </c>
      <c r="D47" s="53" t="s">
        <v>95</v>
      </c>
      <c r="E47" s="11">
        <v>291.89</v>
      </c>
      <c r="F47" s="11">
        <f t="shared" si="13"/>
        <v>291.89</v>
      </c>
      <c r="G47" s="225" t="s">
        <v>154</v>
      </c>
      <c r="H47" s="54" t="s">
        <v>37</v>
      </c>
      <c r="I47" s="54"/>
      <c r="J47" s="55" t="s">
        <v>97</v>
      </c>
      <c r="K47" s="11"/>
      <c r="L47" s="11">
        <v>122.88</v>
      </c>
      <c r="M47" s="11">
        <v>24.57</v>
      </c>
      <c r="N47" s="11">
        <v>13</v>
      </c>
      <c r="O47" s="11">
        <v>1.44</v>
      </c>
      <c r="P47" s="11"/>
      <c r="Q47" s="11">
        <v>10</v>
      </c>
      <c r="R47" s="11">
        <v>20</v>
      </c>
      <c r="S47" s="11">
        <v>100</v>
      </c>
      <c r="T47" s="11"/>
      <c r="U47" s="56"/>
      <c r="V47" s="35" t="str">
        <f t="shared" si="3"/>
        <v>OK</v>
      </c>
      <c r="W47" s="38" t="str">
        <f t="shared" si="5"/>
        <v/>
      </c>
      <c r="X47" s="3"/>
      <c r="Y47" s="3"/>
      <c r="Z47" s="3"/>
    </row>
    <row r="48" spans="1:26" ht="15" customHeight="1" outlineLevel="1" x14ac:dyDescent="0.3">
      <c r="A48" s="3"/>
      <c r="B48" s="52" t="s">
        <v>155</v>
      </c>
      <c r="C48" s="53">
        <v>5</v>
      </c>
      <c r="D48" s="53" t="s">
        <v>95</v>
      </c>
      <c r="E48" s="11">
        <v>155.44</v>
      </c>
      <c r="F48" s="11">
        <f t="shared" si="13"/>
        <v>155.44</v>
      </c>
      <c r="G48" s="227"/>
      <c r="H48" s="54" t="s">
        <v>37</v>
      </c>
      <c r="I48" s="54"/>
      <c r="J48" s="55" t="s">
        <v>97</v>
      </c>
      <c r="K48" s="11"/>
      <c r="L48" s="11">
        <v>96.43</v>
      </c>
      <c r="M48" s="11">
        <v>24.57</v>
      </c>
      <c r="N48" s="11">
        <v>13</v>
      </c>
      <c r="O48" s="11">
        <v>1.44</v>
      </c>
      <c r="P48" s="11"/>
      <c r="Q48" s="11"/>
      <c r="R48" s="11">
        <v>20</v>
      </c>
      <c r="S48" s="11"/>
      <c r="T48" s="11"/>
      <c r="U48" s="56"/>
      <c r="V48" s="35" t="str">
        <f t="shared" si="3"/>
        <v>OK</v>
      </c>
      <c r="W48" s="38" t="str">
        <f t="shared" si="5"/>
        <v/>
      </c>
      <c r="X48" s="3"/>
      <c r="Y48" s="3"/>
      <c r="Z48" s="3"/>
    </row>
    <row r="49" spans="1:26" ht="15" customHeight="1" outlineLevel="1" x14ac:dyDescent="0.3">
      <c r="A49" s="3"/>
      <c r="B49" s="9" t="s">
        <v>156</v>
      </c>
      <c r="C49" s="53" t="s">
        <v>44</v>
      </c>
      <c r="D49" s="53" t="s">
        <v>95</v>
      </c>
      <c r="E49" s="11">
        <v>125</v>
      </c>
      <c r="F49" s="11">
        <v>0</v>
      </c>
      <c r="G49" s="225" t="s">
        <v>157</v>
      </c>
      <c r="H49" s="54" t="s">
        <v>37</v>
      </c>
      <c r="I49" s="54"/>
      <c r="J49" s="55" t="s">
        <v>97</v>
      </c>
      <c r="K49" s="11"/>
      <c r="L49" s="11">
        <v>0</v>
      </c>
      <c r="M49" s="11">
        <v>0</v>
      </c>
      <c r="N49" s="11">
        <v>0</v>
      </c>
      <c r="O49" s="11">
        <v>0</v>
      </c>
      <c r="P49" s="11"/>
      <c r="Q49" s="11">
        <v>0</v>
      </c>
      <c r="R49" s="11">
        <v>0</v>
      </c>
      <c r="S49" s="11"/>
      <c r="T49" s="11"/>
      <c r="U49" s="56"/>
      <c r="V49" s="35" t="str">
        <f t="shared" si="3"/>
        <v>OK</v>
      </c>
      <c r="W49" s="38" t="str">
        <f t="shared" si="5"/>
        <v/>
      </c>
      <c r="X49" s="3"/>
      <c r="Y49" s="3"/>
      <c r="Z49" s="3"/>
    </row>
    <row r="50" spans="1:26" ht="15" customHeight="1" outlineLevel="1" x14ac:dyDescent="0.3">
      <c r="A50" s="3"/>
      <c r="B50" s="9" t="s">
        <v>158</v>
      </c>
      <c r="C50" s="53" t="s">
        <v>44</v>
      </c>
      <c r="D50" s="53" t="s">
        <v>95</v>
      </c>
      <c r="E50" s="11">
        <v>65</v>
      </c>
      <c r="F50" s="11">
        <v>0</v>
      </c>
      <c r="G50" s="227"/>
      <c r="H50" s="54" t="s">
        <v>37</v>
      </c>
      <c r="I50" s="54"/>
      <c r="J50" s="55" t="s">
        <v>97</v>
      </c>
      <c r="K50" s="11"/>
      <c r="L50" s="11">
        <v>0</v>
      </c>
      <c r="M50" s="11">
        <v>0</v>
      </c>
      <c r="N50" s="11">
        <v>0</v>
      </c>
      <c r="O50" s="11">
        <v>0</v>
      </c>
      <c r="P50" s="11"/>
      <c r="Q50" s="11"/>
      <c r="R50" s="11">
        <v>0</v>
      </c>
      <c r="S50" s="11"/>
      <c r="T50" s="11"/>
      <c r="U50" s="56"/>
      <c r="V50" s="35" t="str">
        <f t="shared" si="3"/>
        <v>OK</v>
      </c>
      <c r="W50" s="38" t="str">
        <f t="shared" si="5"/>
        <v/>
      </c>
      <c r="X50" s="3"/>
      <c r="Y50" s="3"/>
      <c r="Z50" s="3"/>
    </row>
    <row r="51" spans="1:26" ht="15" customHeight="1" outlineLevel="1" x14ac:dyDescent="0.3">
      <c r="A51" s="3"/>
      <c r="B51" s="52" t="s">
        <v>159</v>
      </c>
      <c r="C51" s="53">
        <v>15</v>
      </c>
      <c r="D51" s="53" t="s">
        <v>95</v>
      </c>
      <c r="E51" s="11">
        <v>179.99</v>
      </c>
      <c r="F51" s="11">
        <f>331.73+E51</f>
        <v>511.72</v>
      </c>
      <c r="G51" s="229" t="s">
        <v>160</v>
      </c>
      <c r="H51" s="54" t="s">
        <v>37</v>
      </c>
      <c r="I51" s="54"/>
      <c r="J51" s="55"/>
      <c r="K51" s="11"/>
      <c r="L51" s="11">
        <f>115.98+331.73</f>
        <v>447.71000000000004</v>
      </c>
      <c r="M51" s="11">
        <v>24.57</v>
      </c>
      <c r="N51" s="11">
        <v>13</v>
      </c>
      <c r="O51" s="11">
        <v>11.44</v>
      </c>
      <c r="P51" s="11">
        <v>5</v>
      </c>
      <c r="Q51" s="11">
        <v>10</v>
      </c>
      <c r="R51" s="11"/>
      <c r="S51" s="11"/>
      <c r="T51" s="11"/>
      <c r="U51" s="56"/>
      <c r="V51" s="35" t="str">
        <f t="shared" si="3"/>
        <v>OK</v>
      </c>
      <c r="W51" s="38" t="str">
        <f t="shared" si="5"/>
        <v/>
      </c>
      <c r="X51" s="3"/>
      <c r="Y51" s="3"/>
      <c r="Z51" s="3"/>
    </row>
    <row r="52" spans="1:26" ht="15" customHeight="1" outlineLevel="1" x14ac:dyDescent="0.3">
      <c r="A52" s="3"/>
      <c r="B52" s="52" t="s">
        <v>161</v>
      </c>
      <c r="C52" s="53">
        <v>15</v>
      </c>
      <c r="D52" s="53" t="s">
        <v>95</v>
      </c>
      <c r="E52" s="11">
        <v>91.74</v>
      </c>
      <c r="F52" s="11">
        <f t="shared" ref="F52:F54" si="14">E52</f>
        <v>91.74</v>
      </c>
      <c r="G52" s="227"/>
      <c r="H52" s="54" t="s">
        <v>37</v>
      </c>
      <c r="I52" s="54"/>
      <c r="J52" s="55" t="s">
        <v>97</v>
      </c>
      <c r="K52" s="11"/>
      <c r="L52" s="11">
        <v>52.73</v>
      </c>
      <c r="M52" s="11">
        <v>24.57</v>
      </c>
      <c r="N52" s="11">
        <v>13</v>
      </c>
      <c r="O52" s="11">
        <v>1.44</v>
      </c>
      <c r="P52" s="11"/>
      <c r="Q52" s="11"/>
      <c r="R52" s="11"/>
      <c r="S52" s="11"/>
      <c r="T52" s="11"/>
      <c r="U52" s="56"/>
      <c r="V52" s="35" t="str">
        <f t="shared" si="3"/>
        <v>OK</v>
      </c>
      <c r="W52" s="38" t="str">
        <f t="shared" si="5"/>
        <v/>
      </c>
      <c r="X52" s="3"/>
      <c r="Y52" s="3"/>
      <c r="Z52" s="3"/>
    </row>
    <row r="53" spans="1:26" ht="15" customHeight="1" outlineLevel="1" x14ac:dyDescent="0.3">
      <c r="A53" s="3"/>
      <c r="B53" s="9" t="s">
        <v>162</v>
      </c>
      <c r="C53" s="53">
        <v>1</v>
      </c>
      <c r="D53" s="53" t="s">
        <v>95</v>
      </c>
      <c r="E53" s="11">
        <v>139.19999999999999</v>
      </c>
      <c r="F53" s="11">
        <f t="shared" si="14"/>
        <v>139.19999999999999</v>
      </c>
      <c r="G53" s="225" t="s">
        <v>163</v>
      </c>
      <c r="H53" s="54" t="s">
        <v>37</v>
      </c>
      <c r="I53" s="54"/>
      <c r="J53" s="55" t="s">
        <v>97</v>
      </c>
      <c r="K53" s="11"/>
      <c r="L53" s="11">
        <v>55.19</v>
      </c>
      <c r="M53" s="11">
        <v>24.57</v>
      </c>
      <c r="N53" s="11">
        <v>13</v>
      </c>
      <c r="O53" s="11">
        <v>1.44</v>
      </c>
      <c r="P53" s="11">
        <v>5</v>
      </c>
      <c r="Q53" s="11">
        <v>10</v>
      </c>
      <c r="R53" s="11">
        <v>30</v>
      </c>
      <c r="S53" s="11"/>
      <c r="T53" s="11"/>
      <c r="U53" s="56"/>
      <c r="V53" s="35" t="str">
        <f t="shared" si="3"/>
        <v>OK</v>
      </c>
      <c r="W53" s="38" t="str">
        <f t="shared" si="5"/>
        <v/>
      </c>
      <c r="X53" s="3"/>
      <c r="Y53" s="3"/>
      <c r="Z53" s="3"/>
    </row>
    <row r="54" spans="1:26" ht="15" customHeight="1" outlineLevel="1" x14ac:dyDescent="0.3">
      <c r="A54" s="3"/>
      <c r="B54" s="9" t="s">
        <v>164</v>
      </c>
      <c r="C54" s="53">
        <v>1</v>
      </c>
      <c r="D54" s="53" t="s">
        <v>95</v>
      </c>
      <c r="E54" s="11">
        <v>74.89</v>
      </c>
      <c r="F54" s="11">
        <f t="shared" si="14"/>
        <v>74.89</v>
      </c>
      <c r="G54" s="227"/>
      <c r="H54" s="54" t="s">
        <v>37</v>
      </c>
      <c r="I54" s="54"/>
      <c r="J54" s="55" t="s">
        <v>97</v>
      </c>
      <c r="K54" s="11"/>
      <c r="L54" s="11">
        <v>30.88</v>
      </c>
      <c r="M54" s="11">
        <v>24.57</v>
      </c>
      <c r="N54" s="11">
        <v>13</v>
      </c>
      <c r="O54" s="11">
        <v>1.44</v>
      </c>
      <c r="P54" s="11"/>
      <c r="Q54" s="11">
        <v>5</v>
      </c>
      <c r="R54" s="11"/>
      <c r="S54" s="11"/>
      <c r="T54" s="11"/>
      <c r="U54" s="56"/>
      <c r="V54" s="35" t="str">
        <f t="shared" si="3"/>
        <v>OK</v>
      </c>
      <c r="W54" s="38" t="str">
        <f t="shared" si="5"/>
        <v/>
      </c>
      <c r="X54" s="3"/>
      <c r="Y54" s="3"/>
      <c r="Z54" s="3"/>
    </row>
    <row r="55" spans="1:26" ht="15" customHeight="1" outlineLevel="1" x14ac:dyDescent="0.3">
      <c r="A55" s="3"/>
      <c r="B55" s="52" t="s">
        <v>165</v>
      </c>
      <c r="C55" s="53">
        <v>11</v>
      </c>
      <c r="D55" s="53" t="s">
        <v>95</v>
      </c>
      <c r="E55" s="11">
        <v>39.51</v>
      </c>
      <c r="F55" s="11">
        <f t="shared" ref="F55:F56" si="15">39.51*2</f>
        <v>79.02</v>
      </c>
      <c r="G55" s="228" t="s">
        <v>166</v>
      </c>
      <c r="H55" s="54" t="s">
        <v>37</v>
      </c>
      <c r="I55" s="54"/>
      <c r="J55" s="55" t="s">
        <v>97</v>
      </c>
      <c r="K55" s="11"/>
      <c r="L55" s="11">
        <f t="shared" ref="L55:L56" si="16">0.44+39.51</f>
        <v>39.949999999999996</v>
      </c>
      <c r="M55" s="11">
        <v>24.57</v>
      </c>
      <c r="N55" s="11">
        <v>13</v>
      </c>
      <c r="O55" s="11">
        <v>1.5</v>
      </c>
      <c r="P55" s="11"/>
      <c r="Q55" s="11"/>
      <c r="R55" s="11"/>
      <c r="S55" s="11"/>
      <c r="T55" s="11"/>
      <c r="U55" s="56"/>
      <c r="V55" s="35" t="str">
        <f t="shared" si="3"/>
        <v>OK</v>
      </c>
      <c r="W55" s="38" t="str">
        <f t="shared" si="5"/>
        <v/>
      </c>
      <c r="X55" s="3"/>
      <c r="Y55" s="3"/>
      <c r="Z55" s="3"/>
    </row>
    <row r="56" spans="1:26" ht="15" customHeight="1" outlineLevel="1" x14ac:dyDescent="0.3">
      <c r="A56" s="3"/>
      <c r="B56" s="52" t="s">
        <v>167</v>
      </c>
      <c r="C56" s="53">
        <v>11</v>
      </c>
      <c r="D56" s="53" t="s">
        <v>95</v>
      </c>
      <c r="E56" s="11">
        <v>39.51</v>
      </c>
      <c r="F56" s="11">
        <f t="shared" si="15"/>
        <v>79.02</v>
      </c>
      <c r="G56" s="227"/>
      <c r="H56" s="54" t="s">
        <v>37</v>
      </c>
      <c r="I56" s="54"/>
      <c r="J56" s="55"/>
      <c r="K56" s="11"/>
      <c r="L56" s="11">
        <f t="shared" si="16"/>
        <v>39.949999999999996</v>
      </c>
      <c r="M56" s="11">
        <v>24.57</v>
      </c>
      <c r="N56" s="11">
        <v>13</v>
      </c>
      <c r="O56" s="11">
        <v>1.5</v>
      </c>
      <c r="P56" s="11"/>
      <c r="Q56" s="11"/>
      <c r="R56" s="11"/>
      <c r="S56" s="11"/>
      <c r="T56" s="11"/>
      <c r="U56" s="56"/>
      <c r="V56" s="35" t="str">
        <f t="shared" si="3"/>
        <v>OK</v>
      </c>
      <c r="W56" s="38" t="str">
        <f t="shared" si="5"/>
        <v/>
      </c>
      <c r="X56" s="3"/>
      <c r="Y56" s="3"/>
      <c r="Z56" s="3"/>
    </row>
    <row r="57" spans="1:26" ht="36" customHeight="1" outlineLevel="1" x14ac:dyDescent="0.3">
      <c r="A57" s="3"/>
      <c r="B57" s="9" t="s">
        <v>168</v>
      </c>
      <c r="C57" s="53">
        <v>7</v>
      </c>
      <c r="D57" s="53" t="s">
        <v>130</v>
      </c>
      <c r="E57" s="11">
        <v>135.44</v>
      </c>
      <c r="F57" s="11">
        <v>67.06</v>
      </c>
      <c r="G57" s="59" t="s">
        <v>169</v>
      </c>
      <c r="H57" s="54" t="s">
        <v>37</v>
      </c>
      <c r="I57" s="54"/>
      <c r="J57" s="55" t="s">
        <v>97</v>
      </c>
      <c r="K57" s="11"/>
      <c r="L57" s="11">
        <f>96.43-68.38</f>
        <v>28.050000000000011</v>
      </c>
      <c r="M57" s="11">
        <v>24.57</v>
      </c>
      <c r="N57" s="11">
        <v>13</v>
      </c>
      <c r="O57" s="11">
        <v>1.44</v>
      </c>
      <c r="P57" s="11"/>
      <c r="Q57" s="11"/>
      <c r="R57" s="11"/>
      <c r="S57" s="11"/>
      <c r="T57" s="11"/>
      <c r="U57" s="56"/>
      <c r="V57" s="35" t="str">
        <f t="shared" si="3"/>
        <v>OK</v>
      </c>
      <c r="W57" s="38" t="str">
        <f t="shared" si="5"/>
        <v/>
      </c>
      <c r="X57" s="3"/>
      <c r="Y57" s="3"/>
      <c r="Z57" s="3"/>
    </row>
    <row r="58" spans="1:26" ht="15" customHeight="1" outlineLevel="1" x14ac:dyDescent="0.3">
      <c r="A58" s="3"/>
      <c r="B58" s="52" t="s">
        <v>170</v>
      </c>
      <c r="C58" s="53">
        <v>4</v>
      </c>
      <c r="D58" s="53" t="s">
        <v>95</v>
      </c>
      <c r="E58" s="11">
        <v>244.29</v>
      </c>
      <c r="F58" s="11">
        <f t="shared" ref="F58:F59" si="17">E58</f>
        <v>244.29</v>
      </c>
      <c r="G58" s="225" t="s">
        <v>171</v>
      </c>
      <c r="H58" s="54" t="s">
        <v>37</v>
      </c>
      <c r="I58" s="54"/>
      <c r="J58" s="55"/>
      <c r="K58" s="11"/>
      <c r="L58" s="11">
        <v>95.28</v>
      </c>
      <c r="M58" s="11">
        <v>24.57</v>
      </c>
      <c r="N58" s="11">
        <v>13</v>
      </c>
      <c r="O58" s="11">
        <v>1.44</v>
      </c>
      <c r="P58" s="11"/>
      <c r="Q58" s="11">
        <v>10</v>
      </c>
      <c r="R58" s="11"/>
      <c r="S58" s="11">
        <v>100</v>
      </c>
      <c r="T58" s="11"/>
      <c r="U58" s="56"/>
      <c r="V58" s="35" t="str">
        <f t="shared" si="3"/>
        <v>OK</v>
      </c>
      <c r="W58" s="38" t="str">
        <f t="shared" si="5"/>
        <v/>
      </c>
      <c r="X58" s="3"/>
      <c r="Y58" s="3"/>
      <c r="Z58" s="3"/>
    </row>
    <row r="59" spans="1:26" ht="15" customHeight="1" outlineLevel="1" x14ac:dyDescent="0.3">
      <c r="A59" s="3"/>
      <c r="B59" s="52" t="s">
        <v>172</v>
      </c>
      <c r="C59" s="53">
        <v>4</v>
      </c>
      <c r="D59" s="53" t="s">
        <v>95</v>
      </c>
      <c r="E59" s="11">
        <v>144.29</v>
      </c>
      <c r="F59" s="11">
        <f t="shared" si="17"/>
        <v>144.29</v>
      </c>
      <c r="G59" s="227"/>
      <c r="H59" s="54" t="s">
        <v>37</v>
      </c>
      <c r="I59" s="54"/>
      <c r="J59" s="55" t="s">
        <v>97</v>
      </c>
      <c r="K59" s="11"/>
      <c r="L59" s="11">
        <v>95.28</v>
      </c>
      <c r="M59" s="11">
        <v>24.57</v>
      </c>
      <c r="N59" s="11">
        <v>13</v>
      </c>
      <c r="O59" s="11">
        <v>1.44</v>
      </c>
      <c r="P59" s="11"/>
      <c r="Q59" s="11">
        <v>10</v>
      </c>
      <c r="R59" s="11"/>
      <c r="S59" s="11"/>
      <c r="T59" s="11"/>
      <c r="U59" s="56"/>
      <c r="V59" s="35" t="str">
        <f t="shared" si="3"/>
        <v>OK</v>
      </c>
      <c r="W59" s="38" t="str">
        <f t="shared" si="5"/>
        <v/>
      </c>
      <c r="X59" s="3"/>
      <c r="Y59" s="3"/>
      <c r="Z59" s="3"/>
    </row>
    <row r="60" spans="1:26" ht="15" customHeight="1" outlineLevel="1" x14ac:dyDescent="0.3">
      <c r="A60" s="3"/>
      <c r="B60" s="9" t="s">
        <v>173</v>
      </c>
      <c r="C60" s="53"/>
      <c r="D60" s="53" t="s">
        <v>105</v>
      </c>
      <c r="E60" s="11">
        <v>65.739999999999995</v>
      </c>
      <c r="F60" s="11">
        <v>0</v>
      </c>
      <c r="G60" s="58"/>
      <c r="H60" s="54"/>
      <c r="I60" s="54"/>
      <c r="J60" s="55" t="s">
        <v>97</v>
      </c>
      <c r="K60" s="11"/>
      <c r="L60" s="11">
        <v>26.67</v>
      </c>
      <c r="M60" s="11">
        <v>24.57</v>
      </c>
      <c r="N60" s="11">
        <v>13</v>
      </c>
      <c r="O60" s="11">
        <v>1.5</v>
      </c>
      <c r="P60" s="11"/>
      <c r="Q60" s="11"/>
      <c r="R60" s="11"/>
      <c r="S60" s="11"/>
      <c r="T60" s="11"/>
      <c r="U60" s="56"/>
      <c r="V60" s="35" t="str">
        <f t="shared" si="3"/>
        <v>Diferente</v>
      </c>
      <c r="W60" s="38">
        <f t="shared" si="5"/>
        <v>-65.740000000000009</v>
      </c>
      <c r="X60" s="3"/>
      <c r="Y60" s="3"/>
      <c r="Z60" s="3"/>
    </row>
    <row r="61" spans="1:26" ht="15" customHeight="1" outlineLevel="1" x14ac:dyDescent="0.3">
      <c r="A61" s="3"/>
      <c r="B61" s="52" t="s">
        <v>174</v>
      </c>
      <c r="C61" s="53">
        <v>5</v>
      </c>
      <c r="D61" s="53" t="s">
        <v>95</v>
      </c>
      <c r="E61" s="11">
        <v>87.14</v>
      </c>
      <c r="F61" s="11">
        <f t="shared" ref="F61:F62" si="18">E61</f>
        <v>87.14</v>
      </c>
      <c r="G61" s="225" t="s">
        <v>175</v>
      </c>
      <c r="H61" s="54" t="s">
        <v>37</v>
      </c>
      <c r="I61" s="54"/>
      <c r="J61" s="55"/>
      <c r="K61" s="11"/>
      <c r="L61" s="11">
        <v>48.13</v>
      </c>
      <c r="M61" s="11">
        <v>24.57</v>
      </c>
      <c r="N61" s="11">
        <v>13</v>
      </c>
      <c r="O61" s="11">
        <v>1.44</v>
      </c>
      <c r="P61" s="11"/>
      <c r="Q61" s="11"/>
      <c r="R61" s="11"/>
      <c r="S61" s="11"/>
      <c r="T61" s="11"/>
      <c r="U61" s="56"/>
      <c r="V61" s="35" t="str">
        <f t="shared" si="3"/>
        <v>OK</v>
      </c>
      <c r="W61" s="38" t="str">
        <f t="shared" si="5"/>
        <v/>
      </c>
      <c r="X61" s="3"/>
      <c r="Y61" s="3"/>
      <c r="Z61" s="3"/>
    </row>
    <row r="62" spans="1:26" ht="15" customHeight="1" outlineLevel="1" x14ac:dyDescent="0.3">
      <c r="A62" s="3"/>
      <c r="B62" s="52" t="s">
        <v>176</v>
      </c>
      <c r="C62" s="53">
        <v>5</v>
      </c>
      <c r="D62" s="53" t="s">
        <v>95</v>
      </c>
      <c r="E62" s="11">
        <v>124.09</v>
      </c>
      <c r="F62" s="11">
        <f t="shared" si="18"/>
        <v>124.09</v>
      </c>
      <c r="G62" s="227"/>
      <c r="H62" s="54" t="s">
        <v>37</v>
      </c>
      <c r="I62" s="54"/>
      <c r="J62" s="55"/>
      <c r="K62" s="11"/>
      <c r="L62" s="11">
        <v>40.08</v>
      </c>
      <c r="M62" s="11">
        <v>24.57</v>
      </c>
      <c r="N62" s="11">
        <v>13</v>
      </c>
      <c r="O62" s="11">
        <v>1.44</v>
      </c>
      <c r="P62" s="11"/>
      <c r="Q62" s="11">
        <v>15</v>
      </c>
      <c r="R62" s="11">
        <v>15</v>
      </c>
      <c r="S62" s="11">
        <v>15</v>
      </c>
      <c r="T62" s="11"/>
      <c r="U62" s="56"/>
      <c r="V62" s="35" t="str">
        <f t="shared" si="3"/>
        <v>OK</v>
      </c>
      <c r="W62" s="38" t="str">
        <f t="shared" si="5"/>
        <v/>
      </c>
      <c r="X62" s="3"/>
      <c r="Y62" s="3"/>
      <c r="Z62" s="3"/>
    </row>
    <row r="63" spans="1:26" ht="15" customHeight="1" outlineLevel="1" x14ac:dyDescent="0.3">
      <c r="A63" s="3"/>
      <c r="B63" s="9" t="s">
        <v>177</v>
      </c>
      <c r="C63" s="53">
        <v>1</v>
      </c>
      <c r="D63" s="53" t="s">
        <v>95</v>
      </c>
      <c r="E63" s="11">
        <v>42.92</v>
      </c>
      <c r="F63" s="11">
        <v>50</v>
      </c>
      <c r="G63" s="58"/>
      <c r="H63" s="54" t="s">
        <v>37</v>
      </c>
      <c r="I63" s="54"/>
      <c r="J63" s="55"/>
      <c r="K63" s="11"/>
      <c r="L63" s="11">
        <f>3.85+7.08</f>
        <v>10.93</v>
      </c>
      <c r="M63" s="11">
        <v>24.57</v>
      </c>
      <c r="N63" s="11">
        <v>13</v>
      </c>
      <c r="O63" s="11">
        <v>1.5</v>
      </c>
      <c r="P63" s="11"/>
      <c r="Q63" s="11"/>
      <c r="R63" s="11"/>
      <c r="S63" s="11"/>
      <c r="T63" s="11"/>
      <c r="U63" s="56"/>
      <c r="V63" s="35" t="str">
        <f t="shared" si="3"/>
        <v>OK</v>
      </c>
      <c r="W63" s="38" t="str">
        <f t="shared" si="5"/>
        <v/>
      </c>
      <c r="X63" s="3"/>
      <c r="Y63" s="3"/>
      <c r="Z63" s="3"/>
    </row>
    <row r="64" spans="1:26" ht="15.75" customHeight="1" outlineLevel="1" x14ac:dyDescent="0.3">
      <c r="A64" s="3"/>
      <c r="B64" s="52" t="s">
        <v>178</v>
      </c>
      <c r="C64" s="53">
        <v>18</v>
      </c>
      <c r="D64" s="53" t="s">
        <v>95</v>
      </c>
      <c r="E64" s="11">
        <v>55.37</v>
      </c>
      <c r="F64" s="11">
        <f>E64+55.37</f>
        <v>110.74</v>
      </c>
      <c r="G64" s="60" t="s">
        <v>179</v>
      </c>
      <c r="H64" s="54" t="s">
        <v>37</v>
      </c>
      <c r="I64" s="54"/>
      <c r="J64" s="55"/>
      <c r="K64" s="11"/>
      <c r="L64" s="11">
        <f>16.36+55.37</f>
        <v>71.72999999999999</v>
      </c>
      <c r="M64" s="11">
        <v>24.57</v>
      </c>
      <c r="N64" s="11">
        <v>13</v>
      </c>
      <c r="O64" s="11">
        <v>1.44</v>
      </c>
      <c r="P64" s="11"/>
      <c r="Q64" s="11"/>
      <c r="R64" s="11"/>
      <c r="S64" s="11"/>
      <c r="T64" s="11"/>
      <c r="U64" s="56"/>
      <c r="V64" s="35" t="str">
        <f t="shared" si="3"/>
        <v>OK</v>
      </c>
      <c r="W64" s="38" t="str">
        <f t="shared" si="5"/>
        <v/>
      </c>
      <c r="X64" s="3"/>
      <c r="Y64" s="3"/>
      <c r="Z64" s="3"/>
    </row>
    <row r="65" spans="1:26" ht="15" customHeight="1" outlineLevel="1" x14ac:dyDescent="0.3">
      <c r="A65" s="3"/>
      <c r="B65" s="9" t="s">
        <v>180</v>
      </c>
      <c r="C65" s="53">
        <v>8</v>
      </c>
      <c r="D65" s="53" t="s">
        <v>95</v>
      </c>
      <c r="E65" s="11">
        <v>65.75</v>
      </c>
      <c r="F65" s="11">
        <f t="shared" ref="F65:F67" si="19">E65</f>
        <v>65.75</v>
      </c>
      <c r="G65" s="61"/>
      <c r="H65" s="54" t="s">
        <v>37</v>
      </c>
      <c r="I65" s="54"/>
      <c r="J65" s="55"/>
      <c r="K65" s="11"/>
      <c r="L65" s="11">
        <v>26.74</v>
      </c>
      <c r="M65" s="11">
        <v>24.57</v>
      </c>
      <c r="N65" s="11">
        <v>13</v>
      </c>
      <c r="O65" s="11">
        <v>1.44</v>
      </c>
      <c r="P65" s="11"/>
      <c r="Q65" s="11"/>
      <c r="R65" s="11"/>
      <c r="S65" s="11"/>
      <c r="T65" s="11"/>
      <c r="U65" s="56"/>
      <c r="V65" s="35" t="str">
        <f t="shared" si="3"/>
        <v>OK</v>
      </c>
      <c r="W65" s="38" t="str">
        <f t="shared" si="5"/>
        <v/>
      </c>
      <c r="X65" s="3"/>
      <c r="Y65" s="3"/>
      <c r="Z65" s="3"/>
    </row>
    <row r="66" spans="1:26" ht="15" customHeight="1" outlineLevel="1" x14ac:dyDescent="0.3">
      <c r="A66" s="3"/>
      <c r="B66" s="9" t="s">
        <v>181</v>
      </c>
      <c r="C66" s="53">
        <v>8</v>
      </c>
      <c r="D66" s="53" t="s">
        <v>95</v>
      </c>
      <c r="E66" s="11">
        <v>66</v>
      </c>
      <c r="F66" s="11">
        <f t="shared" si="19"/>
        <v>66</v>
      </c>
      <c r="G66" s="58"/>
      <c r="H66" s="54" t="s">
        <v>37</v>
      </c>
      <c r="I66" s="54"/>
      <c r="J66" s="55" t="s">
        <v>97</v>
      </c>
      <c r="K66" s="11"/>
      <c r="L66" s="11">
        <v>26.93</v>
      </c>
      <c r="M66" s="11">
        <v>24.57</v>
      </c>
      <c r="N66" s="11">
        <v>13</v>
      </c>
      <c r="O66" s="11">
        <v>1.5</v>
      </c>
      <c r="P66" s="11"/>
      <c r="Q66" s="11"/>
      <c r="R66" s="11"/>
      <c r="S66" s="11"/>
      <c r="T66" s="11"/>
      <c r="U66" s="56"/>
      <c r="V66" s="35" t="str">
        <f t="shared" si="3"/>
        <v>OK</v>
      </c>
      <c r="W66" s="38" t="str">
        <f t="shared" si="5"/>
        <v/>
      </c>
      <c r="X66" s="3"/>
      <c r="Y66" s="3"/>
      <c r="Z66" s="3"/>
    </row>
    <row r="67" spans="1:26" ht="15" customHeight="1" outlineLevel="1" x14ac:dyDescent="0.3">
      <c r="A67" s="3"/>
      <c r="B67" s="52" t="s">
        <v>182</v>
      </c>
      <c r="C67" s="53">
        <v>19</v>
      </c>
      <c r="D67" s="53" t="s">
        <v>95</v>
      </c>
      <c r="E67" s="11">
        <v>75.64</v>
      </c>
      <c r="F67" s="11">
        <f t="shared" si="19"/>
        <v>75.64</v>
      </c>
      <c r="G67" s="58"/>
      <c r="H67" s="54" t="s">
        <v>37</v>
      </c>
      <c r="I67" s="54"/>
      <c r="J67" s="55" t="s">
        <v>97</v>
      </c>
      <c r="K67" s="11"/>
      <c r="L67" s="11">
        <v>36.630000000000003</v>
      </c>
      <c r="M67" s="11">
        <v>24.57</v>
      </c>
      <c r="N67" s="11">
        <v>13</v>
      </c>
      <c r="O67" s="11">
        <v>1.44</v>
      </c>
      <c r="P67" s="11"/>
      <c r="Q67" s="11"/>
      <c r="R67" s="11"/>
      <c r="S67" s="11"/>
      <c r="T67" s="11"/>
      <c r="U67" s="56"/>
      <c r="V67" s="35" t="str">
        <f t="shared" si="3"/>
        <v>OK</v>
      </c>
      <c r="W67" s="38" t="str">
        <f t="shared" si="5"/>
        <v/>
      </c>
      <c r="X67" s="3"/>
      <c r="Y67" s="3"/>
      <c r="Z67" s="3"/>
    </row>
    <row r="68" spans="1:26" ht="15.75" customHeight="1" outlineLevel="1" x14ac:dyDescent="0.3">
      <c r="A68" s="3"/>
      <c r="B68" s="9" t="s">
        <v>183</v>
      </c>
      <c r="C68" s="53">
        <v>28</v>
      </c>
      <c r="D68" s="53" t="s">
        <v>95</v>
      </c>
      <c r="E68" s="11">
        <v>60</v>
      </c>
      <c r="F68" s="11">
        <v>110</v>
      </c>
      <c r="G68" s="60" t="s">
        <v>184</v>
      </c>
      <c r="H68" s="54" t="s">
        <v>37</v>
      </c>
      <c r="I68" s="54"/>
      <c r="J68" s="55" t="s">
        <v>97</v>
      </c>
      <c r="K68" s="11"/>
      <c r="L68" s="11">
        <f>20.93+10.93</f>
        <v>31.86</v>
      </c>
      <c r="M68" s="11">
        <f>24.57*2</f>
        <v>49.14</v>
      </c>
      <c r="N68" s="11">
        <f>13*2</f>
        <v>26</v>
      </c>
      <c r="O68" s="11">
        <f>1.5*2</f>
        <v>3</v>
      </c>
      <c r="P68" s="11"/>
      <c r="Q68" s="11"/>
      <c r="R68" s="11"/>
      <c r="S68" s="11"/>
      <c r="T68" s="11"/>
      <c r="U68" s="56"/>
      <c r="V68" s="35" t="str">
        <f t="shared" si="3"/>
        <v>OK</v>
      </c>
      <c r="W68" s="38" t="str">
        <f t="shared" si="5"/>
        <v/>
      </c>
      <c r="X68" s="3"/>
      <c r="Y68" s="3"/>
      <c r="Z68" s="3"/>
    </row>
    <row r="69" spans="1:26" ht="15" customHeight="1" outlineLevel="1" x14ac:dyDescent="0.3">
      <c r="A69" s="3"/>
      <c r="B69" s="52" t="s">
        <v>185</v>
      </c>
      <c r="C69" s="53">
        <v>16</v>
      </c>
      <c r="D69" s="53" t="s">
        <v>95</v>
      </c>
      <c r="E69" s="11">
        <v>160</v>
      </c>
      <c r="F69" s="11">
        <v>190</v>
      </c>
      <c r="G69" s="58"/>
      <c r="H69" s="54" t="s">
        <v>37</v>
      </c>
      <c r="I69" s="54"/>
      <c r="J69" s="55"/>
      <c r="K69" s="11"/>
      <c r="L69" s="11">
        <f>90.99+30</f>
        <v>120.99</v>
      </c>
      <c r="M69" s="11">
        <v>24.57</v>
      </c>
      <c r="N69" s="11">
        <v>13</v>
      </c>
      <c r="O69" s="11">
        <v>11.44</v>
      </c>
      <c r="P69" s="11">
        <v>10</v>
      </c>
      <c r="Q69" s="11"/>
      <c r="R69" s="11">
        <v>10</v>
      </c>
      <c r="S69" s="11"/>
      <c r="T69" s="11"/>
      <c r="U69" s="56"/>
      <c r="V69" s="35" t="str">
        <f t="shared" si="3"/>
        <v>OK</v>
      </c>
      <c r="W69" s="38" t="str">
        <f t="shared" si="5"/>
        <v/>
      </c>
      <c r="X69" s="3"/>
      <c r="Y69" s="3"/>
      <c r="Z69" s="3"/>
    </row>
    <row r="70" spans="1:26" ht="15" customHeight="1" outlineLevel="1" x14ac:dyDescent="0.3">
      <c r="A70" s="3"/>
      <c r="B70" s="9" t="s">
        <v>186</v>
      </c>
      <c r="C70" s="53">
        <v>1</v>
      </c>
      <c r="D70" s="53" t="s">
        <v>95</v>
      </c>
      <c r="E70" s="11">
        <v>65.739999999999995</v>
      </c>
      <c r="F70" s="11">
        <f t="shared" ref="F70:F72" si="20">E70</f>
        <v>65.739999999999995</v>
      </c>
      <c r="G70" s="58"/>
      <c r="H70" s="54" t="s">
        <v>37</v>
      </c>
      <c r="I70" s="54"/>
      <c r="J70" s="55" t="s">
        <v>97</v>
      </c>
      <c r="K70" s="11"/>
      <c r="L70" s="11">
        <v>26.67</v>
      </c>
      <c r="M70" s="11">
        <v>24.57</v>
      </c>
      <c r="N70" s="11">
        <v>13</v>
      </c>
      <c r="O70" s="11">
        <v>1.5</v>
      </c>
      <c r="P70" s="11"/>
      <c r="Q70" s="11"/>
      <c r="R70" s="11"/>
      <c r="S70" s="11"/>
      <c r="T70" s="11"/>
      <c r="U70" s="56"/>
      <c r="V70" s="35" t="str">
        <f t="shared" si="3"/>
        <v>OK</v>
      </c>
      <c r="W70" s="38" t="str">
        <f t="shared" si="5"/>
        <v/>
      </c>
      <c r="X70" s="3"/>
      <c r="Y70" s="3"/>
      <c r="Z70" s="3"/>
    </row>
    <row r="71" spans="1:26" ht="15" customHeight="1" outlineLevel="1" x14ac:dyDescent="0.3">
      <c r="A71" s="3"/>
      <c r="B71" s="52" t="s">
        <v>187</v>
      </c>
      <c r="C71" s="53">
        <v>11</v>
      </c>
      <c r="D71" s="53" t="s">
        <v>95</v>
      </c>
      <c r="E71" s="11">
        <v>186.82</v>
      </c>
      <c r="F71" s="11">
        <f t="shared" si="20"/>
        <v>186.82</v>
      </c>
      <c r="G71" s="225" t="s">
        <v>188</v>
      </c>
      <c r="H71" s="54" t="s">
        <v>37</v>
      </c>
      <c r="I71" s="54"/>
      <c r="J71" s="55" t="s">
        <v>97</v>
      </c>
      <c r="K71" s="11"/>
      <c r="L71" s="11">
        <v>109.25</v>
      </c>
      <c r="M71" s="11">
        <v>24.57</v>
      </c>
      <c r="N71" s="11">
        <v>13</v>
      </c>
      <c r="O71" s="11">
        <v>10</v>
      </c>
      <c r="P71" s="11"/>
      <c r="Q71" s="11">
        <v>15</v>
      </c>
      <c r="R71" s="11">
        <v>15</v>
      </c>
      <c r="S71" s="11"/>
      <c r="T71" s="11"/>
      <c r="U71" s="56"/>
      <c r="V71" s="35" t="str">
        <f t="shared" si="3"/>
        <v>OK</v>
      </c>
      <c r="W71" s="38" t="str">
        <f t="shared" si="5"/>
        <v/>
      </c>
      <c r="X71" s="3"/>
      <c r="Y71" s="3"/>
      <c r="Z71" s="3"/>
    </row>
    <row r="72" spans="1:26" ht="15" customHeight="1" outlineLevel="1" x14ac:dyDescent="0.3">
      <c r="A72" s="3"/>
      <c r="B72" s="52" t="s">
        <v>189</v>
      </c>
      <c r="C72" s="53">
        <v>11</v>
      </c>
      <c r="D72" s="53" t="s">
        <v>95</v>
      </c>
      <c r="E72" s="11">
        <v>186.82</v>
      </c>
      <c r="F72" s="11">
        <f t="shared" si="20"/>
        <v>186.82</v>
      </c>
      <c r="G72" s="227"/>
      <c r="H72" s="54" t="s">
        <v>37</v>
      </c>
      <c r="I72" s="54"/>
      <c r="J72" s="55" t="s">
        <v>97</v>
      </c>
      <c r="K72" s="11"/>
      <c r="L72" s="11">
        <v>109.25</v>
      </c>
      <c r="M72" s="11">
        <v>24.57</v>
      </c>
      <c r="N72" s="11">
        <v>13</v>
      </c>
      <c r="O72" s="11">
        <v>10</v>
      </c>
      <c r="P72" s="11"/>
      <c r="Q72" s="11">
        <v>15</v>
      </c>
      <c r="R72" s="11">
        <v>15</v>
      </c>
      <c r="S72" s="11"/>
      <c r="T72" s="11"/>
      <c r="U72" s="56"/>
      <c r="V72" s="35" t="str">
        <f t="shared" si="3"/>
        <v>OK</v>
      </c>
      <c r="W72" s="38" t="str">
        <f t="shared" si="5"/>
        <v/>
      </c>
      <c r="X72" s="3"/>
      <c r="Y72" s="3"/>
      <c r="Z72" s="3"/>
    </row>
    <row r="73" spans="1:26" ht="15.75" customHeight="1" outlineLevel="1" x14ac:dyDescent="0.3">
      <c r="A73" s="3"/>
      <c r="B73" s="9" t="s">
        <v>190</v>
      </c>
      <c r="C73" s="53">
        <v>2</v>
      </c>
      <c r="D73" s="53" t="s">
        <v>95</v>
      </c>
      <c r="E73" s="11">
        <v>141.54</v>
      </c>
      <c r="F73" s="11">
        <f>E73+166.54</f>
        <v>308.08</v>
      </c>
      <c r="G73" s="62" t="s">
        <v>191</v>
      </c>
      <c r="H73" s="54" t="s">
        <v>37</v>
      </c>
      <c r="I73" s="54"/>
      <c r="J73" s="55" t="s">
        <v>97</v>
      </c>
      <c r="K73" s="11"/>
      <c r="L73" s="11">
        <f>77.53+166.54</f>
        <v>244.07</v>
      </c>
      <c r="M73" s="11">
        <v>24.57</v>
      </c>
      <c r="N73" s="11">
        <v>13</v>
      </c>
      <c r="O73" s="11">
        <v>1.44</v>
      </c>
      <c r="P73" s="11"/>
      <c r="Q73" s="11">
        <v>20</v>
      </c>
      <c r="R73" s="11">
        <v>5</v>
      </c>
      <c r="S73" s="11"/>
      <c r="T73" s="11"/>
      <c r="U73" s="56"/>
      <c r="V73" s="35" t="str">
        <f t="shared" si="3"/>
        <v>OK</v>
      </c>
      <c r="W73" s="38" t="str">
        <f t="shared" si="5"/>
        <v/>
      </c>
      <c r="X73" s="3"/>
      <c r="Y73" s="3"/>
      <c r="Z73" s="3"/>
    </row>
    <row r="74" spans="1:26" ht="15" customHeight="1" outlineLevel="1" x14ac:dyDescent="0.3">
      <c r="A74" s="3"/>
      <c r="B74" s="52" t="s">
        <v>192</v>
      </c>
      <c r="C74" s="53">
        <v>12</v>
      </c>
      <c r="D74" s="53" t="s">
        <v>95</v>
      </c>
      <c r="E74" s="11">
        <v>63.67</v>
      </c>
      <c r="F74" s="11">
        <f t="shared" ref="F74:F75" si="21">E74</f>
        <v>63.67</v>
      </c>
      <c r="G74" s="58"/>
      <c r="H74" s="54" t="s">
        <v>37</v>
      </c>
      <c r="I74" s="54"/>
      <c r="J74" s="55" t="s">
        <v>97</v>
      </c>
      <c r="K74" s="11"/>
      <c r="L74" s="11">
        <v>24.66</v>
      </c>
      <c r="M74" s="11">
        <v>24.57</v>
      </c>
      <c r="N74" s="11">
        <v>13</v>
      </c>
      <c r="O74" s="11">
        <v>1.44</v>
      </c>
      <c r="P74" s="11"/>
      <c r="Q74" s="11"/>
      <c r="R74" s="11"/>
      <c r="S74" s="11"/>
      <c r="T74" s="11"/>
      <c r="U74" s="56"/>
      <c r="V74" s="35" t="str">
        <f t="shared" si="3"/>
        <v>OK</v>
      </c>
      <c r="W74" s="38" t="str">
        <f t="shared" si="5"/>
        <v/>
      </c>
      <c r="X74" s="3"/>
      <c r="Y74" s="3"/>
      <c r="Z74" s="3"/>
    </row>
    <row r="75" spans="1:26" ht="15" customHeight="1" outlineLevel="1" x14ac:dyDescent="0.3">
      <c r="A75" s="3"/>
      <c r="B75" s="9" t="s">
        <v>193</v>
      </c>
      <c r="C75" s="53">
        <v>12</v>
      </c>
      <c r="D75" s="53" t="s">
        <v>95</v>
      </c>
      <c r="E75" s="11">
        <v>94.02</v>
      </c>
      <c r="F75" s="11">
        <f t="shared" si="21"/>
        <v>94.02</v>
      </c>
      <c r="G75" s="58"/>
      <c r="H75" s="54" t="s">
        <v>37</v>
      </c>
      <c r="I75" s="54"/>
      <c r="J75" s="55" t="s">
        <v>97</v>
      </c>
      <c r="K75" s="11"/>
      <c r="L75" s="11">
        <v>54.95</v>
      </c>
      <c r="M75" s="11">
        <v>24.57</v>
      </c>
      <c r="N75" s="11">
        <v>13</v>
      </c>
      <c r="O75" s="11">
        <v>1.5</v>
      </c>
      <c r="P75" s="11"/>
      <c r="Q75" s="11"/>
      <c r="R75" s="11"/>
      <c r="S75" s="11"/>
      <c r="T75" s="11"/>
      <c r="U75" s="56"/>
      <c r="V75" s="35" t="str">
        <f t="shared" si="3"/>
        <v>OK</v>
      </c>
      <c r="W75" s="38" t="str">
        <f t="shared" si="5"/>
        <v/>
      </c>
      <c r="X75" s="3"/>
      <c r="Y75" s="3"/>
      <c r="Z75" s="3"/>
    </row>
    <row r="76" spans="1:26" ht="15" customHeight="1" outlineLevel="1" x14ac:dyDescent="0.3">
      <c r="A76" s="3"/>
      <c r="B76" s="52" t="s">
        <v>194</v>
      </c>
      <c r="C76" s="53">
        <v>31</v>
      </c>
      <c r="D76" s="53" t="s">
        <v>130</v>
      </c>
      <c r="E76" s="11">
        <v>50</v>
      </c>
      <c r="F76" s="11">
        <v>200</v>
      </c>
      <c r="G76" s="228" t="s">
        <v>195</v>
      </c>
      <c r="H76" s="54" t="s">
        <v>36</v>
      </c>
      <c r="I76" s="54"/>
      <c r="J76" s="55" t="s">
        <v>97</v>
      </c>
      <c r="K76" s="11"/>
      <c r="L76" s="11">
        <f t="shared" ref="L76:L77" si="22">10.93+150</f>
        <v>160.93</v>
      </c>
      <c r="M76" s="11">
        <v>24.57</v>
      </c>
      <c r="N76" s="11">
        <v>13</v>
      </c>
      <c r="O76" s="11">
        <v>1.5</v>
      </c>
      <c r="P76" s="11"/>
      <c r="Q76" s="11"/>
      <c r="R76" s="11"/>
      <c r="S76" s="11"/>
      <c r="T76" s="11"/>
      <c r="U76" s="56"/>
      <c r="V76" s="35" t="str">
        <f t="shared" si="3"/>
        <v>OK</v>
      </c>
      <c r="W76" s="38" t="str">
        <f t="shared" si="5"/>
        <v/>
      </c>
      <c r="X76" s="3"/>
      <c r="Y76" s="3"/>
      <c r="Z76" s="3"/>
    </row>
    <row r="77" spans="1:26" ht="15" customHeight="1" outlineLevel="1" x14ac:dyDescent="0.3">
      <c r="A77" s="3"/>
      <c r="B77" s="52" t="s">
        <v>196</v>
      </c>
      <c r="C77" s="53">
        <v>31</v>
      </c>
      <c r="D77" s="53" t="s">
        <v>130</v>
      </c>
      <c r="E77" s="11">
        <v>50</v>
      </c>
      <c r="F77" s="11">
        <v>200</v>
      </c>
      <c r="G77" s="227"/>
      <c r="H77" s="54" t="s">
        <v>36</v>
      </c>
      <c r="I77" s="54"/>
      <c r="J77" s="55"/>
      <c r="K77" s="11"/>
      <c r="L77" s="11">
        <f t="shared" si="22"/>
        <v>160.93</v>
      </c>
      <c r="M77" s="11">
        <v>24.57</v>
      </c>
      <c r="N77" s="11">
        <v>13</v>
      </c>
      <c r="O77" s="11">
        <v>1.5</v>
      </c>
      <c r="P77" s="11"/>
      <c r="Q77" s="11"/>
      <c r="R77" s="11"/>
      <c r="S77" s="11"/>
      <c r="T77" s="11"/>
      <c r="U77" s="56"/>
      <c r="V77" s="35" t="str">
        <f t="shared" si="3"/>
        <v>OK</v>
      </c>
      <c r="W77" s="38" t="str">
        <f t="shared" si="5"/>
        <v/>
      </c>
      <c r="X77" s="3"/>
      <c r="Y77" s="3"/>
      <c r="Z77" s="3"/>
    </row>
    <row r="78" spans="1:26" ht="15" customHeight="1" outlineLevel="1" x14ac:dyDescent="0.3">
      <c r="A78" s="3"/>
      <c r="B78" s="9" t="s">
        <v>197</v>
      </c>
      <c r="C78" s="53">
        <v>3</v>
      </c>
      <c r="D78" s="53" t="s">
        <v>95</v>
      </c>
      <c r="E78" s="11">
        <v>40</v>
      </c>
      <c r="F78" s="11">
        <f t="shared" ref="F78:F93" si="23">E78</f>
        <v>40</v>
      </c>
      <c r="G78" s="58"/>
      <c r="H78" s="54" t="s">
        <v>37</v>
      </c>
      <c r="I78" s="54"/>
      <c r="J78" s="55"/>
      <c r="K78" s="11"/>
      <c r="L78" s="11">
        <v>0.93</v>
      </c>
      <c r="M78" s="11">
        <v>24.57</v>
      </c>
      <c r="N78" s="11">
        <v>13</v>
      </c>
      <c r="O78" s="11">
        <v>1.5</v>
      </c>
      <c r="P78" s="11"/>
      <c r="Q78" s="11"/>
      <c r="R78" s="11"/>
      <c r="S78" s="11"/>
      <c r="T78" s="11"/>
      <c r="U78" s="56"/>
      <c r="V78" s="35" t="str">
        <f t="shared" si="3"/>
        <v>OK</v>
      </c>
      <c r="W78" s="38" t="str">
        <f t="shared" si="5"/>
        <v/>
      </c>
      <c r="X78" s="3"/>
      <c r="Y78" s="3"/>
      <c r="Z78" s="3"/>
    </row>
    <row r="79" spans="1:26" ht="15" customHeight="1" outlineLevel="1" x14ac:dyDescent="0.3">
      <c r="A79" s="3"/>
      <c r="B79" s="52" t="s">
        <v>198</v>
      </c>
      <c r="C79" s="53">
        <v>8</v>
      </c>
      <c r="D79" s="53" t="s">
        <v>95</v>
      </c>
      <c r="E79" s="11">
        <v>149.01</v>
      </c>
      <c r="F79" s="11">
        <f t="shared" si="23"/>
        <v>149.01</v>
      </c>
      <c r="G79" s="58"/>
      <c r="H79" s="54" t="s">
        <v>37</v>
      </c>
      <c r="I79" s="54"/>
      <c r="J79" s="55" t="s">
        <v>97</v>
      </c>
      <c r="K79" s="11"/>
      <c r="L79" s="11">
        <v>96.44</v>
      </c>
      <c r="M79" s="11">
        <v>24.57</v>
      </c>
      <c r="N79" s="11">
        <v>13</v>
      </c>
      <c r="O79" s="11">
        <v>5</v>
      </c>
      <c r="P79" s="11">
        <v>10</v>
      </c>
      <c r="Q79" s="11"/>
      <c r="R79" s="11"/>
      <c r="S79" s="11"/>
      <c r="T79" s="11"/>
      <c r="U79" s="56"/>
      <c r="V79" s="35" t="str">
        <f t="shared" si="3"/>
        <v>OK</v>
      </c>
      <c r="W79" s="38" t="str">
        <f t="shared" si="5"/>
        <v/>
      </c>
      <c r="X79" s="3"/>
      <c r="Y79" s="3"/>
      <c r="Z79" s="3"/>
    </row>
    <row r="80" spans="1:26" ht="15" customHeight="1" outlineLevel="1" x14ac:dyDescent="0.3">
      <c r="A80" s="3"/>
      <c r="B80" s="9" t="s">
        <v>199</v>
      </c>
      <c r="C80" s="53">
        <v>1</v>
      </c>
      <c r="D80" s="53" t="s">
        <v>95</v>
      </c>
      <c r="E80" s="11">
        <v>55.39</v>
      </c>
      <c r="F80" s="11">
        <f t="shared" si="23"/>
        <v>55.39</v>
      </c>
      <c r="G80" s="58"/>
      <c r="H80" s="54" t="s">
        <v>37</v>
      </c>
      <c r="I80" s="54"/>
      <c r="J80" s="55" t="s">
        <v>97</v>
      </c>
      <c r="K80" s="11"/>
      <c r="L80" s="11">
        <v>16.32</v>
      </c>
      <c r="M80" s="11">
        <v>24.57</v>
      </c>
      <c r="N80" s="11">
        <v>13</v>
      </c>
      <c r="O80" s="11">
        <v>1.5</v>
      </c>
      <c r="P80" s="11"/>
      <c r="Q80" s="11"/>
      <c r="R80" s="11"/>
      <c r="S80" s="11"/>
      <c r="T80" s="11"/>
      <c r="U80" s="56"/>
      <c r="V80" s="35" t="str">
        <f t="shared" si="3"/>
        <v>OK</v>
      </c>
      <c r="W80" s="38" t="str">
        <f t="shared" si="5"/>
        <v/>
      </c>
      <c r="X80" s="3"/>
      <c r="Y80" s="3"/>
      <c r="Z80" s="3"/>
    </row>
    <row r="81" spans="1:26" ht="15" customHeight="1" outlineLevel="1" x14ac:dyDescent="0.3">
      <c r="A81" s="3"/>
      <c r="B81" s="52" t="s">
        <v>200</v>
      </c>
      <c r="C81" s="53">
        <v>7</v>
      </c>
      <c r="D81" s="53" t="s">
        <v>95</v>
      </c>
      <c r="E81" s="11">
        <v>65.739999999999995</v>
      </c>
      <c r="F81" s="11">
        <f t="shared" si="23"/>
        <v>65.739999999999995</v>
      </c>
      <c r="G81" s="58"/>
      <c r="H81" s="54" t="s">
        <v>37</v>
      </c>
      <c r="I81" s="54"/>
      <c r="J81" s="55" t="s">
        <v>97</v>
      </c>
      <c r="K81" s="11"/>
      <c r="L81" s="11">
        <v>26.67</v>
      </c>
      <c r="M81" s="11">
        <v>24.57</v>
      </c>
      <c r="N81" s="11">
        <v>13</v>
      </c>
      <c r="O81" s="11">
        <v>1.5</v>
      </c>
      <c r="P81" s="11"/>
      <c r="Q81" s="11"/>
      <c r="R81" s="11"/>
      <c r="S81" s="11"/>
      <c r="T81" s="11"/>
      <c r="U81" s="56"/>
      <c r="V81" s="35" t="str">
        <f t="shared" si="3"/>
        <v>OK</v>
      </c>
      <c r="W81" s="38" t="str">
        <f t="shared" si="5"/>
        <v/>
      </c>
      <c r="X81" s="3"/>
      <c r="Y81" s="3"/>
      <c r="Z81" s="3"/>
    </row>
    <row r="82" spans="1:26" ht="15" customHeight="1" outlineLevel="1" x14ac:dyDescent="0.3">
      <c r="A82" s="3"/>
      <c r="B82" s="9" t="s">
        <v>201</v>
      </c>
      <c r="C82" s="53">
        <v>19</v>
      </c>
      <c r="D82" s="53" t="s">
        <v>95</v>
      </c>
      <c r="E82" s="11">
        <v>54.57</v>
      </c>
      <c r="F82" s="11">
        <f t="shared" si="23"/>
        <v>54.57</v>
      </c>
      <c r="G82" s="225" t="s">
        <v>202</v>
      </c>
      <c r="H82" s="54" t="s">
        <v>37</v>
      </c>
      <c r="I82" s="54"/>
      <c r="J82" s="55"/>
      <c r="K82" s="11"/>
      <c r="L82" s="11">
        <v>10</v>
      </c>
      <c r="M82" s="11">
        <v>24.57</v>
      </c>
      <c r="N82" s="11">
        <v>13</v>
      </c>
      <c r="O82" s="11">
        <v>2</v>
      </c>
      <c r="P82" s="11"/>
      <c r="Q82" s="11"/>
      <c r="R82" s="11">
        <v>5</v>
      </c>
      <c r="S82" s="11"/>
      <c r="T82" s="11"/>
      <c r="U82" s="56"/>
      <c r="V82" s="35" t="str">
        <f t="shared" si="3"/>
        <v>OK</v>
      </c>
      <c r="W82" s="38" t="str">
        <f t="shared" si="5"/>
        <v/>
      </c>
      <c r="X82" s="3"/>
      <c r="Y82" s="3"/>
      <c r="Z82" s="3"/>
    </row>
    <row r="83" spans="1:26" ht="15" customHeight="1" outlineLevel="1" x14ac:dyDescent="0.3">
      <c r="A83" s="3"/>
      <c r="B83" s="9" t="s">
        <v>203</v>
      </c>
      <c r="C83" s="53">
        <v>19</v>
      </c>
      <c r="D83" s="53" t="s">
        <v>95</v>
      </c>
      <c r="E83" s="11">
        <v>59.57</v>
      </c>
      <c r="F83" s="11">
        <f t="shared" si="23"/>
        <v>59.57</v>
      </c>
      <c r="G83" s="227"/>
      <c r="H83" s="54" t="s">
        <v>37</v>
      </c>
      <c r="I83" s="54"/>
      <c r="J83" s="55"/>
      <c r="K83" s="11"/>
      <c r="L83" s="11">
        <v>15</v>
      </c>
      <c r="M83" s="11">
        <v>24.57</v>
      </c>
      <c r="N83" s="11">
        <v>13</v>
      </c>
      <c r="O83" s="11">
        <v>2</v>
      </c>
      <c r="P83" s="11"/>
      <c r="Q83" s="11"/>
      <c r="R83" s="11">
        <v>5</v>
      </c>
      <c r="S83" s="11"/>
      <c r="T83" s="11"/>
      <c r="U83" s="56"/>
      <c r="V83" s="35" t="str">
        <f t="shared" si="3"/>
        <v>OK</v>
      </c>
      <c r="W83" s="38" t="str">
        <f t="shared" si="5"/>
        <v/>
      </c>
      <c r="X83" s="3"/>
      <c r="Y83" s="3"/>
      <c r="Z83" s="3"/>
    </row>
    <row r="84" spans="1:26" ht="15" customHeight="1" outlineLevel="1" x14ac:dyDescent="0.3">
      <c r="A84" s="3"/>
      <c r="B84" s="52" t="s">
        <v>204</v>
      </c>
      <c r="C84" s="53">
        <v>2</v>
      </c>
      <c r="D84" s="53" t="s">
        <v>95</v>
      </c>
      <c r="E84" s="11">
        <v>77.239999999999995</v>
      </c>
      <c r="F84" s="11">
        <f t="shared" si="23"/>
        <v>77.239999999999995</v>
      </c>
      <c r="G84" s="225" t="s">
        <v>205</v>
      </c>
      <c r="H84" s="54" t="s">
        <v>37</v>
      </c>
      <c r="I84" s="54"/>
      <c r="J84" s="55"/>
      <c r="K84" s="11"/>
      <c r="L84" s="11">
        <v>38.17</v>
      </c>
      <c r="M84" s="11">
        <v>24.57</v>
      </c>
      <c r="N84" s="11">
        <v>13</v>
      </c>
      <c r="O84" s="11">
        <v>1.5</v>
      </c>
      <c r="P84" s="11"/>
      <c r="Q84" s="11"/>
      <c r="R84" s="11"/>
      <c r="S84" s="11"/>
      <c r="T84" s="11"/>
      <c r="U84" s="56"/>
      <c r="V84" s="35" t="str">
        <f t="shared" si="3"/>
        <v>OK</v>
      </c>
      <c r="W84" s="38" t="str">
        <f t="shared" si="5"/>
        <v/>
      </c>
      <c r="X84" s="3"/>
      <c r="Y84" s="3"/>
      <c r="Z84" s="3"/>
    </row>
    <row r="85" spans="1:26" ht="15" customHeight="1" outlineLevel="1" x14ac:dyDescent="0.3">
      <c r="A85" s="3"/>
      <c r="B85" s="52" t="s">
        <v>206</v>
      </c>
      <c r="C85" s="53">
        <v>2</v>
      </c>
      <c r="D85" s="53" t="s">
        <v>95</v>
      </c>
      <c r="E85" s="11">
        <v>111.76</v>
      </c>
      <c r="F85" s="11">
        <f t="shared" si="23"/>
        <v>111.76</v>
      </c>
      <c r="G85" s="227"/>
      <c r="H85" s="54" t="s">
        <v>37</v>
      </c>
      <c r="I85" s="54"/>
      <c r="J85" s="55" t="s">
        <v>97</v>
      </c>
      <c r="K85" s="11"/>
      <c r="L85" s="11">
        <v>72.75</v>
      </c>
      <c r="M85" s="11">
        <v>24.57</v>
      </c>
      <c r="N85" s="11">
        <v>13</v>
      </c>
      <c r="O85" s="11">
        <v>1.44</v>
      </c>
      <c r="P85" s="11"/>
      <c r="Q85" s="11"/>
      <c r="R85" s="11"/>
      <c r="S85" s="11"/>
      <c r="T85" s="11"/>
      <c r="U85" s="56"/>
      <c r="V85" s="35" t="str">
        <f t="shared" si="3"/>
        <v>OK</v>
      </c>
      <c r="W85" s="38" t="str">
        <f t="shared" si="5"/>
        <v/>
      </c>
      <c r="X85" s="3"/>
      <c r="Y85" s="3"/>
      <c r="Z85" s="3"/>
    </row>
    <row r="86" spans="1:26" ht="15" customHeight="1" outlineLevel="1" x14ac:dyDescent="0.3">
      <c r="A86" s="3"/>
      <c r="B86" s="9" t="s">
        <v>207</v>
      </c>
      <c r="C86" s="53">
        <v>12</v>
      </c>
      <c r="D86" s="53" t="s">
        <v>95</v>
      </c>
      <c r="E86" s="11">
        <v>127.54</v>
      </c>
      <c r="F86" s="11">
        <f t="shared" si="23"/>
        <v>127.54</v>
      </c>
      <c r="G86" s="225" t="s">
        <v>208</v>
      </c>
      <c r="H86" s="54" t="s">
        <v>37</v>
      </c>
      <c r="I86" s="54"/>
      <c r="J86" s="55"/>
      <c r="K86" s="11"/>
      <c r="L86" s="11">
        <v>82.97</v>
      </c>
      <c r="M86" s="11">
        <v>24.57</v>
      </c>
      <c r="N86" s="11">
        <v>13</v>
      </c>
      <c r="O86" s="11">
        <v>2</v>
      </c>
      <c r="P86" s="11"/>
      <c r="Q86" s="11"/>
      <c r="R86" s="11">
        <v>5</v>
      </c>
      <c r="S86" s="11"/>
      <c r="T86" s="11"/>
      <c r="U86" s="56"/>
      <c r="V86" s="35" t="str">
        <f t="shared" si="3"/>
        <v>OK</v>
      </c>
      <c r="W86" s="38" t="str">
        <f t="shared" si="5"/>
        <v/>
      </c>
      <c r="X86" s="3"/>
      <c r="Y86" s="3"/>
      <c r="Z86" s="3"/>
    </row>
    <row r="87" spans="1:26" ht="15" customHeight="1" outlineLevel="1" x14ac:dyDescent="0.3">
      <c r="A87" s="3"/>
      <c r="B87" s="9" t="s">
        <v>209</v>
      </c>
      <c r="C87" s="53">
        <v>12</v>
      </c>
      <c r="D87" s="53" t="s">
        <v>95</v>
      </c>
      <c r="E87" s="11">
        <v>127.54</v>
      </c>
      <c r="F87" s="11">
        <f t="shared" si="23"/>
        <v>127.54</v>
      </c>
      <c r="G87" s="226"/>
      <c r="H87" s="54" t="s">
        <v>37</v>
      </c>
      <c r="I87" s="54"/>
      <c r="J87" s="55"/>
      <c r="K87" s="11"/>
      <c r="L87" s="11">
        <v>82.97</v>
      </c>
      <c r="M87" s="11">
        <v>24.57</v>
      </c>
      <c r="N87" s="11">
        <v>13</v>
      </c>
      <c r="O87" s="11">
        <v>2</v>
      </c>
      <c r="P87" s="11"/>
      <c r="Q87" s="11"/>
      <c r="R87" s="11">
        <v>5</v>
      </c>
      <c r="S87" s="11"/>
      <c r="T87" s="11"/>
      <c r="U87" s="56"/>
      <c r="V87" s="35" t="str">
        <f t="shared" si="3"/>
        <v>OK</v>
      </c>
      <c r="W87" s="38" t="str">
        <f t="shared" si="5"/>
        <v/>
      </c>
      <c r="X87" s="3"/>
      <c r="Y87" s="3"/>
      <c r="Z87" s="3"/>
    </row>
    <row r="88" spans="1:26" ht="15" customHeight="1" outlineLevel="1" x14ac:dyDescent="0.3">
      <c r="A88" s="3"/>
      <c r="B88" s="9" t="s">
        <v>210</v>
      </c>
      <c r="C88" s="53">
        <v>12</v>
      </c>
      <c r="D88" s="53" t="s">
        <v>95</v>
      </c>
      <c r="E88" s="11">
        <v>127.54</v>
      </c>
      <c r="F88" s="11">
        <f t="shared" si="23"/>
        <v>127.54</v>
      </c>
      <c r="G88" s="227"/>
      <c r="H88" s="54" t="s">
        <v>37</v>
      </c>
      <c r="I88" s="54"/>
      <c r="J88" s="55" t="s">
        <v>97</v>
      </c>
      <c r="K88" s="11"/>
      <c r="L88" s="11">
        <v>82.97</v>
      </c>
      <c r="M88" s="11">
        <v>24.57</v>
      </c>
      <c r="N88" s="11">
        <v>13</v>
      </c>
      <c r="O88" s="11">
        <v>2</v>
      </c>
      <c r="P88" s="11"/>
      <c r="Q88" s="11"/>
      <c r="R88" s="11">
        <v>5</v>
      </c>
      <c r="S88" s="11"/>
      <c r="T88" s="11"/>
      <c r="U88" s="56"/>
      <c r="V88" s="35" t="str">
        <f t="shared" si="3"/>
        <v>OK</v>
      </c>
      <c r="W88" s="38" t="str">
        <f t="shared" si="5"/>
        <v/>
      </c>
      <c r="X88" s="3"/>
      <c r="Y88" s="3"/>
      <c r="Z88" s="3"/>
    </row>
    <row r="89" spans="1:26" ht="15" customHeight="1" outlineLevel="1" x14ac:dyDescent="0.3">
      <c r="A89" s="3"/>
      <c r="B89" s="52" t="s">
        <v>211</v>
      </c>
      <c r="C89" s="53">
        <v>16</v>
      </c>
      <c r="D89" s="53" t="s">
        <v>95</v>
      </c>
      <c r="E89" s="11">
        <v>150</v>
      </c>
      <c r="F89" s="11">
        <f t="shared" si="23"/>
        <v>150</v>
      </c>
      <c r="G89" s="58"/>
      <c r="H89" s="54" t="s">
        <v>37</v>
      </c>
      <c r="I89" s="54"/>
      <c r="J89" s="55" t="s">
        <v>97</v>
      </c>
      <c r="K89" s="11"/>
      <c r="L89" s="11">
        <v>100.93</v>
      </c>
      <c r="M89" s="11">
        <v>24.57</v>
      </c>
      <c r="N89" s="11">
        <v>13</v>
      </c>
      <c r="O89" s="11">
        <v>1.5</v>
      </c>
      <c r="P89" s="11"/>
      <c r="Q89" s="11"/>
      <c r="R89" s="11">
        <v>10</v>
      </c>
      <c r="S89" s="11"/>
      <c r="T89" s="11"/>
      <c r="U89" s="56"/>
      <c r="V89" s="35" t="str">
        <f t="shared" si="3"/>
        <v>OK</v>
      </c>
      <c r="W89" s="38" t="str">
        <f t="shared" si="5"/>
        <v/>
      </c>
      <c r="X89" s="3"/>
      <c r="Y89" s="3"/>
      <c r="Z89" s="3"/>
    </row>
    <row r="90" spans="1:26" ht="15" customHeight="1" outlineLevel="1" x14ac:dyDescent="0.3">
      <c r="A90" s="3"/>
      <c r="B90" s="9" t="s">
        <v>212</v>
      </c>
      <c r="C90" s="53">
        <v>4</v>
      </c>
      <c r="D90" s="53" t="s">
        <v>95</v>
      </c>
      <c r="E90" s="11">
        <v>150</v>
      </c>
      <c r="F90" s="11">
        <f t="shared" si="23"/>
        <v>150</v>
      </c>
      <c r="G90" s="225" t="s">
        <v>213</v>
      </c>
      <c r="H90" s="54" t="s">
        <v>37</v>
      </c>
      <c r="I90" s="54"/>
      <c r="J90" s="55" t="s">
        <v>97</v>
      </c>
      <c r="K90" s="11"/>
      <c r="L90" s="11">
        <v>95.43</v>
      </c>
      <c r="M90" s="11">
        <v>24.57</v>
      </c>
      <c r="N90" s="11">
        <v>13</v>
      </c>
      <c r="O90" s="11">
        <v>2</v>
      </c>
      <c r="P90" s="11"/>
      <c r="Q90" s="11">
        <v>5</v>
      </c>
      <c r="R90" s="11">
        <v>10</v>
      </c>
      <c r="S90" s="11"/>
      <c r="T90" s="11"/>
      <c r="U90" s="56"/>
      <c r="V90" s="35" t="str">
        <f t="shared" si="3"/>
        <v>OK</v>
      </c>
      <c r="W90" s="38" t="str">
        <f t="shared" si="5"/>
        <v/>
      </c>
      <c r="X90" s="3"/>
      <c r="Y90" s="3"/>
      <c r="Z90" s="3"/>
    </row>
    <row r="91" spans="1:26" ht="15" customHeight="1" outlineLevel="1" x14ac:dyDescent="0.3">
      <c r="A91" s="3"/>
      <c r="B91" s="9" t="s">
        <v>214</v>
      </c>
      <c r="C91" s="53">
        <v>4</v>
      </c>
      <c r="D91" s="53" t="s">
        <v>95</v>
      </c>
      <c r="E91" s="11">
        <v>150</v>
      </c>
      <c r="F91" s="11">
        <f t="shared" si="23"/>
        <v>150</v>
      </c>
      <c r="G91" s="227"/>
      <c r="H91" s="54" t="s">
        <v>37</v>
      </c>
      <c r="I91" s="54"/>
      <c r="J91" s="55" t="s">
        <v>97</v>
      </c>
      <c r="K91" s="11"/>
      <c r="L91" s="11">
        <v>95.43</v>
      </c>
      <c r="M91" s="11">
        <v>24.57</v>
      </c>
      <c r="N91" s="11">
        <v>13</v>
      </c>
      <c r="O91" s="11">
        <v>2</v>
      </c>
      <c r="P91" s="11"/>
      <c r="Q91" s="11">
        <v>5</v>
      </c>
      <c r="R91" s="11">
        <v>10</v>
      </c>
      <c r="S91" s="11"/>
      <c r="T91" s="11"/>
      <c r="U91" s="56"/>
      <c r="V91" s="35" t="str">
        <f t="shared" si="3"/>
        <v>OK</v>
      </c>
      <c r="W91" s="38" t="str">
        <f t="shared" si="5"/>
        <v/>
      </c>
      <c r="X91" s="3"/>
      <c r="Y91" s="3"/>
      <c r="Z91" s="3"/>
    </row>
    <row r="92" spans="1:26" ht="15" customHeight="1" outlineLevel="1" x14ac:dyDescent="0.3">
      <c r="A92" s="3"/>
      <c r="B92" s="52" t="s">
        <v>215</v>
      </c>
      <c r="C92" s="53">
        <v>6</v>
      </c>
      <c r="D92" s="53" t="s">
        <v>95</v>
      </c>
      <c r="E92" s="11">
        <v>150</v>
      </c>
      <c r="F92" s="11">
        <f t="shared" si="23"/>
        <v>150</v>
      </c>
      <c r="G92" s="58"/>
      <c r="H92" s="54" t="s">
        <v>37</v>
      </c>
      <c r="I92" s="54"/>
      <c r="J92" s="55" t="s">
        <v>97</v>
      </c>
      <c r="K92" s="11"/>
      <c r="L92" s="11">
        <v>95.43</v>
      </c>
      <c r="M92" s="11">
        <v>24.57</v>
      </c>
      <c r="N92" s="11">
        <v>13</v>
      </c>
      <c r="O92" s="11">
        <v>2</v>
      </c>
      <c r="P92" s="11">
        <v>5</v>
      </c>
      <c r="Q92" s="11"/>
      <c r="R92" s="11">
        <v>10</v>
      </c>
      <c r="S92" s="11"/>
      <c r="T92" s="11"/>
      <c r="U92" s="56"/>
      <c r="V92" s="35" t="str">
        <f t="shared" si="3"/>
        <v>OK</v>
      </c>
      <c r="W92" s="38" t="str">
        <f t="shared" si="5"/>
        <v/>
      </c>
      <c r="X92" s="3"/>
      <c r="Y92" s="3"/>
      <c r="Z92" s="3"/>
    </row>
    <row r="93" spans="1:26" ht="15" customHeight="1" outlineLevel="1" x14ac:dyDescent="0.3">
      <c r="A93" s="3"/>
      <c r="B93" s="9" t="s">
        <v>216</v>
      </c>
      <c r="C93" s="53">
        <v>2</v>
      </c>
      <c r="D93" s="53" t="s">
        <v>95</v>
      </c>
      <c r="E93" s="11">
        <v>45</v>
      </c>
      <c r="F93" s="11">
        <f t="shared" si="23"/>
        <v>45</v>
      </c>
      <c r="G93" s="58"/>
      <c r="H93" s="54" t="s">
        <v>37</v>
      </c>
      <c r="I93" s="54"/>
      <c r="J93" s="55" t="s">
        <v>97</v>
      </c>
      <c r="K93" s="11"/>
      <c r="L93" s="11">
        <v>0.93</v>
      </c>
      <c r="M93" s="11">
        <v>24.57</v>
      </c>
      <c r="N93" s="11">
        <v>13</v>
      </c>
      <c r="O93" s="11">
        <v>1.5</v>
      </c>
      <c r="P93" s="11">
        <v>5</v>
      </c>
      <c r="Q93" s="11"/>
      <c r="R93" s="11"/>
      <c r="S93" s="11"/>
      <c r="T93" s="11"/>
      <c r="U93" s="56"/>
      <c r="V93" s="35" t="str">
        <f t="shared" si="3"/>
        <v>OK</v>
      </c>
      <c r="W93" s="38" t="str">
        <f t="shared" si="5"/>
        <v/>
      </c>
      <c r="X93" s="3"/>
      <c r="Y93" s="3"/>
      <c r="Z93" s="3"/>
    </row>
    <row r="94" spans="1:26" ht="15" customHeight="1" outlineLevel="1" x14ac:dyDescent="0.3">
      <c r="A94" s="3"/>
      <c r="B94" s="52" t="s">
        <v>217</v>
      </c>
      <c r="C94" s="53"/>
      <c r="D94" s="53" t="s">
        <v>105</v>
      </c>
      <c r="E94" s="11">
        <v>70</v>
      </c>
      <c r="F94" s="11">
        <v>0</v>
      </c>
      <c r="G94" s="58"/>
      <c r="H94" s="54"/>
      <c r="I94" s="54"/>
      <c r="J94" s="55" t="s">
        <v>97</v>
      </c>
      <c r="K94" s="11"/>
      <c r="L94" s="11">
        <v>30.93</v>
      </c>
      <c r="M94" s="11">
        <v>24.57</v>
      </c>
      <c r="N94" s="11">
        <v>13</v>
      </c>
      <c r="O94" s="11">
        <v>1.5</v>
      </c>
      <c r="P94" s="11"/>
      <c r="Q94" s="11"/>
      <c r="R94" s="11"/>
      <c r="S94" s="11"/>
      <c r="T94" s="11"/>
      <c r="U94" s="56"/>
      <c r="V94" s="35" t="str">
        <f t="shared" si="3"/>
        <v>Diferente</v>
      </c>
      <c r="W94" s="38">
        <f t="shared" si="5"/>
        <v>-70</v>
      </c>
      <c r="X94" s="3"/>
      <c r="Y94" s="3"/>
      <c r="Z94" s="3"/>
    </row>
    <row r="95" spans="1:26" ht="15" customHeight="1" outlineLevel="1" x14ac:dyDescent="0.3">
      <c r="A95" s="3"/>
      <c r="B95" s="9" t="s">
        <v>218</v>
      </c>
      <c r="C95" s="53">
        <v>1</v>
      </c>
      <c r="D95" s="53" t="s">
        <v>95</v>
      </c>
      <c r="E95" s="11">
        <v>132</v>
      </c>
      <c r="F95" s="11">
        <f t="shared" ref="F95:F96" si="24">E95</f>
        <v>132</v>
      </c>
      <c r="G95" s="225" t="s">
        <v>219</v>
      </c>
      <c r="H95" s="54" t="s">
        <v>37</v>
      </c>
      <c r="I95" s="54"/>
      <c r="J95" s="55" t="s">
        <v>97</v>
      </c>
      <c r="K95" s="11"/>
      <c r="L95" s="11">
        <v>87.43</v>
      </c>
      <c r="M95" s="11">
        <v>24.57</v>
      </c>
      <c r="N95" s="11">
        <v>13</v>
      </c>
      <c r="O95" s="11">
        <v>2</v>
      </c>
      <c r="P95" s="11"/>
      <c r="Q95" s="11"/>
      <c r="R95" s="11">
        <v>5</v>
      </c>
      <c r="S95" s="11"/>
      <c r="T95" s="11"/>
      <c r="U95" s="56"/>
      <c r="V95" s="35" t="str">
        <f t="shared" si="3"/>
        <v>OK</v>
      </c>
      <c r="W95" s="38" t="str">
        <f t="shared" si="5"/>
        <v/>
      </c>
      <c r="X95" s="3"/>
      <c r="Y95" s="3"/>
      <c r="Z95" s="3"/>
    </row>
    <row r="96" spans="1:26" ht="15" customHeight="1" outlineLevel="1" x14ac:dyDescent="0.3">
      <c r="A96" s="3"/>
      <c r="B96" s="9" t="s">
        <v>220</v>
      </c>
      <c r="C96" s="53">
        <v>1</v>
      </c>
      <c r="D96" s="53" t="s">
        <v>95</v>
      </c>
      <c r="E96" s="11">
        <v>132</v>
      </c>
      <c r="F96" s="11">
        <f t="shared" si="24"/>
        <v>132</v>
      </c>
      <c r="G96" s="227"/>
      <c r="H96" s="54" t="s">
        <v>37</v>
      </c>
      <c r="I96" s="54"/>
      <c r="J96" s="55"/>
      <c r="K96" s="11"/>
      <c r="L96" s="11">
        <v>87.43</v>
      </c>
      <c r="M96" s="11">
        <v>24.57</v>
      </c>
      <c r="N96" s="11">
        <v>13</v>
      </c>
      <c r="O96" s="11">
        <v>2</v>
      </c>
      <c r="P96" s="11"/>
      <c r="Q96" s="11"/>
      <c r="R96" s="11">
        <v>5</v>
      </c>
      <c r="S96" s="11"/>
      <c r="T96" s="11"/>
      <c r="U96" s="56"/>
      <c r="V96" s="35" t="str">
        <f t="shared" si="3"/>
        <v>OK</v>
      </c>
      <c r="W96" s="38" t="str">
        <f t="shared" si="5"/>
        <v/>
      </c>
      <c r="X96" s="3"/>
      <c r="Y96" s="3"/>
      <c r="Z96" s="3"/>
    </row>
    <row r="97" spans="1:26" ht="15" customHeight="1" outlineLevel="1" x14ac:dyDescent="0.3">
      <c r="A97" s="3"/>
      <c r="B97" s="52" t="s">
        <v>221</v>
      </c>
      <c r="C97" s="53"/>
      <c r="D97" s="53" t="s">
        <v>105</v>
      </c>
      <c r="E97" s="11">
        <v>150</v>
      </c>
      <c r="F97" s="11">
        <v>0</v>
      </c>
      <c r="G97" s="58"/>
      <c r="H97" s="54"/>
      <c r="I97" s="54"/>
      <c r="J97" s="55"/>
      <c r="K97" s="11"/>
      <c r="L97" s="11">
        <v>105.43</v>
      </c>
      <c r="M97" s="11">
        <v>24.57</v>
      </c>
      <c r="N97" s="11">
        <v>13</v>
      </c>
      <c r="O97" s="11">
        <v>2</v>
      </c>
      <c r="P97" s="11"/>
      <c r="Q97" s="11"/>
      <c r="R97" s="11">
        <v>5</v>
      </c>
      <c r="S97" s="11"/>
      <c r="T97" s="11"/>
      <c r="U97" s="56"/>
      <c r="V97" s="35" t="str">
        <f t="shared" si="3"/>
        <v>Diferente</v>
      </c>
      <c r="W97" s="38">
        <f t="shared" si="5"/>
        <v>-150</v>
      </c>
      <c r="X97" s="3"/>
      <c r="Y97" s="3"/>
      <c r="Z97" s="3"/>
    </row>
    <row r="98" spans="1:26" ht="15" customHeight="1" outlineLevel="1" x14ac:dyDescent="0.3">
      <c r="A98" s="3"/>
      <c r="B98" s="9" t="s">
        <v>222</v>
      </c>
      <c r="C98" s="53">
        <v>1</v>
      </c>
      <c r="D98" s="53" t="s">
        <v>95</v>
      </c>
      <c r="E98" s="11">
        <v>65</v>
      </c>
      <c r="F98" s="11">
        <f t="shared" ref="F98:F101" si="25">E98</f>
        <v>65</v>
      </c>
      <c r="G98" s="225" t="s">
        <v>223</v>
      </c>
      <c r="H98" s="54" t="s">
        <v>37</v>
      </c>
      <c r="I98" s="54"/>
      <c r="J98" s="55" t="s">
        <v>97</v>
      </c>
      <c r="K98" s="11"/>
      <c r="L98" s="11">
        <v>25.93</v>
      </c>
      <c r="M98" s="11">
        <v>24.57</v>
      </c>
      <c r="N98" s="11">
        <v>13</v>
      </c>
      <c r="O98" s="11">
        <v>1.5</v>
      </c>
      <c r="P98" s="11"/>
      <c r="Q98" s="11"/>
      <c r="R98" s="11"/>
      <c r="S98" s="11"/>
      <c r="T98" s="11"/>
      <c r="U98" s="56"/>
      <c r="V98" s="35" t="str">
        <f t="shared" si="3"/>
        <v>OK</v>
      </c>
      <c r="W98" s="38" t="str">
        <f t="shared" si="5"/>
        <v/>
      </c>
      <c r="X98" s="3"/>
      <c r="Y98" s="3"/>
      <c r="Z98" s="3"/>
    </row>
    <row r="99" spans="1:26" ht="15" customHeight="1" outlineLevel="1" x14ac:dyDescent="0.3">
      <c r="A99" s="3"/>
      <c r="B99" s="9" t="s">
        <v>224</v>
      </c>
      <c r="C99" s="53">
        <v>1</v>
      </c>
      <c r="D99" s="53" t="s">
        <v>95</v>
      </c>
      <c r="E99" s="11">
        <v>65</v>
      </c>
      <c r="F99" s="11">
        <f t="shared" si="25"/>
        <v>65</v>
      </c>
      <c r="G99" s="227"/>
      <c r="H99" s="54" t="s">
        <v>37</v>
      </c>
      <c r="I99" s="54"/>
      <c r="J99" s="55" t="s">
        <v>97</v>
      </c>
      <c r="K99" s="11"/>
      <c r="L99" s="11">
        <v>25.93</v>
      </c>
      <c r="M99" s="11">
        <v>24.57</v>
      </c>
      <c r="N99" s="11">
        <v>13</v>
      </c>
      <c r="O99" s="11">
        <v>1.5</v>
      </c>
      <c r="P99" s="11"/>
      <c r="Q99" s="11"/>
      <c r="R99" s="11"/>
      <c r="S99" s="11"/>
      <c r="T99" s="11"/>
      <c r="U99" s="56"/>
      <c r="V99" s="35" t="str">
        <f t="shared" si="3"/>
        <v>OK</v>
      </c>
      <c r="W99" s="38" t="str">
        <f t="shared" si="5"/>
        <v/>
      </c>
      <c r="X99" s="3"/>
      <c r="Y99" s="3"/>
      <c r="Z99" s="3"/>
    </row>
    <row r="100" spans="1:26" ht="15" customHeight="1" outlineLevel="1" x14ac:dyDescent="0.3">
      <c r="A100" s="3"/>
      <c r="B100" s="52" t="s">
        <v>225</v>
      </c>
      <c r="C100" s="53">
        <v>4</v>
      </c>
      <c r="D100" s="53" t="s">
        <v>95</v>
      </c>
      <c r="E100" s="11">
        <v>70</v>
      </c>
      <c r="F100" s="11">
        <f t="shared" si="25"/>
        <v>70</v>
      </c>
      <c r="G100" s="61"/>
      <c r="H100" s="54" t="s">
        <v>37</v>
      </c>
      <c r="I100" s="54"/>
      <c r="J100" s="55"/>
      <c r="K100" s="11"/>
      <c r="L100" s="11">
        <v>30.93</v>
      </c>
      <c r="M100" s="11">
        <v>24.57</v>
      </c>
      <c r="N100" s="11">
        <v>13</v>
      </c>
      <c r="O100" s="11">
        <v>1.5</v>
      </c>
      <c r="P100" s="11"/>
      <c r="Q100" s="11"/>
      <c r="R100" s="11"/>
      <c r="S100" s="11"/>
      <c r="T100" s="11"/>
      <c r="U100" s="56"/>
      <c r="V100" s="35" t="str">
        <f t="shared" si="3"/>
        <v>OK</v>
      </c>
      <c r="W100" s="38" t="str">
        <f t="shared" si="5"/>
        <v/>
      </c>
      <c r="X100" s="3"/>
      <c r="Y100" s="3"/>
      <c r="Z100" s="3"/>
    </row>
    <row r="101" spans="1:26" ht="15" customHeight="1" outlineLevel="1" x14ac:dyDescent="0.3">
      <c r="A101" s="3"/>
      <c r="B101" s="9" t="s">
        <v>226</v>
      </c>
      <c r="C101" s="53">
        <v>6</v>
      </c>
      <c r="D101" s="53" t="s">
        <v>95</v>
      </c>
      <c r="E101" s="11">
        <v>140</v>
      </c>
      <c r="F101" s="11">
        <f t="shared" si="25"/>
        <v>140</v>
      </c>
      <c r="G101" s="58"/>
      <c r="H101" s="54" t="s">
        <v>37</v>
      </c>
      <c r="I101" s="54"/>
      <c r="J101" s="55" t="s">
        <v>97</v>
      </c>
      <c r="K101" s="53"/>
      <c r="L101" s="11">
        <v>90.93</v>
      </c>
      <c r="M101" s="11">
        <v>24.57</v>
      </c>
      <c r="N101" s="11">
        <v>13</v>
      </c>
      <c r="O101" s="11">
        <v>1.5</v>
      </c>
      <c r="P101" s="11"/>
      <c r="Q101" s="11"/>
      <c r="R101" s="11">
        <v>10</v>
      </c>
      <c r="S101" s="11"/>
      <c r="T101" s="11"/>
      <c r="U101" s="56"/>
      <c r="V101" s="35" t="str">
        <f t="shared" si="3"/>
        <v>OK</v>
      </c>
      <c r="W101" s="38" t="str">
        <f t="shared" si="5"/>
        <v/>
      </c>
      <c r="X101" s="3"/>
      <c r="Y101" s="3"/>
      <c r="Z101" s="3"/>
    </row>
    <row r="102" spans="1:26" ht="15" customHeight="1" outlineLevel="1" x14ac:dyDescent="0.3">
      <c r="A102" s="3"/>
      <c r="B102" s="52" t="s">
        <v>227</v>
      </c>
      <c r="C102" s="53">
        <v>9</v>
      </c>
      <c r="D102" s="53" t="s">
        <v>95</v>
      </c>
      <c r="E102" s="11">
        <v>160</v>
      </c>
      <c r="F102" s="11">
        <v>160</v>
      </c>
      <c r="G102" s="58"/>
      <c r="H102" s="54" t="s">
        <v>37</v>
      </c>
      <c r="I102" s="54"/>
      <c r="J102" s="55" t="s">
        <v>97</v>
      </c>
      <c r="K102" s="53"/>
      <c r="L102" s="11">
        <v>102.43</v>
      </c>
      <c r="M102" s="11">
        <v>24.57</v>
      </c>
      <c r="N102" s="11">
        <v>13</v>
      </c>
      <c r="O102" s="11">
        <v>5</v>
      </c>
      <c r="P102" s="11">
        <v>5</v>
      </c>
      <c r="Q102" s="11"/>
      <c r="R102" s="11">
        <v>10</v>
      </c>
      <c r="S102" s="11"/>
      <c r="T102" s="11"/>
      <c r="U102" s="56"/>
      <c r="V102" s="35" t="str">
        <f t="shared" si="3"/>
        <v>OK</v>
      </c>
      <c r="W102" s="38" t="str">
        <f t="shared" si="5"/>
        <v/>
      </c>
      <c r="X102" s="3"/>
      <c r="Y102" s="3"/>
      <c r="Z102" s="3"/>
    </row>
    <row r="103" spans="1:26" ht="15" customHeight="1" outlineLevel="1" x14ac:dyDescent="0.3">
      <c r="A103" s="3"/>
      <c r="B103" s="9" t="s">
        <v>228</v>
      </c>
      <c r="C103" s="53">
        <v>15</v>
      </c>
      <c r="D103" s="53" t="s">
        <v>95</v>
      </c>
      <c r="E103" s="11">
        <v>165</v>
      </c>
      <c r="F103" s="11">
        <f t="shared" ref="F103:F105" si="26">E103</f>
        <v>165</v>
      </c>
      <c r="G103" s="58"/>
      <c r="H103" s="54" t="s">
        <v>37</v>
      </c>
      <c r="I103" s="54"/>
      <c r="J103" s="55" t="s">
        <v>97</v>
      </c>
      <c r="K103" s="53"/>
      <c r="L103" s="11">
        <v>99.43</v>
      </c>
      <c r="M103" s="11">
        <v>24.57</v>
      </c>
      <c r="N103" s="11">
        <v>13</v>
      </c>
      <c r="O103" s="11">
        <v>3</v>
      </c>
      <c r="P103" s="11">
        <v>15</v>
      </c>
      <c r="Q103" s="11"/>
      <c r="R103" s="11">
        <v>10</v>
      </c>
      <c r="S103" s="11"/>
      <c r="T103" s="11"/>
      <c r="U103" s="56"/>
      <c r="V103" s="35" t="str">
        <f t="shared" si="3"/>
        <v>OK</v>
      </c>
      <c r="W103" s="38" t="str">
        <f t="shared" si="5"/>
        <v/>
      </c>
      <c r="X103" s="3"/>
      <c r="Y103" s="3"/>
      <c r="Z103" s="3"/>
    </row>
    <row r="104" spans="1:26" ht="15" customHeight="1" outlineLevel="1" x14ac:dyDescent="0.3">
      <c r="A104" s="3"/>
      <c r="B104" s="63" t="s">
        <v>229</v>
      </c>
      <c r="C104" s="53">
        <v>29</v>
      </c>
      <c r="D104" s="53" t="s">
        <v>95</v>
      </c>
      <c r="E104" s="11">
        <v>100</v>
      </c>
      <c r="F104" s="11">
        <f t="shared" si="26"/>
        <v>100</v>
      </c>
      <c r="G104" s="58"/>
      <c r="H104" s="54" t="s">
        <v>37</v>
      </c>
      <c r="I104" s="54"/>
      <c r="J104" s="55" t="s">
        <v>97</v>
      </c>
      <c r="K104" s="53"/>
      <c r="L104" s="11">
        <v>100</v>
      </c>
      <c r="M104" s="11"/>
      <c r="N104" s="11"/>
      <c r="O104" s="11"/>
      <c r="P104" s="11"/>
      <c r="Q104" s="11"/>
      <c r="R104" s="11"/>
      <c r="S104" s="11"/>
      <c r="T104" s="11"/>
      <c r="U104" s="56"/>
      <c r="V104" s="35" t="str">
        <f t="shared" si="3"/>
        <v>OK</v>
      </c>
      <c r="W104" s="38" t="str">
        <f t="shared" si="5"/>
        <v/>
      </c>
      <c r="X104" s="3"/>
      <c r="Y104" s="3"/>
      <c r="Z104" s="3"/>
    </row>
    <row r="105" spans="1:26" ht="15" customHeight="1" outlineLevel="1" x14ac:dyDescent="0.3">
      <c r="A105" s="3"/>
      <c r="B105" s="63" t="s">
        <v>230</v>
      </c>
      <c r="C105" s="53">
        <v>29</v>
      </c>
      <c r="D105" s="53" t="s">
        <v>95</v>
      </c>
      <c r="E105" s="11">
        <v>100</v>
      </c>
      <c r="F105" s="11">
        <f t="shared" si="26"/>
        <v>100</v>
      </c>
      <c r="G105" s="58"/>
      <c r="H105" s="54" t="s">
        <v>37</v>
      </c>
      <c r="I105" s="54"/>
      <c r="J105" s="55" t="s">
        <v>97</v>
      </c>
      <c r="K105" s="53"/>
      <c r="L105" s="11">
        <v>100</v>
      </c>
      <c r="M105" s="11"/>
      <c r="N105" s="11"/>
      <c r="O105" s="11"/>
      <c r="P105" s="11"/>
      <c r="Q105" s="11"/>
      <c r="R105" s="11"/>
      <c r="S105" s="11"/>
      <c r="T105" s="11"/>
      <c r="U105" s="53"/>
      <c r="V105" s="35" t="str">
        <f t="shared" si="3"/>
        <v>OK</v>
      </c>
      <c r="W105" s="38" t="str">
        <f t="shared" si="5"/>
        <v/>
      </c>
      <c r="X105" s="3"/>
      <c r="Y105" s="3"/>
      <c r="Z105" s="3"/>
    </row>
    <row r="106" spans="1:26" ht="15" customHeight="1" outlineLevel="1" x14ac:dyDescent="0.3">
      <c r="A106" s="3"/>
      <c r="B106" s="9"/>
      <c r="C106" s="53"/>
      <c r="D106" s="53"/>
      <c r="E106" s="11">
        <f t="shared" ref="E106:E126" si="27">SUM(L106:T106)</f>
        <v>0</v>
      </c>
      <c r="F106" s="11">
        <f t="shared" ref="F106:F126" si="28">IF(D106="Pendente",0,SUM(L106:T106))</f>
        <v>0</v>
      </c>
      <c r="G106" s="58"/>
      <c r="H106" s="54"/>
      <c r="I106" s="54"/>
      <c r="J106" s="55" t="s">
        <v>97</v>
      </c>
      <c r="K106" s="53"/>
      <c r="L106" s="11"/>
      <c r="M106" s="11"/>
      <c r="N106" s="11"/>
      <c r="O106" s="11"/>
      <c r="P106" s="11"/>
      <c r="Q106" s="11"/>
      <c r="R106" s="11"/>
      <c r="S106" s="11"/>
      <c r="T106" s="11"/>
      <c r="U106" s="53"/>
      <c r="V106" s="35" t="str">
        <f t="shared" si="3"/>
        <v>OK</v>
      </c>
      <c r="W106" s="38" t="str">
        <f t="shared" si="5"/>
        <v/>
      </c>
      <c r="X106" s="3"/>
      <c r="Y106" s="3"/>
      <c r="Z106" s="3"/>
    </row>
    <row r="107" spans="1:26" ht="15" customHeight="1" outlineLevel="1" x14ac:dyDescent="0.3">
      <c r="A107" s="3"/>
      <c r="B107" s="9"/>
      <c r="C107" s="53"/>
      <c r="D107" s="53"/>
      <c r="E107" s="11">
        <f t="shared" si="27"/>
        <v>0</v>
      </c>
      <c r="F107" s="11">
        <f t="shared" si="28"/>
        <v>0</v>
      </c>
      <c r="G107" s="58"/>
      <c r="H107" s="54"/>
      <c r="I107" s="54"/>
      <c r="J107" s="55" t="s">
        <v>97</v>
      </c>
      <c r="K107" s="53"/>
      <c r="L107" s="11"/>
      <c r="M107" s="11"/>
      <c r="N107" s="11"/>
      <c r="O107" s="11"/>
      <c r="P107" s="11"/>
      <c r="Q107" s="11"/>
      <c r="R107" s="11"/>
      <c r="S107" s="11"/>
      <c r="T107" s="11"/>
      <c r="U107" s="53"/>
      <c r="V107" s="35" t="str">
        <f t="shared" si="3"/>
        <v>OK</v>
      </c>
      <c r="W107" s="38" t="str">
        <f t="shared" si="5"/>
        <v/>
      </c>
      <c r="X107" s="3"/>
      <c r="Y107" s="3"/>
      <c r="Z107" s="3"/>
    </row>
    <row r="108" spans="1:26" ht="15" customHeight="1" outlineLevel="1" x14ac:dyDescent="0.3">
      <c r="A108" s="3"/>
      <c r="B108" s="9"/>
      <c r="C108" s="53"/>
      <c r="D108" s="53"/>
      <c r="E108" s="11">
        <f t="shared" si="27"/>
        <v>0</v>
      </c>
      <c r="F108" s="11">
        <f t="shared" si="28"/>
        <v>0</v>
      </c>
      <c r="G108" s="58"/>
      <c r="H108" s="54"/>
      <c r="I108" s="54"/>
      <c r="J108" s="55" t="s">
        <v>97</v>
      </c>
      <c r="K108" s="53"/>
      <c r="L108" s="11"/>
      <c r="M108" s="11"/>
      <c r="N108" s="11"/>
      <c r="O108" s="11"/>
      <c r="P108" s="11"/>
      <c r="Q108" s="11"/>
      <c r="R108" s="11"/>
      <c r="S108" s="11"/>
      <c r="T108" s="11"/>
      <c r="U108" s="53"/>
      <c r="V108" s="35" t="str">
        <f t="shared" si="3"/>
        <v>OK</v>
      </c>
      <c r="W108" s="38" t="str">
        <f t="shared" si="5"/>
        <v/>
      </c>
      <c r="X108" s="3"/>
      <c r="Y108" s="3"/>
      <c r="Z108" s="3"/>
    </row>
    <row r="109" spans="1:26" ht="15" customHeight="1" outlineLevel="1" x14ac:dyDescent="0.3">
      <c r="A109" s="3"/>
      <c r="B109" s="9"/>
      <c r="C109" s="53"/>
      <c r="D109" s="53"/>
      <c r="E109" s="11">
        <f t="shared" si="27"/>
        <v>0</v>
      </c>
      <c r="F109" s="11">
        <f t="shared" si="28"/>
        <v>0</v>
      </c>
      <c r="G109" s="58"/>
      <c r="H109" s="54"/>
      <c r="I109" s="54"/>
      <c r="J109" s="55" t="s">
        <v>97</v>
      </c>
      <c r="K109" s="53"/>
      <c r="L109" s="11"/>
      <c r="M109" s="11"/>
      <c r="N109" s="11"/>
      <c r="O109" s="11"/>
      <c r="P109" s="11"/>
      <c r="Q109" s="11"/>
      <c r="R109" s="11"/>
      <c r="S109" s="11"/>
      <c r="T109" s="11"/>
      <c r="U109" s="53"/>
      <c r="V109" s="35" t="str">
        <f t="shared" si="3"/>
        <v>OK</v>
      </c>
      <c r="W109" s="38" t="str">
        <f t="shared" si="5"/>
        <v/>
      </c>
      <c r="X109" s="3"/>
      <c r="Y109" s="3"/>
      <c r="Z109" s="3"/>
    </row>
    <row r="110" spans="1:26" ht="15" customHeight="1" outlineLevel="1" x14ac:dyDescent="0.3">
      <c r="A110" s="3"/>
      <c r="B110" s="9"/>
      <c r="C110" s="53"/>
      <c r="D110" s="53"/>
      <c r="E110" s="11">
        <f t="shared" si="27"/>
        <v>0</v>
      </c>
      <c r="F110" s="11">
        <f t="shared" si="28"/>
        <v>0</v>
      </c>
      <c r="G110" s="58"/>
      <c r="H110" s="54"/>
      <c r="I110" s="54"/>
      <c r="J110" s="55" t="s">
        <v>97</v>
      </c>
      <c r="K110" s="53"/>
      <c r="L110" s="11"/>
      <c r="M110" s="11"/>
      <c r="N110" s="11"/>
      <c r="O110" s="11"/>
      <c r="P110" s="11"/>
      <c r="Q110" s="11"/>
      <c r="R110" s="11"/>
      <c r="S110" s="11"/>
      <c r="T110" s="11"/>
      <c r="U110" s="53"/>
      <c r="V110" s="35" t="str">
        <f t="shared" si="3"/>
        <v>OK</v>
      </c>
      <c r="W110" s="38" t="str">
        <f t="shared" si="5"/>
        <v/>
      </c>
      <c r="X110" s="3"/>
      <c r="Y110" s="3"/>
      <c r="Z110" s="3"/>
    </row>
    <row r="111" spans="1:26" ht="15" customHeight="1" outlineLevel="1" x14ac:dyDescent="0.3">
      <c r="A111" s="3"/>
      <c r="B111" s="9"/>
      <c r="C111" s="53"/>
      <c r="D111" s="53"/>
      <c r="E111" s="11">
        <f t="shared" si="27"/>
        <v>0</v>
      </c>
      <c r="F111" s="11">
        <f t="shared" si="28"/>
        <v>0</v>
      </c>
      <c r="G111" s="58"/>
      <c r="H111" s="54"/>
      <c r="I111" s="54"/>
      <c r="J111" s="55" t="s">
        <v>97</v>
      </c>
      <c r="K111" s="53"/>
      <c r="L111" s="11"/>
      <c r="M111" s="11"/>
      <c r="N111" s="11"/>
      <c r="O111" s="11"/>
      <c r="P111" s="11"/>
      <c r="Q111" s="11"/>
      <c r="R111" s="11"/>
      <c r="S111" s="11"/>
      <c r="T111" s="11"/>
      <c r="U111" s="53"/>
      <c r="V111" s="35" t="str">
        <f t="shared" si="3"/>
        <v>OK</v>
      </c>
      <c r="W111" s="38" t="str">
        <f t="shared" si="5"/>
        <v/>
      </c>
      <c r="X111" s="3"/>
      <c r="Y111" s="3"/>
      <c r="Z111" s="3"/>
    </row>
    <row r="112" spans="1:26" ht="15" customHeight="1" outlineLevel="1" x14ac:dyDescent="0.3">
      <c r="A112" s="3"/>
      <c r="B112" s="9"/>
      <c r="C112" s="53"/>
      <c r="D112" s="53"/>
      <c r="E112" s="11">
        <f t="shared" si="27"/>
        <v>0</v>
      </c>
      <c r="F112" s="11">
        <f t="shared" si="28"/>
        <v>0</v>
      </c>
      <c r="G112" s="58"/>
      <c r="H112" s="54"/>
      <c r="I112" s="54"/>
      <c r="J112" s="55" t="s">
        <v>97</v>
      </c>
      <c r="K112" s="53"/>
      <c r="L112" s="11"/>
      <c r="M112" s="11"/>
      <c r="N112" s="11"/>
      <c r="O112" s="11"/>
      <c r="P112" s="11"/>
      <c r="Q112" s="11"/>
      <c r="R112" s="11"/>
      <c r="S112" s="11"/>
      <c r="T112" s="11"/>
      <c r="U112" s="53"/>
      <c r="V112" s="35" t="str">
        <f t="shared" si="3"/>
        <v>OK</v>
      </c>
      <c r="W112" s="38" t="str">
        <f t="shared" si="5"/>
        <v/>
      </c>
      <c r="X112" s="3"/>
      <c r="Y112" s="3"/>
      <c r="Z112" s="3"/>
    </row>
    <row r="113" spans="1:26" ht="15" customHeight="1" outlineLevel="1" x14ac:dyDescent="0.3">
      <c r="A113" s="3"/>
      <c r="B113" s="9"/>
      <c r="C113" s="53"/>
      <c r="D113" s="53"/>
      <c r="E113" s="11">
        <f t="shared" si="27"/>
        <v>0</v>
      </c>
      <c r="F113" s="11">
        <f t="shared" si="28"/>
        <v>0</v>
      </c>
      <c r="G113" s="58"/>
      <c r="H113" s="54"/>
      <c r="I113" s="54"/>
      <c r="J113" s="55" t="s">
        <v>97</v>
      </c>
      <c r="K113" s="53"/>
      <c r="L113" s="11"/>
      <c r="M113" s="11"/>
      <c r="N113" s="11"/>
      <c r="O113" s="11"/>
      <c r="P113" s="11"/>
      <c r="Q113" s="11"/>
      <c r="R113" s="11"/>
      <c r="S113" s="11"/>
      <c r="T113" s="11"/>
      <c r="U113" s="53"/>
      <c r="V113" s="35" t="str">
        <f t="shared" si="3"/>
        <v>OK</v>
      </c>
      <c r="W113" s="38" t="str">
        <f t="shared" si="5"/>
        <v/>
      </c>
      <c r="X113" s="3"/>
      <c r="Y113" s="3"/>
      <c r="Z113" s="3"/>
    </row>
    <row r="114" spans="1:26" ht="15" customHeight="1" outlineLevel="1" x14ac:dyDescent="0.3">
      <c r="A114" s="3"/>
      <c r="B114" s="9"/>
      <c r="C114" s="53"/>
      <c r="D114" s="53"/>
      <c r="E114" s="11">
        <f t="shared" si="27"/>
        <v>0</v>
      </c>
      <c r="F114" s="11">
        <f t="shared" si="28"/>
        <v>0</v>
      </c>
      <c r="G114" s="58"/>
      <c r="H114" s="54"/>
      <c r="I114" s="54"/>
      <c r="J114" s="55" t="s">
        <v>97</v>
      </c>
      <c r="K114" s="53"/>
      <c r="L114" s="11"/>
      <c r="M114" s="11"/>
      <c r="N114" s="11"/>
      <c r="O114" s="11"/>
      <c r="P114" s="11"/>
      <c r="Q114" s="11"/>
      <c r="R114" s="11"/>
      <c r="S114" s="11"/>
      <c r="T114" s="11"/>
      <c r="U114" s="53"/>
      <c r="V114" s="35" t="str">
        <f t="shared" si="3"/>
        <v>OK</v>
      </c>
      <c r="W114" s="38" t="str">
        <f t="shared" si="5"/>
        <v/>
      </c>
      <c r="X114" s="3"/>
      <c r="Y114" s="3"/>
      <c r="Z114" s="3"/>
    </row>
    <row r="115" spans="1:26" ht="15" customHeight="1" outlineLevel="1" x14ac:dyDescent="0.3">
      <c r="A115" s="3"/>
      <c r="B115" s="9"/>
      <c r="C115" s="53"/>
      <c r="D115" s="53"/>
      <c r="E115" s="11">
        <f t="shared" si="27"/>
        <v>0</v>
      </c>
      <c r="F115" s="11">
        <f t="shared" si="28"/>
        <v>0</v>
      </c>
      <c r="G115" s="58"/>
      <c r="H115" s="54"/>
      <c r="I115" s="54"/>
      <c r="J115" s="55" t="s">
        <v>97</v>
      </c>
      <c r="K115" s="53"/>
      <c r="L115" s="11"/>
      <c r="M115" s="11"/>
      <c r="N115" s="11"/>
      <c r="O115" s="11"/>
      <c r="P115" s="11"/>
      <c r="Q115" s="11"/>
      <c r="R115" s="11"/>
      <c r="S115" s="11"/>
      <c r="T115" s="11"/>
      <c r="U115" s="53"/>
      <c r="V115" s="35" t="str">
        <f t="shared" si="3"/>
        <v>OK</v>
      </c>
      <c r="W115" s="38" t="str">
        <f t="shared" si="5"/>
        <v/>
      </c>
      <c r="X115" s="3"/>
      <c r="Y115" s="3"/>
      <c r="Z115" s="3"/>
    </row>
    <row r="116" spans="1:26" ht="15" customHeight="1" outlineLevel="1" x14ac:dyDescent="0.3">
      <c r="A116" s="3"/>
      <c r="B116" s="9"/>
      <c r="C116" s="53"/>
      <c r="D116" s="53"/>
      <c r="E116" s="11">
        <f t="shared" si="27"/>
        <v>0</v>
      </c>
      <c r="F116" s="11">
        <f t="shared" si="28"/>
        <v>0</v>
      </c>
      <c r="G116" s="58"/>
      <c r="H116" s="54"/>
      <c r="I116" s="54"/>
      <c r="J116" s="55" t="s">
        <v>97</v>
      </c>
      <c r="K116" s="53"/>
      <c r="L116" s="11"/>
      <c r="M116" s="11"/>
      <c r="N116" s="11"/>
      <c r="O116" s="11"/>
      <c r="P116" s="11"/>
      <c r="Q116" s="11"/>
      <c r="R116" s="11"/>
      <c r="S116" s="11"/>
      <c r="T116" s="11"/>
      <c r="U116" s="53"/>
      <c r="V116" s="35" t="str">
        <f t="shared" si="3"/>
        <v>OK</v>
      </c>
      <c r="W116" s="38" t="str">
        <f t="shared" si="5"/>
        <v/>
      </c>
      <c r="X116" s="3"/>
      <c r="Y116" s="3"/>
      <c r="Z116" s="3"/>
    </row>
    <row r="117" spans="1:26" ht="15" customHeight="1" outlineLevel="1" x14ac:dyDescent="0.3">
      <c r="A117" s="3"/>
      <c r="B117" s="9"/>
      <c r="C117" s="53"/>
      <c r="D117" s="53"/>
      <c r="E117" s="11">
        <f t="shared" si="27"/>
        <v>0</v>
      </c>
      <c r="F117" s="11">
        <f t="shared" si="28"/>
        <v>0</v>
      </c>
      <c r="G117" s="58"/>
      <c r="H117" s="54"/>
      <c r="I117" s="54"/>
      <c r="J117" s="55" t="s">
        <v>97</v>
      </c>
      <c r="K117" s="53"/>
      <c r="L117" s="11"/>
      <c r="M117" s="11"/>
      <c r="N117" s="11"/>
      <c r="O117" s="11"/>
      <c r="P117" s="11"/>
      <c r="Q117" s="11"/>
      <c r="R117" s="11"/>
      <c r="S117" s="11"/>
      <c r="T117" s="11"/>
      <c r="U117" s="53"/>
      <c r="V117" s="35" t="str">
        <f t="shared" si="3"/>
        <v>OK</v>
      </c>
      <c r="W117" s="38" t="str">
        <f t="shared" si="5"/>
        <v/>
      </c>
      <c r="X117" s="3"/>
      <c r="Y117" s="3"/>
      <c r="Z117" s="3"/>
    </row>
    <row r="118" spans="1:26" ht="15" customHeight="1" outlineLevel="1" x14ac:dyDescent="0.3">
      <c r="A118" s="3"/>
      <c r="B118" s="9"/>
      <c r="C118" s="53"/>
      <c r="D118" s="53"/>
      <c r="E118" s="11">
        <f t="shared" si="27"/>
        <v>0</v>
      </c>
      <c r="F118" s="11">
        <f t="shared" si="28"/>
        <v>0</v>
      </c>
      <c r="G118" s="58"/>
      <c r="H118" s="54"/>
      <c r="I118" s="54"/>
      <c r="J118" s="55" t="s">
        <v>97</v>
      </c>
      <c r="K118" s="53"/>
      <c r="L118" s="11"/>
      <c r="M118" s="11"/>
      <c r="N118" s="11"/>
      <c r="O118" s="11"/>
      <c r="P118" s="11"/>
      <c r="Q118" s="11"/>
      <c r="R118" s="11"/>
      <c r="S118" s="11"/>
      <c r="T118" s="11"/>
      <c r="U118" s="53"/>
      <c r="V118" s="35" t="str">
        <f t="shared" si="3"/>
        <v>OK</v>
      </c>
      <c r="W118" s="38" t="str">
        <f t="shared" si="5"/>
        <v/>
      </c>
      <c r="X118" s="3"/>
      <c r="Y118" s="3"/>
      <c r="Z118" s="3"/>
    </row>
    <row r="119" spans="1:26" ht="15" customHeight="1" outlineLevel="1" x14ac:dyDescent="0.3">
      <c r="A119" s="3"/>
      <c r="B119" s="9"/>
      <c r="C119" s="53"/>
      <c r="D119" s="53"/>
      <c r="E119" s="11">
        <f t="shared" si="27"/>
        <v>0</v>
      </c>
      <c r="F119" s="11">
        <f t="shared" si="28"/>
        <v>0</v>
      </c>
      <c r="G119" s="58"/>
      <c r="H119" s="54"/>
      <c r="I119" s="54"/>
      <c r="J119" s="55" t="s">
        <v>97</v>
      </c>
      <c r="K119" s="53"/>
      <c r="L119" s="11"/>
      <c r="M119" s="11"/>
      <c r="N119" s="11"/>
      <c r="O119" s="11"/>
      <c r="P119" s="11"/>
      <c r="Q119" s="11"/>
      <c r="R119" s="11"/>
      <c r="S119" s="11"/>
      <c r="T119" s="11"/>
      <c r="U119" s="53"/>
      <c r="V119" s="35" t="str">
        <f t="shared" si="3"/>
        <v>OK</v>
      </c>
      <c r="W119" s="38" t="str">
        <f t="shared" si="5"/>
        <v/>
      </c>
      <c r="X119" s="3"/>
      <c r="Y119" s="3"/>
      <c r="Z119" s="3"/>
    </row>
    <row r="120" spans="1:26" ht="15" customHeight="1" outlineLevel="1" x14ac:dyDescent="0.3">
      <c r="A120" s="3"/>
      <c r="B120" s="9"/>
      <c r="C120" s="53"/>
      <c r="D120" s="53"/>
      <c r="E120" s="11">
        <f t="shared" si="27"/>
        <v>0</v>
      </c>
      <c r="F120" s="11">
        <f t="shared" si="28"/>
        <v>0</v>
      </c>
      <c r="G120" s="58"/>
      <c r="H120" s="54"/>
      <c r="I120" s="54"/>
      <c r="J120" s="55"/>
      <c r="K120" s="53"/>
      <c r="L120" s="11"/>
      <c r="M120" s="11"/>
      <c r="N120" s="11"/>
      <c r="O120" s="11"/>
      <c r="P120" s="11"/>
      <c r="Q120" s="11"/>
      <c r="R120" s="11"/>
      <c r="S120" s="11"/>
      <c r="T120" s="11"/>
      <c r="U120" s="53"/>
      <c r="V120" s="35" t="str">
        <f t="shared" si="3"/>
        <v>OK</v>
      </c>
      <c r="W120" s="38" t="str">
        <f t="shared" si="5"/>
        <v/>
      </c>
      <c r="X120" s="3"/>
      <c r="Y120" s="3"/>
      <c r="Z120" s="3"/>
    </row>
    <row r="121" spans="1:26" ht="15" customHeight="1" outlineLevel="1" x14ac:dyDescent="0.3">
      <c r="A121" s="3"/>
      <c r="B121" s="9"/>
      <c r="C121" s="53"/>
      <c r="D121" s="53"/>
      <c r="E121" s="11">
        <f t="shared" si="27"/>
        <v>0</v>
      </c>
      <c r="F121" s="11">
        <f t="shared" si="28"/>
        <v>0</v>
      </c>
      <c r="G121" s="58"/>
      <c r="H121" s="54"/>
      <c r="I121" s="54"/>
      <c r="J121" s="55"/>
      <c r="K121" s="53"/>
      <c r="L121" s="11"/>
      <c r="M121" s="11"/>
      <c r="N121" s="11"/>
      <c r="O121" s="11"/>
      <c r="P121" s="11"/>
      <c r="Q121" s="11"/>
      <c r="R121" s="11"/>
      <c r="S121" s="11"/>
      <c r="T121" s="11"/>
      <c r="U121" s="53"/>
      <c r="V121" s="35" t="str">
        <f t="shared" si="3"/>
        <v>OK</v>
      </c>
      <c r="W121" s="38" t="str">
        <f t="shared" si="5"/>
        <v/>
      </c>
      <c r="X121" s="3"/>
      <c r="Y121" s="3"/>
      <c r="Z121" s="3"/>
    </row>
    <row r="122" spans="1:26" ht="15" customHeight="1" outlineLevel="1" x14ac:dyDescent="0.3">
      <c r="A122" s="3"/>
      <c r="B122" s="9"/>
      <c r="C122" s="53"/>
      <c r="D122" s="53"/>
      <c r="E122" s="11">
        <f t="shared" si="27"/>
        <v>0</v>
      </c>
      <c r="F122" s="11">
        <f t="shared" si="28"/>
        <v>0</v>
      </c>
      <c r="G122" s="58"/>
      <c r="H122" s="54"/>
      <c r="I122" s="54"/>
      <c r="J122" s="55"/>
      <c r="K122" s="53"/>
      <c r="L122" s="11"/>
      <c r="M122" s="11"/>
      <c r="N122" s="11"/>
      <c r="O122" s="11"/>
      <c r="P122" s="11"/>
      <c r="Q122" s="11"/>
      <c r="R122" s="11"/>
      <c r="S122" s="11"/>
      <c r="T122" s="11"/>
      <c r="U122" s="53"/>
      <c r="V122" s="35" t="str">
        <f t="shared" si="3"/>
        <v>OK</v>
      </c>
      <c r="W122" s="38" t="str">
        <f t="shared" si="5"/>
        <v/>
      </c>
      <c r="X122" s="3"/>
      <c r="Y122" s="3"/>
      <c r="Z122" s="3"/>
    </row>
    <row r="123" spans="1:26" ht="15" customHeight="1" outlineLevel="1" x14ac:dyDescent="0.3">
      <c r="A123" s="3"/>
      <c r="B123" s="9"/>
      <c r="C123" s="53"/>
      <c r="D123" s="53"/>
      <c r="E123" s="11">
        <f t="shared" si="27"/>
        <v>0</v>
      </c>
      <c r="F123" s="11">
        <f t="shared" si="28"/>
        <v>0</v>
      </c>
      <c r="G123" s="58"/>
      <c r="H123" s="54"/>
      <c r="I123" s="54"/>
      <c r="J123" s="55"/>
      <c r="K123" s="53"/>
      <c r="L123" s="11"/>
      <c r="M123" s="11"/>
      <c r="N123" s="11"/>
      <c r="O123" s="11"/>
      <c r="P123" s="11"/>
      <c r="Q123" s="11"/>
      <c r="R123" s="11"/>
      <c r="S123" s="11"/>
      <c r="T123" s="11"/>
      <c r="U123" s="53"/>
      <c r="V123" s="35" t="str">
        <f t="shared" si="3"/>
        <v>OK</v>
      </c>
      <c r="W123" s="38" t="str">
        <f t="shared" si="5"/>
        <v/>
      </c>
      <c r="X123" s="3"/>
      <c r="Y123" s="3"/>
      <c r="Z123" s="3"/>
    </row>
    <row r="124" spans="1:26" ht="15" customHeight="1" outlineLevel="1" x14ac:dyDescent="0.3">
      <c r="A124" s="3"/>
      <c r="B124" s="9"/>
      <c r="C124" s="53"/>
      <c r="D124" s="53"/>
      <c r="E124" s="11">
        <f t="shared" si="27"/>
        <v>0</v>
      </c>
      <c r="F124" s="11">
        <f t="shared" si="28"/>
        <v>0</v>
      </c>
      <c r="G124" s="58"/>
      <c r="H124" s="54"/>
      <c r="I124" s="54"/>
      <c r="J124" s="55"/>
      <c r="K124" s="53"/>
      <c r="L124" s="11"/>
      <c r="M124" s="11"/>
      <c r="N124" s="11"/>
      <c r="O124" s="11"/>
      <c r="P124" s="11"/>
      <c r="Q124" s="11"/>
      <c r="R124" s="11"/>
      <c r="S124" s="11"/>
      <c r="T124" s="11"/>
      <c r="U124" s="53"/>
      <c r="V124" s="35" t="str">
        <f t="shared" si="3"/>
        <v>OK</v>
      </c>
      <c r="W124" s="38" t="str">
        <f t="shared" si="5"/>
        <v/>
      </c>
      <c r="X124" s="3"/>
      <c r="Y124" s="3"/>
      <c r="Z124" s="3"/>
    </row>
    <row r="125" spans="1:26" ht="15" customHeight="1" outlineLevel="1" x14ac:dyDescent="0.3">
      <c r="A125" s="3"/>
      <c r="B125" s="9"/>
      <c r="C125" s="53"/>
      <c r="D125" s="53"/>
      <c r="E125" s="11">
        <f t="shared" si="27"/>
        <v>0</v>
      </c>
      <c r="F125" s="11">
        <f t="shared" si="28"/>
        <v>0</v>
      </c>
      <c r="G125" s="58"/>
      <c r="H125" s="54"/>
      <c r="I125" s="54"/>
      <c r="J125" s="55"/>
      <c r="K125" s="53"/>
      <c r="L125" s="11"/>
      <c r="M125" s="11"/>
      <c r="N125" s="11"/>
      <c r="O125" s="11"/>
      <c r="P125" s="11"/>
      <c r="Q125" s="11"/>
      <c r="R125" s="11"/>
      <c r="S125" s="11"/>
      <c r="T125" s="11"/>
      <c r="U125" s="53"/>
      <c r="V125" s="35" t="str">
        <f t="shared" si="3"/>
        <v>OK</v>
      </c>
      <c r="W125" s="38" t="str">
        <f t="shared" si="5"/>
        <v/>
      </c>
      <c r="X125" s="3"/>
      <c r="Y125" s="3"/>
      <c r="Z125" s="3"/>
    </row>
    <row r="126" spans="1:26" ht="15" customHeight="1" outlineLevel="1" x14ac:dyDescent="0.3">
      <c r="A126" s="3"/>
      <c r="B126" s="9"/>
      <c r="C126" s="53"/>
      <c r="D126" s="53"/>
      <c r="E126" s="11">
        <f t="shared" si="27"/>
        <v>0</v>
      </c>
      <c r="F126" s="11">
        <f t="shared" si="28"/>
        <v>0</v>
      </c>
      <c r="G126" s="58"/>
      <c r="H126" s="54"/>
      <c r="I126" s="54"/>
      <c r="J126" s="55"/>
      <c r="K126" s="53"/>
      <c r="L126" s="11"/>
      <c r="M126" s="11"/>
      <c r="N126" s="11"/>
      <c r="O126" s="11"/>
      <c r="P126" s="11"/>
      <c r="Q126" s="11"/>
      <c r="R126" s="11"/>
      <c r="S126" s="11"/>
      <c r="T126" s="11"/>
      <c r="U126" s="53"/>
      <c r="V126" s="35" t="str">
        <f t="shared" si="3"/>
        <v>OK</v>
      </c>
      <c r="W126" s="38" t="str">
        <f t="shared" si="5"/>
        <v/>
      </c>
      <c r="X126" s="3"/>
      <c r="Y126" s="3"/>
      <c r="Z126" s="3"/>
    </row>
    <row r="127" spans="1:26" ht="15.75" customHeight="1" x14ac:dyDescent="0.3">
      <c r="A127" s="3"/>
      <c r="B127" s="64" t="s">
        <v>63</v>
      </c>
      <c r="C127" s="47" t="s">
        <v>44</v>
      </c>
      <c r="D127" s="47" t="s">
        <v>44</v>
      </c>
      <c r="E127" s="48">
        <f t="shared" ref="E127:F127" si="29">SUM(E128,E131,,E135,E139,E143)</f>
        <v>0</v>
      </c>
      <c r="F127" s="48">
        <f t="shared" si="29"/>
        <v>617.21</v>
      </c>
      <c r="G127" s="49" t="s">
        <v>44</v>
      </c>
      <c r="H127" s="65"/>
      <c r="I127" s="65"/>
      <c r="J127" s="3"/>
      <c r="K127" s="3"/>
      <c r="L127" s="3"/>
      <c r="M127" s="3"/>
      <c r="N127" s="3"/>
      <c r="O127" s="3"/>
      <c r="P127" s="3"/>
      <c r="Q127" s="3"/>
      <c r="R127" s="3"/>
      <c r="S127" s="3"/>
      <c r="T127" s="3"/>
      <c r="U127" s="3"/>
      <c r="V127" s="35"/>
      <c r="W127" s="32"/>
      <c r="X127" s="3"/>
      <c r="Y127" s="3"/>
      <c r="Z127" s="3"/>
    </row>
    <row r="128" spans="1:26" ht="15.75" hidden="1" customHeight="1" outlineLevel="1" x14ac:dyDescent="0.3">
      <c r="A128" s="3"/>
      <c r="B128" s="66" t="s">
        <v>231</v>
      </c>
      <c r="C128" s="67" t="s">
        <v>44</v>
      </c>
      <c r="D128" s="67" t="s">
        <v>44</v>
      </c>
      <c r="E128" s="68">
        <f t="shared" ref="E128:F128" si="30">SUM(E129:E130)</f>
        <v>0</v>
      </c>
      <c r="F128" s="68">
        <f t="shared" si="30"/>
        <v>416.21</v>
      </c>
      <c r="G128" s="69" t="s">
        <v>44</v>
      </c>
      <c r="H128" s="70"/>
      <c r="I128" s="70"/>
      <c r="J128" s="3"/>
      <c r="K128" s="3"/>
      <c r="L128" s="3"/>
      <c r="M128" s="3"/>
      <c r="N128" s="3"/>
      <c r="O128" s="3"/>
      <c r="P128" s="3"/>
      <c r="Q128" s="3"/>
      <c r="R128" s="3"/>
      <c r="S128" s="3"/>
      <c r="T128" s="3"/>
      <c r="U128" s="3"/>
      <c r="V128" s="35"/>
      <c r="W128" s="32"/>
      <c r="X128" s="3"/>
      <c r="Y128" s="3"/>
      <c r="Z128" s="3"/>
    </row>
    <row r="129" spans="1:26" ht="15" hidden="1" customHeight="1" outlineLevel="1" x14ac:dyDescent="0.3">
      <c r="A129" s="3"/>
      <c r="B129" s="9" t="s">
        <v>232</v>
      </c>
      <c r="C129" s="53">
        <v>5</v>
      </c>
      <c r="D129" s="53" t="s">
        <v>95</v>
      </c>
      <c r="E129" s="11">
        <v>0</v>
      </c>
      <c r="F129" s="11">
        <v>416.21</v>
      </c>
      <c r="G129" s="58"/>
      <c r="H129" s="54" t="s">
        <v>37</v>
      </c>
      <c r="I129" s="54"/>
      <c r="J129" s="3"/>
      <c r="K129" s="3"/>
      <c r="L129" s="3"/>
      <c r="M129" s="3"/>
      <c r="N129" s="3"/>
      <c r="O129" s="3"/>
      <c r="P129" s="3"/>
      <c r="Q129" s="3"/>
      <c r="R129" s="3"/>
      <c r="S129" s="3"/>
      <c r="T129" s="3"/>
      <c r="U129" s="3"/>
      <c r="V129" s="35"/>
      <c r="W129" s="32"/>
      <c r="X129" s="3"/>
      <c r="Y129" s="3"/>
      <c r="Z129" s="3"/>
    </row>
    <row r="130" spans="1:26" ht="15" hidden="1" customHeight="1" outlineLevel="1" x14ac:dyDescent="0.3">
      <c r="A130" s="3"/>
      <c r="B130" s="9" t="s">
        <v>62</v>
      </c>
      <c r="C130" s="53"/>
      <c r="D130" s="53"/>
      <c r="E130" s="11">
        <v>0</v>
      </c>
      <c r="F130" s="11">
        <v>0</v>
      </c>
      <c r="G130" s="58"/>
      <c r="H130" s="54"/>
      <c r="I130" s="54"/>
      <c r="J130" s="3"/>
      <c r="K130" s="3"/>
      <c r="L130" s="3"/>
      <c r="M130" s="3"/>
      <c r="N130" s="3"/>
      <c r="O130" s="3"/>
      <c r="P130" s="3"/>
      <c r="Q130" s="3"/>
      <c r="R130" s="3"/>
      <c r="S130" s="3"/>
      <c r="T130" s="3"/>
      <c r="U130" s="3"/>
      <c r="V130" s="35"/>
      <c r="W130" s="32"/>
      <c r="X130" s="3"/>
      <c r="Y130" s="3"/>
      <c r="Z130" s="3"/>
    </row>
    <row r="131" spans="1:26" ht="15.75" hidden="1" customHeight="1" outlineLevel="1" x14ac:dyDescent="0.3">
      <c r="A131" s="3"/>
      <c r="B131" s="66" t="s">
        <v>233</v>
      </c>
      <c r="C131" s="67" t="s">
        <v>44</v>
      </c>
      <c r="D131" s="67" t="s">
        <v>44</v>
      </c>
      <c r="E131" s="68">
        <f t="shared" ref="E131:F131" si="31">SUM(E132:E134)</f>
        <v>0</v>
      </c>
      <c r="F131" s="68">
        <f t="shared" si="31"/>
        <v>105</v>
      </c>
      <c r="G131" s="69" t="s">
        <v>44</v>
      </c>
      <c r="H131" s="70"/>
      <c r="I131" s="70"/>
      <c r="J131" s="3"/>
      <c r="K131" s="3"/>
      <c r="L131" s="3"/>
      <c r="M131" s="3"/>
      <c r="N131" s="3"/>
      <c r="O131" s="3"/>
      <c r="P131" s="3"/>
      <c r="Q131" s="3"/>
      <c r="R131" s="3"/>
      <c r="S131" s="3"/>
      <c r="T131" s="3"/>
      <c r="U131" s="3"/>
      <c r="V131" s="35"/>
      <c r="W131" s="32"/>
      <c r="X131" s="3"/>
      <c r="Y131" s="3"/>
      <c r="Z131" s="3"/>
    </row>
    <row r="132" spans="1:26" ht="15.75" hidden="1" customHeight="1" outlineLevel="1" x14ac:dyDescent="0.3">
      <c r="A132" s="3"/>
      <c r="B132" s="9" t="s">
        <v>232</v>
      </c>
      <c r="C132" s="71" t="s">
        <v>234</v>
      </c>
      <c r="D132" s="53" t="s">
        <v>95</v>
      </c>
      <c r="E132" s="11">
        <v>0</v>
      </c>
      <c r="F132" s="11">
        <f>89+4+4+4+4</f>
        <v>105</v>
      </c>
      <c r="G132" s="58"/>
      <c r="H132" s="54" t="s">
        <v>235</v>
      </c>
      <c r="I132" s="54"/>
      <c r="J132" s="3"/>
      <c r="K132" s="3"/>
      <c r="L132" s="3"/>
      <c r="M132" s="3"/>
      <c r="N132" s="3"/>
      <c r="O132" s="3"/>
      <c r="P132" s="3"/>
      <c r="Q132" s="3"/>
      <c r="R132" s="3"/>
      <c r="S132" s="3"/>
      <c r="T132" s="3"/>
      <c r="U132" s="3"/>
      <c r="V132" s="35"/>
      <c r="W132" s="32"/>
      <c r="X132" s="3"/>
      <c r="Y132" s="3"/>
      <c r="Z132" s="3"/>
    </row>
    <row r="133" spans="1:26" ht="15" hidden="1" customHeight="1" outlineLevel="1" x14ac:dyDescent="0.3">
      <c r="A133" s="3"/>
      <c r="B133" s="9" t="s">
        <v>64</v>
      </c>
      <c r="C133" s="53"/>
      <c r="D133" s="53"/>
      <c r="E133" s="11">
        <v>0</v>
      </c>
      <c r="F133" s="11">
        <v>0</v>
      </c>
      <c r="G133" s="58"/>
      <c r="H133" s="54"/>
      <c r="I133" s="54"/>
      <c r="J133" s="3"/>
      <c r="K133" s="3"/>
      <c r="L133" s="3"/>
      <c r="M133" s="3"/>
      <c r="N133" s="3"/>
      <c r="O133" s="3"/>
      <c r="P133" s="3"/>
      <c r="Q133" s="3"/>
      <c r="R133" s="3"/>
      <c r="S133" s="3"/>
      <c r="T133" s="3"/>
      <c r="U133" s="3"/>
      <c r="V133" s="35"/>
      <c r="W133" s="32"/>
      <c r="X133" s="3"/>
      <c r="Y133" s="3"/>
      <c r="Z133" s="3"/>
    </row>
    <row r="134" spans="1:26" ht="15" hidden="1" customHeight="1" outlineLevel="1" x14ac:dyDescent="0.3">
      <c r="A134" s="3"/>
      <c r="B134" s="9" t="s">
        <v>62</v>
      </c>
      <c r="C134" s="53"/>
      <c r="D134" s="53"/>
      <c r="E134" s="11">
        <v>0</v>
      </c>
      <c r="F134" s="11">
        <v>0</v>
      </c>
      <c r="G134" s="58"/>
      <c r="H134" s="54"/>
      <c r="I134" s="54"/>
      <c r="J134" s="3"/>
      <c r="K134" s="3"/>
      <c r="L134" s="3"/>
      <c r="M134" s="3"/>
      <c r="N134" s="3"/>
      <c r="O134" s="3"/>
      <c r="P134" s="3"/>
      <c r="Q134" s="3"/>
      <c r="R134" s="3"/>
      <c r="S134" s="3"/>
      <c r="T134" s="3"/>
      <c r="U134" s="3"/>
      <c r="V134" s="35"/>
      <c r="W134" s="32"/>
      <c r="X134" s="3"/>
      <c r="Y134" s="3"/>
      <c r="Z134" s="3"/>
    </row>
    <row r="135" spans="1:26" ht="15.75" hidden="1" customHeight="1" outlineLevel="1" x14ac:dyDescent="0.3">
      <c r="A135" s="3"/>
      <c r="B135" s="66" t="s">
        <v>236</v>
      </c>
      <c r="C135" s="67" t="s">
        <v>44</v>
      </c>
      <c r="D135" s="67" t="s">
        <v>44</v>
      </c>
      <c r="E135" s="68">
        <f t="shared" ref="E135:F135" si="32">SUM(E136:E138)</f>
        <v>0</v>
      </c>
      <c r="F135" s="68">
        <f t="shared" si="32"/>
        <v>96</v>
      </c>
      <c r="G135" s="69" t="s">
        <v>44</v>
      </c>
      <c r="H135" s="70"/>
      <c r="I135" s="70"/>
      <c r="J135" s="3"/>
      <c r="K135" s="3"/>
      <c r="L135" s="3"/>
      <c r="M135" s="3"/>
      <c r="N135" s="3"/>
      <c r="O135" s="3"/>
      <c r="P135" s="3"/>
      <c r="Q135" s="3"/>
      <c r="R135" s="3"/>
      <c r="S135" s="3"/>
      <c r="T135" s="3"/>
      <c r="U135" s="3"/>
      <c r="V135" s="35"/>
      <c r="W135" s="32"/>
      <c r="X135" s="3"/>
      <c r="Y135" s="3"/>
      <c r="Z135" s="3"/>
    </row>
    <row r="136" spans="1:26" ht="15" hidden="1" customHeight="1" outlineLevel="1" x14ac:dyDescent="0.3">
      <c r="A136" s="3"/>
      <c r="B136" s="9" t="s">
        <v>232</v>
      </c>
      <c r="C136" s="53">
        <v>5</v>
      </c>
      <c r="D136" s="53" t="s">
        <v>95</v>
      </c>
      <c r="E136" s="11">
        <v>0</v>
      </c>
      <c r="F136" s="11">
        <v>96</v>
      </c>
      <c r="G136" s="61" t="s">
        <v>237</v>
      </c>
      <c r="H136" s="54" t="s">
        <v>37</v>
      </c>
      <c r="I136" s="54"/>
      <c r="J136" s="3"/>
      <c r="K136" s="3"/>
      <c r="L136" s="3"/>
      <c r="M136" s="3"/>
      <c r="N136" s="3"/>
      <c r="O136" s="3"/>
      <c r="P136" s="3"/>
      <c r="Q136" s="3"/>
      <c r="R136" s="3"/>
      <c r="S136" s="3"/>
      <c r="T136" s="3"/>
      <c r="U136" s="3"/>
      <c r="V136" s="35"/>
      <c r="W136" s="32"/>
      <c r="X136" s="3"/>
      <c r="Y136" s="3"/>
      <c r="Z136" s="3"/>
    </row>
    <row r="137" spans="1:26" ht="15" hidden="1" customHeight="1" outlineLevel="1" x14ac:dyDescent="0.3">
      <c r="A137" s="3"/>
      <c r="B137" s="9" t="s">
        <v>64</v>
      </c>
      <c r="C137" s="53"/>
      <c r="D137" s="53"/>
      <c r="E137" s="11">
        <v>0</v>
      </c>
      <c r="F137" s="11">
        <v>0</v>
      </c>
      <c r="G137" s="58"/>
      <c r="H137" s="54"/>
      <c r="I137" s="54"/>
      <c r="J137" s="3"/>
      <c r="K137" s="3"/>
      <c r="L137" s="3"/>
      <c r="M137" s="3"/>
      <c r="N137" s="3"/>
      <c r="O137" s="3"/>
      <c r="P137" s="3"/>
      <c r="Q137" s="3"/>
      <c r="R137" s="3"/>
      <c r="S137" s="3"/>
      <c r="T137" s="3"/>
      <c r="U137" s="3"/>
      <c r="V137" s="35"/>
      <c r="W137" s="32"/>
      <c r="X137" s="3"/>
      <c r="Y137" s="3"/>
      <c r="Z137" s="3"/>
    </row>
    <row r="138" spans="1:26" ht="15" hidden="1" customHeight="1" outlineLevel="1" x14ac:dyDescent="0.3">
      <c r="A138" s="3"/>
      <c r="B138" s="9" t="s">
        <v>62</v>
      </c>
      <c r="C138" s="53"/>
      <c r="D138" s="53"/>
      <c r="E138" s="11">
        <v>0</v>
      </c>
      <c r="F138" s="11">
        <v>0</v>
      </c>
      <c r="G138" s="58"/>
      <c r="H138" s="54"/>
      <c r="I138" s="54"/>
      <c r="J138" s="3"/>
      <c r="K138" s="3"/>
      <c r="L138" s="3"/>
      <c r="M138" s="3"/>
      <c r="N138" s="3"/>
      <c r="O138" s="3"/>
      <c r="P138" s="3"/>
      <c r="Q138" s="3"/>
      <c r="R138" s="3"/>
      <c r="S138" s="3"/>
      <c r="T138" s="3"/>
      <c r="U138" s="3"/>
      <c r="V138" s="35"/>
      <c r="W138" s="32"/>
      <c r="X138" s="3"/>
      <c r="Y138" s="3"/>
      <c r="Z138" s="3"/>
    </row>
    <row r="139" spans="1:26" ht="15.75" hidden="1" customHeight="1" outlineLevel="1" x14ac:dyDescent="0.3">
      <c r="A139" s="3"/>
      <c r="B139" s="66" t="s">
        <v>238</v>
      </c>
      <c r="C139" s="67" t="s">
        <v>44</v>
      </c>
      <c r="D139" s="67" t="s">
        <v>44</v>
      </c>
      <c r="E139" s="68">
        <f t="shared" ref="E139:F139" si="33">SUM(E140:E142)</f>
        <v>0</v>
      </c>
      <c r="F139" s="68">
        <f t="shared" si="33"/>
        <v>0</v>
      </c>
      <c r="G139" s="69" t="s">
        <v>44</v>
      </c>
      <c r="H139" s="70"/>
      <c r="I139" s="70"/>
      <c r="J139" s="3"/>
      <c r="K139" s="3"/>
      <c r="L139" s="3"/>
      <c r="M139" s="3"/>
      <c r="N139" s="3"/>
      <c r="O139" s="3"/>
      <c r="P139" s="3"/>
      <c r="Q139" s="3"/>
      <c r="R139" s="3"/>
      <c r="S139" s="3"/>
      <c r="T139" s="3"/>
      <c r="U139" s="3"/>
      <c r="V139" s="35"/>
      <c r="W139" s="32"/>
      <c r="X139" s="3"/>
      <c r="Y139" s="3"/>
      <c r="Z139" s="3"/>
    </row>
    <row r="140" spans="1:26" ht="15" hidden="1" customHeight="1" outlineLevel="1" x14ac:dyDescent="0.3">
      <c r="A140" s="3"/>
      <c r="B140" s="9" t="s">
        <v>232</v>
      </c>
      <c r="C140" s="53"/>
      <c r="D140" s="53"/>
      <c r="E140" s="11">
        <v>0</v>
      </c>
      <c r="F140" s="11">
        <v>0</v>
      </c>
      <c r="G140" s="58"/>
      <c r="H140" s="54"/>
      <c r="I140" s="54"/>
      <c r="J140" s="3"/>
      <c r="K140" s="3"/>
      <c r="L140" s="3"/>
      <c r="M140" s="3"/>
      <c r="N140" s="3"/>
      <c r="O140" s="3"/>
      <c r="P140" s="3"/>
      <c r="Q140" s="3"/>
      <c r="R140" s="3"/>
      <c r="S140" s="3"/>
      <c r="T140" s="3"/>
      <c r="U140" s="3"/>
      <c r="V140" s="35"/>
      <c r="W140" s="32"/>
      <c r="X140" s="3"/>
      <c r="Y140" s="3"/>
      <c r="Z140" s="3"/>
    </row>
    <row r="141" spans="1:26" ht="15" hidden="1" customHeight="1" outlineLevel="1" x14ac:dyDescent="0.3">
      <c r="A141" s="3"/>
      <c r="B141" s="9" t="s">
        <v>64</v>
      </c>
      <c r="C141" s="53"/>
      <c r="D141" s="53"/>
      <c r="E141" s="11">
        <v>0</v>
      </c>
      <c r="F141" s="11">
        <v>0</v>
      </c>
      <c r="G141" s="58"/>
      <c r="H141" s="54"/>
      <c r="I141" s="54"/>
      <c r="J141" s="3"/>
      <c r="K141" s="3"/>
      <c r="L141" s="3"/>
      <c r="M141" s="3"/>
      <c r="N141" s="3"/>
      <c r="O141" s="3"/>
      <c r="P141" s="3"/>
      <c r="Q141" s="3"/>
      <c r="R141" s="3"/>
      <c r="S141" s="3"/>
      <c r="T141" s="3"/>
      <c r="U141" s="3"/>
      <c r="V141" s="35"/>
      <c r="W141" s="32"/>
      <c r="X141" s="3"/>
      <c r="Y141" s="3"/>
      <c r="Z141" s="3"/>
    </row>
    <row r="142" spans="1:26" ht="15" hidden="1" customHeight="1" outlineLevel="1" x14ac:dyDescent="0.3">
      <c r="A142" s="3"/>
      <c r="B142" s="9" t="s">
        <v>62</v>
      </c>
      <c r="C142" s="53"/>
      <c r="D142" s="53"/>
      <c r="E142" s="11">
        <v>0</v>
      </c>
      <c r="F142" s="11">
        <v>0</v>
      </c>
      <c r="G142" s="58"/>
      <c r="H142" s="54"/>
      <c r="I142" s="54"/>
      <c r="J142" s="3"/>
      <c r="K142" s="3"/>
      <c r="L142" s="3"/>
      <c r="M142" s="3"/>
      <c r="N142" s="3"/>
      <c r="O142" s="3"/>
      <c r="P142" s="3"/>
      <c r="Q142" s="3"/>
      <c r="R142" s="3"/>
      <c r="S142" s="3"/>
      <c r="T142" s="3"/>
      <c r="U142" s="3"/>
      <c r="V142" s="35"/>
      <c r="W142" s="32"/>
      <c r="X142" s="3"/>
      <c r="Y142" s="3"/>
      <c r="Z142" s="3"/>
    </row>
    <row r="143" spans="1:26" ht="15.75" hidden="1" customHeight="1" outlineLevel="1" x14ac:dyDescent="0.3">
      <c r="A143" s="3"/>
      <c r="B143" s="66" t="s">
        <v>239</v>
      </c>
      <c r="C143" s="67" t="s">
        <v>44</v>
      </c>
      <c r="D143" s="67" t="s">
        <v>44</v>
      </c>
      <c r="E143" s="68">
        <f t="shared" ref="E143:F143" si="34">SUM(E144:E146)</f>
        <v>0</v>
      </c>
      <c r="F143" s="68">
        <f t="shared" si="34"/>
        <v>0</v>
      </c>
      <c r="G143" s="69" t="s">
        <v>44</v>
      </c>
      <c r="H143" s="70"/>
      <c r="I143" s="70"/>
      <c r="J143" s="3"/>
      <c r="K143" s="3"/>
      <c r="L143" s="3"/>
      <c r="M143" s="3"/>
      <c r="N143" s="3"/>
      <c r="O143" s="3"/>
      <c r="P143" s="3"/>
      <c r="Q143" s="3"/>
      <c r="R143" s="3"/>
      <c r="S143" s="3"/>
      <c r="T143" s="3"/>
      <c r="U143" s="3"/>
      <c r="V143" s="35"/>
      <c r="W143" s="32"/>
      <c r="X143" s="3"/>
      <c r="Y143" s="3"/>
      <c r="Z143" s="3"/>
    </row>
    <row r="144" spans="1:26" ht="15" hidden="1" customHeight="1" outlineLevel="1" x14ac:dyDescent="0.3">
      <c r="A144" s="3"/>
      <c r="B144" s="9" t="s">
        <v>232</v>
      </c>
      <c r="C144" s="53"/>
      <c r="D144" s="53"/>
      <c r="E144" s="11">
        <v>0</v>
      </c>
      <c r="F144" s="11">
        <v>0</v>
      </c>
      <c r="G144" s="58"/>
      <c r="H144" s="54"/>
      <c r="I144" s="54"/>
      <c r="J144" s="3"/>
      <c r="K144" s="3"/>
      <c r="L144" s="3"/>
      <c r="M144" s="3"/>
      <c r="N144" s="3"/>
      <c r="O144" s="3"/>
      <c r="P144" s="3"/>
      <c r="Q144" s="3"/>
      <c r="R144" s="3"/>
      <c r="S144" s="3"/>
      <c r="T144" s="3"/>
      <c r="U144" s="3"/>
      <c r="V144" s="35"/>
      <c r="W144" s="32"/>
      <c r="X144" s="3"/>
      <c r="Y144" s="3"/>
      <c r="Z144" s="3"/>
    </row>
    <row r="145" spans="1:26" ht="15" hidden="1" customHeight="1" outlineLevel="1" x14ac:dyDescent="0.3">
      <c r="A145" s="3"/>
      <c r="B145" s="9" t="s">
        <v>64</v>
      </c>
      <c r="C145" s="53"/>
      <c r="D145" s="53"/>
      <c r="E145" s="11">
        <v>0</v>
      </c>
      <c r="F145" s="11">
        <v>0</v>
      </c>
      <c r="G145" s="58"/>
      <c r="H145" s="54"/>
      <c r="I145" s="54"/>
      <c r="J145" s="3"/>
      <c r="K145" s="3"/>
      <c r="L145" s="3"/>
      <c r="M145" s="3"/>
      <c r="N145" s="3"/>
      <c r="O145" s="3"/>
      <c r="P145" s="3"/>
      <c r="Q145" s="3"/>
      <c r="R145" s="3"/>
      <c r="S145" s="3"/>
      <c r="T145" s="3"/>
      <c r="U145" s="3"/>
      <c r="V145" s="35"/>
      <c r="W145" s="32"/>
      <c r="X145" s="3"/>
      <c r="Y145" s="3"/>
      <c r="Z145" s="3"/>
    </row>
    <row r="146" spans="1:26" ht="15" hidden="1" customHeight="1" outlineLevel="1" x14ac:dyDescent="0.3">
      <c r="A146" s="3"/>
      <c r="B146" s="9" t="s">
        <v>62</v>
      </c>
      <c r="C146" s="53"/>
      <c r="D146" s="53"/>
      <c r="E146" s="11">
        <v>0</v>
      </c>
      <c r="F146" s="11">
        <v>0</v>
      </c>
      <c r="G146" s="58"/>
      <c r="H146" s="54"/>
      <c r="I146" s="54"/>
      <c r="J146" s="3"/>
      <c r="K146" s="3"/>
      <c r="L146" s="3"/>
      <c r="M146" s="3"/>
      <c r="N146" s="3"/>
      <c r="O146" s="3"/>
      <c r="P146" s="3"/>
      <c r="Q146" s="3"/>
      <c r="R146" s="3"/>
      <c r="S146" s="3"/>
      <c r="T146" s="3"/>
      <c r="U146" s="3"/>
      <c r="V146" s="35"/>
      <c r="W146" s="32"/>
      <c r="X146" s="3"/>
      <c r="Y146" s="3"/>
      <c r="Z146" s="3"/>
    </row>
    <row r="147" spans="1:26" ht="15.75" customHeight="1" collapsed="1" x14ac:dyDescent="0.3">
      <c r="A147" s="3"/>
      <c r="B147" s="64" t="s">
        <v>240</v>
      </c>
      <c r="C147" s="47" t="s">
        <v>44</v>
      </c>
      <c r="D147" s="47" t="s">
        <v>44</v>
      </c>
      <c r="E147" s="48">
        <f t="shared" ref="E147:F147" si="35">SUM(E148,E153,E158,E162)</f>
        <v>0</v>
      </c>
      <c r="F147" s="48">
        <f t="shared" si="35"/>
        <v>1964</v>
      </c>
      <c r="G147" s="49" t="s">
        <v>44</v>
      </c>
      <c r="H147" s="65"/>
      <c r="I147" s="65"/>
      <c r="J147" s="3"/>
      <c r="K147" s="3"/>
      <c r="L147" s="3"/>
      <c r="M147" s="3"/>
      <c r="N147" s="3"/>
      <c r="O147" s="3"/>
      <c r="P147" s="3"/>
      <c r="Q147" s="3"/>
      <c r="R147" s="3"/>
      <c r="S147" s="3"/>
      <c r="T147" s="3"/>
      <c r="U147" s="3"/>
      <c r="V147" s="35"/>
      <c r="W147" s="32"/>
      <c r="X147" s="3"/>
      <c r="Y147" s="3"/>
      <c r="Z147" s="3"/>
    </row>
    <row r="148" spans="1:26" ht="15.75" hidden="1" customHeight="1" outlineLevel="1" x14ac:dyDescent="0.3">
      <c r="A148" s="3"/>
      <c r="B148" s="66" t="s">
        <v>241</v>
      </c>
      <c r="C148" s="67" t="s">
        <v>44</v>
      </c>
      <c r="D148" s="67" t="s">
        <v>44</v>
      </c>
      <c r="E148" s="68">
        <f t="shared" ref="E148:F148" si="36">SUM(E149:E152)</f>
        <v>0</v>
      </c>
      <c r="F148" s="68">
        <f t="shared" si="36"/>
        <v>455</v>
      </c>
      <c r="G148" s="69" t="s">
        <v>44</v>
      </c>
      <c r="H148" s="70"/>
      <c r="I148" s="70"/>
      <c r="J148" s="3"/>
      <c r="K148" s="3"/>
      <c r="L148" s="3"/>
      <c r="M148" s="3"/>
      <c r="N148" s="3"/>
      <c r="O148" s="3"/>
      <c r="P148" s="3"/>
      <c r="Q148" s="3"/>
      <c r="R148" s="3"/>
      <c r="S148" s="3"/>
      <c r="T148" s="3"/>
      <c r="U148" s="3"/>
      <c r="V148" s="35"/>
      <c r="W148" s="32"/>
      <c r="X148" s="3"/>
      <c r="Y148" s="3"/>
      <c r="Z148" s="3"/>
    </row>
    <row r="149" spans="1:26" ht="15" hidden="1" customHeight="1" outlineLevel="1" x14ac:dyDescent="0.3">
      <c r="A149" s="3"/>
      <c r="B149" s="9" t="s">
        <v>242</v>
      </c>
      <c r="C149" s="53">
        <v>2</v>
      </c>
      <c r="D149" s="53" t="s">
        <v>95</v>
      </c>
      <c r="E149" s="11">
        <v>0</v>
      </c>
      <c r="F149" s="11">
        <f>10+3+50+10+15+15+10+10+10+20+20</f>
        <v>173</v>
      </c>
      <c r="G149" s="58"/>
      <c r="H149" s="54" t="s">
        <v>37</v>
      </c>
      <c r="I149" s="54"/>
      <c r="J149" s="3"/>
      <c r="K149" s="3"/>
      <c r="L149" s="3"/>
      <c r="M149" s="3"/>
      <c r="N149" s="3"/>
      <c r="O149" s="3"/>
      <c r="P149" s="3"/>
      <c r="Q149" s="3"/>
      <c r="R149" s="3"/>
      <c r="S149" s="3"/>
      <c r="T149" s="3"/>
      <c r="U149" s="3"/>
      <c r="V149" s="35"/>
      <c r="W149" s="32"/>
      <c r="X149" s="3"/>
      <c r="Y149" s="3"/>
      <c r="Z149" s="3"/>
    </row>
    <row r="150" spans="1:26" ht="15" hidden="1" customHeight="1" outlineLevel="1" x14ac:dyDescent="0.3">
      <c r="A150" s="3"/>
      <c r="B150" s="9" t="s">
        <v>243</v>
      </c>
      <c r="C150" s="53">
        <v>2</v>
      </c>
      <c r="D150" s="53" t="s">
        <v>95</v>
      </c>
      <c r="E150" s="11">
        <v>0</v>
      </c>
      <c r="F150" s="11">
        <v>80</v>
      </c>
      <c r="G150" s="58"/>
      <c r="H150" s="54" t="s">
        <v>36</v>
      </c>
      <c r="I150" s="54"/>
      <c r="J150" s="3"/>
      <c r="K150" s="3"/>
      <c r="L150" s="3"/>
      <c r="M150" s="3"/>
      <c r="N150" s="3"/>
      <c r="O150" s="3"/>
      <c r="P150" s="3"/>
      <c r="Q150" s="3"/>
      <c r="R150" s="3"/>
      <c r="S150" s="3"/>
      <c r="T150" s="3"/>
      <c r="U150" s="3"/>
      <c r="V150" s="35"/>
      <c r="W150" s="32"/>
      <c r="X150" s="3"/>
      <c r="Y150" s="3"/>
      <c r="Z150" s="3"/>
    </row>
    <row r="151" spans="1:26" ht="15" hidden="1" customHeight="1" outlineLevel="1" x14ac:dyDescent="0.3">
      <c r="A151" s="3"/>
      <c r="B151" s="9" t="s">
        <v>244</v>
      </c>
      <c r="C151" s="53">
        <v>16</v>
      </c>
      <c r="D151" s="53" t="s">
        <v>95</v>
      </c>
      <c r="E151" s="11">
        <v>0</v>
      </c>
      <c r="F151" s="11">
        <v>105</v>
      </c>
      <c r="G151" s="58"/>
      <c r="H151" s="54" t="s">
        <v>37</v>
      </c>
      <c r="I151" s="54"/>
      <c r="J151" s="3"/>
      <c r="K151" s="3"/>
      <c r="L151" s="3"/>
      <c r="M151" s="3"/>
      <c r="N151" s="3"/>
      <c r="O151" s="3"/>
      <c r="P151" s="3"/>
      <c r="Q151" s="3"/>
      <c r="R151" s="3"/>
      <c r="S151" s="3"/>
      <c r="T151" s="3"/>
      <c r="U151" s="3"/>
      <c r="V151" s="35"/>
      <c r="W151" s="32"/>
      <c r="X151" s="3"/>
      <c r="Y151" s="3"/>
      <c r="Z151" s="3"/>
    </row>
    <row r="152" spans="1:26" ht="15" hidden="1" customHeight="1" outlineLevel="1" x14ac:dyDescent="0.3">
      <c r="A152" s="3"/>
      <c r="B152" s="9" t="s">
        <v>245</v>
      </c>
      <c r="C152" s="53">
        <v>16</v>
      </c>
      <c r="D152" s="53" t="s">
        <v>95</v>
      </c>
      <c r="E152" s="11">
        <v>0</v>
      </c>
      <c r="F152" s="11">
        <v>97</v>
      </c>
      <c r="G152" s="58"/>
      <c r="H152" s="54" t="s">
        <v>36</v>
      </c>
      <c r="I152" s="54"/>
      <c r="J152" s="3"/>
      <c r="K152" s="3"/>
      <c r="L152" s="3"/>
      <c r="M152" s="3"/>
      <c r="N152" s="3"/>
      <c r="O152" s="3"/>
      <c r="P152" s="3"/>
      <c r="Q152" s="3"/>
      <c r="R152" s="3"/>
      <c r="S152" s="3"/>
      <c r="T152" s="3"/>
      <c r="U152" s="3"/>
      <c r="V152" s="35"/>
      <c r="W152" s="32"/>
      <c r="X152" s="3"/>
      <c r="Y152" s="3"/>
      <c r="Z152" s="3"/>
    </row>
    <row r="153" spans="1:26" ht="15.75" hidden="1" customHeight="1" outlineLevel="1" x14ac:dyDescent="0.3">
      <c r="A153" s="3"/>
      <c r="B153" s="66" t="s">
        <v>246</v>
      </c>
      <c r="C153" s="67" t="s">
        <v>44</v>
      </c>
      <c r="D153" s="67" t="s">
        <v>44</v>
      </c>
      <c r="E153" s="68">
        <f t="shared" ref="E153:F153" si="37">SUM(E154:E157)</f>
        <v>0</v>
      </c>
      <c r="F153" s="68">
        <f t="shared" si="37"/>
        <v>1009</v>
      </c>
      <c r="G153" s="69" t="s">
        <v>44</v>
      </c>
      <c r="H153" s="70"/>
      <c r="I153" s="70"/>
      <c r="J153" s="3"/>
      <c r="K153" s="3"/>
      <c r="L153" s="3"/>
      <c r="M153" s="3"/>
      <c r="N153" s="3"/>
      <c r="O153" s="3"/>
      <c r="P153" s="3"/>
      <c r="Q153" s="3"/>
      <c r="R153" s="3"/>
      <c r="S153" s="3"/>
      <c r="T153" s="3"/>
      <c r="U153" s="3"/>
      <c r="V153" s="35"/>
      <c r="W153" s="32"/>
      <c r="X153" s="3"/>
      <c r="Y153" s="3"/>
      <c r="Z153" s="3"/>
    </row>
    <row r="154" spans="1:26" ht="15.75" hidden="1" customHeight="1" outlineLevel="1" x14ac:dyDescent="0.3">
      <c r="A154" s="3"/>
      <c r="B154" s="9" t="s">
        <v>242</v>
      </c>
      <c r="C154" s="53"/>
      <c r="D154" s="53" t="s">
        <v>95</v>
      </c>
      <c r="E154" s="11">
        <v>0</v>
      </c>
      <c r="F154" s="11">
        <f>27+18+18+18+18+9+18+9+9+9+18+18+10+45+27+9+18+54+18+18+18+9+9</f>
        <v>424</v>
      </c>
      <c r="G154" s="60"/>
      <c r="H154" s="54" t="s">
        <v>37</v>
      </c>
      <c r="I154" s="54"/>
      <c r="J154" s="3"/>
      <c r="K154" s="3"/>
      <c r="L154" s="3"/>
      <c r="M154" s="3"/>
      <c r="N154" s="3"/>
      <c r="O154" s="3"/>
      <c r="P154" s="3"/>
      <c r="Q154" s="3"/>
      <c r="R154" s="3"/>
      <c r="S154" s="3"/>
      <c r="T154" s="3"/>
      <c r="U154" s="3"/>
      <c r="V154" s="35"/>
      <c r="W154" s="32"/>
      <c r="X154" s="3"/>
      <c r="Y154" s="3"/>
      <c r="Z154" s="3"/>
    </row>
    <row r="155" spans="1:26" ht="15" hidden="1" customHeight="1" outlineLevel="1" x14ac:dyDescent="0.3">
      <c r="A155" s="3"/>
      <c r="B155" s="9" t="s">
        <v>243</v>
      </c>
      <c r="C155" s="53"/>
      <c r="D155" s="53"/>
      <c r="E155" s="11">
        <v>0</v>
      </c>
      <c r="F155" s="11">
        <v>0</v>
      </c>
      <c r="G155" s="58"/>
      <c r="H155" s="54" t="s">
        <v>36</v>
      </c>
      <c r="I155" s="54"/>
      <c r="J155" s="3"/>
      <c r="K155" s="3"/>
      <c r="L155" s="3"/>
      <c r="M155" s="3"/>
      <c r="N155" s="3"/>
      <c r="O155" s="3"/>
      <c r="P155" s="3"/>
      <c r="Q155" s="3"/>
      <c r="R155" s="3"/>
      <c r="S155" s="3"/>
      <c r="T155" s="3"/>
      <c r="U155" s="3"/>
      <c r="V155" s="35"/>
      <c r="W155" s="32"/>
      <c r="X155" s="3"/>
      <c r="Y155" s="3"/>
      <c r="Z155" s="3"/>
    </row>
    <row r="156" spans="1:26" ht="15" hidden="1" customHeight="1" outlineLevel="1" x14ac:dyDescent="0.3">
      <c r="A156" s="3"/>
      <c r="B156" s="9" t="s">
        <v>244</v>
      </c>
      <c r="C156" s="53">
        <v>16</v>
      </c>
      <c r="D156" s="53" t="s">
        <v>95</v>
      </c>
      <c r="E156" s="11">
        <v>0</v>
      </c>
      <c r="F156" s="11">
        <v>468</v>
      </c>
      <c r="G156" s="58"/>
      <c r="H156" s="54" t="s">
        <v>37</v>
      </c>
      <c r="I156" s="54"/>
      <c r="J156" s="3"/>
      <c r="K156" s="3"/>
      <c r="L156" s="3"/>
      <c r="M156" s="3"/>
      <c r="N156" s="3"/>
      <c r="O156" s="3"/>
      <c r="P156" s="3"/>
      <c r="Q156" s="3"/>
      <c r="R156" s="3"/>
      <c r="S156" s="3"/>
      <c r="T156" s="3"/>
      <c r="U156" s="3"/>
      <c r="V156" s="35"/>
      <c r="W156" s="32"/>
      <c r="X156" s="3"/>
      <c r="Y156" s="3"/>
      <c r="Z156" s="3"/>
    </row>
    <row r="157" spans="1:26" ht="15" hidden="1" customHeight="1" outlineLevel="1" x14ac:dyDescent="0.3">
      <c r="A157" s="3"/>
      <c r="B157" s="9" t="s">
        <v>245</v>
      </c>
      <c r="C157" s="53">
        <v>16</v>
      </c>
      <c r="D157" s="53" t="s">
        <v>95</v>
      </c>
      <c r="E157" s="11">
        <v>0</v>
      </c>
      <c r="F157" s="11">
        <v>117</v>
      </c>
      <c r="G157" s="58"/>
      <c r="H157" s="54" t="s">
        <v>36</v>
      </c>
      <c r="I157" s="54"/>
      <c r="J157" s="3"/>
      <c r="K157" s="3"/>
      <c r="L157" s="3"/>
      <c r="M157" s="3"/>
      <c r="N157" s="3"/>
      <c r="O157" s="3"/>
      <c r="P157" s="3"/>
      <c r="Q157" s="3"/>
      <c r="R157" s="3"/>
      <c r="S157" s="3"/>
      <c r="T157" s="3"/>
      <c r="U157" s="3"/>
      <c r="V157" s="35"/>
      <c r="W157" s="32"/>
      <c r="X157" s="3"/>
      <c r="Y157" s="3"/>
      <c r="Z157" s="3"/>
    </row>
    <row r="158" spans="1:26" ht="15.75" hidden="1" customHeight="1" outlineLevel="1" x14ac:dyDescent="0.3">
      <c r="A158" s="3"/>
      <c r="B158" s="66" t="s">
        <v>247</v>
      </c>
      <c r="C158" s="67" t="s">
        <v>44</v>
      </c>
      <c r="D158" s="67" t="s">
        <v>44</v>
      </c>
      <c r="E158" s="68">
        <f t="shared" ref="E158:F158" si="38">SUM(E159:E161)</f>
        <v>0</v>
      </c>
      <c r="F158" s="68">
        <f t="shared" si="38"/>
        <v>500</v>
      </c>
      <c r="G158" s="69" t="s">
        <v>44</v>
      </c>
      <c r="H158" s="70"/>
      <c r="I158" s="70"/>
      <c r="J158" s="3"/>
      <c r="K158" s="3"/>
      <c r="L158" s="3"/>
      <c r="M158" s="3"/>
      <c r="N158" s="3"/>
      <c r="O158" s="3"/>
      <c r="P158" s="3"/>
      <c r="Q158" s="3"/>
      <c r="R158" s="3"/>
      <c r="S158" s="3"/>
      <c r="T158" s="3"/>
      <c r="U158" s="3"/>
      <c r="V158" s="35"/>
      <c r="W158" s="32"/>
      <c r="X158" s="3"/>
      <c r="Y158" s="3"/>
      <c r="Z158" s="3"/>
    </row>
    <row r="159" spans="1:26" ht="15.75" hidden="1" customHeight="1" outlineLevel="1" x14ac:dyDescent="0.3">
      <c r="A159" s="3"/>
      <c r="B159" s="9" t="s">
        <v>248</v>
      </c>
      <c r="C159" s="71" t="s">
        <v>249</v>
      </c>
      <c r="D159" s="53" t="s">
        <v>95</v>
      </c>
      <c r="E159" s="11">
        <v>0</v>
      </c>
      <c r="F159" s="11">
        <f>20+20+40+50+40+40+60+20+40+120</f>
        <v>450</v>
      </c>
      <c r="G159" s="62" t="s">
        <v>250</v>
      </c>
      <c r="H159" s="54" t="s">
        <v>37</v>
      </c>
      <c r="I159" s="54"/>
      <c r="J159" s="3"/>
      <c r="K159" s="3"/>
      <c r="L159" s="3"/>
      <c r="M159" s="3"/>
      <c r="N159" s="3"/>
      <c r="O159" s="3"/>
      <c r="P159" s="3"/>
      <c r="Q159" s="3"/>
      <c r="R159" s="3"/>
      <c r="S159" s="3"/>
      <c r="T159" s="3"/>
      <c r="U159" s="3"/>
      <c r="V159" s="35"/>
      <c r="W159" s="32"/>
      <c r="X159" s="3"/>
      <c r="Y159" s="3"/>
      <c r="Z159" s="3"/>
    </row>
    <row r="160" spans="1:26" ht="15" hidden="1" customHeight="1" outlineLevel="1" x14ac:dyDescent="0.3">
      <c r="A160" s="3"/>
      <c r="B160" s="9" t="s">
        <v>251</v>
      </c>
      <c r="C160" s="71">
        <v>13</v>
      </c>
      <c r="D160" s="53" t="s">
        <v>95</v>
      </c>
      <c r="E160" s="11">
        <v>0</v>
      </c>
      <c r="F160" s="11">
        <v>50</v>
      </c>
      <c r="G160" s="61" t="s">
        <v>252</v>
      </c>
      <c r="H160" s="54" t="s">
        <v>36</v>
      </c>
      <c r="I160" s="54"/>
      <c r="J160" s="3"/>
      <c r="K160" s="3"/>
      <c r="L160" s="3"/>
      <c r="M160" s="3"/>
      <c r="N160" s="3"/>
      <c r="O160" s="3"/>
      <c r="P160" s="3"/>
      <c r="Q160" s="3"/>
      <c r="R160" s="3"/>
      <c r="S160" s="3"/>
      <c r="T160" s="3"/>
      <c r="U160" s="3"/>
      <c r="V160" s="35"/>
      <c r="W160" s="32"/>
      <c r="X160" s="3"/>
      <c r="Y160" s="3"/>
      <c r="Z160" s="3"/>
    </row>
    <row r="161" spans="1:26" ht="15" hidden="1" customHeight="1" outlineLevel="1" x14ac:dyDescent="0.3">
      <c r="A161" s="3"/>
      <c r="B161" s="9" t="s">
        <v>253</v>
      </c>
      <c r="C161" s="53"/>
      <c r="D161" s="53"/>
      <c r="E161" s="11">
        <v>0</v>
      </c>
      <c r="F161" s="11">
        <v>0</v>
      </c>
      <c r="G161" s="58"/>
      <c r="H161" s="54"/>
      <c r="I161" s="54"/>
      <c r="J161" s="3"/>
      <c r="K161" s="3"/>
      <c r="L161" s="3"/>
      <c r="M161" s="3"/>
      <c r="N161" s="3"/>
      <c r="O161" s="3"/>
      <c r="P161" s="3"/>
      <c r="Q161" s="3"/>
      <c r="R161" s="3"/>
      <c r="S161" s="3"/>
      <c r="T161" s="3"/>
      <c r="U161" s="3"/>
      <c r="V161" s="35"/>
      <c r="W161" s="32"/>
      <c r="X161" s="3"/>
      <c r="Y161" s="3"/>
      <c r="Z161" s="3"/>
    </row>
    <row r="162" spans="1:26" ht="15.75" hidden="1" customHeight="1" outlineLevel="1" x14ac:dyDescent="0.3">
      <c r="A162" s="3"/>
      <c r="B162" s="66" t="s">
        <v>62</v>
      </c>
      <c r="C162" s="67" t="s">
        <v>44</v>
      </c>
      <c r="D162" s="67" t="s">
        <v>44</v>
      </c>
      <c r="E162" s="68">
        <f t="shared" ref="E162:F162" si="39">SUM(E163:E165)</f>
        <v>0</v>
      </c>
      <c r="F162" s="68">
        <f t="shared" si="39"/>
        <v>0</v>
      </c>
      <c r="G162" s="69" t="s">
        <v>44</v>
      </c>
      <c r="H162" s="70"/>
      <c r="I162" s="70"/>
      <c r="J162" s="3"/>
      <c r="K162" s="3"/>
      <c r="L162" s="3"/>
      <c r="M162" s="3"/>
      <c r="N162" s="3"/>
      <c r="O162" s="3"/>
      <c r="P162" s="3"/>
      <c r="Q162" s="3"/>
      <c r="R162" s="3"/>
      <c r="S162" s="3"/>
      <c r="T162" s="3"/>
      <c r="U162" s="3"/>
      <c r="V162" s="35"/>
      <c r="W162" s="32"/>
      <c r="X162" s="3"/>
      <c r="Y162" s="3"/>
      <c r="Z162" s="3"/>
    </row>
    <row r="163" spans="1:26" ht="15" hidden="1" customHeight="1" outlineLevel="1" x14ac:dyDescent="0.3">
      <c r="A163" s="3"/>
      <c r="B163" s="9" t="s">
        <v>254</v>
      </c>
      <c r="C163" s="53"/>
      <c r="D163" s="53"/>
      <c r="E163" s="11">
        <v>0</v>
      </c>
      <c r="F163" s="11">
        <v>0</v>
      </c>
      <c r="G163" s="61"/>
      <c r="H163" s="54"/>
      <c r="I163" s="54"/>
      <c r="J163" s="3"/>
      <c r="K163" s="3"/>
      <c r="L163" s="3"/>
      <c r="M163" s="3"/>
      <c r="N163" s="3"/>
      <c r="O163" s="3"/>
      <c r="P163" s="3"/>
      <c r="Q163" s="3"/>
      <c r="R163" s="3"/>
      <c r="S163" s="3"/>
      <c r="T163" s="3"/>
      <c r="U163" s="3"/>
      <c r="V163" s="35"/>
      <c r="W163" s="32"/>
      <c r="X163" s="3"/>
      <c r="Y163" s="3"/>
      <c r="Z163" s="3"/>
    </row>
    <row r="164" spans="1:26" ht="15.75" hidden="1" customHeight="1" outlineLevel="1" x14ac:dyDescent="0.3">
      <c r="A164" s="3"/>
      <c r="B164" s="9" t="s">
        <v>255</v>
      </c>
      <c r="C164" s="53"/>
      <c r="D164" s="53"/>
      <c r="E164" s="11">
        <v>0</v>
      </c>
      <c r="F164" s="11">
        <v>0</v>
      </c>
      <c r="G164" s="60"/>
      <c r="H164" s="54"/>
      <c r="I164" s="54"/>
      <c r="J164" s="3"/>
      <c r="K164" s="3"/>
      <c r="L164" s="3"/>
      <c r="M164" s="3"/>
      <c r="N164" s="3"/>
      <c r="O164" s="3"/>
      <c r="P164" s="3"/>
      <c r="Q164" s="3"/>
      <c r="R164" s="3"/>
      <c r="S164" s="3"/>
      <c r="T164" s="3"/>
      <c r="U164" s="3"/>
      <c r="V164" s="35"/>
      <c r="W164" s="32"/>
      <c r="X164" s="3"/>
      <c r="Y164" s="3"/>
      <c r="Z164" s="3"/>
    </row>
    <row r="165" spans="1:26" ht="15" hidden="1" customHeight="1" outlineLevel="1" x14ac:dyDescent="0.3">
      <c r="A165" s="3"/>
      <c r="B165" s="9" t="s">
        <v>256</v>
      </c>
      <c r="C165" s="53"/>
      <c r="D165" s="53"/>
      <c r="E165" s="11">
        <v>0</v>
      </c>
      <c r="F165" s="11">
        <v>0</v>
      </c>
      <c r="G165" s="58"/>
      <c r="H165" s="54"/>
      <c r="I165" s="54"/>
      <c r="J165" s="3"/>
      <c r="K165" s="3"/>
      <c r="L165" s="3"/>
      <c r="M165" s="3"/>
      <c r="N165" s="3"/>
      <c r="O165" s="3"/>
      <c r="P165" s="3"/>
      <c r="Q165" s="3"/>
      <c r="R165" s="3"/>
      <c r="S165" s="3"/>
      <c r="T165" s="3"/>
      <c r="U165" s="3"/>
      <c r="V165" s="35"/>
      <c r="W165" s="32"/>
      <c r="X165" s="3"/>
      <c r="Y165" s="3"/>
      <c r="Z165" s="3"/>
    </row>
    <row r="166" spans="1:26" ht="15.75" customHeight="1" collapsed="1" x14ac:dyDescent="0.3">
      <c r="A166" s="3"/>
      <c r="B166" s="64" t="s">
        <v>64</v>
      </c>
      <c r="C166" s="47" t="s">
        <v>44</v>
      </c>
      <c r="D166" s="47" t="s">
        <v>44</v>
      </c>
      <c r="E166" s="48">
        <f t="shared" ref="E166:F166" si="40">SUM(E167:E169)</f>
        <v>0</v>
      </c>
      <c r="F166" s="48">
        <f t="shared" si="40"/>
        <v>20</v>
      </c>
      <c r="G166" s="49" t="s">
        <v>44</v>
      </c>
      <c r="H166" s="65"/>
      <c r="I166" s="65"/>
      <c r="J166" s="3"/>
      <c r="K166" s="3"/>
      <c r="L166" s="3"/>
      <c r="M166" s="3"/>
      <c r="N166" s="3"/>
      <c r="O166" s="3"/>
      <c r="P166" s="3"/>
      <c r="Q166" s="3"/>
      <c r="R166" s="3"/>
      <c r="S166" s="3"/>
      <c r="T166" s="3"/>
      <c r="U166" s="3"/>
      <c r="V166" s="35"/>
      <c r="W166" s="32"/>
      <c r="X166" s="3"/>
      <c r="Y166" s="3"/>
      <c r="Z166" s="3"/>
    </row>
    <row r="167" spans="1:26" ht="15" hidden="1" customHeight="1" outlineLevel="1" x14ac:dyDescent="0.3">
      <c r="A167" s="3"/>
      <c r="B167" s="9" t="s">
        <v>257</v>
      </c>
      <c r="C167" s="53">
        <v>31</v>
      </c>
      <c r="D167" s="53" t="s">
        <v>95</v>
      </c>
      <c r="E167" s="11">
        <v>0</v>
      </c>
      <c r="F167" s="11">
        <v>20</v>
      </c>
      <c r="G167" s="58"/>
      <c r="H167" s="54" t="s">
        <v>36</v>
      </c>
      <c r="I167" s="54"/>
      <c r="J167" s="3"/>
      <c r="K167" s="3"/>
      <c r="L167" s="3"/>
      <c r="M167" s="3"/>
      <c r="N167" s="3"/>
      <c r="O167" s="3"/>
      <c r="P167" s="3"/>
      <c r="Q167" s="3"/>
      <c r="R167" s="3"/>
      <c r="S167" s="3"/>
      <c r="T167" s="3"/>
      <c r="U167" s="3"/>
      <c r="V167" s="35"/>
      <c r="W167" s="32"/>
      <c r="X167" s="3"/>
      <c r="Y167" s="3"/>
      <c r="Z167" s="3"/>
    </row>
    <row r="168" spans="1:26" ht="15" hidden="1" customHeight="1" outlineLevel="1" x14ac:dyDescent="0.3">
      <c r="A168" s="3"/>
      <c r="B168" s="9" t="s">
        <v>258</v>
      </c>
      <c r="C168" s="53"/>
      <c r="D168" s="53"/>
      <c r="E168" s="11">
        <v>0</v>
      </c>
      <c r="F168" s="11">
        <v>0</v>
      </c>
      <c r="G168" s="58"/>
      <c r="H168" s="54"/>
      <c r="I168" s="54"/>
      <c r="J168" s="3"/>
      <c r="K168" s="3"/>
      <c r="L168" s="3"/>
      <c r="M168" s="3"/>
      <c r="N168" s="3"/>
      <c r="O168" s="3"/>
      <c r="P168" s="3"/>
      <c r="Q168" s="3"/>
      <c r="R168" s="3"/>
      <c r="S168" s="3"/>
      <c r="T168" s="3"/>
      <c r="U168" s="3"/>
      <c r="V168" s="35"/>
      <c r="W168" s="32"/>
      <c r="X168" s="3"/>
      <c r="Y168" s="3"/>
      <c r="Z168" s="3"/>
    </row>
    <row r="169" spans="1:26" ht="15" hidden="1" customHeight="1" outlineLevel="1" x14ac:dyDescent="0.3">
      <c r="A169" s="3"/>
      <c r="B169" s="9" t="s">
        <v>259</v>
      </c>
      <c r="C169" s="53"/>
      <c r="D169" s="53"/>
      <c r="E169" s="11">
        <v>0</v>
      </c>
      <c r="F169" s="11">
        <v>0</v>
      </c>
      <c r="G169" s="58"/>
      <c r="H169" s="54"/>
      <c r="I169" s="54"/>
      <c r="J169" s="3"/>
      <c r="K169" s="3"/>
      <c r="L169" s="3"/>
      <c r="M169" s="3"/>
      <c r="N169" s="3"/>
      <c r="O169" s="3"/>
      <c r="P169" s="3"/>
      <c r="Q169" s="3"/>
      <c r="R169" s="3"/>
      <c r="S169" s="3"/>
      <c r="T169" s="3"/>
      <c r="U169" s="3"/>
      <c r="V169" s="35"/>
      <c r="W169" s="32"/>
      <c r="X169" s="3"/>
      <c r="Y169" s="3"/>
      <c r="Z169" s="3"/>
    </row>
    <row r="170" spans="1:26" ht="15.75" customHeight="1" collapsed="1" x14ac:dyDescent="0.3">
      <c r="A170" s="3"/>
      <c r="B170" s="64" t="s">
        <v>260</v>
      </c>
      <c r="C170" s="47" t="s">
        <v>44</v>
      </c>
      <c r="D170" s="47" t="s">
        <v>44</v>
      </c>
      <c r="E170" s="48">
        <f t="shared" ref="E170:F170" si="41">SUM(E171:E177)</f>
        <v>0</v>
      </c>
      <c r="F170" s="48">
        <f t="shared" si="41"/>
        <v>301.48</v>
      </c>
      <c r="G170" s="49" t="s">
        <v>44</v>
      </c>
      <c r="H170" s="65"/>
      <c r="I170" s="65"/>
      <c r="J170" s="3"/>
      <c r="K170" s="3"/>
      <c r="L170" s="3"/>
      <c r="M170" s="3"/>
      <c r="N170" s="3"/>
      <c r="O170" s="3"/>
      <c r="P170" s="3"/>
      <c r="Q170" s="3"/>
      <c r="R170" s="3"/>
      <c r="S170" s="3"/>
      <c r="T170" s="3"/>
      <c r="U170" s="3"/>
      <c r="V170" s="35"/>
      <c r="W170" s="32"/>
      <c r="X170" s="3"/>
      <c r="Y170" s="3"/>
      <c r="Z170" s="3"/>
    </row>
    <row r="171" spans="1:26" ht="15" hidden="1" customHeight="1" outlineLevel="1" x14ac:dyDescent="0.3">
      <c r="A171" s="3"/>
      <c r="B171" s="9" t="s">
        <v>261</v>
      </c>
      <c r="C171" s="53"/>
      <c r="D171" s="53"/>
      <c r="E171" s="11">
        <v>0</v>
      </c>
      <c r="F171" s="11">
        <v>0</v>
      </c>
      <c r="G171" s="58"/>
      <c r="H171" s="54"/>
      <c r="I171" s="54"/>
      <c r="J171" s="3"/>
      <c r="K171" s="3"/>
      <c r="L171" s="3"/>
      <c r="M171" s="3"/>
      <c r="N171" s="3"/>
      <c r="O171" s="3"/>
      <c r="P171" s="3"/>
      <c r="Q171" s="3"/>
      <c r="R171" s="3"/>
      <c r="S171" s="3"/>
      <c r="T171" s="3"/>
      <c r="U171" s="3"/>
      <c r="V171" s="35"/>
      <c r="W171" s="32"/>
      <c r="X171" s="3"/>
      <c r="Y171" s="3"/>
      <c r="Z171" s="3"/>
    </row>
    <row r="172" spans="1:26" ht="15.75" hidden="1" customHeight="1" outlineLevel="1" x14ac:dyDescent="0.3">
      <c r="A172" s="3"/>
      <c r="B172" s="9" t="s">
        <v>262</v>
      </c>
      <c r="C172" s="53" t="s">
        <v>263</v>
      </c>
      <c r="D172" s="53" t="s">
        <v>95</v>
      </c>
      <c r="E172" s="11">
        <v>0</v>
      </c>
      <c r="F172" s="11">
        <v>301.47000000000003</v>
      </c>
      <c r="G172" s="60"/>
      <c r="H172" s="54" t="s">
        <v>38</v>
      </c>
      <c r="I172" s="54"/>
      <c r="J172" s="3"/>
      <c r="K172" s="3"/>
      <c r="L172" s="3"/>
      <c r="M172" s="3"/>
      <c r="N172" s="3"/>
      <c r="O172" s="3"/>
      <c r="P172" s="3"/>
      <c r="Q172" s="3"/>
      <c r="R172" s="3"/>
      <c r="S172" s="3"/>
      <c r="T172" s="3"/>
      <c r="U172" s="3"/>
      <c r="V172" s="35"/>
      <c r="W172" s="32"/>
      <c r="X172" s="3"/>
      <c r="Y172" s="3"/>
      <c r="Z172" s="3"/>
    </row>
    <row r="173" spans="1:26" ht="15" hidden="1" customHeight="1" outlineLevel="1" x14ac:dyDescent="0.3">
      <c r="A173" s="3"/>
      <c r="B173" s="9" t="s">
        <v>264</v>
      </c>
      <c r="C173" s="53"/>
      <c r="D173" s="53"/>
      <c r="E173" s="11">
        <v>0</v>
      </c>
      <c r="F173" s="11">
        <v>0</v>
      </c>
      <c r="G173" s="58"/>
      <c r="H173" s="54"/>
      <c r="I173" s="54"/>
      <c r="J173" s="3"/>
      <c r="K173" s="3"/>
      <c r="L173" s="3"/>
      <c r="M173" s="3"/>
      <c r="N173" s="3"/>
      <c r="O173" s="3"/>
      <c r="P173" s="3"/>
      <c r="Q173" s="3"/>
      <c r="R173" s="3"/>
      <c r="S173" s="3"/>
      <c r="T173" s="3"/>
      <c r="U173" s="3"/>
      <c r="V173" s="35"/>
      <c r="W173" s="32"/>
      <c r="X173" s="3"/>
      <c r="Y173" s="3"/>
      <c r="Z173" s="3"/>
    </row>
    <row r="174" spans="1:26" ht="15" hidden="1" customHeight="1" outlineLevel="1" x14ac:dyDescent="0.3">
      <c r="A174" s="3"/>
      <c r="B174" s="9" t="s">
        <v>265</v>
      </c>
      <c r="C174" s="53">
        <v>4</v>
      </c>
      <c r="D174" s="53" t="s">
        <v>95</v>
      </c>
      <c r="E174" s="11">
        <v>0</v>
      </c>
      <c r="F174" s="11">
        <v>0.01</v>
      </c>
      <c r="G174" s="58"/>
      <c r="H174" s="54" t="s">
        <v>266</v>
      </c>
      <c r="I174" s="54"/>
      <c r="J174" s="3"/>
      <c r="K174" s="3"/>
      <c r="L174" s="3"/>
      <c r="M174" s="3"/>
      <c r="N174" s="3"/>
      <c r="O174" s="3"/>
      <c r="P174" s="3"/>
      <c r="Q174" s="3"/>
      <c r="R174" s="3"/>
      <c r="S174" s="3"/>
      <c r="T174" s="3"/>
      <c r="U174" s="3"/>
      <c r="V174" s="35"/>
      <c r="W174" s="32"/>
      <c r="X174" s="3"/>
      <c r="Y174" s="3"/>
      <c r="Z174" s="3"/>
    </row>
    <row r="175" spans="1:26" ht="15" hidden="1" customHeight="1" outlineLevel="1" x14ac:dyDescent="0.3">
      <c r="A175" s="3"/>
      <c r="B175" s="9" t="s">
        <v>267</v>
      </c>
      <c r="C175" s="53"/>
      <c r="D175" s="53"/>
      <c r="E175" s="11">
        <v>0</v>
      </c>
      <c r="F175" s="11">
        <v>0</v>
      </c>
      <c r="G175" s="58"/>
      <c r="H175" s="54"/>
      <c r="I175" s="54"/>
      <c r="J175" s="3"/>
      <c r="K175" s="3"/>
      <c r="L175" s="3"/>
      <c r="M175" s="3"/>
      <c r="N175" s="3"/>
      <c r="O175" s="3"/>
      <c r="P175" s="3"/>
      <c r="Q175" s="3"/>
      <c r="R175" s="3"/>
      <c r="S175" s="3"/>
      <c r="T175" s="3"/>
      <c r="U175" s="3"/>
      <c r="V175" s="35"/>
      <c r="W175" s="32"/>
      <c r="X175" s="3"/>
      <c r="Y175" s="3"/>
      <c r="Z175" s="3"/>
    </row>
    <row r="176" spans="1:26" ht="15" hidden="1" customHeight="1" outlineLevel="1" x14ac:dyDescent="0.3">
      <c r="A176" s="3"/>
      <c r="B176" s="9" t="s">
        <v>268</v>
      </c>
      <c r="C176" s="53"/>
      <c r="D176" s="53"/>
      <c r="E176" s="11">
        <v>0</v>
      </c>
      <c r="F176" s="11">
        <v>0</v>
      </c>
      <c r="G176" s="58"/>
      <c r="H176" s="54"/>
      <c r="I176" s="54"/>
      <c r="J176" s="3"/>
      <c r="K176" s="3"/>
      <c r="L176" s="3"/>
      <c r="M176" s="3"/>
      <c r="N176" s="3"/>
      <c r="O176" s="3"/>
      <c r="P176" s="3"/>
      <c r="Q176" s="3"/>
      <c r="R176" s="3"/>
      <c r="S176" s="3"/>
      <c r="T176" s="3"/>
      <c r="U176" s="3"/>
      <c r="V176" s="35"/>
      <c r="W176" s="32"/>
      <c r="X176" s="3"/>
      <c r="Y176" s="3"/>
      <c r="Z176" s="3"/>
    </row>
    <row r="177" spans="1:26" ht="15" hidden="1" customHeight="1" outlineLevel="1" x14ac:dyDescent="0.3">
      <c r="A177" s="3"/>
      <c r="B177" s="9" t="s">
        <v>269</v>
      </c>
      <c r="C177" s="53"/>
      <c r="D177" s="53"/>
      <c r="E177" s="11">
        <v>0</v>
      </c>
      <c r="F177" s="11">
        <v>0</v>
      </c>
      <c r="G177" s="58"/>
      <c r="H177" s="54"/>
      <c r="I177" s="54"/>
      <c r="J177" s="3"/>
      <c r="K177" s="3"/>
      <c r="L177" s="3"/>
      <c r="M177" s="3"/>
      <c r="N177" s="3"/>
      <c r="O177" s="3"/>
      <c r="P177" s="3"/>
      <c r="Q177" s="3"/>
      <c r="R177" s="3"/>
      <c r="S177" s="3"/>
      <c r="T177" s="3"/>
      <c r="U177" s="3"/>
      <c r="V177" s="35"/>
      <c r="W177" s="32"/>
      <c r="X177" s="3"/>
      <c r="Y177" s="3"/>
      <c r="Z177" s="3"/>
    </row>
    <row r="178" spans="1:26" ht="15.75" customHeight="1" collapsed="1" x14ac:dyDescent="0.3">
      <c r="A178" s="3"/>
      <c r="B178" s="3"/>
      <c r="C178" s="28"/>
      <c r="D178" s="28"/>
      <c r="E178" s="28"/>
      <c r="F178" s="28"/>
      <c r="G178" s="28"/>
      <c r="H178" s="28"/>
      <c r="I178" s="28"/>
      <c r="J178" s="28"/>
      <c r="K178" s="28"/>
      <c r="L178" s="28"/>
      <c r="M178" s="28"/>
      <c r="N178" s="28"/>
      <c r="O178" s="28"/>
      <c r="P178" s="28"/>
      <c r="Q178" s="28"/>
      <c r="R178" s="28"/>
      <c r="S178" s="28"/>
      <c r="T178" s="28"/>
      <c r="U178" s="28"/>
      <c r="V178" s="35"/>
      <c r="W178" s="32"/>
    </row>
    <row r="179" spans="1:26" ht="15.75" customHeight="1" x14ac:dyDescent="0.3">
      <c r="A179" s="3"/>
      <c r="B179" s="3"/>
      <c r="C179" s="28"/>
      <c r="D179" s="28"/>
      <c r="E179" s="28"/>
      <c r="F179" s="28"/>
      <c r="G179" s="28"/>
      <c r="H179" s="28"/>
      <c r="I179" s="28"/>
      <c r="J179" s="28"/>
      <c r="K179" s="28"/>
      <c r="L179" s="28"/>
      <c r="M179" s="28"/>
      <c r="N179" s="28"/>
      <c r="O179" s="28"/>
      <c r="P179" s="28"/>
      <c r="Q179" s="28"/>
      <c r="R179" s="28"/>
      <c r="S179" s="28"/>
      <c r="T179" s="28"/>
      <c r="U179" s="28"/>
      <c r="V179" s="35"/>
      <c r="W179" s="32"/>
    </row>
    <row r="180" spans="1:26" ht="15.75" customHeight="1" x14ac:dyDescent="0.3">
      <c r="A180" s="3"/>
      <c r="B180" s="3"/>
      <c r="C180" s="28"/>
      <c r="D180" s="28"/>
      <c r="E180" s="28"/>
      <c r="F180" s="28"/>
      <c r="G180" s="28"/>
      <c r="H180" s="28"/>
      <c r="I180" s="28"/>
      <c r="J180" s="28"/>
      <c r="K180" s="28"/>
      <c r="L180" s="28"/>
      <c r="M180" s="28"/>
      <c r="N180" s="28"/>
      <c r="O180" s="28"/>
      <c r="P180" s="28"/>
      <c r="Q180" s="28"/>
      <c r="R180" s="28"/>
      <c r="S180" s="28"/>
      <c r="T180" s="28"/>
      <c r="U180" s="28"/>
      <c r="V180" s="35"/>
      <c r="W180" s="32"/>
    </row>
    <row r="181" spans="1:26" ht="15.75" customHeight="1" x14ac:dyDescent="0.3">
      <c r="A181" s="3"/>
      <c r="B181" s="3"/>
      <c r="C181" s="28"/>
      <c r="D181" s="28"/>
      <c r="E181" s="28"/>
      <c r="F181" s="28"/>
      <c r="G181" s="28"/>
      <c r="H181" s="28"/>
      <c r="I181" s="28"/>
      <c r="J181" s="28"/>
      <c r="K181" s="28"/>
      <c r="L181" s="28"/>
      <c r="M181" s="28"/>
      <c r="N181" s="28"/>
      <c r="O181" s="28"/>
      <c r="P181" s="28"/>
      <c r="Q181" s="28"/>
      <c r="R181" s="28"/>
      <c r="S181" s="28"/>
      <c r="T181" s="28"/>
      <c r="U181" s="28"/>
      <c r="V181" s="35"/>
      <c r="W181" s="32"/>
    </row>
    <row r="182" spans="1:26" ht="15.75" customHeight="1" x14ac:dyDescent="0.3">
      <c r="A182" s="3"/>
      <c r="B182" s="3"/>
      <c r="C182" s="28"/>
      <c r="D182" s="28"/>
      <c r="E182" s="28"/>
      <c r="F182" s="28"/>
      <c r="G182" s="28"/>
      <c r="H182" s="28"/>
      <c r="I182" s="28"/>
      <c r="J182" s="28"/>
      <c r="K182" s="28"/>
      <c r="L182" s="28"/>
      <c r="M182" s="28"/>
      <c r="N182" s="28"/>
      <c r="O182" s="28"/>
      <c r="P182" s="28"/>
      <c r="Q182" s="28"/>
      <c r="R182" s="28"/>
      <c r="S182" s="28"/>
      <c r="T182" s="28"/>
      <c r="U182" s="28"/>
      <c r="V182" s="35"/>
      <c r="W182" s="32"/>
    </row>
    <row r="183" spans="1:26" ht="15.75" customHeight="1" x14ac:dyDescent="0.3">
      <c r="A183" s="3"/>
      <c r="B183" s="3"/>
      <c r="C183" s="28"/>
      <c r="D183" s="28"/>
      <c r="E183" s="28"/>
      <c r="F183" s="28"/>
      <c r="G183" s="28"/>
      <c r="H183" s="28"/>
      <c r="I183" s="28"/>
      <c r="J183" s="28"/>
      <c r="K183" s="28"/>
      <c r="L183" s="28"/>
      <c r="M183" s="28"/>
      <c r="N183" s="28"/>
      <c r="O183" s="28"/>
      <c r="P183" s="28"/>
      <c r="Q183" s="28"/>
      <c r="R183" s="28"/>
      <c r="S183" s="28"/>
      <c r="T183" s="28"/>
      <c r="U183" s="28"/>
      <c r="V183" s="35"/>
      <c r="W183" s="32"/>
    </row>
    <row r="184" spans="1:26" ht="15.75" customHeight="1" x14ac:dyDescent="0.3">
      <c r="A184" s="3"/>
      <c r="B184" s="3"/>
      <c r="C184" s="28"/>
      <c r="D184" s="28"/>
      <c r="E184" s="28"/>
      <c r="F184" s="28"/>
      <c r="G184" s="28"/>
      <c r="H184" s="28"/>
      <c r="I184" s="28"/>
      <c r="J184" s="28"/>
      <c r="K184" s="28"/>
      <c r="L184" s="28"/>
      <c r="M184" s="28"/>
      <c r="N184" s="28"/>
      <c r="O184" s="28"/>
      <c r="P184" s="28"/>
      <c r="Q184" s="28"/>
      <c r="R184" s="28"/>
      <c r="S184" s="28"/>
      <c r="T184" s="28"/>
      <c r="U184" s="28"/>
      <c r="V184" s="35"/>
      <c r="W184" s="32"/>
    </row>
    <row r="185" spans="1:26" ht="15.75" customHeight="1" x14ac:dyDescent="0.3">
      <c r="A185" s="3"/>
      <c r="B185" s="3"/>
      <c r="C185" s="28"/>
      <c r="D185" s="28"/>
      <c r="E185" s="28"/>
      <c r="F185" s="28"/>
      <c r="G185" s="28"/>
      <c r="H185" s="28"/>
      <c r="I185" s="28"/>
      <c r="J185" s="28"/>
      <c r="K185" s="28"/>
      <c r="L185" s="28"/>
      <c r="M185" s="28"/>
      <c r="N185" s="28"/>
      <c r="O185" s="28"/>
      <c r="P185" s="28"/>
      <c r="Q185" s="28"/>
      <c r="R185" s="28"/>
      <c r="S185" s="28"/>
      <c r="T185" s="28"/>
      <c r="U185" s="28"/>
      <c r="V185" s="35"/>
      <c r="W185" s="32"/>
    </row>
    <row r="186" spans="1:26" ht="15.75" customHeight="1" x14ac:dyDescent="0.3">
      <c r="A186" s="3"/>
      <c r="B186" s="3"/>
      <c r="C186" s="28"/>
      <c r="D186" s="28"/>
      <c r="E186" s="28"/>
      <c r="F186" s="28"/>
      <c r="G186" s="28"/>
      <c r="H186" s="28"/>
      <c r="I186" s="28"/>
      <c r="J186" s="28"/>
      <c r="K186" s="28"/>
      <c r="L186" s="28"/>
      <c r="M186" s="28"/>
      <c r="N186" s="28"/>
      <c r="O186" s="28"/>
      <c r="P186" s="28"/>
      <c r="Q186" s="28"/>
      <c r="R186" s="28"/>
      <c r="S186" s="28"/>
      <c r="T186" s="28"/>
      <c r="U186" s="28"/>
      <c r="V186" s="35"/>
      <c r="W186" s="32"/>
    </row>
    <row r="187" spans="1:26" ht="15.75" customHeight="1" x14ac:dyDescent="0.3">
      <c r="A187" s="3"/>
      <c r="B187" s="3"/>
      <c r="C187" s="28"/>
      <c r="D187" s="28"/>
      <c r="E187" s="28"/>
      <c r="F187" s="28"/>
      <c r="G187" s="28"/>
      <c r="H187" s="28"/>
      <c r="I187" s="28"/>
      <c r="J187" s="28"/>
      <c r="K187" s="28"/>
      <c r="L187" s="28"/>
      <c r="M187" s="28"/>
      <c r="N187" s="28"/>
      <c r="O187" s="28"/>
      <c r="P187" s="28"/>
      <c r="Q187" s="28"/>
      <c r="R187" s="28"/>
      <c r="S187" s="28"/>
      <c r="T187" s="28"/>
      <c r="U187" s="28"/>
      <c r="V187" s="35"/>
      <c r="W187" s="32"/>
    </row>
    <row r="188" spans="1:26" ht="15.75" customHeight="1" x14ac:dyDescent="0.3">
      <c r="A188" s="3"/>
      <c r="B188" s="3"/>
      <c r="C188" s="28"/>
      <c r="D188" s="28"/>
      <c r="E188" s="28"/>
      <c r="F188" s="28"/>
      <c r="G188" s="28"/>
      <c r="H188" s="28"/>
      <c r="I188" s="28"/>
      <c r="J188" s="28"/>
      <c r="K188" s="28"/>
      <c r="L188" s="28"/>
      <c r="M188" s="28"/>
      <c r="N188" s="28"/>
      <c r="O188" s="28"/>
      <c r="P188" s="28"/>
      <c r="Q188" s="28"/>
      <c r="R188" s="28"/>
      <c r="S188" s="28"/>
      <c r="T188" s="28"/>
      <c r="U188" s="28"/>
      <c r="V188" s="35"/>
      <c r="W188" s="32"/>
    </row>
    <row r="189" spans="1:26" ht="15.75" customHeight="1" x14ac:dyDescent="0.3">
      <c r="A189" s="3"/>
      <c r="B189" s="3"/>
      <c r="C189" s="28"/>
      <c r="D189" s="28"/>
      <c r="E189" s="28"/>
      <c r="F189" s="28"/>
      <c r="G189" s="28"/>
      <c r="H189" s="28"/>
      <c r="I189" s="28"/>
      <c r="J189" s="28"/>
      <c r="K189" s="28"/>
      <c r="L189" s="28"/>
      <c r="M189" s="28"/>
      <c r="N189" s="28"/>
      <c r="O189" s="28"/>
      <c r="P189" s="28"/>
      <c r="Q189" s="28"/>
      <c r="R189" s="28"/>
      <c r="S189" s="28"/>
      <c r="T189" s="28"/>
      <c r="U189" s="28"/>
      <c r="V189" s="35"/>
      <c r="W189" s="32"/>
    </row>
    <row r="190" spans="1:26" ht="15.75" customHeight="1" x14ac:dyDescent="0.3">
      <c r="A190" s="3"/>
      <c r="B190" s="3"/>
      <c r="C190" s="28"/>
      <c r="D190" s="28"/>
      <c r="E190" s="28"/>
      <c r="F190" s="28"/>
      <c r="G190" s="28"/>
      <c r="H190" s="28"/>
      <c r="I190" s="28"/>
      <c r="J190" s="28"/>
      <c r="K190" s="28"/>
      <c r="L190" s="28"/>
      <c r="M190" s="28"/>
      <c r="N190" s="28"/>
      <c r="O190" s="28"/>
      <c r="P190" s="28"/>
      <c r="Q190" s="28"/>
      <c r="R190" s="28"/>
      <c r="S190" s="28"/>
      <c r="T190" s="28"/>
      <c r="U190" s="28"/>
      <c r="V190" s="35"/>
      <c r="W190" s="32"/>
    </row>
    <row r="191" spans="1:26" ht="15.75" customHeight="1" x14ac:dyDescent="0.3">
      <c r="A191" s="3"/>
      <c r="B191" s="3"/>
      <c r="C191" s="28"/>
      <c r="D191" s="28"/>
      <c r="E191" s="28"/>
      <c r="F191" s="28"/>
      <c r="G191" s="28"/>
      <c r="H191" s="28"/>
      <c r="I191" s="28"/>
      <c r="J191" s="28"/>
      <c r="K191" s="28"/>
      <c r="L191" s="28"/>
      <c r="M191" s="28"/>
      <c r="N191" s="28"/>
      <c r="O191" s="28"/>
      <c r="P191" s="28"/>
      <c r="Q191" s="28"/>
      <c r="R191" s="28"/>
      <c r="S191" s="28"/>
      <c r="T191" s="28"/>
      <c r="U191" s="28"/>
      <c r="V191" s="35"/>
      <c r="W191" s="32"/>
    </row>
    <row r="192" spans="1:26" ht="15.75" customHeight="1" x14ac:dyDescent="0.3">
      <c r="A192" s="3"/>
      <c r="B192" s="3"/>
      <c r="C192" s="28"/>
      <c r="D192" s="28"/>
      <c r="E192" s="28"/>
      <c r="F192" s="28"/>
      <c r="G192" s="28"/>
      <c r="H192" s="28"/>
      <c r="I192" s="28"/>
      <c r="J192" s="28"/>
      <c r="K192" s="28"/>
      <c r="L192" s="28"/>
      <c r="M192" s="28"/>
      <c r="N192" s="28"/>
      <c r="O192" s="28"/>
      <c r="P192" s="28"/>
      <c r="Q192" s="28"/>
      <c r="R192" s="28"/>
      <c r="S192" s="28"/>
      <c r="T192" s="28"/>
      <c r="U192" s="28"/>
      <c r="V192" s="35"/>
      <c r="W192" s="32"/>
    </row>
    <row r="193" spans="1:23" ht="15.75" customHeight="1" x14ac:dyDescent="0.3">
      <c r="A193" s="3"/>
      <c r="B193" s="3"/>
      <c r="C193" s="28"/>
      <c r="D193" s="28"/>
      <c r="E193" s="28"/>
      <c r="F193" s="28"/>
      <c r="G193" s="28"/>
      <c r="H193" s="28"/>
      <c r="I193" s="28"/>
      <c r="J193" s="28"/>
      <c r="K193" s="28"/>
      <c r="L193" s="28"/>
      <c r="M193" s="28"/>
      <c r="N193" s="28"/>
      <c r="O193" s="28"/>
      <c r="P193" s="28"/>
      <c r="Q193" s="28"/>
      <c r="R193" s="28"/>
      <c r="S193" s="28"/>
      <c r="T193" s="28"/>
      <c r="U193" s="28"/>
      <c r="V193" s="35"/>
      <c r="W193" s="32"/>
    </row>
    <row r="194" spans="1:23" ht="15.75" customHeight="1" x14ac:dyDescent="0.3">
      <c r="A194" s="3"/>
      <c r="B194" s="3"/>
      <c r="C194" s="28"/>
      <c r="D194" s="28"/>
      <c r="E194" s="28"/>
      <c r="F194" s="28"/>
      <c r="G194" s="28"/>
      <c r="H194" s="28"/>
      <c r="I194" s="28"/>
      <c r="J194" s="28"/>
      <c r="K194" s="28"/>
      <c r="L194" s="28"/>
      <c r="M194" s="28"/>
      <c r="N194" s="28"/>
      <c r="O194" s="28"/>
      <c r="P194" s="28"/>
      <c r="Q194" s="28"/>
      <c r="R194" s="28"/>
      <c r="S194" s="28"/>
      <c r="T194" s="28"/>
      <c r="U194" s="28"/>
      <c r="V194" s="35"/>
      <c r="W194" s="32"/>
    </row>
    <row r="195" spans="1:23" ht="15.75" customHeight="1" x14ac:dyDescent="0.3">
      <c r="A195" s="3"/>
      <c r="B195" s="3"/>
      <c r="C195" s="28"/>
      <c r="D195" s="28"/>
      <c r="E195" s="28"/>
      <c r="F195" s="28"/>
      <c r="G195" s="28"/>
      <c r="H195" s="28"/>
      <c r="I195" s="28"/>
      <c r="J195" s="28"/>
      <c r="K195" s="28"/>
      <c r="L195" s="28"/>
      <c r="M195" s="28"/>
      <c r="N195" s="28"/>
      <c r="O195" s="28"/>
      <c r="P195" s="28"/>
      <c r="Q195" s="28"/>
      <c r="R195" s="28"/>
      <c r="S195" s="28"/>
      <c r="T195" s="28"/>
      <c r="U195" s="28"/>
      <c r="V195" s="35"/>
      <c r="W195" s="32"/>
    </row>
    <row r="196" spans="1:23" ht="15.75" customHeight="1" x14ac:dyDescent="0.3">
      <c r="A196" s="3"/>
      <c r="B196" s="3"/>
      <c r="C196" s="28"/>
      <c r="D196" s="28"/>
      <c r="E196" s="28"/>
      <c r="F196" s="28"/>
      <c r="G196" s="28"/>
      <c r="H196" s="28"/>
      <c r="I196" s="28"/>
      <c r="J196" s="28"/>
      <c r="K196" s="28"/>
      <c r="L196" s="28"/>
      <c r="M196" s="28"/>
      <c r="N196" s="28"/>
      <c r="O196" s="28"/>
      <c r="P196" s="28"/>
      <c r="Q196" s="28"/>
      <c r="R196" s="28"/>
      <c r="S196" s="28"/>
      <c r="T196" s="28"/>
      <c r="U196" s="28"/>
      <c r="V196" s="35"/>
      <c r="W196" s="32"/>
    </row>
    <row r="197" spans="1:23" ht="15.75" customHeight="1" x14ac:dyDescent="0.3">
      <c r="A197" s="3"/>
      <c r="B197" s="3"/>
      <c r="C197" s="28"/>
      <c r="D197" s="28"/>
      <c r="E197" s="28"/>
      <c r="F197" s="28"/>
      <c r="G197" s="28"/>
      <c r="H197" s="28"/>
      <c r="I197" s="28"/>
      <c r="J197" s="28"/>
      <c r="K197" s="28"/>
      <c r="L197" s="28"/>
      <c r="M197" s="28"/>
      <c r="N197" s="28"/>
      <c r="O197" s="28"/>
      <c r="P197" s="28"/>
      <c r="Q197" s="28"/>
      <c r="R197" s="28"/>
      <c r="S197" s="28"/>
      <c r="T197" s="28"/>
      <c r="U197" s="28"/>
      <c r="V197" s="35"/>
      <c r="W197" s="32"/>
    </row>
    <row r="198" spans="1:23" ht="15.75" customHeight="1" x14ac:dyDescent="0.3">
      <c r="A198" s="3"/>
      <c r="B198" s="3"/>
      <c r="C198" s="28"/>
      <c r="D198" s="28"/>
      <c r="E198" s="28"/>
      <c r="F198" s="28"/>
      <c r="G198" s="28"/>
      <c r="H198" s="28"/>
      <c r="I198" s="28"/>
      <c r="J198" s="28"/>
      <c r="K198" s="28"/>
      <c r="L198" s="28"/>
      <c r="M198" s="28"/>
      <c r="N198" s="28"/>
      <c r="O198" s="28"/>
      <c r="P198" s="28"/>
      <c r="Q198" s="28"/>
      <c r="R198" s="28"/>
      <c r="S198" s="28"/>
      <c r="T198" s="28"/>
      <c r="U198" s="28"/>
      <c r="V198" s="35"/>
      <c r="W198" s="32"/>
    </row>
    <row r="199" spans="1:23" ht="15.75" customHeight="1" x14ac:dyDescent="0.3">
      <c r="A199" s="3"/>
      <c r="B199" s="3"/>
      <c r="C199" s="28"/>
      <c r="D199" s="28"/>
      <c r="E199" s="28"/>
      <c r="F199" s="28"/>
      <c r="G199" s="28"/>
      <c r="H199" s="28"/>
      <c r="I199" s="28"/>
      <c r="J199" s="28"/>
      <c r="K199" s="28"/>
      <c r="L199" s="28"/>
      <c r="M199" s="28"/>
      <c r="N199" s="28"/>
      <c r="O199" s="28"/>
      <c r="P199" s="28"/>
      <c r="Q199" s="28"/>
      <c r="R199" s="28"/>
      <c r="S199" s="28"/>
      <c r="T199" s="28"/>
      <c r="U199" s="28"/>
      <c r="V199" s="35"/>
      <c r="W199" s="32"/>
    </row>
    <row r="200" spans="1:23" ht="15.75" customHeight="1" x14ac:dyDescent="0.3">
      <c r="A200" s="3"/>
      <c r="B200" s="3"/>
      <c r="C200" s="28"/>
      <c r="D200" s="28"/>
      <c r="E200" s="28"/>
      <c r="F200" s="28"/>
      <c r="G200" s="28"/>
      <c r="H200" s="28"/>
      <c r="I200" s="28"/>
      <c r="J200" s="28"/>
      <c r="K200" s="28"/>
      <c r="L200" s="28"/>
      <c r="M200" s="28"/>
      <c r="N200" s="28"/>
      <c r="O200" s="28"/>
      <c r="P200" s="28"/>
      <c r="Q200" s="28"/>
      <c r="R200" s="28"/>
      <c r="S200" s="28"/>
      <c r="T200" s="28"/>
      <c r="U200" s="28"/>
      <c r="V200" s="35"/>
      <c r="W200" s="32"/>
    </row>
    <row r="201" spans="1:23" ht="15.75" customHeight="1" x14ac:dyDescent="0.3">
      <c r="A201" s="3"/>
      <c r="B201" s="3"/>
      <c r="C201" s="28"/>
      <c r="D201" s="28"/>
      <c r="E201" s="28"/>
      <c r="F201" s="28"/>
      <c r="G201" s="28"/>
      <c r="H201" s="28"/>
      <c r="I201" s="28"/>
      <c r="J201" s="28"/>
      <c r="K201" s="28"/>
      <c r="L201" s="28"/>
      <c r="M201" s="28"/>
      <c r="N201" s="28"/>
      <c r="O201" s="28"/>
      <c r="P201" s="28"/>
      <c r="Q201" s="28"/>
      <c r="R201" s="28"/>
      <c r="S201" s="28"/>
      <c r="T201" s="28"/>
      <c r="U201" s="28"/>
      <c r="V201" s="35"/>
      <c r="W201" s="32"/>
    </row>
    <row r="202" spans="1:23" ht="15.75" customHeight="1" x14ac:dyDescent="0.3">
      <c r="A202" s="3"/>
      <c r="B202" s="3"/>
      <c r="C202" s="28"/>
      <c r="D202" s="28"/>
      <c r="E202" s="28"/>
      <c r="F202" s="28"/>
      <c r="G202" s="28"/>
      <c r="H202" s="28"/>
      <c r="I202" s="28"/>
      <c r="J202" s="28"/>
      <c r="K202" s="28"/>
      <c r="L202" s="28"/>
      <c r="M202" s="28"/>
      <c r="N202" s="28"/>
      <c r="O202" s="28"/>
      <c r="P202" s="28"/>
      <c r="Q202" s="28"/>
      <c r="R202" s="28"/>
      <c r="S202" s="28"/>
      <c r="T202" s="28"/>
      <c r="U202" s="28"/>
      <c r="V202" s="35"/>
      <c r="W202" s="32"/>
    </row>
    <row r="203" spans="1:23" ht="15.75" customHeight="1" x14ac:dyDescent="0.3">
      <c r="A203" s="3"/>
      <c r="B203" s="3"/>
      <c r="C203" s="28"/>
      <c r="D203" s="28"/>
      <c r="E203" s="28"/>
      <c r="F203" s="28"/>
      <c r="G203" s="28"/>
      <c r="H203" s="28"/>
      <c r="I203" s="28"/>
      <c r="J203" s="28"/>
      <c r="K203" s="28"/>
      <c r="L203" s="28"/>
      <c r="M203" s="28"/>
      <c r="N203" s="28"/>
      <c r="O203" s="28"/>
      <c r="P203" s="28"/>
      <c r="Q203" s="28"/>
      <c r="R203" s="28"/>
      <c r="S203" s="28"/>
      <c r="T203" s="28"/>
      <c r="U203" s="28"/>
      <c r="V203" s="35"/>
      <c r="W203" s="32"/>
    </row>
    <row r="204" spans="1:23" ht="15.75" customHeight="1" x14ac:dyDescent="0.3">
      <c r="A204" s="3"/>
      <c r="B204" s="3"/>
      <c r="C204" s="28"/>
      <c r="D204" s="28"/>
      <c r="E204" s="28"/>
      <c r="F204" s="28"/>
      <c r="G204" s="28"/>
      <c r="H204" s="28"/>
      <c r="I204" s="28"/>
      <c r="J204" s="28"/>
      <c r="K204" s="28"/>
      <c r="L204" s="28"/>
      <c r="M204" s="28"/>
      <c r="N204" s="28"/>
      <c r="O204" s="28"/>
      <c r="P204" s="28"/>
      <c r="Q204" s="28"/>
      <c r="R204" s="28"/>
      <c r="S204" s="28"/>
      <c r="T204" s="28"/>
      <c r="U204" s="28"/>
      <c r="V204" s="35"/>
      <c r="W204" s="32"/>
    </row>
    <row r="205" spans="1:23" ht="15.75" customHeight="1" x14ac:dyDescent="0.3">
      <c r="A205" s="3"/>
      <c r="B205" s="3"/>
      <c r="C205" s="28"/>
      <c r="D205" s="28"/>
      <c r="E205" s="28"/>
      <c r="F205" s="28"/>
      <c r="G205" s="28"/>
      <c r="H205" s="28"/>
      <c r="I205" s="28"/>
      <c r="J205" s="28"/>
      <c r="K205" s="28"/>
      <c r="L205" s="28"/>
      <c r="M205" s="28"/>
      <c r="N205" s="28"/>
      <c r="O205" s="28"/>
      <c r="P205" s="28"/>
      <c r="Q205" s="28"/>
      <c r="R205" s="28"/>
      <c r="S205" s="28"/>
      <c r="T205" s="28"/>
      <c r="U205" s="28"/>
      <c r="V205" s="35"/>
      <c r="W205" s="32"/>
    </row>
    <row r="206" spans="1:23" ht="15.75" customHeight="1" x14ac:dyDescent="0.3">
      <c r="A206" s="3"/>
      <c r="B206" s="3"/>
      <c r="C206" s="28"/>
      <c r="D206" s="28"/>
      <c r="E206" s="28"/>
      <c r="F206" s="28"/>
      <c r="G206" s="28"/>
      <c r="H206" s="28"/>
      <c r="I206" s="28"/>
      <c r="J206" s="28"/>
      <c r="K206" s="28"/>
      <c r="L206" s="28"/>
      <c r="M206" s="28"/>
      <c r="N206" s="28"/>
      <c r="O206" s="28"/>
      <c r="P206" s="28"/>
      <c r="Q206" s="28"/>
      <c r="R206" s="28"/>
      <c r="S206" s="28"/>
      <c r="T206" s="28"/>
      <c r="U206" s="28"/>
      <c r="V206" s="35"/>
      <c r="W206" s="32"/>
    </row>
    <row r="207" spans="1:23" ht="15.75" customHeight="1" x14ac:dyDescent="0.3">
      <c r="A207" s="3"/>
      <c r="B207" s="3"/>
      <c r="C207" s="28"/>
      <c r="D207" s="28"/>
      <c r="E207" s="28"/>
      <c r="F207" s="28"/>
      <c r="G207" s="28"/>
      <c r="H207" s="28"/>
      <c r="I207" s="28"/>
      <c r="J207" s="28"/>
      <c r="K207" s="28"/>
      <c r="L207" s="28"/>
      <c r="M207" s="28"/>
      <c r="N207" s="28"/>
      <c r="O207" s="28"/>
      <c r="P207" s="28"/>
      <c r="Q207" s="28"/>
      <c r="R207" s="28"/>
      <c r="S207" s="28"/>
      <c r="T207" s="28"/>
      <c r="U207" s="28"/>
      <c r="V207" s="35"/>
      <c r="W207" s="32"/>
    </row>
    <row r="208" spans="1:23" ht="15.75" customHeight="1" x14ac:dyDescent="0.3">
      <c r="A208" s="3"/>
      <c r="B208" s="3"/>
      <c r="C208" s="28"/>
      <c r="D208" s="28"/>
      <c r="E208" s="28"/>
      <c r="F208" s="28"/>
      <c r="G208" s="28"/>
      <c r="H208" s="28"/>
      <c r="I208" s="28"/>
      <c r="J208" s="28"/>
      <c r="K208" s="28"/>
      <c r="L208" s="28"/>
      <c r="M208" s="28"/>
      <c r="N208" s="28"/>
      <c r="O208" s="28"/>
      <c r="P208" s="28"/>
      <c r="Q208" s="28"/>
      <c r="R208" s="28"/>
      <c r="S208" s="28"/>
      <c r="T208" s="28"/>
      <c r="U208" s="28"/>
      <c r="V208" s="35"/>
      <c r="W208" s="32"/>
    </row>
    <row r="209" spans="1:23" ht="15.75" customHeight="1" x14ac:dyDescent="0.3">
      <c r="A209" s="3"/>
      <c r="B209" s="3"/>
      <c r="C209" s="28"/>
      <c r="D209" s="28"/>
      <c r="E209" s="28"/>
      <c r="F209" s="28"/>
      <c r="G209" s="28"/>
      <c r="H209" s="28"/>
      <c r="I209" s="28"/>
      <c r="J209" s="28"/>
      <c r="K209" s="28"/>
      <c r="L209" s="28"/>
      <c r="M209" s="28"/>
      <c r="N209" s="28"/>
      <c r="O209" s="28"/>
      <c r="P209" s="28"/>
      <c r="Q209" s="28"/>
      <c r="R209" s="28"/>
      <c r="S209" s="28"/>
      <c r="T209" s="28"/>
      <c r="U209" s="28"/>
      <c r="V209" s="35"/>
      <c r="W209" s="32"/>
    </row>
    <row r="210" spans="1:23" ht="15.75" customHeight="1" x14ac:dyDescent="0.3">
      <c r="A210" s="3"/>
      <c r="B210" s="3"/>
      <c r="C210" s="28"/>
      <c r="D210" s="28"/>
      <c r="E210" s="28"/>
      <c r="F210" s="28"/>
      <c r="G210" s="28"/>
      <c r="H210" s="28"/>
      <c r="I210" s="28"/>
      <c r="J210" s="28"/>
      <c r="K210" s="28"/>
      <c r="L210" s="28"/>
      <c r="M210" s="28"/>
      <c r="N210" s="28"/>
      <c r="O210" s="28"/>
      <c r="P210" s="28"/>
      <c r="Q210" s="28"/>
      <c r="R210" s="28"/>
      <c r="S210" s="28"/>
      <c r="T210" s="28"/>
      <c r="U210" s="28"/>
      <c r="V210" s="35"/>
      <c r="W210" s="32"/>
    </row>
    <row r="211" spans="1:23" ht="15.75" customHeight="1" x14ac:dyDescent="0.3">
      <c r="A211" s="3"/>
      <c r="B211" s="3"/>
      <c r="C211" s="28"/>
      <c r="D211" s="28"/>
      <c r="E211" s="28"/>
      <c r="F211" s="28"/>
      <c r="G211" s="28"/>
      <c r="H211" s="28"/>
      <c r="I211" s="28"/>
      <c r="J211" s="28"/>
      <c r="K211" s="28"/>
      <c r="L211" s="28"/>
      <c r="M211" s="28"/>
      <c r="N211" s="28"/>
      <c r="O211" s="28"/>
      <c r="P211" s="28"/>
      <c r="Q211" s="28"/>
      <c r="R211" s="28"/>
      <c r="S211" s="28"/>
      <c r="T211" s="28"/>
      <c r="U211" s="28"/>
      <c r="V211" s="35"/>
      <c r="W211" s="32"/>
    </row>
    <row r="212" spans="1:23" ht="15.75" customHeight="1" x14ac:dyDescent="0.3">
      <c r="A212" s="3"/>
      <c r="B212" s="3"/>
      <c r="C212" s="28"/>
      <c r="D212" s="28"/>
      <c r="E212" s="28"/>
      <c r="F212" s="28"/>
      <c r="G212" s="28"/>
      <c r="H212" s="28"/>
      <c r="I212" s="28"/>
      <c r="J212" s="28"/>
      <c r="K212" s="28"/>
      <c r="L212" s="28"/>
      <c r="M212" s="28"/>
      <c r="N212" s="28"/>
      <c r="O212" s="28"/>
      <c r="P212" s="28"/>
      <c r="Q212" s="28"/>
      <c r="R212" s="28"/>
      <c r="S212" s="28"/>
      <c r="T212" s="28"/>
      <c r="U212" s="28"/>
      <c r="V212" s="35"/>
      <c r="W212" s="32"/>
    </row>
    <row r="213" spans="1:23" ht="15.75" customHeight="1" x14ac:dyDescent="0.3">
      <c r="A213" s="3"/>
      <c r="B213" s="3"/>
      <c r="C213" s="28"/>
      <c r="D213" s="28"/>
      <c r="E213" s="28"/>
      <c r="F213" s="28"/>
      <c r="G213" s="28"/>
      <c r="H213" s="28"/>
      <c r="I213" s="28"/>
      <c r="J213" s="28"/>
      <c r="K213" s="28"/>
      <c r="L213" s="28"/>
      <c r="M213" s="28"/>
      <c r="N213" s="28"/>
      <c r="O213" s="28"/>
      <c r="P213" s="28"/>
      <c r="Q213" s="28"/>
      <c r="R213" s="28"/>
      <c r="S213" s="28"/>
      <c r="T213" s="28"/>
      <c r="U213" s="28"/>
      <c r="V213" s="35"/>
      <c r="W213" s="32"/>
    </row>
    <row r="214" spans="1:23" ht="15.75" customHeight="1" x14ac:dyDescent="0.3">
      <c r="A214" s="3"/>
      <c r="B214" s="3"/>
      <c r="C214" s="28"/>
      <c r="D214" s="28"/>
      <c r="E214" s="28"/>
      <c r="F214" s="28"/>
      <c r="G214" s="28"/>
      <c r="H214" s="28"/>
      <c r="I214" s="28"/>
      <c r="J214" s="28"/>
      <c r="K214" s="28"/>
      <c r="L214" s="28"/>
      <c r="M214" s="28"/>
      <c r="N214" s="28"/>
      <c r="O214" s="28"/>
      <c r="P214" s="28"/>
      <c r="Q214" s="28"/>
      <c r="R214" s="28"/>
      <c r="S214" s="28"/>
      <c r="T214" s="28"/>
      <c r="U214" s="28"/>
      <c r="V214" s="35"/>
      <c r="W214" s="32"/>
    </row>
    <row r="215" spans="1:23" ht="15.75" customHeight="1" x14ac:dyDescent="0.3">
      <c r="A215" s="3"/>
      <c r="B215" s="3"/>
      <c r="C215" s="28"/>
      <c r="D215" s="28"/>
      <c r="E215" s="28"/>
      <c r="F215" s="28"/>
      <c r="G215" s="28"/>
      <c r="H215" s="28"/>
      <c r="I215" s="28"/>
      <c r="J215" s="28"/>
      <c r="K215" s="28"/>
      <c r="L215" s="28"/>
      <c r="M215" s="28"/>
      <c r="N215" s="28"/>
      <c r="O215" s="28"/>
      <c r="P215" s="28"/>
      <c r="Q215" s="28"/>
      <c r="R215" s="28"/>
      <c r="S215" s="28"/>
      <c r="T215" s="28"/>
      <c r="U215" s="28"/>
      <c r="V215" s="35"/>
      <c r="W215" s="32"/>
    </row>
    <row r="216" spans="1:23" ht="15.75" customHeight="1" x14ac:dyDescent="0.3">
      <c r="A216" s="3"/>
      <c r="B216" s="3"/>
      <c r="C216" s="28"/>
      <c r="D216" s="28"/>
      <c r="E216" s="28"/>
      <c r="F216" s="28"/>
      <c r="G216" s="28"/>
      <c r="H216" s="28"/>
      <c r="I216" s="28"/>
      <c r="J216" s="28"/>
      <c r="K216" s="28"/>
      <c r="L216" s="28"/>
      <c r="M216" s="28"/>
      <c r="N216" s="28"/>
      <c r="O216" s="28"/>
      <c r="P216" s="28"/>
      <c r="Q216" s="28"/>
      <c r="R216" s="28"/>
      <c r="S216" s="28"/>
      <c r="T216" s="28"/>
      <c r="U216" s="28"/>
      <c r="V216" s="35"/>
      <c r="W216" s="32"/>
    </row>
    <row r="217" spans="1:23" ht="15.75" customHeight="1" x14ac:dyDescent="0.3">
      <c r="A217" s="3"/>
      <c r="B217" s="3"/>
      <c r="C217" s="28"/>
      <c r="D217" s="28"/>
      <c r="E217" s="28"/>
      <c r="F217" s="28"/>
      <c r="G217" s="28"/>
      <c r="H217" s="28"/>
      <c r="I217" s="28"/>
      <c r="J217" s="28"/>
      <c r="K217" s="28"/>
      <c r="L217" s="28"/>
      <c r="M217" s="28"/>
      <c r="N217" s="28"/>
      <c r="O217" s="28"/>
      <c r="P217" s="28"/>
      <c r="Q217" s="28"/>
      <c r="R217" s="28"/>
      <c r="S217" s="28"/>
      <c r="T217" s="28"/>
      <c r="U217" s="28"/>
      <c r="V217" s="35"/>
      <c r="W217" s="32"/>
    </row>
    <row r="218" spans="1:23" ht="15.75" customHeight="1" x14ac:dyDescent="0.3">
      <c r="A218" s="3"/>
      <c r="B218" s="3"/>
      <c r="C218" s="28"/>
      <c r="D218" s="28"/>
      <c r="E218" s="28"/>
      <c r="F218" s="28"/>
      <c r="G218" s="28"/>
      <c r="H218" s="28"/>
      <c r="I218" s="28"/>
      <c r="J218" s="28"/>
      <c r="K218" s="28"/>
      <c r="L218" s="28"/>
      <c r="M218" s="28"/>
      <c r="N218" s="28"/>
      <c r="O218" s="28"/>
      <c r="P218" s="28"/>
      <c r="Q218" s="28"/>
      <c r="R218" s="28"/>
      <c r="S218" s="28"/>
      <c r="T218" s="28"/>
      <c r="U218" s="28"/>
      <c r="V218" s="35"/>
      <c r="W218" s="32"/>
    </row>
    <row r="219" spans="1:23" ht="15.75" customHeight="1" x14ac:dyDescent="0.3">
      <c r="A219" s="3"/>
      <c r="B219" s="3"/>
      <c r="C219" s="28"/>
      <c r="D219" s="28"/>
      <c r="E219" s="28"/>
      <c r="F219" s="28"/>
      <c r="G219" s="28"/>
      <c r="H219" s="28"/>
      <c r="I219" s="28"/>
      <c r="J219" s="28"/>
      <c r="K219" s="28"/>
      <c r="L219" s="28"/>
      <c r="M219" s="28"/>
      <c r="N219" s="28"/>
      <c r="O219" s="28"/>
      <c r="P219" s="28"/>
      <c r="Q219" s="28"/>
      <c r="R219" s="28"/>
      <c r="S219" s="28"/>
      <c r="T219" s="28"/>
      <c r="U219" s="28"/>
      <c r="V219" s="35"/>
      <c r="W219" s="32"/>
    </row>
    <row r="220" spans="1:23" ht="15.75" customHeight="1" x14ac:dyDescent="0.3">
      <c r="A220" s="3"/>
      <c r="B220" s="3"/>
      <c r="C220" s="28"/>
      <c r="D220" s="28"/>
      <c r="E220" s="28"/>
      <c r="F220" s="28"/>
      <c r="G220" s="28"/>
      <c r="H220" s="28"/>
      <c r="I220" s="28"/>
      <c r="J220" s="28"/>
      <c r="K220" s="28"/>
      <c r="L220" s="28"/>
      <c r="M220" s="28"/>
      <c r="N220" s="28"/>
      <c r="O220" s="28"/>
      <c r="P220" s="28"/>
      <c r="Q220" s="28"/>
      <c r="R220" s="28"/>
      <c r="S220" s="28"/>
      <c r="T220" s="28"/>
      <c r="U220" s="28"/>
      <c r="V220" s="35"/>
      <c r="W220" s="32"/>
    </row>
    <row r="221" spans="1:23" ht="15.75" customHeight="1" x14ac:dyDescent="0.3">
      <c r="A221" s="3"/>
      <c r="B221" s="3"/>
      <c r="C221" s="28"/>
      <c r="D221" s="28"/>
      <c r="E221" s="28"/>
      <c r="F221" s="28"/>
      <c r="G221" s="28"/>
      <c r="H221" s="28"/>
      <c r="I221" s="28"/>
      <c r="J221" s="28"/>
      <c r="K221" s="28"/>
      <c r="L221" s="28"/>
      <c r="M221" s="28"/>
      <c r="N221" s="28"/>
      <c r="O221" s="28"/>
      <c r="P221" s="28"/>
      <c r="Q221" s="28"/>
      <c r="R221" s="28"/>
      <c r="S221" s="28"/>
      <c r="T221" s="28"/>
      <c r="U221" s="28"/>
      <c r="V221" s="35"/>
      <c r="W221" s="32"/>
    </row>
    <row r="222" spans="1:23" ht="15.75" customHeight="1" x14ac:dyDescent="0.3">
      <c r="A222" s="3"/>
      <c r="B222" s="3"/>
      <c r="C222" s="28"/>
      <c r="D222" s="28"/>
      <c r="E222" s="28"/>
      <c r="F222" s="28"/>
      <c r="G222" s="28"/>
      <c r="H222" s="28"/>
      <c r="I222" s="28"/>
      <c r="J222" s="28"/>
      <c r="K222" s="28"/>
      <c r="L222" s="28"/>
      <c r="M222" s="28"/>
      <c r="N222" s="28"/>
      <c r="O222" s="28"/>
      <c r="P222" s="28"/>
      <c r="Q222" s="28"/>
      <c r="R222" s="28"/>
      <c r="S222" s="28"/>
      <c r="T222" s="28"/>
      <c r="U222" s="28"/>
      <c r="V222" s="35"/>
      <c r="W222" s="32"/>
    </row>
    <row r="223" spans="1:23" ht="15.75" customHeight="1" x14ac:dyDescent="0.3">
      <c r="A223" s="3"/>
      <c r="B223" s="3"/>
      <c r="C223" s="28"/>
      <c r="D223" s="28"/>
      <c r="E223" s="28"/>
      <c r="F223" s="28"/>
      <c r="G223" s="28"/>
      <c r="H223" s="28"/>
      <c r="I223" s="28"/>
      <c r="J223" s="28"/>
      <c r="K223" s="28"/>
      <c r="L223" s="28"/>
      <c r="M223" s="28"/>
      <c r="N223" s="28"/>
      <c r="O223" s="28"/>
      <c r="P223" s="28"/>
      <c r="Q223" s="28"/>
      <c r="R223" s="28"/>
      <c r="S223" s="28"/>
      <c r="T223" s="28"/>
      <c r="U223" s="28"/>
      <c r="V223" s="35"/>
      <c r="W223" s="32"/>
    </row>
    <row r="224" spans="1:23" ht="15.75" customHeight="1" x14ac:dyDescent="0.3">
      <c r="A224" s="3"/>
      <c r="B224" s="3"/>
      <c r="C224" s="28"/>
      <c r="D224" s="28"/>
      <c r="E224" s="28"/>
      <c r="F224" s="28"/>
      <c r="G224" s="28"/>
      <c r="H224" s="28"/>
      <c r="I224" s="28"/>
      <c r="J224" s="28"/>
      <c r="K224" s="28"/>
      <c r="L224" s="28"/>
      <c r="M224" s="28"/>
      <c r="N224" s="28"/>
      <c r="O224" s="28"/>
      <c r="P224" s="28"/>
      <c r="Q224" s="28"/>
      <c r="R224" s="28"/>
      <c r="S224" s="28"/>
      <c r="T224" s="28"/>
      <c r="U224" s="28"/>
      <c r="V224" s="35"/>
      <c r="W224" s="32"/>
    </row>
    <row r="225" spans="1:23" ht="15.75" customHeight="1" x14ac:dyDescent="0.3">
      <c r="A225" s="3"/>
      <c r="B225" s="3"/>
      <c r="C225" s="28"/>
      <c r="D225" s="28"/>
      <c r="E225" s="28"/>
      <c r="F225" s="28"/>
      <c r="G225" s="28"/>
      <c r="H225" s="28"/>
      <c r="I225" s="28"/>
      <c r="J225" s="28"/>
      <c r="K225" s="28"/>
      <c r="L225" s="28"/>
      <c r="M225" s="28"/>
      <c r="N225" s="28"/>
      <c r="O225" s="28"/>
      <c r="P225" s="28"/>
      <c r="Q225" s="28"/>
      <c r="R225" s="28"/>
      <c r="S225" s="28"/>
      <c r="T225" s="28"/>
      <c r="U225" s="28"/>
      <c r="V225" s="35"/>
      <c r="W225" s="32"/>
    </row>
    <row r="226" spans="1:23" ht="15.75" customHeight="1" x14ac:dyDescent="0.3">
      <c r="A226" s="3"/>
      <c r="B226" s="3"/>
      <c r="C226" s="28"/>
      <c r="D226" s="28"/>
      <c r="E226" s="28"/>
      <c r="F226" s="28"/>
      <c r="G226" s="28"/>
      <c r="H226" s="28"/>
      <c r="I226" s="28"/>
      <c r="J226" s="28"/>
      <c r="K226" s="28"/>
      <c r="L226" s="28"/>
      <c r="M226" s="28"/>
      <c r="N226" s="28"/>
      <c r="O226" s="28"/>
      <c r="P226" s="28"/>
      <c r="Q226" s="28"/>
      <c r="R226" s="28"/>
      <c r="S226" s="28"/>
      <c r="T226" s="28"/>
      <c r="U226" s="28"/>
      <c r="V226" s="35"/>
      <c r="W226" s="32"/>
    </row>
    <row r="227" spans="1:23" ht="15.75" customHeight="1" x14ac:dyDescent="0.3">
      <c r="A227" s="3"/>
      <c r="B227" s="3"/>
      <c r="C227" s="28"/>
      <c r="D227" s="28"/>
      <c r="E227" s="28"/>
      <c r="F227" s="28"/>
      <c r="G227" s="28"/>
      <c r="H227" s="28"/>
      <c r="I227" s="28"/>
      <c r="J227" s="28"/>
      <c r="K227" s="28"/>
      <c r="L227" s="28"/>
      <c r="M227" s="28"/>
      <c r="N227" s="28"/>
      <c r="O227" s="28"/>
      <c r="P227" s="28"/>
      <c r="Q227" s="28"/>
      <c r="R227" s="28"/>
      <c r="S227" s="28"/>
      <c r="T227" s="28"/>
      <c r="U227" s="28"/>
      <c r="V227" s="35"/>
      <c r="W227" s="32"/>
    </row>
    <row r="228" spans="1:23" ht="15.75" customHeight="1" x14ac:dyDescent="0.3">
      <c r="A228" s="3"/>
      <c r="B228" s="3"/>
      <c r="C228" s="28"/>
      <c r="D228" s="28"/>
      <c r="E228" s="28"/>
      <c r="F228" s="28"/>
      <c r="G228" s="28"/>
      <c r="H228" s="28"/>
      <c r="I228" s="28"/>
      <c r="J228" s="28"/>
      <c r="K228" s="28"/>
      <c r="L228" s="28"/>
      <c r="M228" s="28"/>
      <c r="N228" s="28"/>
      <c r="O228" s="28"/>
      <c r="P228" s="28"/>
      <c r="Q228" s="28"/>
      <c r="R228" s="28"/>
      <c r="S228" s="28"/>
      <c r="T228" s="28"/>
      <c r="U228" s="28"/>
      <c r="V228" s="35"/>
      <c r="W228" s="32"/>
    </row>
    <row r="229" spans="1:23" ht="15.75" customHeight="1" x14ac:dyDescent="0.3">
      <c r="A229" s="3"/>
      <c r="B229" s="3"/>
      <c r="C229" s="28"/>
      <c r="D229" s="28"/>
      <c r="E229" s="28"/>
      <c r="F229" s="28"/>
      <c r="G229" s="28"/>
      <c r="H229" s="28"/>
      <c r="I229" s="28"/>
      <c r="J229" s="28"/>
      <c r="K229" s="28"/>
      <c r="L229" s="28"/>
      <c r="M229" s="28"/>
      <c r="N229" s="28"/>
      <c r="O229" s="28"/>
      <c r="P229" s="28"/>
      <c r="Q229" s="28"/>
      <c r="R229" s="28"/>
      <c r="S229" s="28"/>
      <c r="T229" s="28"/>
      <c r="U229" s="28"/>
      <c r="V229" s="35"/>
      <c r="W229" s="32"/>
    </row>
    <row r="230" spans="1:23" ht="15.75" customHeight="1" x14ac:dyDescent="0.3">
      <c r="A230" s="3"/>
      <c r="B230" s="3"/>
      <c r="C230" s="28"/>
      <c r="D230" s="28"/>
      <c r="E230" s="28"/>
      <c r="F230" s="28"/>
      <c r="G230" s="28"/>
      <c r="H230" s="28"/>
      <c r="I230" s="28"/>
      <c r="J230" s="28"/>
      <c r="K230" s="28"/>
      <c r="L230" s="28"/>
      <c r="M230" s="28"/>
      <c r="N230" s="28"/>
      <c r="O230" s="28"/>
      <c r="P230" s="28"/>
      <c r="Q230" s="28"/>
      <c r="R230" s="28"/>
      <c r="S230" s="28"/>
      <c r="T230" s="28"/>
      <c r="U230" s="28"/>
      <c r="V230" s="35"/>
      <c r="W230" s="32"/>
    </row>
    <row r="231" spans="1:23" ht="15.75" customHeight="1" x14ac:dyDescent="0.3">
      <c r="A231" s="3"/>
      <c r="B231" s="3"/>
      <c r="C231" s="28"/>
      <c r="D231" s="28"/>
      <c r="E231" s="28"/>
      <c r="F231" s="28"/>
      <c r="G231" s="28"/>
      <c r="H231" s="28"/>
      <c r="I231" s="28"/>
      <c r="J231" s="28"/>
      <c r="K231" s="28"/>
      <c r="L231" s="28"/>
      <c r="M231" s="28"/>
      <c r="N231" s="28"/>
      <c r="O231" s="28"/>
      <c r="P231" s="28"/>
      <c r="Q231" s="28"/>
      <c r="R231" s="28"/>
      <c r="S231" s="28"/>
      <c r="T231" s="28"/>
      <c r="U231" s="28"/>
      <c r="V231" s="35"/>
      <c r="W231" s="32"/>
    </row>
    <row r="232" spans="1:23" ht="15.75" customHeight="1" x14ac:dyDescent="0.3">
      <c r="A232" s="3"/>
      <c r="B232" s="3"/>
      <c r="C232" s="28"/>
      <c r="D232" s="28"/>
      <c r="E232" s="28"/>
      <c r="F232" s="28"/>
      <c r="G232" s="28"/>
      <c r="H232" s="28"/>
      <c r="I232" s="28"/>
      <c r="J232" s="28"/>
      <c r="K232" s="28"/>
      <c r="L232" s="28"/>
      <c r="M232" s="28"/>
      <c r="N232" s="28"/>
      <c r="O232" s="28"/>
      <c r="P232" s="28"/>
      <c r="Q232" s="28"/>
      <c r="R232" s="28"/>
      <c r="S232" s="28"/>
      <c r="T232" s="28"/>
      <c r="U232" s="28"/>
      <c r="V232" s="35"/>
      <c r="W232" s="32"/>
    </row>
    <row r="233" spans="1:23" ht="15.75" customHeight="1" x14ac:dyDescent="0.3">
      <c r="A233" s="3"/>
      <c r="B233" s="3"/>
      <c r="C233" s="28"/>
      <c r="D233" s="28"/>
      <c r="E233" s="28"/>
      <c r="F233" s="28"/>
      <c r="G233" s="28"/>
      <c r="H233" s="28"/>
      <c r="I233" s="28"/>
      <c r="J233" s="28"/>
      <c r="K233" s="28"/>
      <c r="L233" s="28"/>
      <c r="M233" s="28"/>
      <c r="N233" s="28"/>
      <c r="O233" s="28"/>
      <c r="P233" s="28"/>
      <c r="Q233" s="28"/>
      <c r="R233" s="28"/>
      <c r="S233" s="28"/>
      <c r="T233" s="28"/>
      <c r="U233" s="28"/>
      <c r="V233" s="35"/>
      <c r="W233" s="32"/>
    </row>
    <row r="234" spans="1:23" ht="15.75" customHeight="1" x14ac:dyDescent="0.3">
      <c r="A234" s="3"/>
      <c r="B234" s="3"/>
      <c r="C234" s="28"/>
      <c r="D234" s="28"/>
      <c r="E234" s="28"/>
      <c r="F234" s="28"/>
      <c r="G234" s="28"/>
      <c r="H234" s="28"/>
      <c r="I234" s="28"/>
      <c r="J234" s="28"/>
      <c r="K234" s="28"/>
      <c r="L234" s="28"/>
      <c r="M234" s="28"/>
      <c r="N234" s="28"/>
      <c r="O234" s="28"/>
      <c r="P234" s="28"/>
      <c r="Q234" s="28"/>
      <c r="R234" s="28"/>
      <c r="S234" s="28"/>
      <c r="T234" s="28"/>
      <c r="U234" s="28"/>
      <c r="V234" s="35"/>
      <c r="W234" s="32"/>
    </row>
    <row r="235" spans="1:23" ht="15.75" customHeight="1" x14ac:dyDescent="0.3">
      <c r="A235" s="3"/>
      <c r="B235" s="3"/>
      <c r="C235" s="28"/>
      <c r="D235" s="28"/>
      <c r="E235" s="28"/>
      <c r="F235" s="28"/>
      <c r="G235" s="28"/>
      <c r="H235" s="28"/>
      <c r="I235" s="28"/>
      <c r="J235" s="28"/>
      <c r="K235" s="28"/>
      <c r="L235" s="28"/>
      <c r="M235" s="28"/>
      <c r="N235" s="28"/>
      <c r="O235" s="28"/>
      <c r="P235" s="28"/>
      <c r="Q235" s="28"/>
      <c r="R235" s="28"/>
      <c r="S235" s="28"/>
      <c r="T235" s="28"/>
      <c r="U235" s="28"/>
      <c r="V235" s="35"/>
      <c r="W235" s="32"/>
    </row>
    <row r="236" spans="1:23" ht="15.75" customHeight="1" x14ac:dyDescent="0.3">
      <c r="A236" s="3"/>
      <c r="B236" s="3"/>
      <c r="C236" s="28"/>
      <c r="D236" s="28"/>
      <c r="E236" s="28"/>
      <c r="F236" s="28"/>
      <c r="G236" s="28"/>
      <c r="H236" s="28"/>
      <c r="I236" s="28"/>
      <c r="J236" s="28"/>
      <c r="K236" s="28"/>
      <c r="L236" s="28"/>
      <c r="M236" s="28"/>
      <c r="N236" s="28"/>
      <c r="O236" s="28"/>
      <c r="P236" s="28"/>
      <c r="Q236" s="28"/>
      <c r="R236" s="28"/>
      <c r="S236" s="28"/>
      <c r="T236" s="28"/>
      <c r="U236" s="28"/>
      <c r="V236" s="35"/>
      <c r="W236" s="32"/>
    </row>
    <row r="237" spans="1:23" ht="15.75" customHeight="1" x14ac:dyDescent="0.3">
      <c r="A237" s="3"/>
      <c r="B237" s="3"/>
      <c r="C237" s="28"/>
      <c r="D237" s="28"/>
      <c r="E237" s="28"/>
      <c r="F237" s="28"/>
      <c r="G237" s="28"/>
      <c r="H237" s="28"/>
      <c r="I237" s="28"/>
      <c r="J237" s="28"/>
      <c r="K237" s="28"/>
      <c r="L237" s="28"/>
      <c r="M237" s="28"/>
      <c r="N237" s="28"/>
      <c r="O237" s="28"/>
      <c r="P237" s="28"/>
      <c r="Q237" s="28"/>
      <c r="R237" s="28"/>
      <c r="S237" s="28"/>
      <c r="T237" s="28"/>
      <c r="U237" s="28"/>
      <c r="V237" s="35"/>
      <c r="W237" s="32"/>
    </row>
    <row r="238" spans="1:23" ht="15.75" customHeight="1" x14ac:dyDescent="0.3">
      <c r="A238" s="3"/>
      <c r="B238" s="3"/>
      <c r="C238" s="28"/>
      <c r="D238" s="28"/>
      <c r="E238" s="28"/>
      <c r="F238" s="28"/>
      <c r="G238" s="28"/>
      <c r="H238" s="28"/>
      <c r="I238" s="28"/>
      <c r="J238" s="28"/>
      <c r="K238" s="28"/>
      <c r="L238" s="28"/>
      <c r="M238" s="28"/>
      <c r="N238" s="28"/>
      <c r="O238" s="28"/>
      <c r="P238" s="28"/>
      <c r="Q238" s="28"/>
      <c r="R238" s="28"/>
      <c r="S238" s="28"/>
      <c r="T238" s="28"/>
      <c r="U238" s="28"/>
      <c r="V238" s="35"/>
      <c r="W238" s="32"/>
    </row>
    <row r="239" spans="1:23" ht="15.75" customHeight="1" x14ac:dyDescent="0.3">
      <c r="A239" s="3"/>
      <c r="B239" s="3"/>
      <c r="C239" s="28"/>
      <c r="D239" s="28"/>
      <c r="E239" s="28"/>
      <c r="F239" s="28"/>
      <c r="G239" s="28"/>
      <c r="H239" s="28"/>
      <c r="I239" s="28"/>
      <c r="J239" s="28"/>
      <c r="K239" s="28"/>
      <c r="L239" s="28"/>
      <c r="M239" s="28"/>
      <c r="N239" s="28"/>
      <c r="O239" s="28"/>
      <c r="P239" s="28"/>
      <c r="Q239" s="28"/>
      <c r="R239" s="28"/>
      <c r="S239" s="28"/>
      <c r="T239" s="28"/>
      <c r="U239" s="28"/>
      <c r="V239" s="35"/>
      <c r="W239" s="32"/>
    </row>
    <row r="240" spans="1:23" ht="15.75" customHeight="1" x14ac:dyDescent="0.3">
      <c r="A240" s="3"/>
      <c r="B240" s="3"/>
      <c r="C240" s="28"/>
      <c r="D240" s="28"/>
      <c r="E240" s="28"/>
      <c r="F240" s="28"/>
      <c r="G240" s="28"/>
      <c r="H240" s="28"/>
      <c r="I240" s="28"/>
      <c r="J240" s="28"/>
      <c r="K240" s="28"/>
      <c r="L240" s="28"/>
      <c r="M240" s="28"/>
      <c r="N240" s="28"/>
      <c r="O240" s="28"/>
      <c r="P240" s="28"/>
      <c r="Q240" s="28"/>
      <c r="R240" s="28"/>
      <c r="S240" s="28"/>
      <c r="T240" s="28"/>
      <c r="U240" s="28"/>
      <c r="V240" s="35"/>
      <c r="W240" s="32"/>
    </row>
    <row r="241" spans="1:23" ht="15.75" customHeight="1" x14ac:dyDescent="0.3">
      <c r="A241" s="3"/>
      <c r="B241" s="3"/>
      <c r="C241" s="28"/>
      <c r="D241" s="28"/>
      <c r="E241" s="28"/>
      <c r="F241" s="28"/>
      <c r="G241" s="28"/>
      <c r="H241" s="28"/>
      <c r="I241" s="28"/>
      <c r="J241" s="28"/>
      <c r="K241" s="28"/>
      <c r="L241" s="28"/>
      <c r="M241" s="28"/>
      <c r="N241" s="28"/>
      <c r="O241" s="28"/>
      <c r="P241" s="28"/>
      <c r="Q241" s="28"/>
      <c r="R241" s="28"/>
      <c r="S241" s="28"/>
      <c r="T241" s="28"/>
      <c r="U241" s="28"/>
      <c r="V241" s="35"/>
      <c r="W241" s="32"/>
    </row>
    <row r="242" spans="1:23" ht="15.75" customHeight="1" x14ac:dyDescent="0.3">
      <c r="A242" s="3"/>
      <c r="B242" s="3"/>
      <c r="C242" s="28"/>
      <c r="D242" s="28"/>
      <c r="E242" s="28"/>
      <c r="F242" s="28"/>
      <c r="G242" s="28"/>
      <c r="H242" s="28"/>
      <c r="I242" s="28"/>
      <c r="J242" s="28"/>
      <c r="K242" s="28"/>
      <c r="L242" s="28"/>
      <c r="M242" s="28"/>
      <c r="N242" s="28"/>
      <c r="O242" s="28"/>
      <c r="P242" s="28"/>
      <c r="Q242" s="28"/>
      <c r="R242" s="28"/>
      <c r="S242" s="28"/>
      <c r="T242" s="28"/>
      <c r="U242" s="28"/>
      <c r="V242" s="35"/>
      <c r="W242" s="32"/>
    </row>
    <row r="243" spans="1:23" ht="15.75" customHeight="1" x14ac:dyDescent="0.3">
      <c r="A243" s="3"/>
      <c r="B243" s="3"/>
      <c r="C243" s="28"/>
      <c r="D243" s="28"/>
      <c r="E243" s="28"/>
      <c r="F243" s="28"/>
      <c r="G243" s="28"/>
      <c r="H243" s="28"/>
      <c r="I243" s="28"/>
      <c r="J243" s="28"/>
      <c r="K243" s="28"/>
      <c r="L243" s="28"/>
      <c r="M243" s="28"/>
      <c r="N243" s="28"/>
      <c r="O243" s="28"/>
      <c r="P243" s="28"/>
      <c r="Q243" s="28"/>
      <c r="R243" s="28"/>
      <c r="S243" s="28"/>
      <c r="T243" s="28"/>
      <c r="U243" s="28"/>
      <c r="V243" s="35"/>
      <c r="W243" s="32"/>
    </row>
    <row r="244" spans="1:23" ht="15.75" customHeight="1" x14ac:dyDescent="0.3">
      <c r="A244" s="3"/>
      <c r="B244" s="3"/>
      <c r="C244" s="28"/>
      <c r="D244" s="28"/>
      <c r="E244" s="28"/>
      <c r="F244" s="28"/>
      <c r="G244" s="28"/>
      <c r="H244" s="28"/>
      <c r="I244" s="28"/>
      <c r="J244" s="28"/>
      <c r="K244" s="28"/>
      <c r="L244" s="28"/>
      <c r="M244" s="28"/>
      <c r="N244" s="28"/>
      <c r="O244" s="28"/>
      <c r="P244" s="28"/>
      <c r="Q244" s="28"/>
      <c r="R244" s="28"/>
      <c r="S244" s="28"/>
      <c r="T244" s="28"/>
      <c r="U244" s="28"/>
      <c r="V244" s="35"/>
      <c r="W244" s="32"/>
    </row>
    <row r="245" spans="1:23" ht="15.75" customHeight="1" x14ac:dyDescent="0.3">
      <c r="A245" s="3"/>
      <c r="B245" s="3"/>
      <c r="C245" s="28"/>
      <c r="D245" s="28"/>
      <c r="E245" s="28"/>
      <c r="F245" s="28"/>
      <c r="G245" s="28"/>
      <c r="H245" s="28"/>
      <c r="I245" s="28"/>
      <c r="J245" s="28"/>
      <c r="K245" s="28"/>
      <c r="L245" s="28"/>
      <c r="M245" s="28"/>
      <c r="N245" s="28"/>
      <c r="O245" s="28"/>
      <c r="P245" s="28"/>
      <c r="Q245" s="28"/>
      <c r="R245" s="28"/>
      <c r="S245" s="28"/>
      <c r="T245" s="28"/>
      <c r="U245" s="28"/>
      <c r="V245" s="35"/>
      <c r="W245" s="32"/>
    </row>
    <row r="246" spans="1:23" ht="15.75" customHeight="1" x14ac:dyDescent="0.3">
      <c r="A246" s="3"/>
      <c r="B246" s="3"/>
      <c r="C246" s="28"/>
      <c r="D246" s="28"/>
      <c r="E246" s="28"/>
      <c r="F246" s="28"/>
      <c r="G246" s="28"/>
      <c r="H246" s="28"/>
      <c r="I246" s="28"/>
      <c r="J246" s="28"/>
      <c r="K246" s="28"/>
      <c r="L246" s="28"/>
      <c r="M246" s="28"/>
      <c r="N246" s="28"/>
      <c r="O246" s="28"/>
      <c r="P246" s="28"/>
      <c r="Q246" s="28"/>
      <c r="R246" s="28"/>
      <c r="S246" s="28"/>
      <c r="T246" s="28"/>
      <c r="U246" s="28"/>
      <c r="V246" s="35"/>
      <c r="W246" s="32"/>
    </row>
    <row r="247" spans="1:23" ht="15.75" customHeight="1" x14ac:dyDescent="0.3">
      <c r="A247" s="3"/>
      <c r="B247" s="3"/>
      <c r="C247" s="28"/>
      <c r="D247" s="28"/>
      <c r="E247" s="28"/>
      <c r="F247" s="28"/>
      <c r="G247" s="28"/>
      <c r="H247" s="28"/>
      <c r="I247" s="28"/>
      <c r="J247" s="28"/>
      <c r="K247" s="28"/>
      <c r="L247" s="28"/>
      <c r="M247" s="28"/>
      <c r="N247" s="28"/>
      <c r="O247" s="28"/>
      <c r="P247" s="28"/>
      <c r="Q247" s="28"/>
      <c r="R247" s="28"/>
      <c r="S247" s="28"/>
      <c r="T247" s="28"/>
      <c r="U247" s="28"/>
      <c r="V247" s="35"/>
      <c r="W247" s="32"/>
    </row>
    <row r="248" spans="1:23" ht="15.75" customHeight="1" x14ac:dyDescent="0.3">
      <c r="A248" s="3"/>
      <c r="B248" s="3"/>
      <c r="C248" s="28"/>
      <c r="D248" s="28"/>
      <c r="E248" s="28"/>
      <c r="F248" s="28"/>
      <c r="G248" s="28"/>
      <c r="H248" s="28"/>
      <c r="I248" s="28"/>
      <c r="J248" s="28"/>
      <c r="K248" s="28"/>
      <c r="L248" s="28"/>
      <c r="M248" s="28"/>
      <c r="N248" s="28"/>
      <c r="O248" s="28"/>
      <c r="P248" s="28"/>
      <c r="Q248" s="28"/>
      <c r="R248" s="28"/>
      <c r="S248" s="28"/>
      <c r="T248" s="28"/>
      <c r="U248" s="28"/>
      <c r="V248" s="35"/>
      <c r="W248" s="32"/>
    </row>
    <row r="249" spans="1:23" ht="15.75" customHeight="1" x14ac:dyDescent="0.3">
      <c r="A249" s="3"/>
      <c r="B249" s="3"/>
      <c r="C249" s="28"/>
      <c r="D249" s="28"/>
      <c r="E249" s="28"/>
      <c r="F249" s="28"/>
      <c r="G249" s="28"/>
      <c r="H249" s="28"/>
      <c r="I249" s="28"/>
      <c r="J249" s="28"/>
      <c r="K249" s="28"/>
      <c r="L249" s="28"/>
      <c r="M249" s="28"/>
      <c r="N249" s="28"/>
      <c r="O249" s="28"/>
      <c r="P249" s="28"/>
      <c r="Q249" s="28"/>
      <c r="R249" s="28"/>
      <c r="S249" s="28"/>
      <c r="T249" s="28"/>
      <c r="U249" s="28"/>
      <c r="V249" s="35"/>
      <c r="W249" s="32"/>
    </row>
    <row r="250" spans="1:23" ht="15.75" customHeight="1" x14ac:dyDescent="0.3">
      <c r="A250" s="3"/>
      <c r="B250" s="3"/>
      <c r="C250" s="28"/>
      <c r="D250" s="28"/>
      <c r="E250" s="28"/>
      <c r="F250" s="28"/>
      <c r="G250" s="28"/>
      <c r="H250" s="28"/>
      <c r="I250" s="28"/>
      <c r="J250" s="28"/>
      <c r="K250" s="28"/>
      <c r="L250" s="28"/>
      <c r="M250" s="28"/>
      <c r="N250" s="28"/>
      <c r="O250" s="28"/>
      <c r="P250" s="28"/>
      <c r="Q250" s="28"/>
      <c r="R250" s="28"/>
      <c r="S250" s="28"/>
      <c r="T250" s="28"/>
      <c r="U250" s="28"/>
      <c r="V250" s="35"/>
      <c r="W250" s="32"/>
    </row>
    <row r="251" spans="1:23" ht="15.75" customHeight="1" x14ac:dyDescent="0.3">
      <c r="A251" s="3"/>
      <c r="B251" s="3"/>
      <c r="C251" s="28"/>
      <c r="D251" s="28"/>
      <c r="E251" s="28"/>
      <c r="F251" s="28"/>
      <c r="G251" s="28"/>
      <c r="H251" s="28"/>
      <c r="I251" s="28"/>
      <c r="J251" s="28"/>
      <c r="K251" s="28"/>
      <c r="L251" s="28"/>
      <c r="M251" s="28"/>
      <c r="N251" s="28"/>
      <c r="O251" s="28"/>
      <c r="P251" s="28"/>
      <c r="Q251" s="28"/>
      <c r="R251" s="28"/>
      <c r="S251" s="28"/>
      <c r="T251" s="28"/>
      <c r="U251" s="28"/>
      <c r="V251" s="35"/>
      <c r="W251" s="32"/>
    </row>
    <row r="252" spans="1:23" ht="15.75" customHeight="1" x14ac:dyDescent="0.3">
      <c r="A252" s="3"/>
      <c r="B252" s="3"/>
      <c r="C252" s="28"/>
      <c r="D252" s="28"/>
      <c r="E252" s="28"/>
      <c r="F252" s="28"/>
      <c r="G252" s="28"/>
      <c r="H252" s="28"/>
      <c r="I252" s="28"/>
      <c r="J252" s="28"/>
      <c r="K252" s="28"/>
      <c r="L252" s="28"/>
      <c r="M252" s="28"/>
      <c r="N252" s="28"/>
      <c r="O252" s="28"/>
      <c r="P252" s="28"/>
      <c r="Q252" s="28"/>
      <c r="R252" s="28"/>
      <c r="S252" s="28"/>
      <c r="T252" s="28"/>
      <c r="U252" s="28"/>
      <c r="V252" s="35"/>
      <c r="W252" s="32"/>
    </row>
    <row r="253" spans="1:23" ht="15.75" customHeight="1" x14ac:dyDescent="0.3">
      <c r="A253" s="3"/>
      <c r="B253" s="3"/>
      <c r="C253" s="28"/>
      <c r="D253" s="28"/>
      <c r="E253" s="28"/>
      <c r="F253" s="28"/>
      <c r="G253" s="28"/>
      <c r="H253" s="28"/>
      <c r="I253" s="28"/>
      <c r="J253" s="28"/>
      <c r="K253" s="28"/>
      <c r="L253" s="28"/>
      <c r="M253" s="28"/>
      <c r="N253" s="28"/>
      <c r="O253" s="28"/>
      <c r="P253" s="28"/>
      <c r="Q253" s="28"/>
      <c r="R253" s="28"/>
      <c r="S253" s="28"/>
      <c r="T253" s="28"/>
      <c r="U253" s="28"/>
      <c r="V253" s="35"/>
      <c r="W253" s="32"/>
    </row>
    <row r="254" spans="1:23" ht="15.75" customHeight="1" x14ac:dyDescent="0.3">
      <c r="A254" s="3"/>
      <c r="B254" s="3"/>
      <c r="C254" s="28"/>
      <c r="D254" s="28"/>
      <c r="E254" s="28"/>
      <c r="F254" s="28"/>
      <c r="G254" s="28"/>
      <c r="H254" s="28"/>
      <c r="I254" s="28"/>
      <c r="J254" s="28"/>
      <c r="K254" s="28"/>
      <c r="L254" s="28"/>
      <c r="M254" s="28"/>
      <c r="N254" s="28"/>
      <c r="O254" s="28"/>
      <c r="P254" s="28"/>
      <c r="Q254" s="28"/>
      <c r="R254" s="28"/>
      <c r="S254" s="28"/>
      <c r="T254" s="28"/>
      <c r="U254" s="28"/>
      <c r="V254" s="35"/>
      <c r="W254" s="32"/>
    </row>
    <row r="255" spans="1:23" ht="15.75" customHeight="1" x14ac:dyDescent="0.3">
      <c r="A255" s="3"/>
      <c r="B255" s="3"/>
      <c r="C255" s="28"/>
      <c r="D255" s="28"/>
      <c r="E255" s="28"/>
      <c r="F255" s="28"/>
      <c r="G255" s="28"/>
      <c r="H255" s="28"/>
      <c r="I255" s="28"/>
      <c r="J255" s="28"/>
      <c r="K255" s="28"/>
      <c r="L255" s="28"/>
      <c r="M255" s="28"/>
      <c r="N255" s="28"/>
      <c r="O255" s="28"/>
      <c r="P255" s="28"/>
      <c r="Q255" s="28"/>
      <c r="R255" s="28"/>
      <c r="S255" s="28"/>
      <c r="T255" s="28"/>
      <c r="U255" s="28"/>
      <c r="V255" s="35"/>
      <c r="W255" s="32"/>
    </row>
    <row r="256" spans="1:23" ht="15.75" customHeight="1" x14ac:dyDescent="0.3">
      <c r="A256" s="3"/>
      <c r="B256" s="3"/>
      <c r="C256" s="28"/>
      <c r="D256" s="28"/>
      <c r="E256" s="28"/>
      <c r="F256" s="28"/>
      <c r="G256" s="28"/>
      <c r="H256" s="28"/>
      <c r="I256" s="28"/>
      <c r="J256" s="28"/>
      <c r="K256" s="28"/>
      <c r="L256" s="28"/>
      <c r="M256" s="28"/>
      <c r="N256" s="28"/>
      <c r="O256" s="28"/>
      <c r="P256" s="28"/>
      <c r="Q256" s="28"/>
      <c r="R256" s="28"/>
      <c r="S256" s="28"/>
      <c r="T256" s="28"/>
      <c r="U256" s="28"/>
      <c r="V256" s="35"/>
      <c r="W256" s="32"/>
    </row>
    <row r="257" spans="1:23" ht="15.75" customHeight="1" x14ac:dyDescent="0.3">
      <c r="A257" s="3"/>
      <c r="B257" s="3"/>
      <c r="C257" s="28"/>
      <c r="D257" s="28"/>
      <c r="E257" s="28"/>
      <c r="F257" s="28"/>
      <c r="G257" s="28"/>
      <c r="H257" s="28"/>
      <c r="I257" s="28"/>
      <c r="J257" s="28"/>
      <c r="K257" s="28"/>
      <c r="L257" s="28"/>
      <c r="M257" s="28"/>
      <c r="N257" s="28"/>
      <c r="O257" s="28"/>
      <c r="P257" s="28"/>
      <c r="Q257" s="28"/>
      <c r="R257" s="28"/>
      <c r="S257" s="28"/>
      <c r="T257" s="28"/>
      <c r="U257" s="28"/>
      <c r="V257" s="35"/>
      <c r="W257" s="32"/>
    </row>
    <row r="258" spans="1:23" ht="15.75" customHeight="1" x14ac:dyDescent="0.3">
      <c r="A258" s="3"/>
      <c r="B258" s="3"/>
      <c r="C258" s="28"/>
      <c r="D258" s="28"/>
      <c r="E258" s="28"/>
      <c r="F258" s="28"/>
      <c r="G258" s="28"/>
      <c r="H258" s="28"/>
      <c r="I258" s="28"/>
      <c r="J258" s="28"/>
      <c r="K258" s="28"/>
      <c r="L258" s="28"/>
      <c r="M258" s="28"/>
      <c r="N258" s="28"/>
      <c r="O258" s="28"/>
      <c r="P258" s="28"/>
      <c r="Q258" s="28"/>
      <c r="R258" s="28"/>
      <c r="S258" s="28"/>
      <c r="T258" s="28"/>
      <c r="U258" s="28"/>
      <c r="V258" s="35"/>
      <c r="W258" s="32"/>
    </row>
    <row r="259" spans="1:23" ht="15.75" customHeight="1" x14ac:dyDescent="0.3">
      <c r="A259" s="3"/>
      <c r="B259" s="3"/>
      <c r="C259" s="28"/>
      <c r="D259" s="28"/>
      <c r="E259" s="28"/>
      <c r="F259" s="28"/>
      <c r="G259" s="28"/>
      <c r="H259" s="28"/>
      <c r="I259" s="28"/>
      <c r="J259" s="28"/>
      <c r="K259" s="28"/>
      <c r="L259" s="28"/>
      <c r="M259" s="28"/>
      <c r="N259" s="28"/>
      <c r="O259" s="28"/>
      <c r="P259" s="28"/>
      <c r="Q259" s="28"/>
      <c r="R259" s="28"/>
      <c r="S259" s="28"/>
      <c r="T259" s="28"/>
      <c r="U259" s="28"/>
      <c r="V259" s="35"/>
      <c r="W259" s="32"/>
    </row>
    <row r="260" spans="1:23" ht="15.75" customHeight="1" x14ac:dyDescent="0.3">
      <c r="A260" s="3"/>
      <c r="B260" s="3"/>
      <c r="C260" s="28"/>
      <c r="D260" s="28"/>
      <c r="E260" s="28"/>
      <c r="F260" s="28"/>
      <c r="G260" s="28"/>
      <c r="H260" s="28"/>
      <c r="I260" s="28"/>
      <c r="J260" s="28"/>
      <c r="K260" s="28"/>
      <c r="L260" s="28"/>
      <c r="M260" s="28"/>
      <c r="N260" s="28"/>
      <c r="O260" s="28"/>
      <c r="P260" s="28"/>
      <c r="Q260" s="28"/>
      <c r="R260" s="28"/>
      <c r="S260" s="28"/>
      <c r="T260" s="28"/>
      <c r="U260" s="28"/>
      <c r="V260" s="35"/>
      <c r="W260" s="32"/>
    </row>
    <row r="261" spans="1:23" ht="15.75" customHeight="1" x14ac:dyDescent="0.3">
      <c r="A261" s="3"/>
      <c r="B261" s="3"/>
      <c r="C261" s="28"/>
      <c r="D261" s="28"/>
      <c r="E261" s="28"/>
      <c r="F261" s="28"/>
      <c r="G261" s="28"/>
      <c r="H261" s="28"/>
      <c r="I261" s="28"/>
      <c r="J261" s="28"/>
      <c r="K261" s="28"/>
      <c r="L261" s="28"/>
      <c r="M261" s="28"/>
      <c r="N261" s="28"/>
      <c r="O261" s="28"/>
      <c r="P261" s="28"/>
      <c r="Q261" s="28"/>
      <c r="R261" s="28"/>
      <c r="S261" s="28"/>
      <c r="T261" s="28"/>
      <c r="U261" s="28"/>
      <c r="V261" s="35"/>
      <c r="W261" s="32"/>
    </row>
    <row r="262" spans="1:23" ht="15.75" customHeight="1" x14ac:dyDescent="0.3">
      <c r="A262" s="3"/>
      <c r="B262" s="3"/>
      <c r="C262" s="28"/>
      <c r="D262" s="28"/>
      <c r="E262" s="28"/>
      <c r="F262" s="28"/>
      <c r="G262" s="28"/>
      <c r="H262" s="28"/>
      <c r="I262" s="28"/>
      <c r="J262" s="28"/>
      <c r="K262" s="28"/>
      <c r="L262" s="28"/>
      <c r="M262" s="28"/>
      <c r="N262" s="28"/>
      <c r="O262" s="28"/>
      <c r="P262" s="28"/>
      <c r="Q262" s="28"/>
      <c r="R262" s="28"/>
      <c r="S262" s="28"/>
      <c r="T262" s="28"/>
      <c r="U262" s="28"/>
      <c r="V262" s="35"/>
      <c r="W262" s="32"/>
    </row>
    <row r="263" spans="1:23" ht="15.75" customHeight="1" x14ac:dyDescent="0.3">
      <c r="A263" s="3"/>
      <c r="B263" s="3"/>
      <c r="C263" s="28"/>
      <c r="D263" s="28"/>
      <c r="E263" s="28"/>
      <c r="F263" s="28"/>
      <c r="G263" s="28"/>
      <c r="H263" s="28"/>
      <c r="I263" s="28"/>
      <c r="J263" s="28"/>
      <c r="K263" s="28"/>
      <c r="L263" s="28"/>
      <c r="M263" s="28"/>
      <c r="N263" s="28"/>
      <c r="O263" s="28"/>
      <c r="P263" s="28"/>
      <c r="Q263" s="28"/>
      <c r="R263" s="28"/>
      <c r="S263" s="28"/>
      <c r="T263" s="28"/>
      <c r="U263" s="28"/>
      <c r="V263" s="35"/>
      <c r="W263" s="32"/>
    </row>
    <row r="264" spans="1:23" ht="15.75" customHeight="1" x14ac:dyDescent="0.3">
      <c r="A264" s="3"/>
      <c r="B264" s="3"/>
      <c r="C264" s="28"/>
      <c r="D264" s="28"/>
      <c r="E264" s="28"/>
      <c r="F264" s="28"/>
      <c r="G264" s="28"/>
      <c r="H264" s="28"/>
      <c r="I264" s="28"/>
      <c r="J264" s="28"/>
      <c r="K264" s="28"/>
      <c r="L264" s="28"/>
      <c r="M264" s="28"/>
      <c r="N264" s="28"/>
      <c r="O264" s="28"/>
      <c r="P264" s="28"/>
      <c r="Q264" s="28"/>
      <c r="R264" s="28"/>
      <c r="S264" s="28"/>
      <c r="T264" s="28"/>
      <c r="U264" s="28"/>
      <c r="V264" s="35"/>
      <c r="W264" s="32"/>
    </row>
    <row r="265" spans="1:23" ht="15.75" customHeight="1" x14ac:dyDescent="0.3">
      <c r="A265" s="3"/>
      <c r="B265" s="3"/>
      <c r="C265" s="28"/>
      <c r="D265" s="28"/>
      <c r="E265" s="28"/>
      <c r="F265" s="28"/>
      <c r="G265" s="28"/>
      <c r="H265" s="28"/>
      <c r="I265" s="28"/>
      <c r="J265" s="28"/>
      <c r="K265" s="28"/>
      <c r="L265" s="28"/>
      <c r="M265" s="28"/>
      <c r="N265" s="28"/>
      <c r="O265" s="28"/>
      <c r="P265" s="28"/>
      <c r="Q265" s="28"/>
      <c r="R265" s="28"/>
      <c r="S265" s="28"/>
      <c r="T265" s="28"/>
      <c r="U265" s="28"/>
      <c r="V265" s="35"/>
      <c r="W265" s="32"/>
    </row>
    <row r="266" spans="1:23" ht="15.75" customHeight="1" x14ac:dyDescent="0.3">
      <c r="A266" s="3"/>
      <c r="B266" s="3"/>
      <c r="C266" s="28"/>
      <c r="D266" s="28"/>
      <c r="E266" s="28"/>
      <c r="F266" s="28"/>
      <c r="G266" s="28"/>
      <c r="H266" s="28"/>
      <c r="I266" s="28"/>
      <c r="J266" s="28"/>
      <c r="K266" s="28"/>
      <c r="L266" s="28"/>
      <c r="M266" s="28"/>
      <c r="N266" s="28"/>
      <c r="O266" s="28"/>
      <c r="P266" s="28"/>
      <c r="Q266" s="28"/>
      <c r="R266" s="28"/>
      <c r="S266" s="28"/>
      <c r="T266" s="28"/>
      <c r="U266" s="28"/>
      <c r="V266" s="35"/>
      <c r="W266" s="32"/>
    </row>
    <row r="267" spans="1:23" ht="15.75" customHeight="1" x14ac:dyDescent="0.3">
      <c r="A267" s="3"/>
      <c r="B267" s="3"/>
      <c r="C267" s="28"/>
      <c r="D267" s="28"/>
      <c r="E267" s="28"/>
      <c r="F267" s="28"/>
      <c r="G267" s="28"/>
      <c r="H267" s="28"/>
      <c r="I267" s="28"/>
      <c r="J267" s="28"/>
      <c r="K267" s="28"/>
      <c r="L267" s="28"/>
      <c r="M267" s="28"/>
      <c r="N267" s="28"/>
      <c r="O267" s="28"/>
      <c r="P267" s="28"/>
      <c r="Q267" s="28"/>
      <c r="R267" s="28"/>
      <c r="S267" s="28"/>
      <c r="T267" s="28"/>
      <c r="U267" s="28"/>
      <c r="V267" s="35"/>
      <c r="W267" s="32"/>
    </row>
    <row r="268" spans="1:23" ht="15.75" customHeight="1" x14ac:dyDescent="0.3">
      <c r="A268" s="3"/>
      <c r="B268" s="3"/>
      <c r="C268" s="28"/>
      <c r="D268" s="28"/>
      <c r="E268" s="28"/>
      <c r="F268" s="28"/>
      <c r="G268" s="28"/>
      <c r="H268" s="28"/>
      <c r="I268" s="28"/>
      <c r="J268" s="28"/>
      <c r="K268" s="28"/>
      <c r="L268" s="28"/>
      <c r="M268" s="28"/>
      <c r="N268" s="28"/>
      <c r="O268" s="28"/>
      <c r="P268" s="28"/>
      <c r="Q268" s="28"/>
      <c r="R268" s="28"/>
      <c r="S268" s="28"/>
      <c r="T268" s="28"/>
      <c r="U268" s="28"/>
      <c r="V268" s="35"/>
      <c r="W268" s="32"/>
    </row>
    <row r="269" spans="1:23" ht="15.75" customHeight="1" x14ac:dyDescent="0.3">
      <c r="A269" s="3"/>
      <c r="B269" s="3"/>
      <c r="C269" s="28"/>
      <c r="D269" s="28"/>
      <c r="E269" s="28"/>
      <c r="F269" s="28"/>
      <c r="G269" s="28"/>
      <c r="H269" s="28"/>
      <c r="I269" s="28"/>
      <c r="J269" s="28"/>
      <c r="K269" s="28"/>
      <c r="L269" s="28"/>
      <c r="M269" s="28"/>
      <c r="N269" s="28"/>
      <c r="O269" s="28"/>
      <c r="P269" s="28"/>
      <c r="Q269" s="28"/>
      <c r="R269" s="28"/>
      <c r="S269" s="28"/>
      <c r="T269" s="28"/>
      <c r="U269" s="28"/>
      <c r="V269" s="35"/>
      <c r="W269" s="32"/>
    </row>
    <row r="270" spans="1:23" ht="15.75" customHeight="1" x14ac:dyDescent="0.3">
      <c r="A270" s="3"/>
      <c r="B270" s="3"/>
      <c r="C270" s="28"/>
      <c r="D270" s="28"/>
      <c r="E270" s="28"/>
      <c r="F270" s="28"/>
      <c r="G270" s="28"/>
      <c r="H270" s="28"/>
      <c r="I270" s="28"/>
      <c r="J270" s="28"/>
      <c r="K270" s="28"/>
      <c r="L270" s="28"/>
      <c r="M270" s="28"/>
      <c r="N270" s="28"/>
      <c r="O270" s="28"/>
      <c r="P270" s="28"/>
      <c r="Q270" s="28"/>
      <c r="R270" s="28"/>
      <c r="S270" s="28"/>
      <c r="T270" s="28"/>
      <c r="U270" s="28"/>
      <c r="V270" s="35"/>
      <c r="W270" s="32"/>
    </row>
    <row r="271" spans="1:23" ht="15.75" customHeight="1" x14ac:dyDescent="0.3">
      <c r="A271" s="3"/>
      <c r="B271" s="3"/>
      <c r="C271" s="28"/>
      <c r="D271" s="28"/>
      <c r="E271" s="28"/>
      <c r="F271" s="28"/>
      <c r="G271" s="28"/>
      <c r="H271" s="28"/>
      <c r="I271" s="28"/>
      <c r="J271" s="28"/>
      <c r="K271" s="28"/>
      <c r="L271" s="28"/>
      <c r="M271" s="28"/>
      <c r="N271" s="28"/>
      <c r="O271" s="28"/>
      <c r="P271" s="28"/>
      <c r="Q271" s="28"/>
      <c r="R271" s="28"/>
      <c r="S271" s="28"/>
      <c r="T271" s="28"/>
      <c r="U271" s="28"/>
      <c r="V271" s="35"/>
      <c r="W271" s="32"/>
    </row>
    <row r="272" spans="1:23" ht="15.75" customHeight="1" x14ac:dyDescent="0.3">
      <c r="A272" s="3"/>
      <c r="B272" s="3"/>
      <c r="C272" s="28"/>
      <c r="D272" s="28"/>
      <c r="E272" s="28"/>
      <c r="F272" s="28"/>
      <c r="G272" s="28"/>
      <c r="H272" s="28"/>
      <c r="I272" s="28"/>
      <c r="J272" s="28"/>
      <c r="K272" s="28"/>
      <c r="L272" s="28"/>
      <c r="M272" s="28"/>
      <c r="N272" s="28"/>
      <c r="O272" s="28"/>
      <c r="P272" s="28"/>
      <c r="Q272" s="28"/>
      <c r="R272" s="28"/>
      <c r="S272" s="28"/>
      <c r="T272" s="28"/>
      <c r="U272" s="28"/>
      <c r="V272" s="35"/>
      <c r="W272" s="32"/>
    </row>
    <row r="273" spans="1:23" ht="15.75" customHeight="1" x14ac:dyDescent="0.3">
      <c r="A273" s="3"/>
      <c r="B273" s="3"/>
      <c r="C273" s="28"/>
      <c r="D273" s="28"/>
      <c r="E273" s="28"/>
      <c r="F273" s="28"/>
      <c r="G273" s="28"/>
      <c r="H273" s="28"/>
      <c r="I273" s="28"/>
      <c r="J273" s="28"/>
      <c r="K273" s="28"/>
      <c r="L273" s="28"/>
      <c r="M273" s="28"/>
      <c r="N273" s="28"/>
      <c r="O273" s="28"/>
      <c r="P273" s="28"/>
      <c r="Q273" s="28"/>
      <c r="R273" s="28"/>
      <c r="S273" s="28"/>
      <c r="T273" s="28"/>
      <c r="U273" s="28"/>
      <c r="V273" s="35"/>
      <c r="W273" s="32"/>
    </row>
    <row r="274" spans="1:23" ht="15.75" customHeight="1" x14ac:dyDescent="0.3">
      <c r="A274" s="3"/>
      <c r="B274" s="3"/>
      <c r="C274" s="28"/>
      <c r="D274" s="28"/>
      <c r="E274" s="28"/>
      <c r="F274" s="28"/>
      <c r="G274" s="28"/>
      <c r="H274" s="28"/>
      <c r="I274" s="28"/>
      <c r="J274" s="28"/>
      <c r="K274" s="28"/>
      <c r="L274" s="28"/>
      <c r="M274" s="28"/>
      <c r="N274" s="28"/>
      <c r="O274" s="28"/>
      <c r="P274" s="28"/>
      <c r="Q274" s="28"/>
      <c r="R274" s="28"/>
      <c r="S274" s="28"/>
      <c r="T274" s="28"/>
      <c r="U274" s="28"/>
      <c r="V274" s="35"/>
      <c r="W274" s="32"/>
    </row>
    <row r="275" spans="1:23" ht="15.75" customHeight="1" x14ac:dyDescent="0.3">
      <c r="A275" s="3"/>
      <c r="B275" s="3"/>
      <c r="C275" s="28"/>
      <c r="D275" s="28"/>
      <c r="E275" s="28"/>
      <c r="F275" s="28"/>
      <c r="G275" s="28"/>
      <c r="H275" s="28"/>
      <c r="I275" s="28"/>
      <c r="J275" s="28"/>
      <c r="K275" s="28"/>
      <c r="L275" s="28"/>
      <c r="M275" s="28"/>
      <c r="N275" s="28"/>
      <c r="O275" s="28"/>
      <c r="P275" s="28"/>
      <c r="Q275" s="28"/>
      <c r="R275" s="28"/>
      <c r="S275" s="28"/>
      <c r="T275" s="28"/>
      <c r="U275" s="28"/>
      <c r="V275" s="35"/>
      <c r="W275" s="32"/>
    </row>
    <row r="276" spans="1:23" ht="15.75" customHeight="1" x14ac:dyDescent="0.3">
      <c r="A276" s="3"/>
      <c r="B276" s="3"/>
      <c r="C276" s="28"/>
      <c r="D276" s="28"/>
      <c r="E276" s="28"/>
      <c r="F276" s="28"/>
      <c r="G276" s="28"/>
      <c r="H276" s="28"/>
      <c r="I276" s="28"/>
      <c r="J276" s="28"/>
      <c r="K276" s="28"/>
      <c r="L276" s="28"/>
      <c r="M276" s="28"/>
      <c r="N276" s="28"/>
      <c r="O276" s="28"/>
      <c r="P276" s="28"/>
      <c r="Q276" s="28"/>
      <c r="R276" s="28"/>
      <c r="S276" s="28"/>
      <c r="T276" s="28"/>
      <c r="U276" s="28"/>
      <c r="V276" s="35"/>
      <c r="W276" s="32"/>
    </row>
    <row r="277" spans="1:23" ht="15.75" customHeight="1" x14ac:dyDescent="0.3">
      <c r="A277" s="3"/>
      <c r="B277" s="3"/>
      <c r="C277" s="28"/>
      <c r="D277" s="28"/>
      <c r="E277" s="28"/>
      <c r="F277" s="28"/>
      <c r="G277" s="28"/>
      <c r="H277" s="28"/>
      <c r="I277" s="28"/>
      <c r="J277" s="28"/>
      <c r="K277" s="28"/>
      <c r="L277" s="28"/>
      <c r="M277" s="28"/>
      <c r="N277" s="28"/>
      <c r="O277" s="28"/>
      <c r="P277" s="28"/>
      <c r="Q277" s="28"/>
      <c r="R277" s="28"/>
      <c r="S277" s="28"/>
      <c r="T277" s="28"/>
      <c r="U277" s="28"/>
      <c r="V277" s="35"/>
      <c r="W277" s="32"/>
    </row>
    <row r="278" spans="1:23" ht="15.75" customHeight="1" x14ac:dyDescent="0.3">
      <c r="A278" s="3"/>
      <c r="B278" s="3"/>
      <c r="C278" s="28"/>
      <c r="D278" s="28"/>
      <c r="E278" s="28"/>
      <c r="F278" s="28"/>
      <c r="G278" s="28"/>
      <c r="H278" s="28"/>
      <c r="I278" s="28"/>
      <c r="J278" s="28"/>
      <c r="K278" s="28"/>
      <c r="L278" s="28"/>
      <c r="M278" s="28"/>
      <c r="N278" s="28"/>
      <c r="O278" s="28"/>
      <c r="P278" s="28"/>
      <c r="Q278" s="28"/>
      <c r="R278" s="28"/>
      <c r="S278" s="28"/>
      <c r="T278" s="28"/>
      <c r="U278" s="28"/>
      <c r="V278" s="35"/>
      <c r="W278" s="32"/>
    </row>
    <row r="279" spans="1:23" ht="15.75" customHeight="1" x14ac:dyDescent="0.3">
      <c r="A279" s="3"/>
      <c r="B279" s="3"/>
      <c r="C279" s="28"/>
      <c r="D279" s="28"/>
      <c r="E279" s="28"/>
      <c r="F279" s="28"/>
      <c r="G279" s="28"/>
      <c r="H279" s="28"/>
      <c r="I279" s="28"/>
      <c r="J279" s="28"/>
      <c r="K279" s="28"/>
      <c r="L279" s="28"/>
      <c r="M279" s="28"/>
      <c r="N279" s="28"/>
      <c r="O279" s="28"/>
      <c r="P279" s="28"/>
      <c r="Q279" s="28"/>
      <c r="R279" s="28"/>
      <c r="S279" s="28"/>
      <c r="T279" s="28"/>
      <c r="U279" s="28"/>
      <c r="V279" s="35"/>
      <c r="W279" s="32"/>
    </row>
    <row r="280" spans="1:23" ht="15.75" customHeight="1" x14ac:dyDescent="0.3">
      <c r="A280" s="3"/>
      <c r="B280" s="3"/>
      <c r="C280" s="28"/>
      <c r="D280" s="28"/>
      <c r="E280" s="28"/>
      <c r="F280" s="28"/>
      <c r="G280" s="28"/>
      <c r="H280" s="28"/>
      <c r="I280" s="28"/>
      <c r="J280" s="28"/>
      <c r="K280" s="28"/>
      <c r="L280" s="28"/>
      <c r="M280" s="28"/>
      <c r="N280" s="28"/>
      <c r="O280" s="28"/>
      <c r="P280" s="28"/>
      <c r="Q280" s="28"/>
      <c r="R280" s="28"/>
      <c r="S280" s="28"/>
      <c r="T280" s="28"/>
      <c r="U280" s="28"/>
      <c r="V280" s="35"/>
      <c r="W280" s="32"/>
    </row>
    <row r="281" spans="1:23" ht="15.75" customHeight="1" x14ac:dyDescent="0.3">
      <c r="A281" s="3"/>
      <c r="B281" s="3"/>
      <c r="C281" s="28"/>
      <c r="D281" s="28"/>
      <c r="E281" s="28"/>
      <c r="F281" s="28"/>
      <c r="G281" s="28"/>
      <c r="H281" s="28"/>
      <c r="I281" s="28"/>
      <c r="J281" s="28"/>
      <c r="K281" s="28"/>
      <c r="L281" s="28"/>
      <c r="M281" s="28"/>
      <c r="N281" s="28"/>
      <c r="O281" s="28"/>
      <c r="P281" s="28"/>
      <c r="Q281" s="28"/>
      <c r="R281" s="28"/>
      <c r="S281" s="28"/>
      <c r="T281" s="28"/>
      <c r="U281" s="28"/>
      <c r="V281" s="35"/>
      <c r="W281" s="32"/>
    </row>
    <row r="282" spans="1:23" ht="15.75" customHeight="1" x14ac:dyDescent="0.3">
      <c r="A282" s="3"/>
      <c r="B282" s="3"/>
      <c r="C282" s="28"/>
      <c r="D282" s="28"/>
      <c r="E282" s="28"/>
      <c r="F282" s="28"/>
      <c r="G282" s="28"/>
      <c r="H282" s="28"/>
      <c r="I282" s="28"/>
      <c r="J282" s="28"/>
      <c r="K282" s="28"/>
      <c r="L282" s="28"/>
      <c r="M282" s="28"/>
      <c r="N282" s="28"/>
      <c r="O282" s="28"/>
      <c r="P282" s="28"/>
      <c r="Q282" s="28"/>
      <c r="R282" s="28"/>
      <c r="S282" s="28"/>
      <c r="T282" s="28"/>
      <c r="U282" s="28"/>
      <c r="V282" s="35"/>
      <c r="W282" s="32"/>
    </row>
    <row r="283" spans="1:23" ht="15.75" customHeight="1" x14ac:dyDescent="0.3">
      <c r="A283" s="3"/>
      <c r="B283" s="3"/>
      <c r="C283" s="28"/>
      <c r="D283" s="28"/>
      <c r="E283" s="28"/>
      <c r="F283" s="28"/>
      <c r="G283" s="28"/>
      <c r="H283" s="28"/>
      <c r="I283" s="28"/>
      <c r="J283" s="28"/>
      <c r="K283" s="28"/>
      <c r="L283" s="28"/>
      <c r="M283" s="28"/>
      <c r="N283" s="28"/>
      <c r="O283" s="28"/>
      <c r="P283" s="28"/>
      <c r="Q283" s="28"/>
      <c r="R283" s="28"/>
      <c r="S283" s="28"/>
      <c r="T283" s="28"/>
      <c r="U283" s="28"/>
      <c r="V283" s="35"/>
      <c r="W283" s="32"/>
    </row>
    <row r="284" spans="1:23" ht="15.75" customHeight="1" x14ac:dyDescent="0.3">
      <c r="A284" s="3"/>
      <c r="B284" s="3"/>
      <c r="C284" s="28"/>
      <c r="D284" s="28"/>
      <c r="E284" s="28"/>
      <c r="F284" s="28"/>
      <c r="G284" s="28"/>
      <c r="H284" s="28"/>
      <c r="I284" s="28"/>
      <c r="J284" s="28"/>
      <c r="K284" s="28"/>
      <c r="L284" s="28"/>
      <c r="M284" s="28"/>
      <c r="N284" s="28"/>
      <c r="O284" s="28"/>
      <c r="P284" s="28"/>
      <c r="Q284" s="28"/>
      <c r="R284" s="28"/>
      <c r="S284" s="28"/>
      <c r="T284" s="28"/>
      <c r="U284" s="28"/>
      <c r="V284" s="35"/>
      <c r="W284" s="32"/>
    </row>
    <row r="285" spans="1:23" ht="15.75" customHeight="1" x14ac:dyDescent="0.3">
      <c r="A285" s="3"/>
      <c r="B285" s="3"/>
      <c r="C285" s="28"/>
      <c r="D285" s="28"/>
      <c r="E285" s="28"/>
      <c r="F285" s="28"/>
      <c r="G285" s="28"/>
      <c r="H285" s="28"/>
      <c r="I285" s="28"/>
      <c r="J285" s="28"/>
      <c r="K285" s="28"/>
      <c r="L285" s="28"/>
      <c r="M285" s="28"/>
      <c r="N285" s="28"/>
      <c r="O285" s="28"/>
      <c r="P285" s="28"/>
      <c r="Q285" s="28"/>
      <c r="R285" s="28"/>
      <c r="S285" s="28"/>
      <c r="T285" s="28"/>
      <c r="U285" s="28"/>
      <c r="V285" s="35"/>
      <c r="W285" s="32"/>
    </row>
    <row r="286" spans="1:23" ht="15.75" customHeight="1" x14ac:dyDescent="0.3">
      <c r="A286" s="3"/>
      <c r="B286" s="3"/>
      <c r="C286" s="28"/>
      <c r="D286" s="28"/>
      <c r="E286" s="28"/>
      <c r="F286" s="28"/>
      <c r="G286" s="28"/>
      <c r="H286" s="28"/>
      <c r="I286" s="28"/>
      <c r="J286" s="28"/>
      <c r="K286" s="28"/>
      <c r="L286" s="28"/>
      <c r="M286" s="28"/>
      <c r="N286" s="28"/>
      <c r="O286" s="28"/>
      <c r="P286" s="28"/>
      <c r="Q286" s="28"/>
      <c r="R286" s="28"/>
      <c r="S286" s="28"/>
      <c r="T286" s="28"/>
      <c r="U286" s="28"/>
      <c r="V286" s="35"/>
      <c r="W286" s="32"/>
    </row>
    <row r="287" spans="1:23" ht="15.75" customHeight="1" x14ac:dyDescent="0.3">
      <c r="A287" s="3"/>
      <c r="B287" s="3"/>
      <c r="C287" s="28"/>
      <c r="D287" s="28"/>
      <c r="E287" s="28"/>
      <c r="F287" s="28"/>
      <c r="G287" s="28"/>
      <c r="H287" s="28"/>
      <c r="I287" s="28"/>
      <c r="J287" s="28"/>
      <c r="K287" s="28"/>
      <c r="L287" s="28"/>
      <c r="M287" s="28"/>
      <c r="N287" s="28"/>
      <c r="O287" s="28"/>
      <c r="P287" s="28"/>
      <c r="Q287" s="28"/>
      <c r="R287" s="28"/>
      <c r="S287" s="28"/>
      <c r="T287" s="28"/>
      <c r="U287" s="28"/>
      <c r="V287" s="35"/>
      <c r="W287" s="32"/>
    </row>
    <row r="288" spans="1:23" ht="15.75" customHeight="1" x14ac:dyDescent="0.3">
      <c r="A288" s="3"/>
      <c r="B288" s="3"/>
      <c r="C288" s="28"/>
      <c r="D288" s="28"/>
      <c r="E288" s="28"/>
      <c r="F288" s="28"/>
      <c r="G288" s="28"/>
      <c r="H288" s="28"/>
      <c r="I288" s="28"/>
      <c r="J288" s="28"/>
      <c r="K288" s="28"/>
      <c r="L288" s="28"/>
      <c r="M288" s="28"/>
      <c r="N288" s="28"/>
      <c r="O288" s="28"/>
      <c r="P288" s="28"/>
      <c r="Q288" s="28"/>
      <c r="R288" s="28"/>
      <c r="S288" s="28"/>
      <c r="T288" s="28"/>
      <c r="U288" s="28"/>
      <c r="V288" s="35"/>
      <c r="W288" s="32"/>
    </row>
    <row r="289" spans="1:23" ht="15.75" customHeight="1" x14ac:dyDescent="0.3">
      <c r="A289" s="3"/>
      <c r="B289" s="3"/>
      <c r="C289" s="28"/>
      <c r="D289" s="28"/>
      <c r="E289" s="28"/>
      <c r="F289" s="28"/>
      <c r="G289" s="28"/>
      <c r="H289" s="28"/>
      <c r="I289" s="28"/>
      <c r="J289" s="28"/>
      <c r="K289" s="28"/>
      <c r="L289" s="28"/>
      <c r="M289" s="28"/>
      <c r="N289" s="28"/>
      <c r="O289" s="28"/>
      <c r="P289" s="28"/>
      <c r="Q289" s="28"/>
      <c r="R289" s="28"/>
      <c r="S289" s="28"/>
      <c r="T289" s="28"/>
      <c r="U289" s="28"/>
      <c r="V289" s="35"/>
      <c r="W289" s="32"/>
    </row>
    <row r="290" spans="1:23" ht="15.75" customHeight="1" x14ac:dyDescent="0.3">
      <c r="A290" s="3"/>
      <c r="B290" s="3"/>
      <c r="C290" s="28"/>
      <c r="D290" s="28"/>
      <c r="E290" s="28"/>
      <c r="F290" s="28"/>
      <c r="G290" s="28"/>
      <c r="H290" s="28"/>
      <c r="I290" s="28"/>
      <c r="J290" s="28"/>
      <c r="K290" s="28"/>
      <c r="L290" s="28"/>
      <c r="M290" s="28"/>
      <c r="N290" s="28"/>
      <c r="O290" s="28"/>
      <c r="P290" s="28"/>
      <c r="Q290" s="28"/>
      <c r="R290" s="28"/>
      <c r="S290" s="28"/>
      <c r="T290" s="28"/>
      <c r="U290" s="28"/>
      <c r="V290" s="35"/>
      <c r="W290" s="32"/>
    </row>
    <row r="291" spans="1:23" ht="15.75" customHeight="1" x14ac:dyDescent="0.3">
      <c r="A291" s="3"/>
      <c r="B291" s="3"/>
      <c r="C291" s="28"/>
      <c r="D291" s="28"/>
      <c r="E291" s="28"/>
      <c r="F291" s="28"/>
      <c r="G291" s="28"/>
      <c r="H291" s="28"/>
      <c r="I291" s="28"/>
      <c r="J291" s="28"/>
      <c r="K291" s="28"/>
      <c r="L291" s="28"/>
      <c r="M291" s="28"/>
      <c r="N291" s="28"/>
      <c r="O291" s="28"/>
      <c r="P291" s="28"/>
      <c r="Q291" s="28"/>
      <c r="R291" s="28"/>
      <c r="S291" s="28"/>
      <c r="T291" s="28"/>
      <c r="U291" s="28"/>
      <c r="V291" s="35"/>
      <c r="W291" s="32"/>
    </row>
    <row r="292" spans="1:23" ht="15.75" customHeight="1" x14ac:dyDescent="0.3">
      <c r="A292" s="3"/>
      <c r="B292" s="3"/>
      <c r="C292" s="28"/>
      <c r="D292" s="28"/>
      <c r="E292" s="28"/>
      <c r="F292" s="28"/>
      <c r="G292" s="28"/>
      <c r="H292" s="28"/>
      <c r="I292" s="28"/>
      <c r="J292" s="28"/>
      <c r="K292" s="28"/>
      <c r="L292" s="28"/>
      <c r="M292" s="28"/>
      <c r="N292" s="28"/>
      <c r="O292" s="28"/>
      <c r="P292" s="28"/>
      <c r="Q292" s="28"/>
      <c r="R292" s="28"/>
      <c r="S292" s="28"/>
      <c r="T292" s="28"/>
      <c r="U292" s="28"/>
      <c r="V292" s="35"/>
      <c r="W292" s="32"/>
    </row>
    <row r="293" spans="1:23" ht="15.75" customHeight="1" x14ac:dyDescent="0.3">
      <c r="A293" s="3"/>
      <c r="B293" s="3"/>
      <c r="C293" s="28"/>
      <c r="D293" s="28"/>
      <c r="E293" s="28"/>
      <c r="F293" s="28"/>
      <c r="G293" s="28"/>
      <c r="H293" s="28"/>
      <c r="I293" s="28"/>
      <c r="J293" s="28"/>
      <c r="K293" s="28"/>
      <c r="L293" s="28"/>
      <c r="M293" s="28"/>
      <c r="N293" s="28"/>
      <c r="O293" s="28"/>
      <c r="P293" s="28"/>
      <c r="Q293" s="28"/>
      <c r="R293" s="28"/>
      <c r="S293" s="28"/>
      <c r="T293" s="28"/>
      <c r="U293" s="28"/>
      <c r="V293" s="35"/>
      <c r="W293" s="32"/>
    </row>
    <row r="294" spans="1:23" ht="15.75" customHeight="1" x14ac:dyDescent="0.3">
      <c r="A294" s="3"/>
      <c r="B294" s="3"/>
      <c r="C294" s="28"/>
      <c r="D294" s="28"/>
      <c r="E294" s="28"/>
      <c r="F294" s="28"/>
      <c r="G294" s="28"/>
      <c r="H294" s="28"/>
      <c r="I294" s="28"/>
      <c r="J294" s="28"/>
      <c r="K294" s="28"/>
      <c r="L294" s="28"/>
      <c r="M294" s="28"/>
      <c r="N294" s="28"/>
      <c r="O294" s="28"/>
      <c r="P294" s="28"/>
      <c r="Q294" s="28"/>
      <c r="R294" s="28"/>
      <c r="S294" s="28"/>
      <c r="T294" s="28"/>
      <c r="U294" s="28"/>
      <c r="V294" s="35"/>
      <c r="W294" s="32"/>
    </row>
    <row r="295" spans="1:23" ht="15.75" customHeight="1" x14ac:dyDescent="0.3">
      <c r="A295" s="3"/>
      <c r="B295" s="3"/>
      <c r="C295" s="28"/>
      <c r="D295" s="28"/>
      <c r="E295" s="28"/>
      <c r="F295" s="28"/>
      <c r="G295" s="28"/>
      <c r="H295" s="28"/>
      <c r="I295" s="28"/>
      <c r="J295" s="28"/>
      <c r="K295" s="28"/>
      <c r="L295" s="28"/>
      <c r="M295" s="28"/>
      <c r="N295" s="28"/>
      <c r="O295" s="28"/>
      <c r="P295" s="28"/>
      <c r="Q295" s="28"/>
      <c r="R295" s="28"/>
      <c r="S295" s="28"/>
      <c r="T295" s="28"/>
      <c r="U295" s="28"/>
      <c r="V295" s="35"/>
      <c r="W295" s="32"/>
    </row>
    <row r="296" spans="1:23" ht="15.75" customHeight="1" x14ac:dyDescent="0.3">
      <c r="A296" s="3"/>
      <c r="B296" s="3"/>
      <c r="C296" s="28"/>
      <c r="D296" s="28"/>
      <c r="E296" s="28"/>
      <c r="F296" s="28"/>
      <c r="G296" s="28"/>
      <c r="H296" s="28"/>
      <c r="I296" s="28"/>
      <c r="J296" s="28"/>
      <c r="K296" s="28"/>
      <c r="L296" s="28"/>
      <c r="M296" s="28"/>
      <c r="N296" s="28"/>
      <c r="O296" s="28"/>
      <c r="P296" s="28"/>
      <c r="Q296" s="28"/>
      <c r="R296" s="28"/>
      <c r="S296" s="28"/>
      <c r="T296" s="28"/>
      <c r="U296" s="28"/>
      <c r="V296" s="35"/>
      <c r="W296" s="32"/>
    </row>
    <row r="297" spans="1:23" ht="15.75" customHeight="1" x14ac:dyDescent="0.3">
      <c r="A297" s="3"/>
      <c r="B297" s="3"/>
      <c r="C297" s="28"/>
      <c r="D297" s="28"/>
      <c r="E297" s="28"/>
      <c r="F297" s="28"/>
      <c r="G297" s="28"/>
      <c r="H297" s="28"/>
      <c r="I297" s="28"/>
      <c r="J297" s="28"/>
      <c r="K297" s="28"/>
      <c r="L297" s="28"/>
      <c r="M297" s="28"/>
      <c r="N297" s="28"/>
      <c r="O297" s="28"/>
      <c r="P297" s="28"/>
      <c r="Q297" s="28"/>
      <c r="R297" s="28"/>
      <c r="S297" s="28"/>
      <c r="T297" s="28"/>
      <c r="U297" s="28"/>
      <c r="V297" s="35"/>
      <c r="W297" s="32"/>
    </row>
    <row r="298" spans="1:23" ht="15.75" customHeight="1" x14ac:dyDescent="0.3">
      <c r="A298" s="3"/>
      <c r="B298" s="3"/>
      <c r="C298" s="28"/>
      <c r="D298" s="28"/>
      <c r="E298" s="28"/>
      <c r="F298" s="28"/>
      <c r="G298" s="28"/>
      <c r="H298" s="28"/>
      <c r="I298" s="28"/>
      <c r="J298" s="28"/>
      <c r="K298" s="28"/>
      <c r="L298" s="28"/>
      <c r="M298" s="28"/>
      <c r="N298" s="28"/>
      <c r="O298" s="28"/>
      <c r="P298" s="28"/>
      <c r="Q298" s="28"/>
      <c r="R298" s="28"/>
      <c r="S298" s="28"/>
      <c r="T298" s="28"/>
      <c r="U298" s="28"/>
      <c r="V298" s="35"/>
      <c r="W298" s="32"/>
    </row>
    <row r="299" spans="1:23" ht="15.75" customHeight="1" x14ac:dyDescent="0.3">
      <c r="A299" s="3"/>
      <c r="B299" s="3"/>
      <c r="C299" s="28"/>
      <c r="D299" s="28"/>
      <c r="E299" s="28"/>
      <c r="F299" s="28"/>
      <c r="G299" s="28"/>
      <c r="H299" s="28"/>
      <c r="I299" s="28"/>
      <c r="J299" s="28"/>
      <c r="K299" s="28"/>
      <c r="L299" s="28"/>
      <c r="M299" s="28"/>
      <c r="N299" s="28"/>
      <c r="O299" s="28"/>
      <c r="P299" s="28"/>
      <c r="Q299" s="28"/>
      <c r="R299" s="28"/>
      <c r="S299" s="28"/>
      <c r="T299" s="28"/>
      <c r="U299" s="28"/>
      <c r="V299" s="35"/>
      <c r="W299" s="32"/>
    </row>
    <row r="300" spans="1:23" ht="15.75" customHeight="1" x14ac:dyDescent="0.3">
      <c r="A300" s="3"/>
      <c r="B300" s="3"/>
      <c r="C300" s="28"/>
      <c r="D300" s="28"/>
      <c r="E300" s="28"/>
      <c r="F300" s="28"/>
      <c r="G300" s="28"/>
      <c r="H300" s="28"/>
      <c r="I300" s="28"/>
      <c r="J300" s="28"/>
      <c r="K300" s="28"/>
      <c r="L300" s="28"/>
      <c r="M300" s="28"/>
      <c r="N300" s="28"/>
      <c r="O300" s="28"/>
      <c r="P300" s="28"/>
      <c r="Q300" s="28"/>
      <c r="R300" s="28"/>
      <c r="S300" s="28"/>
      <c r="T300" s="28"/>
      <c r="U300" s="28"/>
      <c r="V300" s="35"/>
      <c r="W300" s="32"/>
    </row>
    <row r="301" spans="1:23" ht="15.75" customHeight="1" x14ac:dyDescent="0.3">
      <c r="A301" s="3"/>
      <c r="B301" s="3"/>
      <c r="C301" s="28"/>
      <c r="D301" s="28"/>
      <c r="E301" s="28"/>
      <c r="F301" s="28"/>
      <c r="G301" s="28"/>
      <c r="H301" s="28"/>
      <c r="I301" s="28"/>
      <c r="J301" s="28"/>
      <c r="K301" s="28"/>
      <c r="L301" s="28"/>
      <c r="M301" s="28"/>
      <c r="N301" s="28"/>
      <c r="O301" s="28"/>
      <c r="P301" s="28"/>
      <c r="Q301" s="28"/>
      <c r="R301" s="28"/>
      <c r="S301" s="28"/>
      <c r="T301" s="28"/>
      <c r="U301" s="28"/>
      <c r="V301" s="35"/>
      <c r="W301" s="32"/>
    </row>
    <row r="302" spans="1:23" ht="15.75" customHeight="1" x14ac:dyDescent="0.3">
      <c r="A302" s="3"/>
      <c r="B302" s="3"/>
      <c r="C302" s="28"/>
      <c r="D302" s="28"/>
      <c r="E302" s="28"/>
      <c r="F302" s="28"/>
      <c r="G302" s="28"/>
      <c r="H302" s="28"/>
      <c r="I302" s="28"/>
      <c r="J302" s="28"/>
      <c r="K302" s="28"/>
      <c r="L302" s="28"/>
      <c r="M302" s="28"/>
      <c r="N302" s="28"/>
      <c r="O302" s="28"/>
      <c r="P302" s="28"/>
      <c r="Q302" s="28"/>
      <c r="R302" s="28"/>
      <c r="S302" s="28"/>
      <c r="T302" s="28"/>
      <c r="U302" s="28"/>
      <c r="V302" s="35"/>
      <c r="W302" s="32"/>
    </row>
    <row r="303" spans="1:23" ht="15.75" customHeight="1" x14ac:dyDescent="0.3">
      <c r="A303" s="3"/>
      <c r="B303" s="3"/>
      <c r="C303" s="28"/>
      <c r="D303" s="28"/>
      <c r="E303" s="28"/>
      <c r="F303" s="28"/>
      <c r="G303" s="28"/>
      <c r="H303" s="28"/>
      <c r="I303" s="28"/>
      <c r="J303" s="28"/>
      <c r="K303" s="28"/>
      <c r="L303" s="28"/>
      <c r="M303" s="28"/>
      <c r="N303" s="28"/>
      <c r="O303" s="28"/>
      <c r="P303" s="28"/>
      <c r="Q303" s="28"/>
      <c r="R303" s="28"/>
      <c r="S303" s="28"/>
      <c r="T303" s="28"/>
      <c r="U303" s="28"/>
      <c r="V303" s="35"/>
      <c r="W303" s="32"/>
    </row>
    <row r="304" spans="1:23" ht="15.75" customHeight="1" x14ac:dyDescent="0.3">
      <c r="A304" s="3"/>
      <c r="B304" s="3"/>
      <c r="C304" s="28"/>
      <c r="D304" s="28"/>
      <c r="E304" s="28"/>
      <c r="F304" s="28"/>
      <c r="G304" s="28"/>
      <c r="H304" s="28"/>
      <c r="I304" s="28"/>
      <c r="J304" s="28"/>
      <c r="K304" s="28"/>
      <c r="L304" s="28"/>
      <c r="M304" s="28"/>
      <c r="N304" s="28"/>
      <c r="O304" s="28"/>
      <c r="P304" s="28"/>
      <c r="Q304" s="28"/>
      <c r="R304" s="28"/>
      <c r="S304" s="28"/>
      <c r="T304" s="28"/>
      <c r="U304" s="28"/>
      <c r="V304" s="35"/>
      <c r="W304" s="32"/>
    </row>
    <row r="305" spans="1:23" ht="15.75" customHeight="1" x14ac:dyDescent="0.3">
      <c r="A305" s="3"/>
      <c r="B305" s="3"/>
      <c r="C305" s="28"/>
      <c r="D305" s="28"/>
      <c r="E305" s="28"/>
      <c r="F305" s="28"/>
      <c r="G305" s="28"/>
      <c r="H305" s="28"/>
      <c r="I305" s="28"/>
      <c r="J305" s="28"/>
      <c r="K305" s="28"/>
      <c r="L305" s="28"/>
      <c r="M305" s="28"/>
      <c r="N305" s="28"/>
      <c r="O305" s="28"/>
      <c r="P305" s="28"/>
      <c r="Q305" s="28"/>
      <c r="R305" s="28"/>
      <c r="S305" s="28"/>
      <c r="T305" s="28"/>
      <c r="U305" s="28"/>
      <c r="V305" s="35"/>
      <c r="W305" s="32"/>
    </row>
    <row r="306" spans="1:23" ht="15.75" customHeight="1" x14ac:dyDescent="0.3">
      <c r="A306" s="3"/>
      <c r="B306" s="3"/>
      <c r="C306" s="28"/>
      <c r="D306" s="28"/>
      <c r="E306" s="28"/>
      <c r="F306" s="28"/>
      <c r="G306" s="28"/>
      <c r="H306" s="28"/>
      <c r="I306" s="28"/>
      <c r="J306" s="28"/>
      <c r="K306" s="28"/>
      <c r="L306" s="28"/>
      <c r="M306" s="28"/>
      <c r="N306" s="28"/>
      <c r="O306" s="28"/>
      <c r="P306" s="28"/>
      <c r="Q306" s="28"/>
      <c r="R306" s="28"/>
      <c r="S306" s="28"/>
      <c r="T306" s="28"/>
      <c r="U306" s="28"/>
      <c r="V306" s="35"/>
      <c r="W306" s="32"/>
    </row>
    <row r="307" spans="1:23" ht="15.75" customHeight="1" x14ac:dyDescent="0.3">
      <c r="A307" s="3"/>
      <c r="B307" s="3"/>
      <c r="C307" s="28"/>
      <c r="D307" s="28"/>
      <c r="E307" s="28"/>
      <c r="F307" s="28"/>
      <c r="G307" s="28"/>
      <c r="H307" s="28"/>
      <c r="I307" s="28"/>
      <c r="J307" s="28"/>
      <c r="K307" s="28"/>
      <c r="L307" s="28"/>
      <c r="M307" s="28"/>
      <c r="N307" s="28"/>
      <c r="O307" s="28"/>
      <c r="P307" s="28"/>
      <c r="Q307" s="28"/>
      <c r="R307" s="28"/>
      <c r="S307" s="28"/>
      <c r="T307" s="28"/>
      <c r="U307" s="28"/>
      <c r="V307" s="35"/>
      <c r="W307" s="32"/>
    </row>
    <row r="308" spans="1:23" ht="15.75" customHeight="1" x14ac:dyDescent="0.3">
      <c r="A308" s="3"/>
      <c r="B308" s="3"/>
      <c r="C308" s="28"/>
      <c r="D308" s="28"/>
      <c r="E308" s="28"/>
      <c r="F308" s="28"/>
      <c r="G308" s="28"/>
      <c r="H308" s="28"/>
      <c r="I308" s="28"/>
      <c r="J308" s="28"/>
      <c r="K308" s="28"/>
      <c r="L308" s="28"/>
      <c r="M308" s="28"/>
      <c r="N308" s="28"/>
      <c r="O308" s="28"/>
      <c r="P308" s="28"/>
      <c r="Q308" s="28"/>
      <c r="R308" s="28"/>
      <c r="S308" s="28"/>
      <c r="T308" s="28"/>
      <c r="U308" s="28"/>
      <c r="V308" s="35"/>
      <c r="W308" s="32"/>
    </row>
    <row r="309" spans="1:23" ht="15.75" customHeight="1" x14ac:dyDescent="0.3">
      <c r="A309" s="3"/>
      <c r="B309" s="3"/>
      <c r="C309" s="28"/>
      <c r="D309" s="28"/>
      <c r="E309" s="28"/>
      <c r="F309" s="28"/>
      <c r="G309" s="28"/>
      <c r="H309" s="28"/>
      <c r="I309" s="28"/>
      <c r="J309" s="28"/>
      <c r="K309" s="28"/>
      <c r="L309" s="28"/>
      <c r="M309" s="28"/>
      <c r="N309" s="28"/>
      <c r="O309" s="28"/>
      <c r="P309" s="28"/>
      <c r="Q309" s="28"/>
      <c r="R309" s="28"/>
      <c r="S309" s="28"/>
      <c r="T309" s="28"/>
      <c r="U309" s="28"/>
      <c r="V309" s="35"/>
      <c r="W309" s="32"/>
    </row>
    <row r="310" spans="1:23" ht="15.75" customHeight="1" x14ac:dyDescent="0.3">
      <c r="A310" s="3"/>
      <c r="B310" s="3"/>
      <c r="C310" s="28"/>
      <c r="D310" s="28"/>
      <c r="E310" s="28"/>
      <c r="F310" s="28"/>
      <c r="G310" s="28"/>
      <c r="H310" s="28"/>
      <c r="I310" s="28"/>
      <c r="J310" s="28"/>
      <c r="K310" s="28"/>
      <c r="L310" s="28"/>
      <c r="M310" s="28"/>
      <c r="N310" s="28"/>
      <c r="O310" s="28"/>
      <c r="P310" s="28"/>
      <c r="Q310" s="28"/>
      <c r="R310" s="28"/>
      <c r="S310" s="28"/>
      <c r="T310" s="28"/>
      <c r="U310" s="28"/>
      <c r="V310" s="35"/>
      <c r="W310" s="32"/>
    </row>
    <row r="311" spans="1:23" ht="15.75" customHeight="1" x14ac:dyDescent="0.3">
      <c r="A311" s="3"/>
      <c r="B311" s="3"/>
      <c r="C311" s="28"/>
      <c r="D311" s="28"/>
      <c r="E311" s="28"/>
      <c r="F311" s="28"/>
      <c r="G311" s="28"/>
      <c r="H311" s="28"/>
      <c r="I311" s="28"/>
      <c r="J311" s="28"/>
      <c r="K311" s="28"/>
      <c r="L311" s="28"/>
      <c r="M311" s="28"/>
      <c r="N311" s="28"/>
      <c r="O311" s="28"/>
      <c r="P311" s="28"/>
      <c r="Q311" s="28"/>
      <c r="R311" s="28"/>
      <c r="S311" s="28"/>
      <c r="T311" s="28"/>
      <c r="U311" s="28"/>
      <c r="V311" s="35"/>
      <c r="W311" s="32"/>
    </row>
    <row r="312" spans="1:23" ht="15.75" customHeight="1" x14ac:dyDescent="0.3">
      <c r="A312" s="3"/>
      <c r="B312" s="3"/>
      <c r="C312" s="28"/>
      <c r="D312" s="28"/>
      <c r="E312" s="28"/>
      <c r="F312" s="28"/>
      <c r="G312" s="28"/>
      <c r="H312" s="28"/>
      <c r="I312" s="28"/>
      <c r="J312" s="28"/>
      <c r="K312" s="28"/>
      <c r="L312" s="28"/>
      <c r="M312" s="28"/>
      <c r="N312" s="28"/>
      <c r="O312" s="28"/>
      <c r="P312" s="28"/>
      <c r="Q312" s="28"/>
      <c r="R312" s="28"/>
      <c r="S312" s="28"/>
      <c r="T312" s="28"/>
      <c r="U312" s="28"/>
      <c r="V312" s="35"/>
      <c r="W312" s="32"/>
    </row>
    <row r="313" spans="1:23" ht="15.75" customHeight="1" x14ac:dyDescent="0.3">
      <c r="A313" s="3"/>
      <c r="B313" s="3"/>
      <c r="C313" s="28"/>
      <c r="D313" s="28"/>
      <c r="E313" s="28"/>
      <c r="F313" s="28"/>
      <c r="G313" s="28"/>
      <c r="H313" s="28"/>
      <c r="I313" s="28"/>
      <c r="J313" s="28"/>
      <c r="K313" s="28"/>
      <c r="L313" s="28"/>
      <c r="M313" s="28"/>
      <c r="N313" s="28"/>
      <c r="O313" s="28"/>
      <c r="P313" s="28"/>
      <c r="Q313" s="28"/>
      <c r="R313" s="28"/>
      <c r="S313" s="28"/>
      <c r="T313" s="28"/>
      <c r="U313" s="28"/>
      <c r="V313" s="35"/>
      <c r="W313" s="32"/>
    </row>
    <row r="314" spans="1:23" ht="15.75" customHeight="1" x14ac:dyDescent="0.3">
      <c r="A314" s="3"/>
      <c r="B314" s="3"/>
      <c r="C314" s="28"/>
      <c r="D314" s="28"/>
      <c r="E314" s="28"/>
      <c r="F314" s="28"/>
      <c r="G314" s="28"/>
      <c r="H314" s="28"/>
      <c r="I314" s="28"/>
      <c r="J314" s="28"/>
      <c r="K314" s="28"/>
      <c r="L314" s="28"/>
      <c r="M314" s="28"/>
      <c r="N314" s="28"/>
      <c r="O314" s="28"/>
      <c r="P314" s="28"/>
      <c r="Q314" s="28"/>
      <c r="R314" s="28"/>
      <c r="S314" s="28"/>
      <c r="T314" s="28"/>
      <c r="U314" s="28"/>
      <c r="V314" s="35"/>
      <c r="W314" s="32"/>
    </row>
    <row r="315" spans="1:23" ht="15.75" customHeight="1" x14ac:dyDescent="0.3">
      <c r="A315" s="3"/>
      <c r="B315" s="3"/>
      <c r="C315" s="28"/>
      <c r="D315" s="28"/>
      <c r="E315" s="28"/>
      <c r="F315" s="28"/>
      <c r="G315" s="28"/>
      <c r="H315" s="28"/>
      <c r="I315" s="28"/>
      <c r="J315" s="28"/>
      <c r="K315" s="28"/>
      <c r="L315" s="28"/>
      <c r="M315" s="28"/>
      <c r="N315" s="28"/>
      <c r="O315" s="28"/>
      <c r="P315" s="28"/>
      <c r="Q315" s="28"/>
      <c r="R315" s="28"/>
      <c r="S315" s="28"/>
      <c r="T315" s="28"/>
      <c r="U315" s="28"/>
      <c r="V315" s="35"/>
      <c r="W315" s="32"/>
    </row>
    <row r="316" spans="1:23" ht="15.75" customHeight="1" x14ac:dyDescent="0.3">
      <c r="A316" s="3"/>
      <c r="B316" s="3"/>
      <c r="C316" s="28"/>
      <c r="D316" s="28"/>
      <c r="E316" s="28"/>
      <c r="F316" s="28"/>
      <c r="G316" s="28"/>
      <c r="H316" s="28"/>
      <c r="I316" s="28"/>
      <c r="J316" s="28"/>
      <c r="K316" s="28"/>
      <c r="L316" s="28"/>
      <c r="M316" s="28"/>
      <c r="N316" s="28"/>
      <c r="O316" s="28"/>
      <c r="P316" s="28"/>
      <c r="Q316" s="28"/>
      <c r="R316" s="28"/>
      <c r="S316" s="28"/>
      <c r="T316" s="28"/>
      <c r="U316" s="28"/>
      <c r="V316" s="35"/>
      <c r="W316" s="32"/>
    </row>
    <row r="317" spans="1:23" ht="15.75" customHeight="1" x14ac:dyDescent="0.3">
      <c r="A317" s="3"/>
      <c r="B317" s="3"/>
      <c r="C317" s="28"/>
      <c r="D317" s="28"/>
      <c r="E317" s="28"/>
      <c r="F317" s="28"/>
      <c r="G317" s="28"/>
      <c r="H317" s="28"/>
      <c r="I317" s="28"/>
      <c r="J317" s="28"/>
      <c r="K317" s="28"/>
      <c r="L317" s="28"/>
      <c r="M317" s="28"/>
      <c r="N317" s="28"/>
      <c r="O317" s="28"/>
      <c r="P317" s="28"/>
      <c r="Q317" s="28"/>
      <c r="R317" s="28"/>
      <c r="S317" s="28"/>
      <c r="T317" s="28"/>
      <c r="U317" s="28"/>
      <c r="V317" s="35"/>
      <c r="W317" s="32"/>
    </row>
    <row r="318" spans="1:23" ht="15.75" customHeight="1" x14ac:dyDescent="0.3">
      <c r="A318" s="3"/>
      <c r="B318" s="3"/>
      <c r="C318" s="28"/>
      <c r="D318" s="28"/>
      <c r="E318" s="28"/>
      <c r="F318" s="28"/>
      <c r="G318" s="28"/>
      <c r="H318" s="28"/>
      <c r="I318" s="28"/>
      <c r="J318" s="28"/>
      <c r="K318" s="28"/>
      <c r="L318" s="28"/>
      <c r="M318" s="28"/>
      <c r="N318" s="28"/>
      <c r="O318" s="28"/>
      <c r="P318" s="28"/>
      <c r="Q318" s="28"/>
      <c r="R318" s="28"/>
      <c r="S318" s="28"/>
      <c r="T318" s="28"/>
      <c r="U318" s="28"/>
      <c r="V318" s="35"/>
      <c r="W318" s="32"/>
    </row>
    <row r="319" spans="1:23" ht="15.75" customHeight="1" x14ac:dyDescent="0.3">
      <c r="A319" s="3"/>
      <c r="B319" s="3"/>
      <c r="C319" s="28"/>
      <c r="D319" s="28"/>
      <c r="E319" s="28"/>
      <c r="F319" s="28"/>
      <c r="G319" s="28"/>
      <c r="H319" s="28"/>
      <c r="I319" s="28"/>
      <c r="J319" s="28"/>
      <c r="K319" s="28"/>
      <c r="L319" s="28"/>
      <c r="M319" s="28"/>
      <c r="N319" s="28"/>
      <c r="O319" s="28"/>
      <c r="P319" s="28"/>
      <c r="Q319" s="28"/>
      <c r="R319" s="28"/>
      <c r="S319" s="28"/>
      <c r="T319" s="28"/>
      <c r="U319" s="28"/>
      <c r="V319" s="35"/>
      <c r="W319" s="32"/>
    </row>
    <row r="320" spans="1:23" ht="15.75" customHeight="1" x14ac:dyDescent="0.3">
      <c r="A320" s="3"/>
      <c r="B320" s="3"/>
      <c r="C320" s="28"/>
      <c r="D320" s="28"/>
      <c r="E320" s="28"/>
      <c r="F320" s="28"/>
      <c r="G320" s="28"/>
      <c r="H320" s="28"/>
      <c r="I320" s="28"/>
      <c r="J320" s="28"/>
      <c r="K320" s="28"/>
      <c r="L320" s="28"/>
      <c r="M320" s="28"/>
      <c r="N320" s="28"/>
      <c r="O320" s="28"/>
      <c r="P320" s="28"/>
      <c r="Q320" s="28"/>
      <c r="R320" s="28"/>
      <c r="S320" s="28"/>
      <c r="T320" s="28"/>
      <c r="U320" s="28"/>
      <c r="V320" s="35"/>
      <c r="W320" s="32"/>
    </row>
    <row r="321" spans="1:23" ht="15.75" customHeight="1" x14ac:dyDescent="0.3">
      <c r="A321" s="3"/>
      <c r="B321" s="3"/>
      <c r="C321" s="28"/>
      <c r="D321" s="28"/>
      <c r="E321" s="28"/>
      <c r="F321" s="28"/>
      <c r="G321" s="28"/>
      <c r="H321" s="28"/>
      <c r="I321" s="28"/>
      <c r="J321" s="28"/>
      <c r="K321" s="28"/>
      <c r="L321" s="28"/>
      <c r="M321" s="28"/>
      <c r="N321" s="28"/>
      <c r="O321" s="28"/>
      <c r="P321" s="28"/>
      <c r="Q321" s="28"/>
      <c r="R321" s="28"/>
      <c r="S321" s="28"/>
      <c r="T321" s="28"/>
      <c r="U321" s="28"/>
      <c r="V321" s="35"/>
      <c r="W321" s="32"/>
    </row>
    <row r="322" spans="1:23" ht="15.75" customHeight="1" x14ac:dyDescent="0.3">
      <c r="A322" s="3"/>
      <c r="B322" s="3"/>
      <c r="C322" s="28"/>
      <c r="D322" s="28"/>
      <c r="E322" s="28"/>
      <c r="F322" s="28"/>
      <c r="G322" s="28"/>
      <c r="H322" s="28"/>
      <c r="I322" s="28"/>
      <c r="J322" s="28"/>
      <c r="K322" s="28"/>
      <c r="L322" s="28"/>
      <c r="M322" s="28"/>
      <c r="N322" s="28"/>
      <c r="O322" s="28"/>
      <c r="P322" s="28"/>
      <c r="Q322" s="28"/>
      <c r="R322" s="28"/>
      <c r="S322" s="28"/>
      <c r="T322" s="28"/>
      <c r="U322" s="28"/>
      <c r="V322" s="35"/>
      <c r="W322" s="32"/>
    </row>
    <row r="323" spans="1:23" ht="15.75" customHeight="1" x14ac:dyDescent="0.3">
      <c r="A323" s="3"/>
      <c r="B323" s="3"/>
      <c r="C323" s="28"/>
      <c r="D323" s="28"/>
      <c r="E323" s="28"/>
      <c r="F323" s="28"/>
      <c r="G323" s="28"/>
      <c r="H323" s="28"/>
      <c r="I323" s="28"/>
      <c r="J323" s="28"/>
      <c r="K323" s="28"/>
      <c r="L323" s="28"/>
      <c r="M323" s="28"/>
      <c r="N323" s="28"/>
      <c r="O323" s="28"/>
      <c r="P323" s="28"/>
      <c r="Q323" s="28"/>
      <c r="R323" s="28"/>
      <c r="S323" s="28"/>
      <c r="T323" s="28"/>
      <c r="U323" s="28"/>
      <c r="V323" s="35"/>
      <c r="W323" s="32"/>
    </row>
    <row r="324" spans="1:23" ht="15.75" customHeight="1" x14ac:dyDescent="0.3">
      <c r="A324" s="3"/>
      <c r="B324" s="3"/>
      <c r="C324" s="28"/>
      <c r="D324" s="28"/>
      <c r="E324" s="28"/>
      <c r="F324" s="28"/>
      <c r="G324" s="28"/>
      <c r="H324" s="28"/>
      <c r="I324" s="28"/>
      <c r="J324" s="28"/>
      <c r="K324" s="28"/>
      <c r="L324" s="28"/>
      <c r="M324" s="28"/>
      <c r="N324" s="28"/>
      <c r="O324" s="28"/>
      <c r="P324" s="28"/>
      <c r="Q324" s="28"/>
      <c r="R324" s="28"/>
      <c r="S324" s="28"/>
      <c r="T324" s="28"/>
      <c r="U324" s="28"/>
      <c r="V324" s="35"/>
      <c r="W324" s="32"/>
    </row>
    <row r="325" spans="1:23" ht="15.75" customHeight="1" x14ac:dyDescent="0.3">
      <c r="A325" s="3"/>
      <c r="B325" s="3"/>
      <c r="C325" s="28"/>
      <c r="D325" s="28"/>
      <c r="E325" s="28"/>
      <c r="F325" s="28"/>
      <c r="G325" s="28"/>
      <c r="H325" s="28"/>
      <c r="I325" s="28"/>
      <c r="J325" s="28"/>
      <c r="K325" s="28"/>
      <c r="L325" s="28"/>
      <c r="M325" s="28"/>
      <c r="N325" s="28"/>
      <c r="O325" s="28"/>
      <c r="P325" s="28"/>
      <c r="Q325" s="28"/>
      <c r="R325" s="28"/>
      <c r="S325" s="28"/>
      <c r="T325" s="28"/>
      <c r="U325" s="28"/>
      <c r="V325" s="35"/>
      <c r="W325" s="32"/>
    </row>
    <row r="326" spans="1:23" ht="15.75" customHeight="1" x14ac:dyDescent="0.3">
      <c r="A326" s="3"/>
      <c r="B326" s="3"/>
      <c r="C326" s="28"/>
      <c r="D326" s="28"/>
      <c r="E326" s="28"/>
      <c r="F326" s="28"/>
      <c r="G326" s="28"/>
      <c r="H326" s="28"/>
      <c r="I326" s="28"/>
      <c r="J326" s="28"/>
      <c r="K326" s="28"/>
      <c r="L326" s="28"/>
      <c r="M326" s="28"/>
      <c r="N326" s="28"/>
      <c r="O326" s="28"/>
      <c r="P326" s="28"/>
      <c r="Q326" s="28"/>
      <c r="R326" s="28"/>
      <c r="S326" s="28"/>
      <c r="T326" s="28"/>
      <c r="U326" s="28"/>
      <c r="V326" s="35"/>
      <c r="W326" s="32"/>
    </row>
    <row r="327" spans="1:23" ht="15.75" customHeight="1" x14ac:dyDescent="0.3">
      <c r="A327" s="3"/>
      <c r="B327" s="3"/>
      <c r="C327" s="28"/>
      <c r="D327" s="28"/>
      <c r="E327" s="28"/>
      <c r="F327" s="28"/>
      <c r="G327" s="28"/>
      <c r="H327" s="28"/>
      <c r="I327" s="28"/>
      <c r="J327" s="28"/>
      <c r="K327" s="28"/>
      <c r="L327" s="28"/>
      <c r="M327" s="28"/>
      <c r="N327" s="28"/>
      <c r="O327" s="28"/>
      <c r="P327" s="28"/>
      <c r="Q327" s="28"/>
      <c r="R327" s="28"/>
      <c r="S327" s="28"/>
      <c r="T327" s="28"/>
      <c r="U327" s="28"/>
      <c r="V327" s="35"/>
      <c r="W327" s="32"/>
    </row>
    <row r="328" spans="1:23" ht="15.75" customHeight="1" x14ac:dyDescent="0.3">
      <c r="A328" s="3"/>
      <c r="B328" s="3"/>
      <c r="C328" s="28"/>
      <c r="D328" s="28"/>
      <c r="E328" s="28"/>
      <c r="F328" s="28"/>
      <c r="G328" s="28"/>
      <c r="H328" s="28"/>
      <c r="I328" s="28"/>
      <c r="J328" s="28"/>
      <c r="K328" s="28"/>
      <c r="L328" s="28"/>
      <c r="M328" s="28"/>
      <c r="N328" s="28"/>
      <c r="O328" s="28"/>
      <c r="P328" s="28"/>
      <c r="Q328" s="28"/>
      <c r="R328" s="28"/>
      <c r="S328" s="28"/>
      <c r="T328" s="28"/>
      <c r="U328" s="28"/>
      <c r="V328" s="35"/>
      <c r="W328" s="32"/>
    </row>
    <row r="329" spans="1:23" ht="15.75" customHeight="1" x14ac:dyDescent="0.3">
      <c r="A329" s="3"/>
      <c r="B329" s="3"/>
      <c r="C329" s="28"/>
      <c r="D329" s="28"/>
      <c r="E329" s="28"/>
      <c r="F329" s="28"/>
      <c r="G329" s="28"/>
      <c r="H329" s="28"/>
      <c r="I329" s="28"/>
      <c r="J329" s="28"/>
      <c r="K329" s="28"/>
      <c r="L329" s="28"/>
      <c r="M329" s="28"/>
      <c r="N329" s="28"/>
      <c r="O329" s="28"/>
      <c r="P329" s="28"/>
      <c r="Q329" s="28"/>
      <c r="R329" s="28"/>
      <c r="S329" s="28"/>
      <c r="T329" s="28"/>
      <c r="U329" s="28"/>
      <c r="V329" s="35"/>
      <c r="W329" s="32"/>
    </row>
    <row r="330" spans="1:23" ht="15.75" customHeight="1" x14ac:dyDescent="0.3">
      <c r="A330" s="3"/>
      <c r="B330" s="3"/>
      <c r="C330" s="28"/>
      <c r="D330" s="28"/>
      <c r="E330" s="28"/>
      <c r="F330" s="28"/>
      <c r="G330" s="28"/>
      <c r="H330" s="28"/>
      <c r="I330" s="28"/>
      <c r="J330" s="28"/>
      <c r="K330" s="28"/>
      <c r="L330" s="28"/>
      <c r="M330" s="28"/>
      <c r="N330" s="28"/>
      <c r="O330" s="28"/>
      <c r="P330" s="28"/>
      <c r="Q330" s="28"/>
      <c r="R330" s="28"/>
      <c r="S330" s="28"/>
      <c r="T330" s="28"/>
      <c r="U330" s="28"/>
      <c r="V330" s="35"/>
      <c r="W330" s="32"/>
    </row>
    <row r="331" spans="1:23" ht="15.75" customHeight="1" x14ac:dyDescent="0.3">
      <c r="A331" s="3"/>
      <c r="B331" s="3"/>
      <c r="C331" s="28"/>
      <c r="D331" s="28"/>
      <c r="E331" s="28"/>
      <c r="F331" s="28"/>
      <c r="G331" s="28"/>
      <c r="H331" s="28"/>
      <c r="I331" s="28"/>
      <c r="J331" s="28"/>
      <c r="K331" s="28"/>
      <c r="L331" s="28"/>
      <c r="M331" s="28"/>
      <c r="N331" s="28"/>
      <c r="O331" s="28"/>
      <c r="P331" s="28"/>
      <c r="Q331" s="28"/>
      <c r="R331" s="28"/>
      <c r="S331" s="28"/>
      <c r="T331" s="28"/>
      <c r="U331" s="28"/>
      <c r="V331" s="35"/>
      <c r="W331" s="32"/>
    </row>
    <row r="332" spans="1:23" ht="15.75" customHeight="1" x14ac:dyDescent="0.3">
      <c r="A332" s="3"/>
      <c r="B332" s="3"/>
      <c r="C332" s="28"/>
      <c r="D332" s="28"/>
      <c r="E332" s="28"/>
      <c r="F332" s="28"/>
      <c r="G332" s="28"/>
      <c r="H332" s="28"/>
      <c r="I332" s="28"/>
      <c r="J332" s="28"/>
      <c r="K332" s="28"/>
      <c r="L332" s="28"/>
      <c r="M332" s="28"/>
      <c r="N332" s="28"/>
      <c r="O332" s="28"/>
      <c r="P332" s="28"/>
      <c r="Q332" s="28"/>
      <c r="R332" s="28"/>
      <c r="S332" s="28"/>
      <c r="T332" s="28"/>
      <c r="U332" s="28"/>
      <c r="V332" s="35"/>
      <c r="W332" s="32"/>
    </row>
    <row r="333" spans="1:23" ht="15.75" customHeight="1" x14ac:dyDescent="0.3">
      <c r="A333" s="3"/>
      <c r="B333" s="3"/>
      <c r="C333" s="28"/>
      <c r="D333" s="28"/>
      <c r="E333" s="28"/>
      <c r="F333" s="28"/>
      <c r="G333" s="28"/>
      <c r="H333" s="28"/>
      <c r="I333" s="28"/>
      <c r="J333" s="28"/>
      <c r="K333" s="28"/>
      <c r="L333" s="28"/>
      <c r="M333" s="28"/>
      <c r="N333" s="28"/>
      <c r="O333" s="28"/>
      <c r="P333" s="28"/>
      <c r="Q333" s="28"/>
      <c r="R333" s="28"/>
      <c r="S333" s="28"/>
      <c r="T333" s="28"/>
      <c r="U333" s="28"/>
      <c r="V333" s="35"/>
      <c r="W333" s="32"/>
    </row>
    <row r="334" spans="1:23" ht="15.75" customHeight="1" x14ac:dyDescent="0.3">
      <c r="A334" s="3"/>
      <c r="B334" s="3"/>
      <c r="C334" s="28"/>
      <c r="D334" s="28"/>
      <c r="E334" s="28"/>
      <c r="F334" s="28"/>
      <c r="G334" s="28"/>
      <c r="H334" s="28"/>
      <c r="I334" s="28"/>
      <c r="J334" s="28"/>
      <c r="K334" s="28"/>
      <c r="L334" s="28"/>
      <c r="M334" s="28"/>
      <c r="N334" s="28"/>
      <c r="O334" s="28"/>
      <c r="P334" s="28"/>
      <c r="Q334" s="28"/>
      <c r="R334" s="28"/>
      <c r="S334" s="28"/>
      <c r="T334" s="28"/>
      <c r="U334" s="28"/>
      <c r="V334" s="35"/>
      <c r="W334" s="32"/>
    </row>
    <row r="335" spans="1:23" ht="15.75" customHeight="1" x14ac:dyDescent="0.3">
      <c r="A335" s="3"/>
      <c r="B335" s="3"/>
      <c r="C335" s="28"/>
      <c r="D335" s="28"/>
      <c r="E335" s="28"/>
      <c r="F335" s="28"/>
      <c r="G335" s="28"/>
      <c r="H335" s="28"/>
      <c r="I335" s="28"/>
      <c r="J335" s="28"/>
      <c r="K335" s="28"/>
      <c r="L335" s="28"/>
      <c r="M335" s="28"/>
      <c r="N335" s="28"/>
      <c r="O335" s="28"/>
      <c r="P335" s="28"/>
      <c r="Q335" s="28"/>
      <c r="R335" s="28"/>
      <c r="S335" s="28"/>
      <c r="T335" s="28"/>
      <c r="U335" s="28"/>
      <c r="V335" s="35"/>
      <c r="W335" s="32"/>
    </row>
    <row r="336" spans="1:23" ht="15.75" customHeight="1" x14ac:dyDescent="0.3">
      <c r="A336" s="3"/>
      <c r="B336" s="3"/>
      <c r="C336" s="28"/>
      <c r="D336" s="28"/>
      <c r="E336" s="28"/>
      <c r="F336" s="28"/>
      <c r="G336" s="28"/>
      <c r="H336" s="28"/>
      <c r="I336" s="28"/>
      <c r="J336" s="28"/>
      <c r="K336" s="28"/>
      <c r="L336" s="28"/>
      <c r="M336" s="28"/>
      <c r="N336" s="28"/>
      <c r="O336" s="28"/>
      <c r="P336" s="28"/>
      <c r="Q336" s="28"/>
      <c r="R336" s="28"/>
      <c r="S336" s="28"/>
      <c r="T336" s="28"/>
      <c r="U336" s="28"/>
      <c r="V336" s="35"/>
      <c r="W336" s="32"/>
    </row>
    <row r="337" spans="1:23" ht="15.75" customHeight="1" x14ac:dyDescent="0.3">
      <c r="A337" s="3"/>
      <c r="B337" s="3"/>
      <c r="C337" s="28"/>
      <c r="D337" s="28"/>
      <c r="E337" s="28"/>
      <c r="F337" s="28"/>
      <c r="G337" s="28"/>
      <c r="H337" s="28"/>
      <c r="I337" s="28"/>
      <c r="J337" s="28"/>
      <c r="K337" s="28"/>
      <c r="L337" s="28"/>
      <c r="M337" s="28"/>
      <c r="N337" s="28"/>
      <c r="O337" s="28"/>
      <c r="P337" s="28"/>
      <c r="Q337" s="28"/>
      <c r="R337" s="28"/>
      <c r="S337" s="28"/>
      <c r="T337" s="28"/>
      <c r="U337" s="28"/>
      <c r="V337" s="35"/>
      <c r="W337" s="32"/>
    </row>
    <row r="338" spans="1:23" ht="15.75" customHeight="1" x14ac:dyDescent="0.3">
      <c r="A338" s="3"/>
      <c r="B338" s="3"/>
      <c r="C338" s="28"/>
      <c r="D338" s="28"/>
      <c r="E338" s="28"/>
      <c r="F338" s="28"/>
      <c r="G338" s="28"/>
      <c r="H338" s="28"/>
      <c r="I338" s="28"/>
      <c r="J338" s="28"/>
      <c r="K338" s="28"/>
      <c r="L338" s="28"/>
      <c r="M338" s="28"/>
      <c r="N338" s="28"/>
      <c r="O338" s="28"/>
      <c r="P338" s="28"/>
      <c r="Q338" s="28"/>
      <c r="R338" s="28"/>
      <c r="S338" s="28"/>
      <c r="T338" s="28"/>
      <c r="U338" s="28"/>
      <c r="V338" s="35"/>
      <c r="W338" s="32"/>
    </row>
    <row r="339" spans="1:23" ht="15.75" customHeight="1" x14ac:dyDescent="0.3">
      <c r="A339" s="3"/>
      <c r="B339" s="3"/>
      <c r="C339" s="28"/>
      <c r="D339" s="28"/>
      <c r="E339" s="28"/>
      <c r="F339" s="28"/>
      <c r="G339" s="28"/>
      <c r="H339" s="28"/>
      <c r="I339" s="28"/>
      <c r="J339" s="28"/>
      <c r="K339" s="28"/>
      <c r="L339" s="28"/>
      <c r="M339" s="28"/>
      <c r="N339" s="28"/>
      <c r="O339" s="28"/>
      <c r="P339" s="28"/>
      <c r="Q339" s="28"/>
      <c r="R339" s="28"/>
      <c r="S339" s="28"/>
      <c r="T339" s="28"/>
      <c r="U339" s="28"/>
      <c r="V339" s="35"/>
      <c r="W339" s="32"/>
    </row>
    <row r="340" spans="1:23" ht="15.75" customHeight="1" x14ac:dyDescent="0.3">
      <c r="A340" s="3"/>
      <c r="B340" s="3"/>
      <c r="C340" s="28"/>
      <c r="D340" s="28"/>
      <c r="E340" s="28"/>
      <c r="F340" s="28"/>
      <c r="G340" s="28"/>
      <c r="H340" s="28"/>
      <c r="I340" s="28"/>
      <c r="J340" s="28"/>
      <c r="K340" s="28"/>
      <c r="L340" s="28"/>
      <c r="M340" s="28"/>
      <c r="N340" s="28"/>
      <c r="O340" s="28"/>
      <c r="P340" s="28"/>
      <c r="Q340" s="28"/>
      <c r="R340" s="28"/>
      <c r="S340" s="28"/>
      <c r="T340" s="28"/>
      <c r="U340" s="28"/>
      <c r="V340" s="35"/>
      <c r="W340" s="32"/>
    </row>
    <row r="341" spans="1:23" ht="15.75" customHeight="1" x14ac:dyDescent="0.3">
      <c r="A341" s="3"/>
      <c r="B341" s="3"/>
      <c r="C341" s="28"/>
      <c r="D341" s="28"/>
      <c r="E341" s="28"/>
      <c r="F341" s="28"/>
      <c r="G341" s="28"/>
      <c r="H341" s="28"/>
      <c r="I341" s="28"/>
      <c r="J341" s="28"/>
      <c r="K341" s="28"/>
      <c r="L341" s="28"/>
      <c r="M341" s="28"/>
      <c r="N341" s="28"/>
      <c r="O341" s="28"/>
      <c r="P341" s="28"/>
      <c r="Q341" s="28"/>
      <c r="R341" s="28"/>
      <c r="S341" s="28"/>
      <c r="T341" s="28"/>
      <c r="U341" s="28"/>
      <c r="V341" s="35"/>
      <c r="W341" s="32"/>
    </row>
    <row r="342" spans="1:23" ht="15.75" customHeight="1" x14ac:dyDescent="0.3">
      <c r="A342" s="3"/>
      <c r="B342" s="3"/>
      <c r="C342" s="28"/>
      <c r="D342" s="28"/>
      <c r="E342" s="28"/>
      <c r="F342" s="28"/>
      <c r="G342" s="28"/>
      <c r="H342" s="28"/>
      <c r="I342" s="28"/>
      <c r="J342" s="28"/>
      <c r="K342" s="28"/>
      <c r="L342" s="28"/>
      <c r="M342" s="28"/>
      <c r="N342" s="28"/>
      <c r="O342" s="28"/>
      <c r="P342" s="28"/>
      <c r="Q342" s="28"/>
      <c r="R342" s="28"/>
      <c r="S342" s="28"/>
      <c r="T342" s="28"/>
      <c r="U342" s="28"/>
      <c r="V342" s="35"/>
      <c r="W342" s="32"/>
    </row>
    <row r="343" spans="1:23" ht="15.75" customHeight="1" x14ac:dyDescent="0.3">
      <c r="A343" s="3"/>
      <c r="B343" s="3"/>
      <c r="C343" s="28"/>
      <c r="D343" s="28"/>
      <c r="E343" s="28"/>
      <c r="F343" s="28"/>
      <c r="G343" s="28"/>
      <c r="H343" s="28"/>
      <c r="I343" s="28"/>
      <c r="J343" s="28"/>
      <c r="K343" s="28"/>
      <c r="L343" s="28"/>
      <c r="M343" s="28"/>
      <c r="N343" s="28"/>
      <c r="O343" s="28"/>
      <c r="P343" s="28"/>
      <c r="Q343" s="28"/>
      <c r="R343" s="28"/>
      <c r="S343" s="28"/>
      <c r="T343" s="28"/>
      <c r="U343" s="28"/>
      <c r="V343" s="35"/>
      <c r="W343" s="32"/>
    </row>
    <row r="344" spans="1:23" ht="15.75" customHeight="1" x14ac:dyDescent="0.3">
      <c r="A344" s="3"/>
      <c r="B344" s="3"/>
      <c r="C344" s="28"/>
      <c r="D344" s="28"/>
      <c r="E344" s="28"/>
      <c r="F344" s="28"/>
      <c r="G344" s="28"/>
      <c r="H344" s="28"/>
      <c r="I344" s="28"/>
      <c r="J344" s="28"/>
      <c r="K344" s="28"/>
      <c r="L344" s="28"/>
      <c r="M344" s="28"/>
      <c r="N344" s="28"/>
      <c r="O344" s="28"/>
      <c r="P344" s="28"/>
      <c r="Q344" s="28"/>
      <c r="R344" s="28"/>
      <c r="S344" s="28"/>
      <c r="T344" s="28"/>
      <c r="U344" s="28"/>
      <c r="V344" s="35"/>
      <c r="W344" s="32"/>
    </row>
    <row r="345" spans="1:23" ht="15.75" customHeight="1" x14ac:dyDescent="0.3">
      <c r="A345" s="3"/>
      <c r="B345" s="3"/>
      <c r="C345" s="28"/>
      <c r="D345" s="28"/>
      <c r="E345" s="28"/>
      <c r="F345" s="28"/>
      <c r="G345" s="28"/>
      <c r="H345" s="28"/>
      <c r="I345" s="28"/>
      <c r="J345" s="28"/>
      <c r="K345" s="28"/>
      <c r="L345" s="28"/>
      <c r="M345" s="28"/>
      <c r="N345" s="28"/>
      <c r="O345" s="28"/>
      <c r="P345" s="28"/>
      <c r="Q345" s="28"/>
      <c r="R345" s="28"/>
      <c r="S345" s="28"/>
      <c r="T345" s="28"/>
      <c r="U345" s="28"/>
      <c r="V345" s="35"/>
      <c r="W345" s="32"/>
    </row>
    <row r="346" spans="1:23" ht="15.75" customHeight="1" x14ac:dyDescent="0.3">
      <c r="A346" s="3"/>
      <c r="B346" s="3"/>
      <c r="C346" s="28"/>
      <c r="D346" s="28"/>
      <c r="E346" s="28"/>
      <c r="F346" s="28"/>
      <c r="G346" s="28"/>
      <c r="H346" s="28"/>
      <c r="I346" s="28"/>
      <c r="J346" s="28"/>
      <c r="K346" s="28"/>
      <c r="L346" s="28"/>
      <c r="M346" s="28"/>
      <c r="N346" s="28"/>
      <c r="O346" s="28"/>
      <c r="P346" s="28"/>
      <c r="Q346" s="28"/>
      <c r="R346" s="28"/>
      <c r="S346" s="28"/>
      <c r="T346" s="28"/>
      <c r="U346" s="28"/>
      <c r="V346" s="35"/>
      <c r="W346" s="32"/>
    </row>
    <row r="347" spans="1:23" ht="15.75" customHeight="1" x14ac:dyDescent="0.3">
      <c r="A347" s="3"/>
      <c r="B347" s="3"/>
      <c r="C347" s="28"/>
      <c r="D347" s="28"/>
      <c r="E347" s="28"/>
      <c r="F347" s="28"/>
      <c r="G347" s="28"/>
      <c r="H347" s="28"/>
      <c r="I347" s="28"/>
      <c r="J347" s="28"/>
      <c r="K347" s="28"/>
      <c r="L347" s="28"/>
      <c r="M347" s="28"/>
      <c r="N347" s="28"/>
      <c r="O347" s="28"/>
      <c r="P347" s="28"/>
      <c r="Q347" s="28"/>
      <c r="R347" s="28"/>
      <c r="S347" s="28"/>
      <c r="T347" s="28"/>
      <c r="U347" s="28"/>
      <c r="V347" s="35"/>
      <c r="W347" s="32"/>
    </row>
    <row r="348" spans="1:23" ht="15.75" customHeight="1" x14ac:dyDescent="0.3">
      <c r="A348" s="3"/>
      <c r="B348" s="3"/>
      <c r="C348" s="28"/>
      <c r="D348" s="28"/>
      <c r="E348" s="28"/>
      <c r="F348" s="28"/>
      <c r="G348" s="28"/>
      <c r="H348" s="28"/>
      <c r="I348" s="28"/>
      <c r="J348" s="28"/>
      <c r="K348" s="28"/>
      <c r="L348" s="28"/>
      <c r="M348" s="28"/>
      <c r="N348" s="28"/>
      <c r="O348" s="28"/>
      <c r="P348" s="28"/>
      <c r="Q348" s="28"/>
      <c r="R348" s="28"/>
      <c r="S348" s="28"/>
      <c r="T348" s="28"/>
      <c r="U348" s="28"/>
      <c r="V348" s="35"/>
      <c r="W348" s="32"/>
    </row>
    <row r="349" spans="1:23" ht="15.75" customHeight="1" x14ac:dyDescent="0.3">
      <c r="A349" s="3"/>
      <c r="B349" s="3"/>
      <c r="C349" s="28"/>
      <c r="D349" s="28"/>
      <c r="E349" s="28"/>
      <c r="F349" s="28"/>
      <c r="G349" s="28"/>
      <c r="H349" s="28"/>
      <c r="I349" s="28"/>
      <c r="J349" s="28"/>
      <c r="K349" s="28"/>
      <c r="L349" s="28"/>
      <c r="M349" s="28"/>
      <c r="N349" s="28"/>
      <c r="O349" s="28"/>
      <c r="P349" s="28"/>
      <c r="Q349" s="28"/>
      <c r="R349" s="28"/>
      <c r="S349" s="28"/>
      <c r="T349" s="28"/>
      <c r="U349" s="28"/>
      <c r="V349" s="35"/>
      <c r="W349" s="32"/>
    </row>
    <row r="350" spans="1:23" ht="15.75" customHeight="1" x14ac:dyDescent="0.3">
      <c r="A350" s="3"/>
      <c r="B350" s="3"/>
      <c r="C350" s="28"/>
      <c r="D350" s="28"/>
      <c r="E350" s="28"/>
      <c r="F350" s="28"/>
      <c r="G350" s="28"/>
      <c r="H350" s="28"/>
      <c r="I350" s="28"/>
      <c r="J350" s="28"/>
      <c r="K350" s="28"/>
      <c r="L350" s="28"/>
      <c r="M350" s="28"/>
      <c r="N350" s="28"/>
      <c r="O350" s="28"/>
      <c r="P350" s="28"/>
      <c r="Q350" s="28"/>
      <c r="R350" s="28"/>
      <c r="S350" s="28"/>
      <c r="T350" s="28"/>
      <c r="U350" s="28"/>
      <c r="V350" s="35"/>
      <c r="W350" s="32"/>
    </row>
    <row r="351" spans="1:23" ht="15.75" customHeight="1" x14ac:dyDescent="0.3">
      <c r="A351" s="3"/>
      <c r="B351" s="3"/>
      <c r="C351" s="28"/>
      <c r="D351" s="28"/>
      <c r="E351" s="28"/>
      <c r="F351" s="28"/>
      <c r="G351" s="28"/>
      <c r="H351" s="28"/>
      <c r="I351" s="28"/>
      <c r="J351" s="28"/>
      <c r="K351" s="28"/>
      <c r="L351" s="28"/>
      <c r="M351" s="28"/>
      <c r="N351" s="28"/>
      <c r="O351" s="28"/>
      <c r="P351" s="28"/>
      <c r="Q351" s="28"/>
      <c r="R351" s="28"/>
      <c r="S351" s="28"/>
      <c r="T351" s="28"/>
      <c r="U351" s="28"/>
      <c r="V351" s="35"/>
      <c r="W351" s="32"/>
    </row>
    <row r="352" spans="1:23" ht="15.75" customHeight="1" x14ac:dyDescent="0.3">
      <c r="A352" s="3"/>
      <c r="B352" s="3"/>
      <c r="C352" s="28"/>
      <c r="D352" s="28"/>
      <c r="E352" s="28"/>
      <c r="F352" s="28"/>
      <c r="G352" s="28"/>
      <c r="H352" s="28"/>
      <c r="I352" s="28"/>
      <c r="J352" s="28"/>
      <c r="K352" s="28"/>
      <c r="L352" s="28"/>
      <c r="M352" s="28"/>
      <c r="N352" s="28"/>
      <c r="O352" s="28"/>
      <c r="P352" s="28"/>
      <c r="Q352" s="28"/>
      <c r="R352" s="28"/>
      <c r="S352" s="28"/>
      <c r="T352" s="28"/>
      <c r="U352" s="28"/>
      <c r="V352" s="35"/>
      <c r="W352" s="32"/>
    </row>
    <row r="353" spans="1:23" ht="15.75" customHeight="1" x14ac:dyDescent="0.3">
      <c r="A353" s="3"/>
      <c r="B353" s="3"/>
      <c r="C353" s="28"/>
      <c r="D353" s="28"/>
      <c r="E353" s="28"/>
      <c r="F353" s="28"/>
      <c r="G353" s="28"/>
      <c r="H353" s="28"/>
      <c r="I353" s="28"/>
      <c r="J353" s="28"/>
      <c r="K353" s="28"/>
      <c r="L353" s="28"/>
      <c r="M353" s="28"/>
      <c r="N353" s="28"/>
      <c r="O353" s="28"/>
      <c r="P353" s="28"/>
      <c r="Q353" s="28"/>
      <c r="R353" s="28"/>
      <c r="S353" s="28"/>
      <c r="T353" s="28"/>
      <c r="U353" s="28"/>
      <c r="V353" s="35"/>
      <c r="W353" s="32"/>
    </row>
    <row r="354" spans="1:23" ht="15.75" customHeight="1" x14ac:dyDescent="0.3">
      <c r="A354" s="3"/>
      <c r="B354" s="3"/>
      <c r="C354" s="28"/>
      <c r="D354" s="28"/>
      <c r="E354" s="28"/>
      <c r="F354" s="28"/>
      <c r="G354" s="28"/>
      <c r="H354" s="28"/>
      <c r="I354" s="28"/>
      <c r="J354" s="28"/>
      <c r="K354" s="28"/>
      <c r="L354" s="28"/>
      <c r="M354" s="28"/>
      <c r="N354" s="28"/>
      <c r="O354" s="28"/>
      <c r="P354" s="28"/>
      <c r="Q354" s="28"/>
      <c r="R354" s="28"/>
      <c r="S354" s="28"/>
      <c r="T354" s="28"/>
      <c r="U354" s="28"/>
      <c r="V354" s="35"/>
      <c r="W354" s="32"/>
    </row>
    <row r="355" spans="1:23" ht="15.75" customHeight="1" x14ac:dyDescent="0.3">
      <c r="A355" s="3"/>
      <c r="B355" s="3"/>
      <c r="C355" s="28"/>
      <c r="D355" s="28"/>
      <c r="E355" s="28"/>
      <c r="F355" s="28"/>
      <c r="G355" s="28"/>
      <c r="H355" s="28"/>
      <c r="I355" s="28"/>
      <c r="J355" s="28"/>
      <c r="K355" s="28"/>
      <c r="L355" s="28"/>
      <c r="M355" s="28"/>
      <c r="N355" s="28"/>
      <c r="O355" s="28"/>
      <c r="P355" s="28"/>
      <c r="Q355" s="28"/>
      <c r="R355" s="28"/>
      <c r="S355" s="28"/>
      <c r="T355" s="28"/>
      <c r="U355" s="28"/>
      <c r="V355" s="35"/>
      <c r="W355" s="32"/>
    </row>
    <row r="356" spans="1:23" ht="15.75" customHeight="1" x14ac:dyDescent="0.3">
      <c r="A356" s="3"/>
      <c r="B356" s="3"/>
      <c r="C356" s="28"/>
      <c r="D356" s="28"/>
      <c r="E356" s="28"/>
      <c r="F356" s="28"/>
      <c r="G356" s="28"/>
      <c r="H356" s="28"/>
      <c r="I356" s="28"/>
      <c r="J356" s="28"/>
      <c r="K356" s="28"/>
      <c r="L356" s="28"/>
      <c r="M356" s="28"/>
      <c r="N356" s="28"/>
      <c r="O356" s="28"/>
      <c r="P356" s="28"/>
      <c r="Q356" s="28"/>
      <c r="R356" s="28"/>
      <c r="S356" s="28"/>
      <c r="T356" s="28"/>
      <c r="U356" s="28"/>
      <c r="V356" s="35"/>
      <c r="W356" s="32"/>
    </row>
    <row r="357" spans="1:23" ht="15.75" customHeight="1" x14ac:dyDescent="0.3">
      <c r="A357" s="3"/>
      <c r="B357" s="3"/>
      <c r="C357" s="28"/>
      <c r="D357" s="28"/>
      <c r="E357" s="28"/>
      <c r="F357" s="28"/>
      <c r="G357" s="28"/>
      <c r="H357" s="28"/>
      <c r="I357" s="28"/>
      <c r="J357" s="28"/>
      <c r="K357" s="28"/>
      <c r="L357" s="28"/>
      <c r="M357" s="28"/>
      <c r="N357" s="28"/>
      <c r="O357" s="28"/>
      <c r="P357" s="28"/>
      <c r="Q357" s="28"/>
      <c r="R357" s="28"/>
      <c r="S357" s="28"/>
      <c r="T357" s="28"/>
      <c r="U357" s="28"/>
      <c r="V357" s="35"/>
      <c r="W357" s="32"/>
    </row>
    <row r="358" spans="1:23" ht="15.75" customHeight="1" x14ac:dyDescent="0.3">
      <c r="A358" s="3"/>
      <c r="B358" s="3"/>
      <c r="C358" s="28"/>
      <c r="D358" s="28"/>
      <c r="E358" s="28"/>
      <c r="F358" s="28"/>
      <c r="G358" s="28"/>
      <c r="H358" s="28"/>
      <c r="I358" s="28"/>
      <c r="J358" s="28"/>
      <c r="K358" s="28"/>
      <c r="L358" s="28"/>
      <c r="M358" s="28"/>
      <c r="N358" s="28"/>
      <c r="O358" s="28"/>
      <c r="P358" s="28"/>
      <c r="Q358" s="28"/>
      <c r="R358" s="28"/>
      <c r="S358" s="28"/>
      <c r="T358" s="28"/>
      <c r="U358" s="28"/>
      <c r="V358" s="35"/>
      <c r="W358" s="32"/>
    </row>
    <row r="359" spans="1:23" ht="15.75" customHeight="1" x14ac:dyDescent="0.3">
      <c r="A359" s="3"/>
      <c r="B359" s="3"/>
      <c r="C359" s="28"/>
      <c r="D359" s="28"/>
      <c r="E359" s="28"/>
      <c r="F359" s="28"/>
      <c r="G359" s="28"/>
      <c r="H359" s="28"/>
      <c r="I359" s="28"/>
      <c r="J359" s="28"/>
      <c r="K359" s="28"/>
      <c r="L359" s="28"/>
      <c r="M359" s="28"/>
      <c r="N359" s="28"/>
      <c r="O359" s="28"/>
      <c r="P359" s="28"/>
      <c r="Q359" s="28"/>
      <c r="R359" s="28"/>
      <c r="S359" s="28"/>
      <c r="T359" s="28"/>
      <c r="U359" s="28"/>
      <c r="V359" s="35"/>
      <c r="W359" s="32"/>
    </row>
    <row r="360" spans="1:23" ht="15.75" customHeight="1" x14ac:dyDescent="0.3">
      <c r="A360" s="3"/>
      <c r="B360" s="3"/>
      <c r="C360" s="28"/>
      <c r="D360" s="28"/>
      <c r="E360" s="28"/>
      <c r="F360" s="28"/>
      <c r="G360" s="28"/>
      <c r="H360" s="28"/>
      <c r="I360" s="28"/>
      <c r="J360" s="28"/>
      <c r="K360" s="28"/>
      <c r="L360" s="28"/>
      <c r="M360" s="28"/>
      <c r="N360" s="28"/>
      <c r="O360" s="28"/>
      <c r="P360" s="28"/>
      <c r="Q360" s="28"/>
      <c r="R360" s="28"/>
      <c r="S360" s="28"/>
      <c r="T360" s="28"/>
      <c r="U360" s="28"/>
      <c r="V360" s="35"/>
      <c r="W360" s="32"/>
    </row>
    <row r="361" spans="1:23" ht="15.75" customHeight="1" x14ac:dyDescent="0.3">
      <c r="A361" s="3"/>
      <c r="B361" s="3"/>
      <c r="C361" s="28"/>
      <c r="D361" s="28"/>
      <c r="E361" s="28"/>
      <c r="F361" s="28"/>
      <c r="G361" s="28"/>
      <c r="H361" s="28"/>
      <c r="I361" s="28"/>
      <c r="J361" s="28"/>
      <c r="K361" s="28"/>
      <c r="L361" s="28"/>
      <c r="M361" s="28"/>
      <c r="N361" s="28"/>
      <c r="O361" s="28"/>
      <c r="P361" s="28"/>
      <c r="Q361" s="28"/>
      <c r="R361" s="28"/>
      <c r="S361" s="28"/>
      <c r="T361" s="28"/>
      <c r="U361" s="28"/>
      <c r="V361" s="35"/>
      <c r="W361" s="32"/>
    </row>
    <row r="362" spans="1:23" ht="15.75" customHeight="1" x14ac:dyDescent="0.3">
      <c r="A362" s="3"/>
      <c r="B362" s="3"/>
      <c r="C362" s="28"/>
      <c r="D362" s="28"/>
      <c r="E362" s="28"/>
      <c r="F362" s="28"/>
      <c r="G362" s="28"/>
      <c r="H362" s="28"/>
      <c r="I362" s="28"/>
      <c r="J362" s="28"/>
      <c r="K362" s="28"/>
      <c r="L362" s="28"/>
      <c r="M362" s="28"/>
      <c r="N362" s="28"/>
      <c r="O362" s="28"/>
      <c r="P362" s="28"/>
      <c r="Q362" s="28"/>
      <c r="R362" s="28"/>
      <c r="S362" s="28"/>
      <c r="T362" s="28"/>
      <c r="U362" s="28"/>
      <c r="V362" s="35"/>
      <c r="W362" s="32"/>
    </row>
    <row r="363" spans="1:23" ht="15.75" customHeight="1" x14ac:dyDescent="0.3">
      <c r="A363" s="3"/>
      <c r="B363" s="3"/>
      <c r="C363" s="28"/>
      <c r="D363" s="28"/>
      <c r="E363" s="28"/>
      <c r="F363" s="28"/>
      <c r="G363" s="28"/>
      <c r="H363" s="28"/>
      <c r="I363" s="28"/>
      <c r="J363" s="28"/>
      <c r="K363" s="28"/>
      <c r="L363" s="28"/>
      <c r="M363" s="28"/>
      <c r="N363" s="28"/>
      <c r="O363" s="28"/>
      <c r="P363" s="28"/>
      <c r="Q363" s="28"/>
      <c r="R363" s="28"/>
      <c r="S363" s="28"/>
      <c r="T363" s="28"/>
      <c r="U363" s="28"/>
      <c r="V363" s="35"/>
      <c r="W363" s="32"/>
    </row>
    <row r="364" spans="1:23" ht="15.75" customHeight="1" x14ac:dyDescent="0.3">
      <c r="A364" s="3"/>
      <c r="B364" s="3"/>
      <c r="C364" s="28"/>
      <c r="D364" s="28"/>
      <c r="E364" s="28"/>
      <c r="F364" s="28"/>
      <c r="G364" s="28"/>
      <c r="H364" s="28"/>
      <c r="I364" s="28"/>
      <c r="J364" s="28"/>
      <c r="K364" s="28"/>
      <c r="L364" s="28"/>
      <c r="M364" s="28"/>
      <c r="N364" s="28"/>
      <c r="O364" s="28"/>
      <c r="P364" s="28"/>
      <c r="Q364" s="28"/>
      <c r="R364" s="28"/>
      <c r="S364" s="28"/>
      <c r="T364" s="28"/>
      <c r="U364" s="28"/>
      <c r="V364" s="35"/>
      <c r="W364" s="32"/>
    </row>
    <row r="365" spans="1:23" ht="15.75" customHeight="1" x14ac:dyDescent="0.3">
      <c r="A365" s="3"/>
      <c r="B365" s="3"/>
      <c r="C365" s="28"/>
      <c r="D365" s="28"/>
      <c r="E365" s="28"/>
      <c r="F365" s="28"/>
      <c r="G365" s="28"/>
      <c r="H365" s="28"/>
      <c r="I365" s="28"/>
      <c r="J365" s="28"/>
      <c r="K365" s="28"/>
      <c r="L365" s="28"/>
      <c r="M365" s="28"/>
      <c r="N365" s="28"/>
      <c r="O365" s="28"/>
      <c r="P365" s="28"/>
      <c r="Q365" s="28"/>
      <c r="R365" s="28"/>
      <c r="S365" s="28"/>
      <c r="T365" s="28"/>
      <c r="U365" s="28"/>
      <c r="V365" s="35"/>
      <c r="W365" s="32"/>
    </row>
    <row r="366" spans="1:23" ht="15.75" customHeight="1" x14ac:dyDescent="0.3">
      <c r="A366" s="3"/>
      <c r="B366" s="3"/>
      <c r="C366" s="28"/>
      <c r="D366" s="28"/>
      <c r="E366" s="28"/>
      <c r="F366" s="28"/>
      <c r="G366" s="28"/>
      <c r="H366" s="28"/>
      <c r="I366" s="28"/>
      <c r="J366" s="28"/>
      <c r="K366" s="28"/>
      <c r="L366" s="28"/>
      <c r="M366" s="28"/>
      <c r="N366" s="28"/>
      <c r="O366" s="28"/>
      <c r="P366" s="28"/>
      <c r="Q366" s="28"/>
      <c r="R366" s="28"/>
      <c r="S366" s="28"/>
      <c r="T366" s="28"/>
      <c r="U366" s="28"/>
      <c r="V366" s="35"/>
      <c r="W366" s="32"/>
    </row>
    <row r="367" spans="1:23" ht="15.75" customHeight="1" x14ac:dyDescent="0.3">
      <c r="A367" s="3"/>
      <c r="B367" s="3"/>
      <c r="C367" s="28"/>
      <c r="D367" s="28"/>
      <c r="E367" s="28"/>
      <c r="F367" s="28"/>
      <c r="G367" s="28"/>
      <c r="H367" s="28"/>
      <c r="I367" s="28"/>
      <c r="J367" s="28"/>
      <c r="K367" s="28"/>
      <c r="L367" s="28"/>
      <c r="M367" s="28"/>
      <c r="N367" s="28"/>
      <c r="O367" s="28"/>
      <c r="P367" s="28"/>
      <c r="Q367" s="28"/>
      <c r="R367" s="28"/>
      <c r="S367" s="28"/>
      <c r="T367" s="28"/>
      <c r="U367" s="28"/>
      <c r="V367" s="35"/>
      <c r="W367" s="32"/>
    </row>
    <row r="368" spans="1:23" ht="15.75" customHeight="1" x14ac:dyDescent="0.3">
      <c r="A368" s="3"/>
      <c r="B368" s="3"/>
      <c r="C368" s="28"/>
      <c r="D368" s="28"/>
      <c r="E368" s="28"/>
      <c r="F368" s="28"/>
      <c r="G368" s="28"/>
      <c r="H368" s="28"/>
      <c r="I368" s="28"/>
      <c r="J368" s="28"/>
      <c r="K368" s="28"/>
      <c r="L368" s="28"/>
      <c r="M368" s="28"/>
      <c r="N368" s="28"/>
      <c r="O368" s="28"/>
      <c r="P368" s="28"/>
      <c r="Q368" s="28"/>
      <c r="R368" s="28"/>
      <c r="S368" s="28"/>
      <c r="T368" s="28"/>
      <c r="U368" s="28"/>
      <c r="V368" s="35"/>
      <c r="W368" s="32"/>
    </row>
    <row r="369" spans="1:23" ht="15.75" customHeight="1" x14ac:dyDescent="0.3">
      <c r="A369" s="3"/>
      <c r="B369" s="3"/>
      <c r="C369" s="28"/>
      <c r="D369" s="28"/>
      <c r="E369" s="28"/>
      <c r="F369" s="28"/>
      <c r="G369" s="28"/>
      <c r="H369" s="28"/>
      <c r="I369" s="28"/>
      <c r="J369" s="28"/>
      <c r="K369" s="28"/>
      <c r="L369" s="28"/>
      <c r="M369" s="28"/>
      <c r="N369" s="28"/>
      <c r="O369" s="28"/>
      <c r="P369" s="28"/>
      <c r="Q369" s="28"/>
      <c r="R369" s="28"/>
      <c r="S369" s="28"/>
      <c r="T369" s="28"/>
      <c r="U369" s="28"/>
      <c r="V369" s="35"/>
      <c r="W369" s="32"/>
    </row>
    <row r="370" spans="1:23" ht="15.75" customHeight="1" x14ac:dyDescent="0.3">
      <c r="A370" s="3"/>
      <c r="B370" s="3"/>
      <c r="C370" s="28"/>
      <c r="D370" s="28"/>
      <c r="E370" s="28"/>
      <c r="F370" s="28"/>
      <c r="G370" s="28"/>
      <c r="H370" s="28"/>
      <c r="I370" s="28"/>
      <c r="J370" s="28"/>
      <c r="K370" s="28"/>
      <c r="L370" s="28"/>
      <c r="M370" s="28"/>
      <c r="N370" s="28"/>
      <c r="O370" s="28"/>
      <c r="P370" s="28"/>
      <c r="Q370" s="28"/>
      <c r="R370" s="28"/>
      <c r="S370" s="28"/>
      <c r="T370" s="28"/>
      <c r="U370" s="28"/>
      <c r="V370" s="35"/>
      <c r="W370" s="32"/>
    </row>
    <row r="371" spans="1:23" ht="15.75" customHeight="1" x14ac:dyDescent="0.3">
      <c r="A371" s="3"/>
      <c r="B371" s="3"/>
      <c r="C371" s="28"/>
      <c r="D371" s="28"/>
      <c r="E371" s="28"/>
      <c r="F371" s="28"/>
      <c r="G371" s="28"/>
      <c r="H371" s="28"/>
      <c r="I371" s="28"/>
      <c r="J371" s="28"/>
      <c r="K371" s="28"/>
      <c r="L371" s="28"/>
      <c r="M371" s="28"/>
      <c r="N371" s="28"/>
      <c r="O371" s="28"/>
      <c r="P371" s="28"/>
      <c r="Q371" s="28"/>
      <c r="R371" s="28"/>
      <c r="S371" s="28"/>
      <c r="T371" s="28"/>
      <c r="U371" s="28"/>
      <c r="V371" s="35"/>
      <c r="W371" s="32"/>
    </row>
    <row r="372" spans="1:23" ht="15.75" customHeight="1" x14ac:dyDescent="0.3">
      <c r="A372" s="3"/>
      <c r="B372" s="3"/>
      <c r="C372" s="28"/>
      <c r="D372" s="28"/>
      <c r="E372" s="28"/>
      <c r="F372" s="28"/>
      <c r="G372" s="28"/>
      <c r="H372" s="28"/>
      <c r="I372" s="28"/>
      <c r="J372" s="28"/>
      <c r="K372" s="28"/>
      <c r="L372" s="28"/>
      <c r="M372" s="28"/>
      <c r="N372" s="28"/>
      <c r="O372" s="28"/>
      <c r="P372" s="28"/>
      <c r="Q372" s="28"/>
      <c r="R372" s="28"/>
      <c r="S372" s="28"/>
      <c r="T372" s="28"/>
      <c r="U372" s="28"/>
      <c r="V372" s="35"/>
      <c r="W372" s="32"/>
    </row>
    <row r="373" spans="1:23" ht="15.75" customHeight="1" x14ac:dyDescent="0.3">
      <c r="A373" s="3"/>
      <c r="B373" s="3"/>
      <c r="C373" s="28"/>
      <c r="D373" s="28"/>
      <c r="E373" s="28"/>
      <c r="F373" s="28"/>
      <c r="G373" s="28"/>
      <c r="H373" s="28"/>
      <c r="I373" s="28"/>
      <c r="J373" s="28"/>
      <c r="K373" s="28"/>
      <c r="L373" s="28"/>
      <c r="M373" s="28"/>
      <c r="N373" s="28"/>
      <c r="O373" s="28"/>
      <c r="P373" s="28"/>
      <c r="Q373" s="28"/>
      <c r="R373" s="28"/>
      <c r="S373" s="28"/>
      <c r="T373" s="28"/>
      <c r="U373" s="28"/>
      <c r="V373" s="35"/>
      <c r="W373" s="32"/>
    </row>
    <row r="374" spans="1:23" ht="15.75" customHeight="1" x14ac:dyDescent="0.3">
      <c r="A374" s="3"/>
      <c r="B374" s="3"/>
      <c r="C374" s="28"/>
      <c r="D374" s="28"/>
      <c r="E374" s="28"/>
      <c r="F374" s="28"/>
      <c r="G374" s="28"/>
      <c r="H374" s="28"/>
      <c r="I374" s="28"/>
      <c r="J374" s="28"/>
      <c r="K374" s="28"/>
      <c r="L374" s="28"/>
      <c r="M374" s="28"/>
      <c r="N374" s="28"/>
      <c r="O374" s="28"/>
      <c r="P374" s="28"/>
      <c r="Q374" s="28"/>
      <c r="R374" s="28"/>
      <c r="S374" s="28"/>
      <c r="T374" s="28"/>
      <c r="U374" s="28"/>
      <c r="V374" s="35"/>
      <c r="W374" s="32"/>
    </row>
    <row r="375" spans="1:23" ht="15.75" customHeight="1" x14ac:dyDescent="0.3">
      <c r="A375" s="3"/>
      <c r="B375" s="3"/>
      <c r="C375" s="28"/>
      <c r="D375" s="28"/>
      <c r="E375" s="28"/>
      <c r="F375" s="28"/>
      <c r="G375" s="28"/>
      <c r="H375" s="28"/>
      <c r="I375" s="28"/>
      <c r="J375" s="28"/>
      <c r="K375" s="28"/>
      <c r="L375" s="28"/>
      <c r="M375" s="28"/>
      <c r="N375" s="28"/>
      <c r="O375" s="28"/>
      <c r="P375" s="28"/>
      <c r="Q375" s="28"/>
      <c r="R375" s="28"/>
      <c r="S375" s="28"/>
      <c r="T375" s="28"/>
      <c r="U375" s="28"/>
      <c r="V375" s="35"/>
      <c r="W375" s="32"/>
    </row>
    <row r="376" spans="1:23" ht="15.75" customHeight="1" x14ac:dyDescent="0.3">
      <c r="A376" s="3"/>
      <c r="B376" s="3"/>
      <c r="C376" s="28"/>
      <c r="D376" s="28"/>
      <c r="E376" s="28"/>
      <c r="F376" s="28"/>
      <c r="G376" s="28"/>
      <c r="H376" s="28"/>
      <c r="I376" s="28"/>
      <c r="J376" s="28"/>
      <c r="K376" s="28"/>
      <c r="L376" s="28"/>
      <c r="M376" s="28"/>
      <c r="N376" s="28"/>
      <c r="O376" s="28"/>
      <c r="P376" s="28"/>
      <c r="Q376" s="28"/>
      <c r="R376" s="28"/>
      <c r="S376" s="28"/>
      <c r="T376" s="28"/>
      <c r="U376" s="28"/>
      <c r="V376" s="35"/>
      <c r="W376" s="32"/>
    </row>
    <row r="377" spans="1:23" ht="15.75" customHeight="1" x14ac:dyDescent="0.3">
      <c r="A377" s="3"/>
      <c r="B377" s="3"/>
      <c r="C377" s="28"/>
      <c r="D377" s="28"/>
      <c r="E377" s="28"/>
      <c r="F377" s="28"/>
      <c r="G377" s="28"/>
      <c r="H377" s="28"/>
      <c r="I377" s="28"/>
      <c r="J377" s="28"/>
      <c r="K377" s="28"/>
      <c r="L377" s="28"/>
      <c r="M377" s="28"/>
      <c r="N377" s="28"/>
      <c r="O377" s="28"/>
      <c r="P377" s="28"/>
      <c r="Q377" s="28"/>
      <c r="R377" s="28"/>
      <c r="S377" s="28"/>
      <c r="T377" s="28"/>
      <c r="U377" s="28"/>
      <c r="V377" s="35"/>
      <c r="W377" s="32"/>
    </row>
    <row r="378" spans="1:23" ht="15.75" customHeight="1" x14ac:dyDescent="0.3"/>
    <row r="379" spans="1:23" ht="15.75" customHeight="1" x14ac:dyDescent="0.3"/>
    <row r="380" spans="1:23" ht="15.75" customHeight="1" x14ac:dyDescent="0.3"/>
    <row r="381" spans="1:23" ht="15.75" customHeight="1" x14ac:dyDescent="0.3"/>
    <row r="382" spans="1:23" ht="15.75" customHeight="1" x14ac:dyDescent="0.3"/>
    <row r="383" spans="1:23" ht="15.75" customHeight="1" x14ac:dyDescent="0.3"/>
    <row r="384" spans="1:23"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77" xr:uid="{00000000-0009-0000-0000-000005000000}"/>
  <mergeCells count="35">
    <mergeCell ref="G90:G91"/>
    <mergeCell ref="G95:G96"/>
    <mergeCell ref="G98:G99"/>
    <mergeCell ref="G49:G50"/>
    <mergeCell ref="G51:G52"/>
    <mergeCell ref="G53:G54"/>
    <mergeCell ref="G55:G56"/>
    <mergeCell ref="G58:G59"/>
    <mergeCell ref="G61:G62"/>
    <mergeCell ref="G71:G72"/>
    <mergeCell ref="G47:G48"/>
    <mergeCell ref="G76:G77"/>
    <mergeCell ref="G82:G83"/>
    <mergeCell ref="G84:G85"/>
    <mergeCell ref="G86:G88"/>
    <mergeCell ref="G32:G33"/>
    <mergeCell ref="G34:G35"/>
    <mergeCell ref="G38:G39"/>
    <mergeCell ref="G40:G43"/>
    <mergeCell ref="G45:G46"/>
    <mergeCell ref="G21:G22"/>
    <mergeCell ref="G23:G24"/>
    <mergeCell ref="G25:G26"/>
    <mergeCell ref="G28:G29"/>
    <mergeCell ref="G30:G31"/>
    <mergeCell ref="G11:G12"/>
    <mergeCell ref="G13:G14"/>
    <mergeCell ref="G15:G16"/>
    <mergeCell ref="G17:G18"/>
    <mergeCell ref="G19:G20"/>
    <mergeCell ref="B2:B3"/>
    <mergeCell ref="B4:B5"/>
    <mergeCell ref="H4:H5"/>
    <mergeCell ref="I4:I5"/>
    <mergeCell ref="G7:G10"/>
  </mergeCells>
  <conditionalFormatting sqref="V6:V126">
    <cfRule type="cellIs" dxfId="33" priority="1" operator="equal">
      <formula>"Diferente"</formula>
    </cfRule>
    <cfRule type="cellIs" dxfId="32" priority="2" operator="equal">
      <formula>"OK"</formula>
    </cfRule>
  </conditionalFormatting>
  <dataValidations count="1">
    <dataValidation type="list" allowBlank="1" showErrorMessage="1" sqref="D7:D126 D129:D130 D132:D134 D136:D138 D140:D142 D144:D146 D149:D152 D154:D157 D159:D161 D163:D165 D167:D169 D171:D177" xr:uid="{00000000-0002-0000-0500-000001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'Plano de contas DG'!$C$5:$C$38</xm:f>
          </x14:formula1>
          <xm:sqref>I6:I48 I51:I67 I69:I75 I78:I177</xm:sqref>
        </x14:dataValidation>
        <x14:dataValidation type="list" allowBlank="1" showErrorMessage="1" xr:uid="{00000000-0002-0000-0500-000002000000}">
          <x14:formula1>
            <xm:f>Caixa!$B$5:$B$7</xm:f>
          </x14:formula1>
          <xm:sqref>H6:H48 H51:H177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36.10937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9.5" customHeight="1" x14ac:dyDescent="0.3">
      <c r="A4" s="3"/>
      <c r="B4" s="220" t="s">
        <v>74</v>
      </c>
      <c r="C4" s="39" t="s">
        <v>44</v>
      </c>
      <c r="D4" s="39" t="s">
        <v>44</v>
      </c>
      <c r="E4" s="18">
        <f>SUBTOTAL(9,E12,E37,E24,E105,E130,E136,E43,E6,E20,E192,E233,E142,E152,E162,E172,E182,E58)</f>
        <v>0</v>
      </c>
      <c r="F4" s="18">
        <f>SUBTOTAL(9,F12,F37,F24,F95,F105,F130,F136,F43,F6,F20,F192,F233,F142,F152,F162,F172,F182,F58)</f>
        <v>20359.32</v>
      </c>
      <c r="G4" s="39" t="s">
        <v>44</v>
      </c>
      <c r="H4" s="230" t="s">
        <v>1</v>
      </c>
      <c r="I4" s="236" t="s">
        <v>271</v>
      </c>
      <c r="J4" s="230" t="s">
        <v>75</v>
      </c>
      <c r="K4" s="28"/>
      <c r="L4" s="28"/>
      <c r="M4" s="28"/>
      <c r="N4" s="28"/>
      <c r="O4" s="28"/>
      <c r="P4" s="28"/>
      <c r="Q4" s="28"/>
      <c r="R4" s="28"/>
      <c r="S4" s="28"/>
      <c r="T4" s="28"/>
      <c r="U4" s="3"/>
      <c r="W4" s="3"/>
      <c r="X4" s="3"/>
      <c r="Y4" s="3"/>
      <c r="Z4" s="3"/>
    </row>
    <row r="5" spans="1:26" ht="15" customHeight="1"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 t="shared" ref="E6:F6" si="0">SUM(E7:E11)</f>
        <v>0</v>
      </c>
      <c r="F6" s="77">
        <f t="shared" si="0"/>
        <v>2464.52</v>
      </c>
      <c r="G6" s="78"/>
      <c r="H6" s="78"/>
      <c r="I6" s="79"/>
      <c r="J6" s="78"/>
      <c r="K6" s="28"/>
      <c r="L6" s="28"/>
      <c r="M6" s="28"/>
      <c r="N6" s="28"/>
      <c r="O6" s="28"/>
      <c r="P6" s="28"/>
      <c r="Q6" s="28"/>
      <c r="R6" s="28"/>
      <c r="S6" s="28"/>
      <c r="T6" s="28"/>
      <c r="U6" s="3"/>
      <c r="W6" s="3"/>
      <c r="X6" s="3"/>
      <c r="Y6" s="3"/>
      <c r="Z6" s="3"/>
    </row>
    <row r="7" spans="1:26" ht="60" outlineLevel="1" x14ac:dyDescent="0.3">
      <c r="A7" s="3"/>
      <c r="B7" s="9" t="s">
        <v>274</v>
      </c>
      <c r="C7" s="71" t="s">
        <v>275</v>
      </c>
      <c r="D7" s="53" t="s">
        <v>95</v>
      </c>
      <c r="E7" s="11">
        <v>0</v>
      </c>
      <c r="F7" s="11">
        <f>669.38+669.38</f>
        <v>1338.76</v>
      </c>
      <c r="G7" s="80" t="s">
        <v>276</v>
      </c>
      <c r="H7" s="56" t="s">
        <v>37</v>
      </c>
      <c r="I7" s="80" t="s">
        <v>277</v>
      </c>
      <c r="J7" s="56"/>
      <c r="K7" s="28"/>
      <c r="L7" s="28"/>
      <c r="M7" s="28"/>
      <c r="N7" s="28"/>
      <c r="O7" s="28"/>
      <c r="P7" s="28"/>
      <c r="Q7" s="28"/>
      <c r="R7" s="28"/>
      <c r="S7" s="28"/>
      <c r="T7" s="28"/>
      <c r="U7" s="3"/>
      <c r="W7" s="3"/>
      <c r="X7" s="3"/>
      <c r="Y7" s="3"/>
      <c r="Z7" s="3"/>
    </row>
    <row r="8" spans="1:26" ht="24" outlineLevel="1" x14ac:dyDescent="0.3">
      <c r="A8" s="3"/>
      <c r="B8" s="9" t="s">
        <v>278</v>
      </c>
      <c r="C8" s="53">
        <v>20</v>
      </c>
      <c r="D8" s="53" t="s">
        <v>95</v>
      </c>
      <c r="E8" s="11">
        <v>0</v>
      </c>
      <c r="F8" s="11">
        <v>325.99</v>
      </c>
      <c r="G8" s="56" t="s">
        <v>279</v>
      </c>
      <c r="H8" s="56" t="s">
        <v>37</v>
      </c>
      <c r="I8" s="81" t="s">
        <v>280</v>
      </c>
      <c r="J8" s="56"/>
      <c r="K8" s="28"/>
      <c r="L8" s="28"/>
      <c r="M8" s="28"/>
      <c r="N8" s="28"/>
      <c r="O8" s="28"/>
      <c r="P8" s="28"/>
      <c r="Q8" s="28"/>
      <c r="R8" s="28"/>
      <c r="S8" s="28"/>
      <c r="T8" s="28"/>
      <c r="U8" s="3"/>
      <c r="W8" s="3"/>
      <c r="X8" s="3"/>
      <c r="Y8" s="3"/>
      <c r="Z8" s="3"/>
    </row>
    <row r="9" spans="1:26" ht="14.4" outlineLevel="1" x14ac:dyDescent="0.3">
      <c r="A9" s="3"/>
      <c r="B9" s="9" t="s">
        <v>281</v>
      </c>
      <c r="C9" s="53"/>
      <c r="D9" s="53"/>
      <c r="E9" s="11">
        <v>0</v>
      </c>
      <c r="F9" s="11">
        <v>0</v>
      </c>
      <c r="G9" s="56"/>
      <c r="H9" s="56"/>
      <c r="I9" s="80"/>
      <c r="J9" s="56"/>
      <c r="K9" s="28"/>
      <c r="L9" s="28"/>
      <c r="M9" s="28"/>
      <c r="N9" s="28"/>
      <c r="O9" s="28"/>
      <c r="P9" s="28"/>
      <c r="Q9" s="28"/>
      <c r="R9" s="28"/>
      <c r="S9" s="28"/>
      <c r="T9" s="28"/>
      <c r="U9" s="3"/>
      <c r="W9" s="3"/>
      <c r="X9" s="3"/>
      <c r="Y9" s="3"/>
      <c r="Z9" s="3"/>
    </row>
    <row r="10" spans="1:26" ht="60" outlineLevel="1" x14ac:dyDescent="0.3">
      <c r="A10" s="3"/>
      <c r="B10" s="9" t="s">
        <v>282</v>
      </c>
      <c r="C10" s="71" t="s">
        <v>283</v>
      </c>
      <c r="D10" s="53" t="s">
        <v>95</v>
      </c>
      <c r="E10" s="11">
        <v>0</v>
      </c>
      <c r="F10" s="11">
        <f>263.06+40.12+92.04+11.51+263.06</f>
        <v>669.79</v>
      </c>
      <c r="G10" s="80" t="s">
        <v>284</v>
      </c>
      <c r="H10" s="56" t="s">
        <v>37</v>
      </c>
      <c r="I10" s="81" t="s">
        <v>285</v>
      </c>
      <c r="J10" s="80"/>
      <c r="K10" s="28"/>
      <c r="L10" s="28"/>
      <c r="M10" s="28"/>
      <c r="N10" s="28"/>
      <c r="O10" s="28"/>
      <c r="P10" s="28"/>
      <c r="Q10" s="28"/>
      <c r="R10" s="28"/>
      <c r="S10" s="28"/>
      <c r="T10" s="28"/>
      <c r="U10" s="3"/>
      <c r="W10" s="3"/>
      <c r="X10" s="3"/>
      <c r="Y10" s="3"/>
      <c r="Z10" s="3"/>
    </row>
    <row r="11" spans="1:26" ht="24" outlineLevel="1" x14ac:dyDescent="0.3">
      <c r="A11" s="3"/>
      <c r="B11" s="9" t="s">
        <v>66</v>
      </c>
      <c r="C11" s="53">
        <v>22</v>
      </c>
      <c r="D11" s="53" t="s">
        <v>95</v>
      </c>
      <c r="E11" s="11">
        <v>0</v>
      </c>
      <c r="F11" s="11">
        <v>129.97999999999999</v>
      </c>
      <c r="G11" s="56" t="s">
        <v>286</v>
      </c>
      <c r="H11" s="56" t="s">
        <v>37</v>
      </c>
      <c r="I11" s="81" t="s">
        <v>287</v>
      </c>
      <c r="J11" s="56"/>
      <c r="K11" s="28"/>
      <c r="L11" s="28"/>
      <c r="M11" s="28"/>
      <c r="N11" s="28"/>
      <c r="O11" s="28"/>
      <c r="P11" s="28"/>
      <c r="Q11" s="28"/>
      <c r="R11" s="28"/>
      <c r="S11" s="28"/>
      <c r="T11" s="28"/>
      <c r="U11" s="3"/>
      <c r="W11" s="3"/>
      <c r="X11" s="3"/>
      <c r="Y11" s="3"/>
      <c r="Z11" s="3"/>
    </row>
    <row r="12" spans="1:26" ht="20.399999999999999" x14ac:dyDescent="0.3">
      <c r="A12" s="3"/>
      <c r="B12" s="75" t="s">
        <v>288</v>
      </c>
      <c r="C12" s="76" t="s">
        <v>44</v>
      </c>
      <c r="D12" s="76" t="s">
        <v>44</v>
      </c>
      <c r="E12" s="77">
        <f t="shared" ref="E12:F12" si="1">SUM(E13:E19)</f>
        <v>0</v>
      </c>
      <c r="F12" s="77">
        <f t="shared" si="1"/>
        <v>5194.16</v>
      </c>
      <c r="G12" s="78"/>
      <c r="H12" s="78"/>
      <c r="I12" s="79"/>
      <c r="J12" s="78"/>
      <c r="K12" s="28"/>
      <c r="L12" s="28"/>
      <c r="M12" s="28"/>
      <c r="N12" s="28"/>
      <c r="O12" s="28"/>
      <c r="P12" s="28"/>
      <c r="Q12" s="28"/>
      <c r="R12" s="28"/>
      <c r="S12" s="28"/>
      <c r="T12" s="28"/>
      <c r="U12" s="3"/>
    </row>
    <row r="13" spans="1:26" ht="24" hidden="1" outlineLevel="1" x14ac:dyDescent="0.3">
      <c r="A13" s="3"/>
      <c r="B13" s="9" t="s">
        <v>289</v>
      </c>
      <c r="C13" s="53">
        <v>20</v>
      </c>
      <c r="D13" s="53" t="s">
        <v>95</v>
      </c>
      <c r="E13" s="11">
        <v>0</v>
      </c>
      <c r="F13" s="11">
        <v>2432.4299999999998</v>
      </c>
      <c r="G13" s="56"/>
      <c r="H13" s="56" t="s">
        <v>235</v>
      </c>
      <c r="I13" s="81" t="s">
        <v>290</v>
      </c>
      <c r="J13" s="56"/>
      <c r="K13" s="28"/>
      <c r="L13" s="28"/>
      <c r="M13" s="28"/>
      <c r="N13" s="28"/>
      <c r="O13" s="28"/>
      <c r="P13" s="28"/>
      <c r="Q13" s="28"/>
      <c r="R13" s="28"/>
      <c r="S13" s="28"/>
      <c r="T13" s="28"/>
      <c r="U13" s="3"/>
    </row>
    <row r="14" spans="1:26" ht="24" hidden="1" outlineLevel="1" x14ac:dyDescent="0.3">
      <c r="A14" s="3"/>
      <c r="B14" s="9" t="s">
        <v>291</v>
      </c>
      <c r="C14" s="53">
        <v>14</v>
      </c>
      <c r="D14" s="53" t="s">
        <v>95</v>
      </c>
      <c r="E14" s="11">
        <v>0</v>
      </c>
      <c r="F14" s="11">
        <v>1597</v>
      </c>
      <c r="G14" s="56"/>
      <c r="H14" s="56" t="s">
        <v>235</v>
      </c>
      <c r="I14" s="81" t="s">
        <v>292</v>
      </c>
      <c r="J14" s="56"/>
      <c r="K14" s="28"/>
      <c r="L14" s="28"/>
      <c r="M14" s="28"/>
      <c r="N14" s="28"/>
      <c r="O14" s="28"/>
      <c r="P14" s="28"/>
      <c r="Q14" s="28"/>
      <c r="R14" s="28"/>
      <c r="S14" s="28"/>
      <c r="T14" s="28"/>
      <c r="U14" s="3"/>
      <c r="V14" s="14"/>
    </row>
    <row r="15" spans="1:26" ht="24" hidden="1" outlineLevel="1" x14ac:dyDescent="0.3">
      <c r="A15" s="3"/>
      <c r="B15" s="9" t="s">
        <v>293</v>
      </c>
      <c r="C15" s="53">
        <v>1</v>
      </c>
      <c r="D15" s="53" t="s">
        <v>95</v>
      </c>
      <c r="E15" s="11">
        <v>0</v>
      </c>
      <c r="F15" s="11">
        <v>75</v>
      </c>
      <c r="G15" s="56"/>
      <c r="H15" s="56" t="s">
        <v>37</v>
      </c>
      <c r="I15" s="81" t="s">
        <v>294</v>
      </c>
      <c r="J15" s="56"/>
      <c r="K15" s="28"/>
      <c r="L15" s="28"/>
      <c r="M15" s="28"/>
      <c r="N15" s="28"/>
      <c r="O15" s="28"/>
      <c r="P15" s="28"/>
      <c r="Q15" s="28"/>
      <c r="R15" s="28"/>
      <c r="S15" s="28"/>
      <c r="T15" s="28"/>
      <c r="U15" s="3"/>
      <c r="V15" s="14"/>
    </row>
    <row r="16" spans="1:26" ht="36" hidden="1" outlineLevel="1" x14ac:dyDescent="0.3">
      <c r="A16" s="3"/>
      <c r="B16" s="9" t="s">
        <v>295</v>
      </c>
      <c r="C16" s="53">
        <v>29</v>
      </c>
      <c r="D16" s="53" t="s">
        <v>95</v>
      </c>
      <c r="E16" s="11">
        <v>0</v>
      </c>
      <c r="F16" s="11">
        <f>1089.73</f>
        <v>1089.73</v>
      </c>
      <c r="G16" s="80" t="s">
        <v>296</v>
      </c>
      <c r="H16" s="56" t="s">
        <v>37</v>
      </c>
      <c r="I16" s="81" t="s">
        <v>297</v>
      </c>
      <c r="J16" s="56"/>
      <c r="K16" s="28"/>
      <c r="L16" s="28"/>
      <c r="M16" s="28"/>
      <c r="N16" s="28"/>
      <c r="O16" s="28"/>
      <c r="P16" s="28"/>
      <c r="Q16" s="28"/>
      <c r="R16" s="28"/>
      <c r="S16" s="28"/>
      <c r="T16" s="28"/>
      <c r="U16" s="3"/>
    </row>
    <row r="17" spans="1:26" ht="14.4" hidden="1" outlineLevel="1" x14ac:dyDescent="0.3">
      <c r="A17" s="3"/>
      <c r="B17" s="9" t="s">
        <v>298</v>
      </c>
      <c r="C17" s="53"/>
      <c r="D17" s="53"/>
      <c r="E17" s="11">
        <v>0</v>
      </c>
      <c r="F17" s="11">
        <v>0</v>
      </c>
      <c r="G17" s="56"/>
      <c r="H17" s="56"/>
      <c r="I17" s="80"/>
      <c r="J17" s="56"/>
      <c r="K17" s="28"/>
      <c r="L17" s="28"/>
      <c r="M17" s="28"/>
      <c r="N17" s="28"/>
      <c r="O17" s="28"/>
      <c r="P17" s="28"/>
      <c r="Q17" s="28"/>
      <c r="R17" s="28"/>
      <c r="S17" s="28"/>
      <c r="T17" s="28"/>
      <c r="U17" s="3"/>
    </row>
    <row r="18" spans="1:26" ht="14.4" hidden="1" outlineLevel="1" x14ac:dyDescent="0.3">
      <c r="A18" s="3"/>
      <c r="B18" s="9" t="s">
        <v>299</v>
      </c>
      <c r="C18" s="53"/>
      <c r="D18" s="53"/>
      <c r="E18" s="11">
        <v>0</v>
      </c>
      <c r="F18" s="11">
        <v>0</v>
      </c>
      <c r="G18" s="56"/>
      <c r="H18" s="56"/>
      <c r="I18" s="80"/>
      <c r="J18" s="56"/>
      <c r="K18" s="28"/>
      <c r="L18" s="28"/>
      <c r="M18" s="28"/>
      <c r="N18" s="28"/>
      <c r="O18" s="28"/>
      <c r="P18" s="28"/>
      <c r="Q18" s="28"/>
      <c r="R18" s="28"/>
      <c r="S18" s="28"/>
      <c r="T18" s="28"/>
      <c r="U18" s="3"/>
    </row>
    <row r="19" spans="1:26" ht="14.4" hidden="1" outlineLevel="1" x14ac:dyDescent="0.3">
      <c r="A19" s="3"/>
      <c r="B19" s="9" t="s">
        <v>300</v>
      </c>
      <c r="C19" s="53"/>
      <c r="D19" s="53"/>
      <c r="E19" s="11">
        <v>0</v>
      </c>
      <c r="F19" s="11">
        <v>0</v>
      </c>
      <c r="G19" s="56"/>
      <c r="H19" s="56"/>
      <c r="I19" s="80"/>
      <c r="J19" s="56"/>
      <c r="K19" s="28"/>
      <c r="L19" s="28"/>
      <c r="M19" s="28"/>
      <c r="N19" s="28"/>
      <c r="O19" s="28"/>
      <c r="P19" s="28"/>
      <c r="Q19" s="28"/>
      <c r="R19" s="28"/>
      <c r="S19" s="28"/>
      <c r="T19" s="28"/>
      <c r="U19" s="3"/>
    </row>
    <row r="20" spans="1:26" ht="20.399999999999999" collapsed="1" x14ac:dyDescent="0.3">
      <c r="A20" s="3"/>
      <c r="B20" s="75" t="s">
        <v>301</v>
      </c>
      <c r="C20" s="76" t="s">
        <v>44</v>
      </c>
      <c r="D20" s="76" t="s">
        <v>44</v>
      </c>
      <c r="E20" s="77">
        <f t="shared" ref="E20:F20" si="2">SUM(E21:E23)</f>
        <v>0</v>
      </c>
      <c r="F20" s="77">
        <f t="shared" si="2"/>
        <v>185.82999999999998</v>
      </c>
      <c r="G20" s="78"/>
      <c r="H20" s="78"/>
      <c r="I20" s="79"/>
      <c r="J20" s="78"/>
      <c r="K20" s="28"/>
      <c r="L20" s="28"/>
      <c r="M20" s="28"/>
      <c r="N20" s="28"/>
      <c r="O20" s="28"/>
      <c r="P20" s="28"/>
      <c r="Q20" s="28"/>
      <c r="R20" s="28"/>
      <c r="S20" s="28"/>
      <c r="T20" s="28"/>
      <c r="U20" s="3"/>
      <c r="W20" s="3"/>
      <c r="X20" s="3"/>
      <c r="Y20" s="3"/>
      <c r="Z20" s="3"/>
    </row>
    <row r="21" spans="1:26" ht="15.75" hidden="1" customHeight="1" outlineLevel="1" x14ac:dyDescent="0.3">
      <c r="A21" s="3"/>
      <c r="B21" s="9" t="s">
        <v>302</v>
      </c>
      <c r="C21" s="53">
        <v>4</v>
      </c>
      <c r="D21" s="53" t="s">
        <v>95</v>
      </c>
      <c r="E21" s="11">
        <v>0</v>
      </c>
      <c r="F21" s="11">
        <v>118</v>
      </c>
      <c r="G21" s="56"/>
      <c r="H21" s="56" t="s">
        <v>266</v>
      </c>
      <c r="I21" s="81" t="s">
        <v>303</v>
      </c>
      <c r="J21" s="56"/>
      <c r="K21" s="28"/>
      <c r="L21" s="28"/>
      <c r="M21" s="28"/>
      <c r="N21" s="28"/>
      <c r="O21" s="28"/>
      <c r="P21" s="28"/>
      <c r="Q21" s="28"/>
      <c r="R21" s="28"/>
      <c r="S21" s="28"/>
      <c r="T21" s="28"/>
      <c r="U21" s="3"/>
      <c r="W21" s="3"/>
      <c r="X21" s="3"/>
      <c r="Y21" s="3"/>
      <c r="Z21" s="3"/>
    </row>
    <row r="22" spans="1:26" ht="15.75" hidden="1" customHeight="1" outlineLevel="1" x14ac:dyDescent="0.3">
      <c r="A22" s="3"/>
      <c r="B22" s="9" t="s">
        <v>304</v>
      </c>
      <c r="C22" s="53" t="s">
        <v>263</v>
      </c>
      <c r="D22" s="53" t="s">
        <v>95</v>
      </c>
      <c r="E22" s="11">
        <v>0</v>
      </c>
      <c r="F22" s="11">
        <v>67.83</v>
      </c>
      <c r="G22" s="56"/>
      <c r="H22" s="56" t="s">
        <v>38</v>
      </c>
      <c r="I22" s="81" t="s">
        <v>305</v>
      </c>
      <c r="J22" s="56"/>
      <c r="K22" s="28"/>
      <c r="L22" s="28"/>
      <c r="M22" s="28"/>
      <c r="N22" s="28"/>
      <c r="O22" s="28"/>
      <c r="P22" s="28"/>
      <c r="Q22" s="28"/>
      <c r="R22" s="28"/>
      <c r="S22" s="28"/>
      <c r="T22" s="28"/>
      <c r="U22" s="3"/>
      <c r="W22" s="3"/>
      <c r="X22" s="3"/>
      <c r="Y22" s="3"/>
      <c r="Z22" s="3"/>
    </row>
    <row r="23" spans="1:26" ht="15.75" hidden="1" customHeight="1" outlineLevel="1" x14ac:dyDescent="0.3">
      <c r="A23" s="3"/>
      <c r="B23" s="9" t="s">
        <v>306</v>
      </c>
      <c r="C23" s="53"/>
      <c r="D23" s="53"/>
      <c r="E23" s="11">
        <v>0</v>
      </c>
      <c r="F23" s="11">
        <v>0</v>
      </c>
      <c r="G23" s="56"/>
      <c r="H23" s="56"/>
      <c r="I23" s="80"/>
      <c r="J23" s="56"/>
      <c r="K23" s="28"/>
      <c r="L23" s="28"/>
      <c r="M23" s="28"/>
      <c r="N23" s="28"/>
      <c r="O23" s="28"/>
      <c r="P23" s="28"/>
      <c r="Q23" s="28"/>
      <c r="R23" s="28"/>
      <c r="S23" s="28"/>
      <c r="T23" s="28"/>
      <c r="U23" s="3"/>
      <c r="W23" s="3"/>
      <c r="X23" s="3"/>
      <c r="Y23" s="3"/>
      <c r="Z23" s="3"/>
    </row>
    <row r="24" spans="1:26" ht="15.75" customHeight="1" collapsed="1" x14ac:dyDescent="0.3">
      <c r="A24" s="3"/>
      <c r="B24" s="75" t="s">
        <v>307</v>
      </c>
      <c r="C24" s="76" t="s">
        <v>44</v>
      </c>
      <c r="D24" s="76" t="s">
        <v>44</v>
      </c>
      <c r="E24" s="77">
        <f t="shared" ref="E24:F24" si="3">SUM(E25:E36)</f>
        <v>0</v>
      </c>
      <c r="F24" s="77">
        <f t="shared" si="3"/>
        <v>4146.9400000000005</v>
      </c>
      <c r="G24" s="78"/>
      <c r="H24" s="78"/>
      <c r="I24" s="79"/>
      <c r="J24" s="78"/>
      <c r="K24" s="28"/>
      <c r="L24" s="28"/>
      <c r="M24" s="28"/>
      <c r="N24" s="28"/>
      <c r="O24" s="28"/>
      <c r="P24" s="28"/>
      <c r="Q24" s="28"/>
      <c r="R24" s="28"/>
      <c r="S24" s="28"/>
      <c r="T24" s="28"/>
      <c r="U24" s="3"/>
      <c r="W24" s="3"/>
      <c r="X24" s="3"/>
      <c r="Y24" s="3"/>
      <c r="Z24" s="3"/>
    </row>
    <row r="25" spans="1:26" ht="15.75" hidden="1" customHeight="1" outlineLevel="1" x14ac:dyDescent="0.3">
      <c r="A25" s="3"/>
      <c r="B25" s="9" t="s">
        <v>308</v>
      </c>
      <c r="C25" s="53">
        <v>20</v>
      </c>
      <c r="D25" s="53" t="s">
        <v>95</v>
      </c>
      <c r="E25" s="11">
        <v>0</v>
      </c>
      <c r="F25" s="11">
        <v>990.95</v>
      </c>
      <c r="G25" s="56"/>
      <c r="H25" s="56" t="s">
        <v>235</v>
      </c>
      <c r="I25" s="81" t="s">
        <v>309</v>
      </c>
      <c r="J25" s="56"/>
      <c r="K25" s="28"/>
      <c r="L25" s="28"/>
      <c r="M25" s="28"/>
      <c r="N25" s="28"/>
      <c r="O25" s="28"/>
      <c r="P25" s="28"/>
      <c r="Q25" s="28"/>
      <c r="R25" s="28"/>
      <c r="S25" s="28"/>
      <c r="T25" s="28"/>
      <c r="U25" s="3"/>
      <c r="W25" s="3"/>
      <c r="X25" s="3"/>
      <c r="Y25" s="3"/>
      <c r="Z25" s="3"/>
    </row>
    <row r="26" spans="1:26" ht="15.75" hidden="1" customHeight="1" outlineLevel="1" x14ac:dyDescent="0.3">
      <c r="A26" s="3"/>
      <c r="B26" s="9" t="s">
        <v>310</v>
      </c>
      <c r="C26" s="71">
        <v>17</v>
      </c>
      <c r="D26" s="53" t="s">
        <v>95</v>
      </c>
      <c r="E26" s="11">
        <v>0</v>
      </c>
      <c r="F26" s="11">
        <f>590</f>
        <v>590</v>
      </c>
      <c r="G26" s="80" t="s">
        <v>311</v>
      </c>
      <c r="H26" s="56" t="s">
        <v>37</v>
      </c>
      <c r="I26" s="81" t="s">
        <v>312</v>
      </c>
      <c r="J26" s="56"/>
      <c r="K26" s="28"/>
      <c r="L26" s="28"/>
      <c r="M26" s="28"/>
      <c r="N26" s="28"/>
      <c r="O26" s="28"/>
      <c r="P26" s="28"/>
      <c r="Q26" s="28"/>
      <c r="R26" s="28"/>
      <c r="S26" s="28"/>
      <c r="T26" s="28"/>
      <c r="U26" s="3"/>
      <c r="W26" s="3"/>
      <c r="X26" s="3"/>
      <c r="Y26" s="3"/>
      <c r="Z26" s="3"/>
    </row>
    <row r="27" spans="1:26" ht="15.75" hidden="1" customHeight="1" outlineLevel="1" x14ac:dyDescent="0.3">
      <c r="A27" s="3"/>
      <c r="B27" s="9" t="s">
        <v>313</v>
      </c>
      <c r="C27" s="53">
        <v>4</v>
      </c>
      <c r="D27" s="53" t="s">
        <v>95</v>
      </c>
      <c r="E27" s="11">
        <v>0</v>
      </c>
      <c r="F27" s="11">
        <v>396</v>
      </c>
      <c r="G27" s="56"/>
      <c r="H27" s="56" t="s">
        <v>37</v>
      </c>
      <c r="I27" s="81" t="s">
        <v>314</v>
      </c>
      <c r="J27" s="56"/>
      <c r="K27" s="28"/>
      <c r="L27" s="28"/>
      <c r="M27" s="28"/>
      <c r="N27" s="28"/>
      <c r="O27" s="28"/>
      <c r="P27" s="28"/>
      <c r="Q27" s="28"/>
      <c r="R27" s="28"/>
      <c r="S27" s="28"/>
      <c r="T27" s="28"/>
      <c r="U27" s="3"/>
      <c r="W27" s="3"/>
      <c r="X27" s="3"/>
      <c r="Y27" s="3"/>
      <c r="Z27" s="3"/>
    </row>
    <row r="28" spans="1:26" ht="15.75" hidden="1" customHeight="1" outlineLevel="1" x14ac:dyDescent="0.3">
      <c r="A28" s="3"/>
      <c r="B28" s="9" t="s">
        <v>315</v>
      </c>
      <c r="C28" s="53">
        <v>1</v>
      </c>
      <c r="D28" s="53" t="s">
        <v>95</v>
      </c>
      <c r="E28" s="11">
        <v>0</v>
      </c>
      <c r="F28" s="11">
        <v>79.989999999999995</v>
      </c>
      <c r="G28" s="56"/>
      <c r="H28" s="56" t="s">
        <v>37</v>
      </c>
      <c r="I28" s="81" t="s">
        <v>316</v>
      </c>
      <c r="J28" s="56"/>
      <c r="K28" s="28"/>
      <c r="L28" s="28"/>
      <c r="M28" s="28"/>
      <c r="N28" s="28"/>
      <c r="O28" s="28"/>
      <c r="P28" s="28"/>
      <c r="Q28" s="28"/>
      <c r="R28" s="28"/>
      <c r="S28" s="28"/>
      <c r="T28" s="28"/>
      <c r="U28" s="3"/>
      <c r="W28" s="3"/>
      <c r="X28" s="3"/>
      <c r="Y28" s="3"/>
      <c r="Z28" s="3"/>
    </row>
    <row r="29" spans="1:26" ht="15.75" hidden="1" customHeight="1" outlineLevel="1" x14ac:dyDescent="0.3">
      <c r="A29" s="3"/>
      <c r="B29" s="9" t="s">
        <v>317</v>
      </c>
      <c r="C29" s="53"/>
      <c r="D29" s="53"/>
      <c r="E29" s="11">
        <v>0</v>
      </c>
      <c r="F29" s="11">
        <v>0</v>
      </c>
      <c r="G29" s="56"/>
      <c r="H29" s="56"/>
      <c r="I29" s="80"/>
      <c r="J29" s="56"/>
      <c r="K29" s="28"/>
      <c r="L29" s="28"/>
      <c r="M29" s="28"/>
      <c r="N29" s="28"/>
      <c r="O29" s="28"/>
      <c r="P29" s="28"/>
      <c r="Q29" s="28"/>
      <c r="R29" s="28"/>
      <c r="S29" s="28"/>
      <c r="T29" s="28"/>
      <c r="U29" s="3"/>
      <c r="W29" s="3"/>
      <c r="X29" s="3"/>
      <c r="Y29" s="3"/>
      <c r="Z29" s="3"/>
    </row>
    <row r="30" spans="1:26" ht="15.75" hidden="1" customHeight="1" outlineLevel="1" x14ac:dyDescent="0.3">
      <c r="A30" s="3"/>
      <c r="B30" s="9" t="s">
        <v>318</v>
      </c>
      <c r="C30" s="53"/>
      <c r="D30" s="53"/>
      <c r="E30" s="11">
        <v>0</v>
      </c>
      <c r="F30" s="11">
        <v>0</v>
      </c>
      <c r="G30" s="56"/>
      <c r="H30" s="56"/>
      <c r="I30" s="80"/>
      <c r="J30" s="56"/>
      <c r="K30" s="28"/>
      <c r="L30" s="28"/>
      <c r="M30" s="28"/>
      <c r="N30" s="28"/>
      <c r="O30" s="28"/>
      <c r="P30" s="28"/>
      <c r="Q30" s="28"/>
      <c r="R30" s="28"/>
      <c r="S30" s="28"/>
      <c r="T30" s="28"/>
      <c r="U30" s="3"/>
      <c r="W30" s="3"/>
      <c r="X30" s="3"/>
      <c r="Y30" s="3"/>
      <c r="Z30" s="3"/>
    </row>
    <row r="31" spans="1:26" ht="15.75" hidden="1" customHeight="1" outlineLevel="1" x14ac:dyDescent="0.3">
      <c r="A31" s="3"/>
      <c r="B31" s="9" t="s">
        <v>319</v>
      </c>
      <c r="C31" s="53">
        <v>18</v>
      </c>
      <c r="D31" s="53" t="s">
        <v>95</v>
      </c>
      <c r="E31" s="11">
        <v>0</v>
      </c>
      <c r="F31" s="11">
        <v>200</v>
      </c>
      <c r="G31" s="56"/>
      <c r="H31" s="56" t="s">
        <v>37</v>
      </c>
      <c r="I31" s="81" t="s">
        <v>320</v>
      </c>
      <c r="J31" s="56"/>
      <c r="K31" s="28"/>
      <c r="L31" s="28"/>
      <c r="M31" s="28"/>
      <c r="N31" s="28"/>
      <c r="O31" s="28"/>
      <c r="P31" s="28"/>
      <c r="Q31" s="28"/>
      <c r="R31" s="28"/>
      <c r="S31" s="28"/>
      <c r="T31" s="28"/>
      <c r="U31" s="3"/>
      <c r="W31" s="3"/>
      <c r="X31" s="3"/>
      <c r="Y31" s="3"/>
      <c r="Z31" s="3"/>
    </row>
    <row r="32" spans="1:26" ht="15.75" hidden="1" customHeight="1" outlineLevel="1" x14ac:dyDescent="0.3">
      <c r="A32" s="3"/>
      <c r="B32" s="9" t="s">
        <v>321</v>
      </c>
      <c r="C32" s="53">
        <v>19</v>
      </c>
      <c r="D32" s="53" t="s">
        <v>95</v>
      </c>
      <c r="E32" s="11">
        <v>0</v>
      </c>
      <c r="F32" s="11">
        <v>800</v>
      </c>
      <c r="G32" s="56"/>
      <c r="H32" s="56" t="s">
        <v>37</v>
      </c>
      <c r="I32" s="81" t="s">
        <v>322</v>
      </c>
      <c r="J32" s="56"/>
      <c r="K32" s="28"/>
      <c r="L32" s="28"/>
      <c r="M32" s="28"/>
      <c r="N32" s="28"/>
      <c r="O32" s="28"/>
      <c r="P32" s="28"/>
      <c r="Q32" s="28"/>
      <c r="R32" s="28"/>
      <c r="S32" s="28"/>
      <c r="T32" s="28"/>
      <c r="U32" s="3"/>
      <c r="W32" s="3"/>
      <c r="X32" s="3"/>
      <c r="Y32" s="3"/>
      <c r="Z32" s="3"/>
    </row>
    <row r="33" spans="1:26" ht="15.75" hidden="1" customHeight="1" outlineLevel="1" x14ac:dyDescent="0.3">
      <c r="A33" s="3"/>
      <c r="B33" s="9" t="s">
        <v>323</v>
      </c>
      <c r="C33" s="53">
        <v>21</v>
      </c>
      <c r="D33" s="53" t="s">
        <v>95</v>
      </c>
      <c r="E33" s="11">
        <v>0</v>
      </c>
      <c r="F33" s="11">
        <v>290</v>
      </c>
      <c r="G33" s="56"/>
      <c r="H33" s="56" t="s">
        <v>37</v>
      </c>
      <c r="I33" s="81" t="s">
        <v>324</v>
      </c>
      <c r="J33" s="56"/>
      <c r="K33" s="28"/>
      <c r="L33" s="28"/>
      <c r="M33" s="28"/>
      <c r="N33" s="28"/>
      <c r="O33" s="28"/>
      <c r="P33" s="28"/>
      <c r="Q33" s="28"/>
      <c r="R33" s="28"/>
      <c r="S33" s="28"/>
      <c r="T33" s="28"/>
      <c r="U33" s="3"/>
      <c r="W33" s="3"/>
      <c r="X33" s="3"/>
      <c r="Y33" s="3"/>
      <c r="Z33" s="3"/>
    </row>
    <row r="34" spans="1:26" ht="15.75" hidden="1" customHeight="1" outlineLevel="1" x14ac:dyDescent="0.3">
      <c r="A34" s="3"/>
      <c r="B34" s="9" t="s">
        <v>325</v>
      </c>
      <c r="C34" s="53">
        <v>31</v>
      </c>
      <c r="D34" s="53" t="s">
        <v>95</v>
      </c>
      <c r="E34" s="11">
        <v>0</v>
      </c>
      <c r="F34" s="11">
        <v>800</v>
      </c>
      <c r="G34" s="56" t="s">
        <v>326</v>
      </c>
      <c r="H34" s="56" t="s">
        <v>36</v>
      </c>
      <c r="I34" s="81" t="s">
        <v>327</v>
      </c>
      <c r="J34" s="56"/>
      <c r="K34" s="28"/>
      <c r="L34" s="28"/>
      <c r="M34" s="28"/>
      <c r="N34" s="28"/>
      <c r="O34" s="28"/>
      <c r="P34" s="28"/>
      <c r="Q34" s="28"/>
      <c r="R34" s="28"/>
      <c r="S34" s="28"/>
      <c r="T34" s="28"/>
      <c r="U34" s="3"/>
      <c r="W34" s="3"/>
      <c r="X34" s="3"/>
      <c r="Y34" s="3"/>
      <c r="Z34" s="3"/>
    </row>
    <row r="35" spans="1:26" ht="15.75" hidden="1" customHeight="1" outlineLevel="1" x14ac:dyDescent="0.3">
      <c r="A35" s="3"/>
      <c r="B35" s="9" t="s">
        <v>328</v>
      </c>
      <c r="C35" s="53"/>
      <c r="D35" s="53"/>
      <c r="E35" s="11">
        <v>0</v>
      </c>
      <c r="F35" s="11">
        <v>0</v>
      </c>
      <c r="G35" s="56"/>
      <c r="H35" s="56"/>
      <c r="I35" s="80"/>
      <c r="J35" s="56"/>
      <c r="K35" s="28"/>
      <c r="L35" s="28"/>
      <c r="M35" s="28"/>
      <c r="N35" s="28"/>
      <c r="O35" s="28"/>
      <c r="P35" s="28"/>
      <c r="Q35" s="28"/>
      <c r="R35" s="28"/>
      <c r="S35" s="28"/>
      <c r="T35" s="28"/>
      <c r="U35" s="3"/>
      <c r="W35" s="3"/>
      <c r="X35" s="3"/>
      <c r="Y35" s="3"/>
      <c r="Z35" s="3"/>
    </row>
    <row r="36" spans="1:26" ht="15.75" hidden="1" customHeight="1" outlineLevel="1" x14ac:dyDescent="0.3">
      <c r="A36" s="3"/>
      <c r="B36" s="9" t="s">
        <v>329</v>
      </c>
      <c r="C36" s="53"/>
      <c r="D36" s="53"/>
      <c r="E36" s="11">
        <v>0</v>
      </c>
      <c r="F36" s="11">
        <v>0</v>
      </c>
      <c r="G36" s="56"/>
      <c r="H36" s="56"/>
      <c r="I36" s="80"/>
      <c r="J36" s="56"/>
      <c r="K36" s="28"/>
      <c r="L36" s="28"/>
      <c r="M36" s="28"/>
      <c r="N36" s="28"/>
      <c r="O36" s="28"/>
      <c r="P36" s="28"/>
      <c r="Q36" s="28"/>
      <c r="R36" s="28"/>
      <c r="S36" s="28"/>
      <c r="T36" s="28"/>
      <c r="U36" s="3"/>
      <c r="W36" s="3"/>
      <c r="X36" s="3"/>
      <c r="Y36" s="3"/>
      <c r="Z36" s="3"/>
    </row>
    <row r="37" spans="1:26" ht="15.75" customHeight="1" collapsed="1" x14ac:dyDescent="0.3">
      <c r="A37" s="3"/>
      <c r="B37" s="75" t="s">
        <v>330</v>
      </c>
      <c r="C37" s="76" t="s">
        <v>44</v>
      </c>
      <c r="D37" s="76" t="s">
        <v>44</v>
      </c>
      <c r="E37" s="77">
        <f t="shared" ref="E37:F37" si="4">SUM(E38:E42)</f>
        <v>0</v>
      </c>
      <c r="F37" s="77">
        <f t="shared" si="4"/>
        <v>2855.32</v>
      </c>
      <c r="G37" s="78"/>
      <c r="H37" s="78"/>
      <c r="I37" s="79"/>
      <c r="J37" s="78"/>
      <c r="K37" s="28"/>
      <c r="L37" s="28"/>
      <c r="M37" s="28"/>
      <c r="N37" s="28"/>
      <c r="O37" s="28"/>
      <c r="P37" s="28"/>
      <c r="Q37" s="28"/>
      <c r="R37" s="28"/>
      <c r="S37" s="28"/>
      <c r="T37" s="28"/>
      <c r="U37" s="3"/>
    </row>
    <row r="38" spans="1:26" ht="15.75" hidden="1" customHeight="1" outlineLevel="1" x14ac:dyDescent="0.3">
      <c r="A38" s="3"/>
      <c r="B38" s="9" t="s">
        <v>331</v>
      </c>
      <c r="C38" s="71" t="s">
        <v>332</v>
      </c>
      <c r="D38" s="53" t="s">
        <v>95</v>
      </c>
      <c r="E38" s="11">
        <v>0</v>
      </c>
      <c r="F38" s="11">
        <f>194.36+323.77+99+51.76+195.87+60</f>
        <v>924.76</v>
      </c>
      <c r="G38" s="80" t="s">
        <v>333</v>
      </c>
      <c r="H38" s="56" t="s">
        <v>37</v>
      </c>
      <c r="I38" s="80" t="s">
        <v>334</v>
      </c>
      <c r="J38" s="80"/>
      <c r="K38" s="28"/>
      <c r="L38" s="28"/>
      <c r="M38" s="28"/>
      <c r="N38" s="28"/>
      <c r="O38" s="28"/>
      <c r="P38" s="28"/>
      <c r="Q38" s="28"/>
      <c r="R38" s="28"/>
      <c r="S38" s="28"/>
      <c r="T38" s="28"/>
      <c r="U38" s="3"/>
      <c r="V38" s="14"/>
    </row>
    <row r="39" spans="1:26" ht="15.75" hidden="1" customHeight="1" outlineLevel="1" x14ac:dyDescent="0.3">
      <c r="A39" s="3"/>
      <c r="B39" s="9" t="s">
        <v>335</v>
      </c>
      <c r="C39" s="53">
        <v>6</v>
      </c>
      <c r="D39" s="53" t="s">
        <v>95</v>
      </c>
      <c r="E39" s="11">
        <v>0</v>
      </c>
      <c r="F39" s="11">
        <f>176</f>
        <v>176</v>
      </c>
      <c r="G39" s="56" t="s">
        <v>336</v>
      </c>
      <c r="H39" s="56" t="s">
        <v>235</v>
      </c>
      <c r="I39" s="81" t="s">
        <v>337</v>
      </c>
      <c r="J39" s="56"/>
      <c r="K39" s="28"/>
      <c r="L39" s="28"/>
      <c r="M39" s="28"/>
      <c r="N39" s="28"/>
      <c r="O39" s="28"/>
      <c r="P39" s="28"/>
      <c r="Q39" s="28"/>
      <c r="R39" s="28"/>
      <c r="S39" s="28"/>
      <c r="T39" s="28"/>
      <c r="U39" s="3"/>
    </row>
    <row r="40" spans="1:26" ht="15.75" hidden="1" customHeight="1" outlineLevel="1" x14ac:dyDescent="0.3">
      <c r="A40" s="3"/>
      <c r="B40" s="9" t="s">
        <v>338</v>
      </c>
      <c r="C40" s="71" t="s">
        <v>339</v>
      </c>
      <c r="D40" s="53" t="s">
        <v>95</v>
      </c>
      <c r="E40" s="11">
        <v>0</v>
      </c>
      <c r="F40" s="11">
        <f>344.38+54.52+471.89+35.94</f>
        <v>906.73</v>
      </c>
      <c r="G40" s="80" t="s">
        <v>340</v>
      </c>
      <c r="H40" s="56" t="s">
        <v>37</v>
      </c>
      <c r="I40" s="80" t="s">
        <v>341</v>
      </c>
      <c r="J40" s="80"/>
      <c r="K40" s="28"/>
      <c r="L40" s="28"/>
      <c r="M40" s="28"/>
      <c r="N40" s="28"/>
      <c r="O40" s="28"/>
      <c r="P40" s="28"/>
      <c r="Q40" s="28"/>
      <c r="R40" s="28"/>
      <c r="S40" s="28"/>
      <c r="T40" s="28"/>
      <c r="U40" s="3"/>
    </row>
    <row r="41" spans="1:26" ht="15.75" hidden="1" customHeight="1" outlineLevel="1" x14ac:dyDescent="0.3">
      <c r="A41" s="3"/>
      <c r="B41" s="9" t="s">
        <v>342</v>
      </c>
      <c r="C41" s="71" t="s">
        <v>343</v>
      </c>
      <c r="D41" s="53" t="s">
        <v>95</v>
      </c>
      <c r="E41" s="11">
        <v>0</v>
      </c>
      <c r="F41" s="11">
        <f>40+345.8+173.44+243.6+9.99</f>
        <v>812.83</v>
      </c>
      <c r="G41" s="80" t="s">
        <v>344</v>
      </c>
      <c r="H41" s="56" t="s">
        <v>37</v>
      </c>
      <c r="I41" s="80" t="s">
        <v>345</v>
      </c>
      <c r="J41" s="56"/>
      <c r="K41" s="28"/>
      <c r="L41" s="28"/>
      <c r="M41" s="28"/>
      <c r="N41" s="28"/>
      <c r="O41" s="28"/>
      <c r="P41" s="28"/>
      <c r="Q41" s="28"/>
      <c r="R41" s="28"/>
      <c r="S41" s="28"/>
      <c r="T41" s="28"/>
      <c r="U41" s="3"/>
      <c r="W41" s="3"/>
      <c r="X41" s="3"/>
      <c r="Y41" s="3"/>
      <c r="Z41" s="3"/>
    </row>
    <row r="42" spans="1:26" ht="15.75" hidden="1" customHeight="1" outlineLevel="1" x14ac:dyDescent="0.3">
      <c r="A42" s="3"/>
      <c r="B42" s="9" t="s">
        <v>346</v>
      </c>
      <c r="C42" s="53">
        <v>31</v>
      </c>
      <c r="D42" s="53" t="s">
        <v>95</v>
      </c>
      <c r="E42" s="11">
        <v>0</v>
      </c>
      <c r="F42" s="11">
        <v>35</v>
      </c>
      <c r="G42" s="56" t="s">
        <v>347</v>
      </c>
      <c r="H42" s="56" t="s">
        <v>36</v>
      </c>
      <c r="I42" s="81" t="s">
        <v>348</v>
      </c>
      <c r="J42" s="56"/>
      <c r="K42" s="28"/>
      <c r="L42" s="28"/>
      <c r="M42" s="28"/>
      <c r="N42" s="28"/>
      <c r="O42" s="28"/>
      <c r="P42" s="28"/>
      <c r="Q42" s="28"/>
      <c r="R42" s="28"/>
      <c r="S42" s="28"/>
      <c r="T42" s="28"/>
      <c r="U42" s="3"/>
      <c r="W42" s="3"/>
      <c r="X42" s="3"/>
      <c r="Y42" s="3"/>
      <c r="Z42" s="3"/>
    </row>
    <row r="43" spans="1:26" ht="15.75" customHeight="1" collapsed="1" x14ac:dyDescent="0.3">
      <c r="A43" s="3"/>
      <c r="B43" s="75" t="s">
        <v>349</v>
      </c>
      <c r="C43" s="76" t="s">
        <v>44</v>
      </c>
      <c r="D43" s="76" t="s">
        <v>44</v>
      </c>
      <c r="E43" s="77">
        <f t="shared" ref="E43:F43" si="5">SUM(E44,E50,E54)</f>
        <v>0</v>
      </c>
      <c r="F43" s="77">
        <f t="shared" si="5"/>
        <v>0</v>
      </c>
      <c r="G43" s="78"/>
      <c r="H43" s="78"/>
      <c r="I43" s="79"/>
      <c r="J43" s="78"/>
      <c r="K43" s="28"/>
      <c r="L43" s="28"/>
      <c r="M43" s="28"/>
      <c r="N43" s="28"/>
      <c r="O43" s="28"/>
      <c r="P43" s="28"/>
      <c r="Q43" s="28"/>
      <c r="R43" s="28"/>
      <c r="S43" s="28"/>
      <c r="T43" s="28"/>
      <c r="U43" s="3"/>
      <c r="W43" s="3"/>
      <c r="X43" s="3"/>
      <c r="Y43" s="3"/>
      <c r="Z43" s="3"/>
    </row>
    <row r="44" spans="1:26" ht="15.75" hidden="1" customHeight="1" outlineLevel="1" x14ac:dyDescent="0.3">
      <c r="A44" s="3"/>
      <c r="B44" s="82" t="s">
        <v>350</v>
      </c>
      <c r="C44" s="83"/>
      <c r="D44" s="83"/>
      <c r="E44" s="84">
        <f t="shared" ref="E44:F44" si="6">SUM(E45:E49)</f>
        <v>0</v>
      </c>
      <c r="F44" s="84">
        <f t="shared" si="6"/>
        <v>0</v>
      </c>
      <c r="G44" s="85"/>
      <c r="H44" s="85"/>
      <c r="I44" s="86"/>
      <c r="J44" s="85"/>
      <c r="K44" s="28"/>
      <c r="L44" s="28"/>
      <c r="M44" s="28"/>
      <c r="N44" s="28"/>
      <c r="O44" s="28"/>
      <c r="P44" s="28"/>
      <c r="Q44" s="28"/>
      <c r="R44" s="28"/>
      <c r="S44" s="28"/>
      <c r="T44" s="28"/>
      <c r="U44" s="3"/>
      <c r="W44" s="3"/>
      <c r="X44" s="3"/>
      <c r="Y44" s="3"/>
      <c r="Z44" s="3"/>
    </row>
    <row r="45" spans="1:26" ht="15.75" hidden="1" customHeight="1" outlineLevel="1" x14ac:dyDescent="0.3">
      <c r="A45" s="3"/>
      <c r="B45" s="9" t="s">
        <v>331</v>
      </c>
      <c r="C45" s="53"/>
      <c r="D45" s="53"/>
      <c r="E45" s="11">
        <v>0</v>
      </c>
      <c r="F45" s="11">
        <v>0</v>
      </c>
      <c r="G45" s="56"/>
      <c r="H45" s="56"/>
      <c r="I45" s="80"/>
      <c r="J45" s="56"/>
      <c r="K45" s="28"/>
      <c r="L45" s="28"/>
      <c r="M45" s="28"/>
      <c r="N45" s="28"/>
      <c r="O45" s="28"/>
      <c r="P45" s="28"/>
      <c r="Q45" s="28"/>
      <c r="R45" s="28"/>
      <c r="S45" s="28"/>
      <c r="T45" s="28"/>
      <c r="U45" s="3"/>
      <c r="W45" s="3"/>
      <c r="X45" s="3"/>
      <c r="Y45" s="3"/>
      <c r="Z45" s="3"/>
    </row>
    <row r="46" spans="1:26" ht="15.75" hidden="1" customHeight="1" outlineLevel="1" x14ac:dyDescent="0.3">
      <c r="A46" s="3"/>
      <c r="B46" s="9" t="s">
        <v>335</v>
      </c>
      <c r="C46" s="53"/>
      <c r="D46" s="53"/>
      <c r="E46" s="11">
        <v>0</v>
      </c>
      <c r="F46" s="11">
        <v>0</v>
      </c>
      <c r="G46" s="56"/>
      <c r="H46" s="56"/>
      <c r="I46" s="80"/>
      <c r="J46" s="56"/>
      <c r="K46" s="28"/>
      <c r="L46" s="28"/>
      <c r="M46" s="28"/>
      <c r="N46" s="28"/>
      <c r="O46" s="28"/>
      <c r="P46" s="28"/>
      <c r="Q46" s="28"/>
      <c r="R46" s="28"/>
      <c r="S46" s="28"/>
      <c r="T46" s="28"/>
      <c r="U46" s="3"/>
      <c r="W46" s="3"/>
      <c r="X46" s="3"/>
      <c r="Y46" s="3"/>
      <c r="Z46" s="3"/>
    </row>
    <row r="47" spans="1:26" ht="15.75" hidden="1" customHeight="1" outlineLevel="1" x14ac:dyDescent="0.3">
      <c r="A47" s="3"/>
      <c r="B47" s="9" t="s">
        <v>351</v>
      </c>
      <c r="C47" s="53"/>
      <c r="D47" s="53"/>
      <c r="E47" s="11">
        <v>0</v>
      </c>
      <c r="F47" s="11">
        <v>0</v>
      </c>
      <c r="G47" s="56"/>
      <c r="H47" s="56"/>
      <c r="I47" s="80"/>
      <c r="J47" s="56"/>
      <c r="K47" s="28"/>
      <c r="L47" s="28"/>
      <c r="M47" s="28"/>
      <c r="N47" s="28"/>
      <c r="O47" s="28"/>
      <c r="P47" s="28"/>
      <c r="Q47" s="28"/>
      <c r="R47" s="28"/>
      <c r="S47" s="28"/>
      <c r="T47" s="28"/>
      <c r="U47" s="3"/>
      <c r="W47" s="3"/>
      <c r="X47" s="3"/>
      <c r="Y47" s="3"/>
      <c r="Z47" s="3"/>
    </row>
    <row r="48" spans="1:26" ht="15.75" hidden="1" customHeight="1" outlineLevel="1" x14ac:dyDescent="0.3">
      <c r="A48" s="3"/>
      <c r="B48" s="9" t="s">
        <v>352</v>
      </c>
      <c r="C48" s="53"/>
      <c r="D48" s="53"/>
      <c r="E48" s="11">
        <v>0</v>
      </c>
      <c r="F48" s="11">
        <v>0</v>
      </c>
      <c r="G48" s="56"/>
      <c r="H48" s="56"/>
      <c r="I48" s="80"/>
      <c r="J48" s="56"/>
      <c r="K48" s="28"/>
      <c r="L48" s="28"/>
      <c r="M48" s="28"/>
      <c r="N48" s="28"/>
      <c r="O48" s="28"/>
      <c r="P48" s="28"/>
      <c r="Q48" s="28"/>
      <c r="R48" s="28"/>
      <c r="S48" s="28"/>
      <c r="T48" s="28"/>
      <c r="U48" s="3"/>
      <c r="W48" s="3"/>
      <c r="X48" s="3"/>
      <c r="Y48" s="3"/>
      <c r="Z48" s="3"/>
    </row>
    <row r="49" spans="1:26" ht="15.75" hidden="1" customHeight="1" outlineLevel="1" x14ac:dyDescent="0.3">
      <c r="A49" s="3"/>
      <c r="B49" s="9" t="s">
        <v>346</v>
      </c>
      <c r="C49" s="53"/>
      <c r="D49" s="53"/>
      <c r="E49" s="11">
        <v>0</v>
      </c>
      <c r="F49" s="11">
        <v>0</v>
      </c>
      <c r="G49" s="56"/>
      <c r="H49" s="56"/>
      <c r="I49" s="80"/>
      <c r="J49" s="56"/>
      <c r="K49" s="28"/>
      <c r="L49" s="28"/>
      <c r="M49" s="28"/>
      <c r="N49" s="28"/>
      <c r="O49" s="28"/>
      <c r="P49" s="28"/>
      <c r="Q49" s="28"/>
      <c r="R49" s="28"/>
      <c r="S49" s="28"/>
      <c r="T49" s="28"/>
      <c r="U49" s="3"/>
      <c r="W49" s="3"/>
      <c r="X49" s="3"/>
      <c r="Y49" s="3"/>
      <c r="Z49" s="3"/>
    </row>
    <row r="50" spans="1:26" ht="15.75" hidden="1" customHeight="1" outlineLevel="1" x14ac:dyDescent="0.3">
      <c r="A50" s="3"/>
      <c r="B50" s="82" t="s">
        <v>353</v>
      </c>
      <c r="C50" s="83"/>
      <c r="D50" s="83"/>
      <c r="E50" s="84">
        <f t="shared" ref="E50:F50" si="7">SUM(E51:E53)</f>
        <v>0</v>
      </c>
      <c r="F50" s="84">
        <f t="shared" si="7"/>
        <v>0</v>
      </c>
      <c r="G50" s="85"/>
      <c r="H50" s="85"/>
      <c r="I50" s="86"/>
      <c r="J50" s="85"/>
      <c r="K50" s="28"/>
      <c r="L50" s="28"/>
      <c r="M50" s="28"/>
      <c r="N50" s="28"/>
      <c r="O50" s="28"/>
      <c r="P50" s="28"/>
      <c r="Q50" s="28"/>
      <c r="R50" s="28"/>
      <c r="S50" s="28"/>
      <c r="T50" s="28"/>
      <c r="U50" s="3"/>
      <c r="W50" s="3"/>
      <c r="X50" s="3"/>
      <c r="Y50" s="3"/>
      <c r="Z50" s="3"/>
    </row>
    <row r="51" spans="1:26" ht="15.75" hidden="1" customHeight="1" outlineLevel="1" x14ac:dyDescent="0.3">
      <c r="A51" s="3"/>
      <c r="B51" s="9" t="s">
        <v>354</v>
      </c>
      <c r="C51" s="53"/>
      <c r="D51" s="53"/>
      <c r="E51" s="11">
        <v>0</v>
      </c>
      <c r="F51" s="11">
        <v>0</v>
      </c>
      <c r="G51" s="56"/>
      <c r="H51" s="56"/>
      <c r="I51" s="80"/>
      <c r="J51" s="56"/>
      <c r="K51" s="28"/>
      <c r="L51" s="28"/>
      <c r="M51" s="28"/>
      <c r="N51" s="28"/>
      <c r="O51" s="28"/>
      <c r="P51" s="28"/>
      <c r="Q51" s="28"/>
      <c r="R51" s="28"/>
      <c r="S51" s="28"/>
      <c r="T51" s="28"/>
      <c r="U51" s="3"/>
      <c r="W51" s="3"/>
      <c r="X51" s="3"/>
      <c r="Y51" s="3"/>
      <c r="Z51" s="3"/>
    </row>
    <row r="52" spans="1:26" ht="15.75" hidden="1" customHeight="1" outlineLevel="1" x14ac:dyDescent="0.3">
      <c r="A52" s="3"/>
      <c r="B52" s="9" t="s">
        <v>355</v>
      </c>
      <c r="C52" s="53"/>
      <c r="D52" s="53"/>
      <c r="E52" s="11">
        <v>0</v>
      </c>
      <c r="F52" s="11">
        <v>0</v>
      </c>
      <c r="G52" s="56"/>
      <c r="H52" s="56"/>
      <c r="I52" s="80"/>
      <c r="J52" s="56"/>
      <c r="K52" s="28"/>
      <c r="L52" s="28"/>
      <c r="M52" s="28"/>
      <c r="N52" s="28"/>
      <c r="O52" s="28"/>
      <c r="P52" s="28"/>
      <c r="Q52" s="28"/>
      <c r="R52" s="28"/>
      <c r="S52" s="28"/>
      <c r="T52" s="28"/>
      <c r="U52" s="3"/>
      <c r="W52" s="3"/>
      <c r="X52" s="3"/>
      <c r="Y52" s="3"/>
      <c r="Z52" s="3"/>
    </row>
    <row r="53" spans="1:26" ht="15.75" hidden="1" customHeight="1" outlineLevel="1" x14ac:dyDescent="0.3">
      <c r="A53" s="3"/>
      <c r="B53" s="9" t="s">
        <v>356</v>
      </c>
      <c r="C53" s="53"/>
      <c r="D53" s="53"/>
      <c r="E53" s="11">
        <v>0</v>
      </c>
      <c r="F53" s="11">
        <v>0</v>
      </c>
      <c r="G53" s="56"/>
      <c r="H53" s="56"/>
      <c r="I53" s="80"/>
      <c r="J53" s="56"/>
      <c r="K53" s="28"/>
      <c r="L53" s="28"/>
      <c r="M53" s="28"/>
      <c r="N53" s="28"/>
      <c r="O53" s="28"/>
      <c r="P53" s="28"/>
      <c r="Q53" s="28"/>
      <c r="R53" s="28"/>
      <c r="S53" s="28"/>
      <c r="T53" s="28"/>
      <c r="U53" s="3"/>
      <c r="W53" s="3"/>
      <c r="X53" s="3"/>
      <c r="Y53" s="3"/>
      <c r="Z53" s="3"/>
    </row>
    <row r="54" spans="1:26" ht="15.75" hidden="1" customHeight="1" outlineLevel="1" x14ac:dyDescent="0.3">
      <c r="A54" s="3"/>
      <c r="B54" s="82" t="s">
        <v>357</v>
      </c>
      <c r="C54" s="83"/>
      <c r="D54" s="83"/>
      <c r="E54" s="84">
        <f t="shared" ref="E54:F54" si="8">SUM(E55:E57)</f>
        <v>0</v>
      </c>
      <c r="F54" s="84">
        <f t="shared" si="8"/>
        <v>0</v>
      </c>
      <c r="G54" s="85"/>
      <c r="H54" s="85"/>
      <c r="I54" s="86"/>
      <c r="J54" s="85"/>
      <c r="K54" s="28"/>
      <c r="L54" s="28"/>
      <c r="M54" s="28"/>
      <c r="N54" s="28"/>
      <c r="O54" s="28"/>
      <c r="P54" s="28"/>
      <c r="Q54" s="28"/>
      <c r="R54" s="28"/>
      <c r="S54" s="28"/>
      <c r="T54" s="28"/>
      <c r="U54" s="3"/>
      <c r="W54" s="3"/>
      <c r="X54" s="3"/>
      <c r="Y54" s="3"/>
      <c r="Z54" s="3"/>
    </row>
    <row r="55" spans="1:26" ht="15.75" hidden="1" customHeight="1" outlineLevel="1" x14ac:dyDescent="0.3">
      <c r="A55" s="3"/>
      <c r="B55" s="9" t="s">
        <v>354</v>
      </c>
      <c r="C55" s="53"/>
      <c r="D55" s="53"/>
      <c r="E55" s="11">
        <v>0</v>
      </c>
      <c r="F55" s="11">
        <v>0</v>
      </c>
      <c r="G55" s="56"/>
      <c r="H55" s="56"/>
      <c r="I55" s="80"/>
      <c r="J55" s="56"/>
      <c r="K55" s="28"/>
      <c r="L55" s="28"/>
      <c r="M55" s="28"/>
      <c r="N55" s="28"/>
      <c r="O55" s="28"/>
      <c r="P55" s="28"/>
      <c r="Q55" s="28"/>
      <c r="R55" s="28"/>
      <c r="S55" s="28"/>
      <c r="T55" s="28"/>
      <c r="U55" s="3"/>
      <c r="W55" s="3"/>
      <c r="X55" s="3"/>
      <c r="Y55" s="3"/>
      <c r="Z55" s="3"/>
    </row>
    <row r="56" spans="1:26" ht="15.75" hidden="1" customHeight="1" outlineLevel="1" x14ac:dyDescent="0.3">
      <c r="A56" s="3"/>
      <c r="B56" s="9" t="s">
        <v>355</v>
      </c>
      <c r="C56" s="53"/>
      <c r="D56" s="53"/>
      <c r="E56" s="11">
        <v>0</v>
      </c>
      <c r="F56" s="11">
        <v>0</v>
      </c>
      <c r="G56" s="56"/>
      <c r="H56" s="56"/>
      <c r="I56" s="80"/>
      <c r="J56" s="56"/>
      <c r="K56" s="28"/>
      <c r="L56" s="28"/>
      <c r="M56" s="28"/>
      <c r="N56" s="28"/>
      <c r="O56" s="28"/>
      <c r="P56" s="28"/>
      <c r="Q56" s="28"/>
      <c r="R56" s="28"/>
      <c r="S56" s="28"/>
      <c r="T56" s="28"/>
      <c r="U56" s="3"/>
      <c r="W56" s="3"/>
      <c r="X56" s="3"/>
      <c r="Y56" s="3"/>
      <c r="Z56" s="3"/>
    </row>
    <row r="57" spans="1:26" ht="15.75" hidden="1" customHeight="1" outlineLevel="1" x14ac:dyDescent="0.3">
      <c r="A57" s="3"/>
      <c r="B57" s="9" t="s">
        <v>356</v>
      </c>
      <c r="C57" s="53"/>
      <c r="D57" s="53"/>
      <c r="E57" s="11">
        <v>0</v>
      </c>
      <c r="F57" s="11">
        <v>0</v>
      </c>
      <c r="G57" s="56"/>
      <c r="H57" s="56"/>
      <c r="I57" s="80"/>
      <c r="J57" s="56"/>
      <c r="K57" s="28"/>
      <c r="L57" s="28"/>
      <c r="M57" s="28"/>
      <c r="N57" s="28"/>
      <c r="O57" s="28"/>
      <c r="P57" s="28"/>
      <c r="Q57" s="28"/>
      <c r="R57" s="28"/>
      <c r="S57" s="28"/>
      <c r="T57" s="28"/>
      <c r="U57" s="3"/>
      <c r="W57" s="3"/>
      <c r="X57" s="3"/>
      <c r="Y57" s="3"/>
      <c r="Z57" s="3"/>
    </row>
    <row r="58" spans="1:26" ht="15.75" customHeight="1" collapsed="1" x14ac:dyDescent="0.3">
      <c r="A58" s="3"/>
      <c r="B58" s="75" t="s">
        <v>358</v>
      </c>
      <c r="C58" s="76" t="s">
        <v>44</v>
      </c>
      <c r="D58" s="76" t="s">
        <v>44</v>
      </c>
      <c r="E58" s="77">
        <f t="shared" ref="E58:F58" si="9">SUM(E59,E65,E75,E85)</f>
        <v>0</v>
      </c>
      <c r="F58" s="77">
        <f t="shared" si="9"/>
        <v>2025.22</v>
      </c>
      <c r="G58" s="78"/>
      <c r="H58" s="78"/>
      <c r="I58" s="79"/>
      <c r="J58" s="78"/>
      <c r="K58" s="28"/>
      <c r="L58" s="28"/>
      <c r="M58" s="28"/>
      <c r="N58" s="28"/>
      <c r="O58" s="28"/>
      <c r="P58" s="28"/>
      <c r="Q58" s="28"/>
      <c r="R58" s="28"/>
      <c r="S58" s="28"/>
      <c r="T58" s="28"/>
      <c r="U58" s="3"/>
      <c r="W58" s="3"/>
      <c r="X58" s="3"/>
      <c r="Y58" s="3"/>
      <c r="Z58" s="3"/>
    </row>
    <row r="59" spans="1:26" ht="15.75" hidden="1" customHeight="1" outlineLevel="1" x14ac:dyDescent="0.3">
      <c r="A59" s="3"/>
      <c r="B59" s="82" t="s">
        <v>359</v>
      </c>
      <c r="C59" s="83"/>
      <c r="D59" s="83"/>
      <c r="E59" s="84">
        <f t="shared" ref="E59:F59" si="10">SUM(E60:E64)</f>
        <v>0</v>
      </c>
      <c r="F59" s="84">
        <f t="shared" si="10"/>
        <v>0</v>
      </c>
      <c r="G59" s="85"/>
      <c r="H59" s="85"/>
      <c r="I59" s="86"/>
      <c r="J59" s="85"/>
      <c r="K59" s="28"/>
      <c r="L59" s="28"/>
      <c r="M59" s="28"/>
      <c r="N59" s="28"/>
      <c r="O59" s="28"/>
      <c r="P59" s="28"/>
      <c r="Q59" s="28"/>
      <c r="R59" s="28"/>
      <c r="S59" s="28"/>
      <c r="T59" s="28"/>
      <c r="U59" s="3"/>
      <c r="W59" s="3"/>
      <c r="X59" s="3"/>
      <c r="Y59" s="3"/>
      <c r="Z59" s="3"/>
    </row>
    <row r="60" spans="1:26" ht="15.75" hidden="1" customHeight="1" outlineLevel="1" x14ac:dyDescent="0.3">
      <c r="A60" s="3"/>
      <c r="B60" s="9" t="s">
        <v>338</v>
      </c>
      <c r="C60" s="53"/>
      <c r="D60" s="53"/>
      <c r="E60" s="11">
        <v>0</v>
      </c>
      <c r="F60" s="11">
        <v>0</v>
      </c>
      <c r="G60" s="56"/>
      <c r="H60" s="56"/>
      <c r="I60" s="80"/>
      <c r="J60" s="56"/>
      <c r="K60" s="28"/>
      <c r="L60" s="28"/>
      <c r="M60" s="28"/>
      <c r="N60" s="28"/>
      <c r="O60" s="28"/>
      <c r="P60" s="28"/>
      <c r="Q60" s="28"/>
      <c r="R60" s="28"/>
      <c r="S60" s="28"/>
      <c r="T60" s="28"/>
      <c r="U60" s="3"/>
      <c r="W60" s="3"/>
      <c r="X60" s="3"/>
      <c r="Y60" s="3"/>
      <c r="Z60" s="3"/>
    </row>
    <row r="61" spans="1:26" ht="15.75" hidden="1" customHeight="1" outlineLevel="1" x14ac:dyDescent="0.3">
      <c r="A61" s="3"/>
      <c r="B61" s="9" t="s">
        <v>360</v>
      </c>
      <c r="C61" s="53"/>
      <c r="D61" s="53"/>
      <c r="E61" s="11">
        <v>0</v>
      </c>
      <c r="F61" s="11">
        <v>0</v>
      </c>
      <c r="G61" s="56"/>
      <c r="H61" s="56"/>
      <c r="I61" s="80"/>
      <c r="J61" s="56"/>
      <c r="K61" s="28"/>
      <c r="L61" s="28"/>
      <c r="M61" s="28"/>
      <c r="N61" s="28"/>
      <c r="O61" s="28"/>
      <c r="P61" s="28"/>
      <c r="Q61" s="28"/>
      <c r="R61" s="28"/>
      <c r="S61" s="28"/>
      <c r="T61" s="28"/>
      <c r="U61" s="3"/>
      <c r="W61" s="3"/>
      <c r="X61" s="3"/>
      <c r="Y61" s="3"/>
      <c r="Z61" s="3"/>
    </row>
    <row r="62" spans="1:26" ht="15.75" hidden="1" customHeight="1" outlineLevel="1" x14ac:dyDescent="0.3">
      <c r="A62" s="3"/>
      <c r="B62" s="9" t="s">
        <v>361</v>
      </c>
      <c r="C62" s="53"/>
      <c r="D62" s="53"/>
      <c r="E62" s="11">
        <v>0</v>
      </c>
      <c r="F62" s="11">
        <v>0</v>
      </c>
      <c r="G62" s="56"/>
      <c r="H62" s="56"/>
      <c r="I62" s="80"/>
      <c r="J62" s="56"/>
      <c r="K62" s="28"/>
      <c r="L62" s="28"/>
      <c r="M62" s="28"/>
      <c r="N62" s="28"/>
      <c r="O62" s="28"/>
      <c r="P62" s="28"/>
      <c r="Q62" s="28"/>
      <c r="R62" s="28"/>
      <c r="S62" s="28"/>
      <c r="T62" s="28"/>
      <c r="U62" s="3"/>
      <c r="W62" s="3"/>
      <c r="X62" s="3"/>
      <c r="Y62" s="3"/>
      <c r="Z62" s="3"/>
    </row>
    <row r="63" spans="1:26" ht="15.75" hidden="1" customHeight="1" outlineLevel="1" x14ac:dyDescent="0.3">
      <c r="A63" s="3"/>
      <c r="B63" s="9" t="s">
        <v>355</v>
      </c>
      <c r="C63" s="53"/>
      <c r="D63" s="53"/>
      <c r="E63" s="11">
        <v>0</v>
      </c>
      <c r="F63" s="11">
        <v>0</v>
      </c>
      <c r="G63" s="56"/>
      <c r="H63" s="56"/>
      <c r="I63" s="80"/>
      <c r="J63" s="56"/>
      <c r="K63" s="28"/>
      <c r="L63" s="28"/>
      <c r="M63" s="28"/>
      <c r="N63" s="28"/>
      <c r="O63" s="28"/>
      <c r="P63" s="28"/>
      <c r="Q63" s="28"/>
      <c r="R63" s="28"/>
      <c r="S63" s="28"/>
      <c r="T63" s="28"/>
      <c r="U63" s="3"/>
      <c r="W63" s="3"/>
      <c r="X63" s="3"/>
      <c r="Y63" s="3"/>
      <c r="Z63" s="3"/>
    </row>
    <row r="64" spans="1:26" ht="15.75" hidden="1" customHeight="1" outlineLevel="1" x14ac:dyDescent="0.3">
      <c r="A64" s="3"/>
      <c r="B64" s="9" t="s">
        <v>356</v>
      </c>
      <c r="C64" s="53"/>
      <c r="D64" s="53"/>
      <c r="E64" s="11">
        <v>0</v>
      </c>
      <c r="F64" s="11">
        <v>0</v>
      </c>
      <c r="G64" s="56"/>
      <c r="H64" s="56"/>
      <c r="I64" s="80"/>
      <c r="J64" s="56"/>
      <c r="K64" s="28"/>
      <c r="L64" s="28"/>
      <c r="M64" s="28"/>
      <c r="N64" s="28"/>
      <c r="O64" s="28"/>
      <c r="P64" s="28"/>
      <c r="Q64" s="28"/>
      <c r="R64" s="28"/>
      <c r="S64" s="28"/>
      <c r="T64" s="28"/>
      <c r="U64" s="3"/>
      <c r="W64" s="3"/>
      <c r="X64" s="3"/>
      <c r="Y64" s="3"/>
      <c r="Z64" s="3"/>
    </row>
    <row r="65" spans="1:26" ht="15.75" hidden="1" customHeight="1" outlineLevel="1" x14ac:dyDescent="0.3">
      <c r="A65" s="3"/>
      <c r="B65" s="82" t="s">
        <v>362</v>
      </c>
      <c r="C65" s="83"/>
      <c r="D65" s="83"/>
      <c r="E65" s="84">
        <f t="shared" ref="E65:F65" si="11">SUM(E66:E74)</f>
        <v>0</v>
      </c>
      <c r="F65" s="84">
        <f t="shared" si="11"/>
        <v>1579.66</v>
      </c>
      <c r="G65" s="85"/>
      <c r="H65" s="85"/>
      <c r="I65" s="86"/>
      <c r="J65" s="85"/>
      <c r="K65" s="28"/>
      <c r="L65" s="28"/>
      <c r="M65" s="28"/>
      <c r="N65" s="28"/>
      <c r="O65" s="28"/>
      <c r="P65" s="28"/>
      <c r="Q65" s="28"/>
      <c r="R65" s="28"/>
      <c r="S65" s="28"/>
      <c r="T65" s="28"/>
      <c r="U65" s="3"/>
      <c r="W65" s="3"/>
      <c r="X65" s="3"/>
      <c r="Y65" s="3"/>
      <c r="Z65" s="3"/>
    </row>
    <row r="66" spans="1:26" ht="15.75" hidden="1" customHeight="1" outlineLevel="1" x14ac:dyDescent="0.3">
      <c r="A66" s="3"/>
      <c r="B66" s="9" t="s">
        <v>363</v>
      </c>
      <c r="C66" s="71" t="s">
        <v>364</v>
      </c>
      <c r="D66" s="53" t="s">
        <v>95</v>
      </c>
      <c r="E66" s="11">
        <v>0</v>
      </c>
      <c r="F66" s="11">
        <f>142.22+163.53+1053.91</f>
        <v>1359.66</v>
      </c>
      <c r="G66" s="87" t="s">
        <v>365</v>
      </c>
      <c r="H66" s="56" t="s">
        <v>37</v>
      </c>
      <c r="I66" s="87" t="s">
        <v>366</v>
      </c>
      <c r="J66" s="56"/>
      <c r="K66" s="28"/>
      <c r="L66" s="28"/>
      <c r="M66" s="28"/>
      <c r="N66" s="28"/>
      <c r="O66" s="28"/>
      <c r="P66" s="28"/>
      <c r="Q66" s="28"/>
      <c r="R66" s="28"/>
      <c r="S66" s="28"/>
      <c r="T66" s="28"/>
      <c r="U66" s="3"/>
      <c r="W66" s="3"/>
      <c r="X66" s="3"/>
      <c r="Y66" s="3"/>
      <c r="Z66" s="3"/>
    </row>
    <row r="67" spans="1:26" ht="15.75" hidden="1" customHeight="1" outlineLevel="1" x14ac:dyDescent="0.3">
      <c r="A67" s="3"/>
      <c r="B67" s="9" t="s">
        <v>367</v>
      </c>
      <c r="C67" s="53">
        <v>18</v>
      </c>
      <c r="D67" s="53" t="s">
        <v>95</v>
      </c>
      <c r="E67" s="11">
        <v>0</v>
      </c>
      <c r="F67" s="11">
        <v>220</v>
      </c>
      <c r="G67" s="80" t="s">
        <v>368</v>
      </c>
      <c r="H67" s="56" t="s">
        <v>37</v>
      </c>
      <c r="I67" s="81" t="s">
        <v>369</v>
      </c>
      <c r="J67" s="56"/>
      <c r="K67" s="28"/>
      <c r="L67" s="28"/>
      <c r="M67" s="28"/>
      <c r="N67" s="28"/>
      <c r="O67" s="28"/>
      <c r="P67" s="28"/>
      <c r="Q67" s="28"/>
      <c r="R67" s="28"/>
      <c r="S67" s="28"/>
      <c r="T67" s="28"/>
      <c r="U67" s="3"/>
      <c r="W67" s="3"/>
      <c r="X67" s="3"/>
      <c r="Y67" s="3"/>
      <c r="Z67" s="3"/>
    </row>
    <row r="68" spans="1:26" ht="15.75" hidden="1" customHeight="1" outlineLevel="1" x14ac:dyDescent="0.3">
      <c r="A68" s="3"/>
      <c r="B68" s="9" t="s">
        <v>356</v>
      </c>
      <c r="C68" s="53"/>
      <c r="D68" s="53"/>
      <c r="E68" s="11">
        <v>0</v>
      </c>
      <c r="F68" s="11">
        <v>0</v>
      </c>
      <c r="G68" s="56"/>
      <c r="H68" s="56"/>
      <c r="I68" s="80"/>
      <c r="J68" s="56"/>
      <c r="K68" s="28"/>
      <c r="L68" s="28"/>
      <c r="M68" s="28"/>
      <c r="N68" s="28"/>
      <c r="O68" s="28"/>
      <c r="P68" s="28"/>
      <c r="Q68" s="28"/>
      <c r="R68" s="28"/>
      <c r="S68" s="28"/>
      <c r="T68" s="28"/>
      <c r="U68" s="3"/>
      <c r="W68" s="3"/>
      <c r="X68" s="3"/>
      <c r="Y68" s="3"/>
      <c r="Z68" s="3"/>
    </row>
    <row r="69" spans="1:26" ht="15.75" hidden="1" customHeight="1" outlineLevel="1" x14ac:dyDescent="0.3">
      <c r="A69" s="3"/>
      <c r="B69" s="9" t="s">
        <v>370</v>
      </c>
      <c r="C69" s="53"/>
      <c r="D69" s="53"/>
      <c r="E69" s="11">
        <v>0</v>
      </c>
      <c r="F69" s="11">
        <v>0</v>
      </c>
      <c r="G69" s="56"/>
      <c r="H69" s="56"/>
      <c r="I69" s="80"/>
      <c r="J69" s="56"/>
      <c r="K69" s="28"/>
      <c r="L69" s="28"/>
      <c r="M69" s="28"/>
      <c r="N69" s="28"/>
      <c r="O69" s="28"/>
      <c r="P69" s="28"/>
      <c r="Q69" s="28"/>
      <c r="R69" s="28"/>
      <c r="S69" s="28"/>
      <c r="T69" s="28"/>
      <c r="U69" s="3"/>
      <c r="W69" s="3"/>
      <c r="X69" s="3"/>
      <c r="Y69" s="3"/>
      <c r="Z69" s="3"/>
    </row>
    <row r="70" spans="1:26" ht="15.75" hidden="1" customHeight="1" outlineLevel="1" x14ac:dyDescent="0.3">
      <c r="A70" s="3"/>
      <c r="B70" s="9" t="s">
        <v>328</v>
      </c>
      <c r="C70" s="53"/>
      <c r="D70" s="53"/>
      <c r="E70" s="11">
        <v>0</v>
      </c>
      <c r="F70" s="11">
        <v>0</v>
      </c>
      <c r="G70" s="56"/>
      <c r="H70" s="56"/>
      <c r="I70" s="80"/>
      <c r="J70" s="56"/>
      <c r="K70" s="28"/>
      <c r="L70" s="28"/>
      <c r="M70" s="28"/>
      <c r="N70" s="28"/>
      <c r="O70" s="28"/>
      <c r="P70" s="28"/>
      <c r="Q70" s="28"/>
      <c r="R70" s="28"/>
      <c r="S70" s="28"/>
      <c r="T70" s="28"/>
      <c r="U70" s="3"/>
      <c r="W70" s="3"/>
      <c r="X70" s="3"/>
      <c r="Y70" s="3"/>
      <c r="Z70" s="3"/>
    </row>
    <row r="71" spans="1:26" ht="15.75" hidden="1" customHeight="1" outlineLevel="1" x14ac:dyDescent="0.3">
      <c r="A71" s="3"/>
      <c r="B71" s="9" t="s">
        <v>329</v>
      </c>
      <c r="C71" s="53"/>
      <c r="D71" s="53"/>
      <c r="E71" s="11">
        <v>0</v>
      </c>
      <c r="F71" s="11">
        <v>0</v>
      </c>
      <c r="G71" s="56"/>
      <c r="H71" s="56"/>
      <c r="I71" s="80"/>
      <c r="J71" s="56"/>
      <c r="K71" s="28"/>
      <c r="L71" s="28"/>
      <c r="M71" s="28"/>
      <c r="N71" s="28"/>
      <c r="O71" s="28"/>
      <c r="P71" s="28"/>
      <c r="Q71" s="28"/>
      <c r="R71" s="28"/>
      <c r="S71" s="28"/>
      <c r="T71" s="28"/>
      <c r="U71" s="3"/>
      <c r="W71" s="3"/>
      <c r="X71" s="3"/>
      <c r="Y71" s="3"/>
      <c r="Z71" s="3"/>
    </row>
    <row r="72" spans="1:26" ht="15.75" hidden="1" customHeight="1" outlineLevel="1" x14ac:dyDescent="0.3">
      <c r="A72" s="3"/>
      <c r="B72" s="9" t="s">
        <v>371</v>
      </c>
      <c r="C72" s="53"/>
      <c r="D72" s="53"/>
      <c r="E72" s="11">
        <v>0</v>
      </c>
      <c r="F72" s="11">
        <v>0</v>
      </c>
      <c r="G72" s="56"/>
      <c r="H72" s="56"/>
      <c r="I72" s="80"/>
      <c r="J72" s="56"/>
      <c r="K72" s="28"/>
      <c r="L72" s="28"/>
      <c r="M72" s="28"/>
      <c r="N72" s="28"/>
      <c r="O72" s="28"/>
      <c r="P72" s="28"/>
      <c r="Q72" s="28"/>
      <c r="R72" s="28"/>
      <c r="S72" s="28"/>
      <c r="T72" s="28"/>
      <c r="U72" s="3"/>
      <c r="W72" s="3"/>
      <c r="X72" s="3"/>
      <c r="Y72" s="3"/>
      <c r="Z72" s="3"/>
    </row>
    <row r="73" spans="1:26" ht="15.75" hidden="1" customHeight="1" outlineLevel="1" x14ac:dyDescent="0.3">
      <c r="A73" s="3"/>
      <c r="B73" s="9" t="s">
        <v>372</v>
      </c>
      <c r="C73" s="53"/>
      <c r="D73" s="53"/>
      <c r="E73" s="11">
        <v>0</v>
      </c>
      <c r="F73" s="11">
        <v>0</v>
      </c>
      <c r="G73" s="56"/>
      <c r="H73" s="56"/>
      <c r="I73" s="80"/>
      <c r="J73" s="56"/>
      <c r="K73" s="28"/>
      <c r="L73" s="28"/>
      <c r="M73" s="28"/>
      <c r="N73" s="28"/>
      <c r="O73" s="28"/>
      <c r="P73" s="28"/>
      <c r="Q73" s="28"/>
      <c r="R73" s="28"/>
      <c r="S73" s="28"/>
      <c r="T73" s="28"/>
      <c r="U73" s="3"/>
      <c r="W73" s="3"/>
      <c r="X73" s="3"/>
      <c r="Y73" s="3"/>
      <c r="Z73" s="3"/>
    </row>
    <row r="74" spans="1:26" ht="15.75" hidden="1" customHeight="1" outlineLevel="1" x14ac:dyDescent="0.3">
      <c r="A74" s="3"/>
      <c r="B74" s="9" t="s">
        <v>373</v>
      </c>
      <c r="C74" s="53"/>
      <c r="D74" s="53"/>
      <c r="E74" s="11">
        <v>0</v>
      </c>
      <c r="F74" s="11">
        <v>0</v>
      </c>
      <c r="G74" s="56"/>
      <c r="H74" s="56"/>
      <c r="I74" s="80"/>
      <c r="J74" s="56"/>
      <c r="K74" s="28"/>
      <c r="L74" s="28"/>
      <c r="M74" s="28"/>
      <c r="N74" s="28"/>
      <c r="O74" s="28"/>
      <c r="P74" s="28"/>
      <c r="Q74" s="28"/>
      <c r="R74" s="28"/>
      <c r="S74" s="28"/>
      <c r="T74" s="28"/>
      <c r="U74" s="3"/>
      <c r="W74" s="3"/>
      <c r="X74" s="3"/>
      <c r="Y74" s="3"/>
      <c r="Z74" s="3"/>
    </row>
    <row r="75" spans="1:26" ht="15.75" hidden="1" customHeight="1" outlineLevel="1" x14ac:dyDescent="0.3">
      <c r="A75" s="3"/>
      <c r="B75" s="82" t="s">
        <v>374</v>
      </c>
      <c r="C75" s="83"/>
      <c r="D75" s="83"/>
      <c r="E75" s="84">
        <f t="shared" ref="E75:F75" si="12">SUM(E76:E84)</f>
        <v>0</v>
      </c>
      <c r="F75" s="84">
        <f t="shared" si="12"/>
        <v>445.56</v>
      </c>
      <c r="G75" s="85"/>
      <c r="H75" s="85"/>
      <c r="I75" s="86"/>
      <c r="J75" s="85"/>
      <c r="K75" s="28"/>
      <c r="L75" s="28"/>
      <c r="M75" s="28"/>
      <c r="N75" s="28"/>
      <c r="O75" s="28"/>
      <c r="P75" s="28"/>
      <c r="Q75" s="28"/>
      <c r="R75" s="28"/>
      <c r="S75" s="28"/>
      <c r="T75" s="28"/>
      <c r="U75" s="3"/>
      <c r="W75" s="3"/>
      <c r="X75" s="3"/>
      <c r="Y75" s="3"/>
      <c r="Z75" s="3"/>
    </row>
    <row r="76" spans="1:26" ht="15.75" hidden="1" customHeight="1" outlineLevel="1" x14ac:dyDescent="0.3">
      <c r="A76" s="3"/>
      <c r="B76" s="9" t="s">
        <v>375</v>
      </c>
      <c r="C76" s="53">
        <v>21</v>
      </c>
      <c r="D76" s="53" t="s">
        <v>95</v>
      </c>
      <c r="E76" s="11">
        <v>0</v>
      </c>
      <c r="F76" s="11">
        <v>445.56</v>
      </c>
      <c r="G76" s="80" t="s">
        <v>376</v>
      </c>
      <c r="H76" s="56" t="s">
        <v>37</v>
      </c>
      <c r="I76" s="81" t="s">
        <v>377</v>
      </c>
      <c r="J76" s="56"/>
      <c r="K76" s="28"/>
      <c r="L76" s="28"/>
      <c r="M76" s="28"/>
      <c r="N76" s="28"/>
      <c r="O76" s="28"/>
      <c r="P76" s="28"/>
      <c r="Q76" s="28"/>
      <c r="R76" s="28"/>
      <c r="S76" s="28"/>
      <c r="T76" s="28"/>
      <c r="U76" s="3"/>
      <c r="W76" s="3"/>
      <c r="X76" s="3"/>
      <c r="Y76" s="3"/>
      <c r="Z76" s="3"/>
    </row>
    <row r="77" spans="1:26" ht="15.75" hidden="1" customHeight="1" outlineLevel="1" x14ac:dyDescent="0.3">
      <c r="A77" s="3"/>
      <c r="B77" s="9" t="s">
        <v>355</v>
      </c>
      <c r="C77" s="53"/>
      <c r="D77" s="53"/>
      <c r="E77" s="11">
        <v>0</v>
      </c>
      <c r="F77" s="11">
        <v>0</v>
      </c>
      <c r="G77" s="56"/>
      <c r="H77" s="56"/>
      <c r="I77" s="80"/>
      <c r="J77" s="56"/>
      <c r="K77" s="28"/>
      <c r="L77" s="28"/>
      <c r="M77" s="28"/>
      <c r="N77" s="28"/>
      <c r="O77" s="28"/>
      <c r="P77" s="28"/>
      <c r="Q77" s="28"/>
      <c r="R77" s="28"/>
      <c r="S77" s="28"/>
      <c r="T77" s="28"/>
      <c r="U77" s="3"/>
      <c r="W77" s="3"/>
      <c r="X77" s="3"/>
      <c r="Y77" s="3"/>
      <c r="Z77" s="3"/>
    </row>
    <row r="78" spans="1:26" ht="15.75" hidden="1" customHeight="1" outlineLevel="1" x14ac:dyDescent="0.3">
      <c r="A78" s="3"/>
      <c r="B78" s="9" t="s">
        <v>356</v>
      </c>
      <c r="C78" s="53"/>
      <c r="D78" s="53"/>
      <c r="E78" s="11">
        <v>0</v>
      </c>
      <c r="F78" s="11">
        <v>0</v>
      </c>
      <c r="G78" s="56"/>
      <c r="H78" s="56"/>
      <c r="I78" s="80"/>
      <c r="J78" s="56"/>
      <c r="K78" s="28"/>
      <c r="L78" s="28"/>
      <c r="M78" s="28"/>
      <c r="N78" s="28"/>
      <c r="O78" s="28"/>
      <c r="P78" s="28"/>
      <c r="Q78" s="28"/>
      <c r="R78" s="28"/>
      <c r="S78" s="28"/>
      <c r="T78" s="28"/>
      <c r="U78" s="3"/>
      <c r="W78" s="3"/>
      <c r="X78" s="3"/>
      <c r="Y78" s="3"/>
      <c r="Z78" s="3"/>
    </row>
    <row r="79" spans="1:26" ht="15.75" hidden="1" customHeight="1" outlineLevel="1" x14ac:dyDescent="0.3">
      <c r="A79" s="3"/>
      <c r="B79" s="9" t="s">
        <v>370</v>
      </c>
      <c r="C79" s="53"/>
      <c r="D79" s="53"/>
      <c r="E79" s="11">
        <v>0</v>
      </c>
      <c r="F79" s="11">
        <v>0</v>
      </c>
      <c r="G79" s="56"/>
      <c r="H79" s="56"/>
      <c r="I79" s="80"/>
      <c r="J79" s="56"/>
      <c r="K79" s="28"/>
      <c r="L79" s="28"/>
      <c r="M79" s="28"/>
      <c r="N79" s="28"/>
      <c r="O79" s="28"/>
      <c r="P79" s="28"/>
      <c r="Q79" s="28"/>
      <c r="R79" s="28"/>
      <c r="S79" s="28"/>
      <c r="T79" s="28"/>
      <c r="U79" s="3"/>
      <c r="W79" s="3"/>
      <c r="X79" s="3"/>
      <c r="Y79" s="3"/>
      <c r="Z79" s="3"/>
    </row>
    <row r="80" spans="1:26" ht="15.75" hidden="1" customHeight="1" outlineLevel="1" x14ac:dyDescent="0.3">
      <c r="A80" s="3"/>
      <c r="B80" s="9" t="s">
        <v>328</v>
      </c>
      <c r="C80" s="53"/>
      <c r="D80" s="53"/>
      <c r="E80" s="11">
        <v>0</v>
      </c>
      <c r="F80" s="11">
        <v>0</v>
      </c>
      <c r="G80" s="56"/>
      <c r="H80" s="56"/>
      <c r="I80" s="80"/>
      <c r="J80" s="56"/>
      <c r="K80" s="28"/>
      <c r="L80" s="28"/>
      <c r="M80" s="28"/>
      <c r="N80" s="28"/>
      <c r="O80" s="28"/>
      <c r="P80" s="28"/>
      <c r="Q80" s="28"/>
      <c r="R80" s="28"/>
      <c r="S80" s="28"/>
      <c r="T80" s="28"/>
      <c r="U80" s="3"/>
      <c r="W80" s="3"/>
      <c r="X80" s="3"/>
      <c r="Y80" s="3"/>
      <c r="Z80" s="3"/>
    </row>
    <row r="81" spans="1:26" ht="15.75" hidden="1" customHeight="1" outlineLevel="1" x14ac:dyDescent="0.3">
      <c r="A81" s="3"/>
      <c r="B81" s="9" t="s">
        <v>329</v>
      </c>
      <c r="C81" s="53"/>
      <c r="D81" s="53"/>
      <c r="E81" s="11">
        <v>0</v>
      </c>
      <c r="F81" s="11">
        <v>0</v>
      </c>
      <c r="G81" s="56"/>
      <c r="H81" s="56"/>
      <c r="I81" s="80"/>
      <c r="J81" s="56"/>
      <c r="K81" s="28"/>
      <c r="L81" s="28"/>
      <c r="M81" s="28"/>
      <c r="N81" s="28"/>
      <c r="O81" s="28"/>
      <c r="P81" s="28"/>
      <c r="Q81" s="28"/>
      <c r="R81" s="28"/>
      <c r="S81" s="28"/>
      <c r="T81" s="28"/>
      <c r="U81" s="3"/>
      <c r="W81" s="3"/>
      <c r="X81" s="3"/>
      <c r="Y81" s="3"/>
      <c r="Z81" s="3"/>
    </row>
    <row r="82" spans="1:26" ht="15.75" hidden="1" customHeight="1" outlineLevel="1" x14ac:dyDescent="0.3">
      <c r="A82" s="3"/>
      <c r="B82" s="9" t="s">
        <v>371</v>
      </c>
      <c r="C82" s="53"/>
      <c r="D82" s="53"/>
      <c r="E82" s="11">
        <v>0</v>
      </c>
      <c r="F82" s="11">
        <v>0</v>
      </c>
      <c r="G82" s="56"/>
      <c r="H82" s="56"/>
      <c r="I82" s="80"/>
      <c r="J82" s="56"/>
      <c r="K82" s="28"/>
      <c r="L82" s="28"/>
      <c r="M82" s="28"/>
      <c r="N82" s="28"/>
      <c r="O82" s="28"/>
      <c r="P82" s="28"/>
      <c r="Q82" s="28"/>
      <c r="R82" s="28"/>
      <c r="S82" s="28"/>
      <c r="T82" s="28"/>
      <c r="U82" s="3"/>
      <c r="W82" s="3"/>
      <c r="X82" s="3"/>
      <c r="Y82" s="3"/>
      <c r="Z82" s="3"/>
    </row>
    <row r="83" spans="1:26" ht="15.75" hidden="1" customHeight="1" outlineLevel="1" x14ac:dyDescent="0.3">
      <c r="A83" s="3"/>
      <c r="B83" s="9" t="s">
        <v>372</v>
      </c>
      <c r="C83" s="53"/>
      <c r="D83" s="53"/>
      <c r="E83" s="11">
        <v>0</v>
      </c>
      <c r="F83" s="11">
        <v>0</v>
      </c>
      <c r="G83" s="56"/>
      <c r="H83" s="56"/>
      <c r="I83" s="80"/>
      <c r="J83" s="56"/>
      <c r="K83" s="28"/>
      <c r="L83" s="28"/>
      <c r="M83" s="28"/>
      <c r="N83" s="28"/>
      <c r="O83" s="28"/>
      <c r="P83" s="28"/>
      <c r="Q83" s="28"/>
      <c r="R83" s="28"/>
      <c r="S83" s="28"/>
      <c r="T83" s="28"/>
      <c r="U83" s="3"/>
      <c r="W83" s="3"/>
      <c r="X83" s="3"/>
      <c r="Y83" s="3"/>
      <c r="Z83" s="3"/>
    </row>
    <row r="84" spans="1:26" ht="15.75" hidden="1" customHeight="1" outlineLevel="1" x14ac:dyDescent="0.3">
      <c r="A84" s="3"/>
      <c r="B84" s="9" t="s">
        <v>373</v>
      </c>
      <c r="C84" s="53"/>
      <c r="D84" s="53"/>
      <c r="E84" s="11">
        <v>0</v>
      </c>
      <c r="F84" s="11">
        <v>0</v>
      </c>
      <c r="G84" s="56"/>
      <c r="H84" s="56"/>
      <c r="I84" s="80"/>
      <c r="J84" s="56"/>
      <c r="K84" s="28"/>
      <c r="L84" s="28"/>
      <c r="M84" s="28"/>
      <c r="N84" s="28"/>
      <c r="O84" s="28"/>
      <c r="P84" s="28"/>
      <c r="Q84" s="28"/>
      <c r="R84" s="28"/>
      <c r="S84" s="28"/>
      <c r="T84" s="28"/>
      <c r="U84" s="3"/>
      <c r="W84" s="3"/>
      <c r="X84" s="3"/>
      <c r="Y84" s="3"/>
      <c r="Z84" s="3"/>
    </row>
    <row r="85" spans="1:26" ht="15.75" hidden="1" customHeight="1" outlineLevel="1" x14ac:dyDescent="0.3">
      <c r="A85" s="3"/>
      <c r="B85" s="82" t="s">
        <v>378</v>
      </c>
      <c r="C85" s="83"/>
      <c r="D85" s="83"/>
      <c r="E85" s="84">
        <f t="shared" ref="E85:F85" si="13">SUM(E86:E94)</f>
        <v>0</v>
      </c>
      <c r="F85" s="84">
        <f t="shared" si="13"/>
        <v>0</v>
      </c>
      <c r="G85" s="85"/>
      <c r="H85" s="85"/>
      <c r="I85" s="86"/>
      <c r="J85" s="85"/>
      <c r="K85" s="28"/>
      <c r="L85" s="28"/>
      <c r="M85" s="28"/>
      <c r="N85" s="28"/>
      <c r="O85" s="28"/>
      <c r="P85" s="28"/>
      <c r="Q85" s="28"/>
      <c r="R85" s="28"/>
      <c r="S85" s="28"/>
      <c r="T85" s="28"/>
      <c r="U85" s="3"/>
      <c r="W85" s="3"/>
      <c r="X85" s="3"/>
      <c r="Y85" s="3"/>
      <c r="Z85" s="3"/>
    </row>
    <row r="86" spans="1:26" ht="15.75" hidden="1" customHeight="1" outlineLevel="1" x14ac:dyDescent="0.3">
      <c r="A86" s="3"/>
      <c r="B86" s="9" t="s">
        <v>354</v>
      </c>
      <c r="C86" s="53"/>
      <c r="D86" s="53"/>
      <c r="E86" s="11">
        <v>0</v>
      </c>
      <c r="F86" s="11">
        <v>0</v>
      </c>
      <c r="G86" s="56"/>
      <c r="H86" s="56"/>
      <c r="I86" s="80"/>
      <c r="J86" s="56"/>
      <c r="K86" s="28"/>
      <c r="L86" s="28"/>
      <c r="M86" s="28"/>
      <c r="N86" s="28"/>
      <c r="O86" s="28"/>
      <c r="P86" s="28"/>
      <c r="Q86" s="28"/>
      <c r="R86" s="28"/>
      <c r="S86" s="28"/>
      <c r="T86" s="28"/>
      <c r="U86" s="3"/>
      <c r="W86" s="3"/>
      <c r="X86" s="3"/>
      <c r="Y86" s="3"/>
      <c r="Z86" s="3"/>
    </row>
    <row r="87" spans="1:26" ht="15.75" hidden="1" customHeight="1" outlineLevel="1" x14ac:dyDescent="0.3">
      <c r="A87" s="3"/>
      <c r="B87" s="9" t="s">
        <v>355</v>
      </c>
      <c r="C87" s="53"/>
      <c r="D87" s="53"/>
      <c r="E87" s="11">
        <v>0</v>
      </c>
      <c r="F87" s="11">
        <v>0</v>
      </c>
      <c r="G87" s="56"/>
      <c r="H87" s="56"/>
      <c r="I87" s="80"/>
      <c r="J87" s="56"/>
      <c r="K87" s="28"/>
      <c r="L87" s="28"/>
      <c r="M87" s="28"/>
      <c r="N87" s="28"/>
      <c r="O87" s="28"/>
      <c r="P87" s="28"/>
      <c r="Q87" s="28"/>
      <c r="R87" s="28"/>
      <c r="S87" s="28"/>
      <c r="T87" s="28"/>
      <c r="U87" s="3"/>
      <c r="W87" s="3"/>
      <c r="X87" s="3"/>
      <c r="Y87" s="3"/>
      <c r="Z87" s="3"/>
    </row>
    <row r="88" spans="1:26" ht="15.75" hidden="1" customHeight="1" outlineLevel="1" x14ac:dyDescent="0.3">
      <c r="A88" s="3"/>
      <c r="B88" s="9" t="s">
        <v>356</v>
      </c>
      <c r="C88" s="53"/>
      <c r="D88" s="53"/>
      <c r="E88" s="11">
        <v>0</v>
      </c>
      <c r="F88" s="11">
        <v>0</v>
      </c>
      <c r="G88" s="56"/>
      <c r="H88" s="56"/>
      <c r="I88" s="80"/>
      <c r="J88" s="56"/>
      <c r="K88" s="28"/>
      <c r="L88" s="28"/>
      <c r="M88" s="28"/>
      <c r="N88" s="28"/>
      <c r="O88" s="28"/>
      <c r="P88" s="28"/>
      <c r="Q88" s="28"/>
      <c r="R88" s="28"/>
      <c r="S88" s="28"/>
      <c r="T88" s="28"/>
      <c r="U88" s="3"/>
      <c r="W88" s="3"/>
      <c r="X88" s="3"/>
      <c r="Y88" s="3"/>
      <c r="Z88" s="3"/>
    </row>
    <row r="89" spans="1:26" ht="15.75" hidden="1" customHeight="1" outlineLevel="1" x14ac:dyDescent="0.3">
      <c r="A89" s="3"/>
      <c r="B89" s="9" t="s">
        <v>370</v>
      </c>
      <c r="C89" s="53"/>
      <c r="D89" s="53"/>
      <c r="E89" s="11">
        <v>0</v>
      </c>
      <c r="F89" s="11">
        <v>0</v>
      </c>
      <c r="G89" s="56"/>
      <c r="H89" s="56"/>
      <c r="I89" s="80"/>
      <c r="J89" s="56"/>
      <c r="K89" s="28"/>
      <c r="L89" s="28"/>
      <c r="M89" s="28"/>
      <c r="N89" s="28"/>
      <c r="O89" s="28"/>
      <c r="P89" s="28"/>
      <c r="Q89" s="28"/>
      <c r="R89" s="28"/>
      <c r="S89" s="28"/>
      <c r="T89" s="28"/>
      <c r="U89" s="3"/>
      <c r="W89" s="3"/>
      <c r="X89" s="3"/>
      <c r="Y89" s="3"/>
      <c r="Z89" s="3"/>
    </row>
    <row r="90" spans="1:26" ht="15.75" hidden="1" customHeight="1" outlineLevel="1" x14ac:dyDescent="0.3">
      <c r="A90" s="3"/>
      <c r="B90" s="9" t="s">
        <v>328</v>
      </c>
      <c r="C90" s="53"/>
      <c r="D90" s="53"/>
      <c r="E90" s="11">
        <v>0</v>
      </c>
      <c r="F90" s="11">
        <v>0</v>
      </c>
      <c r="G90" s="56"/>
      <c r="H90" s="56"/>
      <c r="I90" s="80"/>
      <c r="J90" s="56"/>
      <c r="K90" s="28"/>
      <c r="L90" s="28"/>
      <c r="M90" s="28"/>
      <c r="N90" s="28"/>
      <c r="O90" s="28"/>
      <c r="P90" s="28"/>
      <c r="Q90" s="28"/>
      <c r="R90" s="28"/>
      <c r="S90" s="28"/>
      <c r="T90" s="28"/>
      <c r="U90" s="3"/>
      <c r="W90" s="3"/>
      <c r="X90" s="3"/>
      <c r="Y90" s="3"/>
      <c r="Z90" s="3"/>
    </row>
    <row r="91" spans="1:26" ht="15.75" hidden="1" customHeight="1" outlineLevel="1" x14ac:dyDescent="0.3">
      <c r="A91" s="3"/>
      <c r="B91" s="9" t="s">
        <v>329</v>
      </c>
      <c r="C91" s="53"/>
      <c r="D91" s="53"/>
      <c r="E91" s="11">
        <v>0</v>
      </c>
      <c r="F91" s="11">
        <v>0</v>
      </c>
      <c r="G91" s="56"/>
      <c r="H91" s="56"/>
      <c r="I91" s="80"/>
      <c r="J91" s="56"/>
      <c r="K91" s="28"/>
      <c r="L91" s="28"/>
      <c r="M91" s="28"/>
      <c r="N91" s="28"/>
      <c r="O91" s="28"/>
      <c r="P91" s="28"/>
      <c r="Q91" s="28"/>
      <c r="R91" s="28"/>
      <c r="S91" s="28"/>
      <c r="T91" s="28"/>
      <c r="U91" s="3"/>
      <c r="W91" s="3"/>
      <c r="X91" s="3"/>
      <c r="Y91" s="3"/>
      <c r="Z91" s="3"/>
    </row>
    <row r="92" spans="1:26" ht="15.75" hidden="1" customHeight="1" outlineLevel="1" x14ac:dyDescent="0.3">
      <c r="A92" s="3"/>
      <c r="B92" s="9" t="s">
        <v>371</v>
      </c>
      <c r="C92" s="53"/>
      <c r="D92" s="53"/>
      <c r="E92" s="11">
        <v>0</v>
      </c>
      <c r="F92" s="11">
        <v>0</v>
      </c>
      <c r="G92" s="56"/>
      <c r="H92" s="56"/>
      <c r="I92" s="80"/>
      <c r="J92" s="56"/>
      <c r="K92" s="28"/>
      <c r="L92" s="28"/>
      <c r="M92" s="28"/>
      <c r="N92" s="28"/>
      <c r="O92" s="28"/>
      <c r="P92" s="28"/>
      <c r="Q92" s="28"/>
      <c r="R92" s="28"/>
      <c r="S92" s="28"/>
      <c r="T92" s="28"/>
      <c r="U92" s="3"/>
      <c r="W92" s="3"/>
      <c r="X92" s="3"/>
      <c r="Y92" s="3"/>
      <c r="Z92" s="3"/>
    </row>
    <row r="93" spans="1:26" ht="15.75" hidden="1" customHeight="1" outlineLevel="1" x14ac:dyDescent="0.3">
      <c r="A93" s="3"/>
      <c r="B93" s="9" t="s">
        <v>372</v>
      </c>
      <c r="C93" s="53"/>
      <c r="D93" s="53"/>
      <c r="E93" s="11">
        <v>0</v>
      </c>
      <c r="F93" s="11">
        <v>0</v>
      </c>
      <c r="G93" s="56"/>
      <c r="H93" s="56"/>
      <c r="I93" s="80"/>
      <c r="J93" s="56"/>
      <c r="K93" s="28"/>
      <c r="L93" s="28"/>
      <c r="M93" s="28"/>
      <c r="N93" s="28"/>
      <c r="O93" s="28"/>
      <c r="P93" s="28"/>
      <c r="Q93" s="28"/>
      <c r="R93" s="28"/>
      <c r="S93" s="28"/>
      <c r="T93" s="28"/>
      <c r="U93" s="3"/>
      <c r="W93" s="3"/>
      <c r="X93" s="3"/>
      <c r="Y93" s="3"/>
      <c r="Z93" s="3"/>
    </row>
    <row r="94" spans="1:26" ht="15.75" hidden="1" customHeight="1" outlineLevel="1" x14ac:dyDescent="0.3">
      <c r="A94" s="3"/>
      <c r="B94" s="9" t="s">
        <v>373</v>
      </c>
      <c r="C94" s="53"/>
      <c r="D94" s="53"/>
      <c r="E94" s="11">
        <v>0</v>
      </c>
      <c r="F94" s="11">
        <v>0</v>
      </c>
      <c r="G94" s="56"/>
      <c r="H94" s="56"/>
      <c r="I94" s="80"/>
      <c r="J94" s="56"/>
      <c r="K94" s="28"/>
      <c r="L94" s="28"/>
      <c r="M94" s="28"/>
      <c r="N94" s="28"/>
      <c r="O94" s="28"/>
      <c r="P94" s="28"/>
      <c r="Q94" s="28"/>
      <c r="R94" s="28"/>
      <c r="S94" s="28"/>
      <c r="T94" s="28"/>
      <c r="U94" s="3"/>
      <c r="W94" s="3"/>
      <c r="X94" s="3"/>
      <c r="Y94" s="3"/>
      <c r="Z94" s="3"/>
    </row>
    <row r="95" spans="1:26" ht="15.75" customHeight="1" collapsed="1" x14ac:dyDescent="0.3">
      <c r="A95" s="3"/>
      <c r="B95" s="75" t="s">
        <v>88</v>
      </c>
      <c r="C95" s="76" t="s">
        <v>44</v>
      </c>
      <c r="D95" s="76" t="s">
        <v>44</v>
      </c>
      <c r="E95" s="77">
        <f t="shared" ref="E95:F95" si="14">SUM(E96:E104)</f>
        <v>0</v>
      </c>
      <c r="F95" s="77">
        <f t="shared" si="14"/>
        <v>0</v>
      </c>
      <c r="G95" s="78"/>
      <c r="H95" s="78"/>
      <c r="I95" s="79"/>
      <c r="J95" s="78"/>
      <c r="K95" s="28"/>
      <c r="L95" s="28"/>
      <c r="M95" s="28"/>
      <c r="N95" s="28"/>
      <c r="O95" s="28"/>
      <c r="P95" s="28"/>
      <c r="Q95" s="28"/>
      <c r="R95" s="28"/>
      <c r="S95" s="28"/>
      <c r="T95" s="28"/>
      <c r="U95" s="3"/>
      <c r="W95" s="3"/>
      <c r="X95" s="3"/>
      <c r="Y95" s="3"/>
      <c r="Z95" s="3"/>
    </row>
    <row r="96" spans="1:26" ht="15.75" hidden="1" customHeight="1" outlineLevel="1" x14ac:dyDescent="0.3">
      <c r="A96" s="3"/>
      <c r="B96" s="9" t="s">
        <v>379</v>
      </c>
      <c r="C96" s="53"/>
      <c r="D96" s="53"/>
      <c r="E96" s="11">
        <v>0</v>
      </c>
      <c r="F96" s="11">
        <v>0</v>
      </c>
      <c r="G96" s="80"/>
      <c r="H96" s="56"/>
      <c r="I96" s="80"/>
      <c r="J96" s="80"/>
      <c r="K96" s="28"/>
      <c r="L96" s="28"/>
      <c r="M96" s="28"/>
      <c r="N96" s="28"/>
      <c r="O96" s="28"/>
      <c r="P96" s="28"/>
      <c r="Q96" s="28"/>
      <c r="R96" s="28"/>
      <c r="S96" s="28"/>
      <c r="T96" s="28"/>
      <c r="U96" s="3"/>
      <c r="W96" s="3"/>
      <c r="X96" s="3"/>
      <c r="Y96" s="3"/>
      <c r="Z96" s="3"/>
    </row>
    <row r="97" spans="1:26" ht="15.75" hidden="1" customHeight="1" outlineLevel="1" x14ac:dyDescent="0.3">
      <c r="A97" s="3"/>
      <c r="B97" s="9" t="s">
        <v>379</v>
      </c>
      <c r="C97" s="53"/>
      <c r="D97" s="53"/>
      <c r="E97" s="11">
        <v>0</v>
      </c>
      <c r="F97" s="11">
        <v>0</v>
      </c>
      <c r="G97" s="56"/>
      <c r="H97" s="56"/>
      <c r="I97" s="80"/>
      <c r="J97" s="56"/>
      <c r="K97" s="28"/>
      <c r="L97" s="28"/>
      <c r="M97" s="28"/>
      <c r="N97" s="28"/>
      <c r="O97" s="28"/>
      <c r="P97" s="28"/>
      <c r="Q97" s="28"/>
      <c r="R97" s="28"/>
      <c r="S97" s="28"/>
      <c r="T97" s="28"/>
      <c r="U97" s="3"/>
      <c r="W97" s="3"/>
      <c r="X97" s="3"/>
      <c r="Y97" s="3"/>
      <c r="Z97" s="3"/>
    </row>
    <row r="98" spans="1:26" ht="15.75" hidden="1" customHeight="1" outlineLevel="1" x14ac:dyDescent="0.3">
      <c r="A98" s="3"/>
      <c r="B98" s="9" t="s">
        <v>356</v>
      </c>
      <c r="C98" s="53"/>
      <c r="D98" s="53"/>
      <c r="E98" s="11">
        <v>0</v>
      </c>
      <c r="F98" s="11">
        <v>0</v>
      </c>
      <c r="G98" s="56"/>
      <c r="H98" s="56"/>
      <c r="I98" s="80"/>
      <c r="J98" s="56"/>
      <c r="K98" s="28"/>
      <c r="L98" s="28"/>
      <c r="M98" s="28"/>
      <c r="N98" s="28"/>
      <c r="O98" s="28"/>
      <c r="P98" s="28"/>
      <c r="Q98" s="28"/>
      <c r="R98" s="28"/>
      <c r="S98" s="28"/>
      <c r="T98" s="28"/>
      <c r="U98" s="3"/>
      <c r="W98" s="3"/>
      <c r="X98" s="3"/>
      <c r="Y98" s="3"/>
      <c r="Z98" s="3"/>
    </row>
    <row r="99" spans="1:26" ht="15.75" hidden="1" customHeight="1" outlineLevel="1" x14ac:dyDescent="0.3">
      <c r="A99" s="3"/>
      <c r="B99" s="9" t="s">
        <v>370</v>
      </c>
      <c r="C99" s="53"/>
      <c r="D99" s="53"/>
      <c r="E99" s="11">
        <v>0</v>
      </c>
      <c r="F99" s="11">
        <v>0</v>
      </c>
      <c r="G99" s="56"/>
      <c r="H99" s="56"/>
      <c r="I99" s="80"/>
      <c r="J99" s="56"/>
      <c r="K99" s="28"/>
      <c r="L99" s="28"/>
      <c r="M99" s="28"/>
      <c r="N99" s="28"/>
      <c r="O99" s="28"/>
      <c r="P99" s="28"/>
      <c r="Q99" s="28"/>
      <c r="R99" s="28"/>
      <c r="S99" s="28"/>
      <c r="T99" s="28"/>
      <c r="U99" s="3"/>
      <c r="W99" s="3"/>
      <c r="X99" s="3"/>
      <c r="Y99" s="3"/>
      <c r="Z99" s="3"/>
    </row>
    <row r="100" spans="1:26" ht="15.75" hidden="1" customHeight="1" outlineLevel="1" x14ac:dyDescent="0.3">
      <c r="A100" s="3"/>
      <c r="B100" s="9" t="s">
        <v>328</v>
      </c>
      <c r="C100" s="53"/>
      <c r="D100" s="53"/>
      <c r="E100" s="11">
        <v>0</v>
      </c>
      <c r="F100" s="11">
        <v>0</v>
      </c>
      <c r="G100" s="56"/>
      <c r="H100" s="56"/>
      <c r="I100" s="80"/>
      <c r="J100" s="56"/>
      <c r="K100" s="28"/>
      <c r="L100" s="28"/>
      <c r="M100" s="28"/>
      <c r="N100" s="28"/>
      <c r="O100" s="28"/>
      <c r="P100" s="28"/>
      <c r="Q100" s="28"/>
      <c r="R100" s="28"/>
      <c r="S100" s="28"/>
      <c r="T100" s="28"/>
      <c r="U100" s="3"/>
      <c r="W100" s="3"/>
      <c r="X100" s="3"/>
      <c r="Y100" s="3"/>
      <c r="Z100" s="3"/>
    </row>
    <row r="101" spans="1:26" ht="15.75" hidden="1" customHeight="1" outlineLevel="1" x14ac:dyDescent="0.3">
      <c r="A101" s="3"/>
      <c r="B101" s="9" t="s">
        <v>329</v>
      </c>
      <c r="C101" s="53"/>
      <c r="D101" s="53"/>
      <c r="E101" s="11">
        <v>0</v>
      </c>
      <c r="F101" s="11">
        <v>0</v>
      </c>
      <c r="G101" s="56"/>
      <c r="H101" s="56"/>
      <c r="I101" s="80"/>
      <c r="J101" s="56"/>
      <c r="K101" s="28"/>
      <c r="L101" s="28"/>
      <c r="M101" s="28"/>
      <c r="N101" s="28"/>
      <c r="O101" s="28"/>
      <c r="P101" s="28"/>
      <c r="Q101" s="28"/>
      <c r="R101" s="28"/>
      <c r="S101" s="28"/>
      <c r="T101" s="28"/>
      <c r="U101" s="3"/>
      <c r="W101" s="3"/>
      <c r="X101" s="3"/>
      <c r="Y101" s="3"/>
      <c r="Z101" s="3"/>
    </row>
    <row r="102" spans="1:26" ht="15.75" hidden="1" customHeight="1" outlineLevel="1" x14ac:dyDescent="0.3">
      <c r="A102" s="3"/>
      <c r="B102" s="9" t="s">
        <v>371</v>
      </c>
      <c r="C102" s="53"/>
      <c r="D102" s="53"/>
      <c r="E102" s="11">
        <v>0</v>
      </c>
      <c r="F102" s="11">
        <v>0</v>
      </c>
      <c r="G102" s="56"/>
      <c r="H102" s="56"/>
      <c r="I102" s="80"/>
      <c r="J102" s="56"/>
      <c r="K102" s="28"/>
      <c r="L102" s="28"/>
      <c r="M102" s="28"/>
      <c r="N102" s="28"/>
      <c r="O102" s="28"/>
      <c r="P102" s="28"/>
      <c r="Q102" s="28"/>
      <c r="R102" s="28"/>
      <c r="S102" s="28"/>
      <c r="T102" s="28"/>
      <c r="U102" s="3"/>
      <c r="W102" s="3"/>
      <c r="X102" s="3"/>
      <c r="Y102" s="3"/>
      <c r="Z102" s="3"/>
    </row>
    <row r="103" spans="1:26" ht="15.75" hidden="1" customHeight="1" outlineLevel="1" x14ac:dyDescent="0.3">
      <c r="A103" s="3"/>
      <c r="B103" s="9" t="s">
        <v>372</v>
      </c>
      <c r="C103" s="53"/>
      <c r="D103" s="53"/>
      <c r="E103" s="11">
        <v>0</v>
      </c>
      <c r="F103" s="11">
        <v>0</v>
      </c>
      <c r="G103" s="56"/>
      <c r="H103" s="56"/>
      <c r="I103" s="80"/>
      <c r="J103" s="56"/>
      <c r="K103" s="28"/>
      <c r="L103" s="28"/>
      <c r="M103" s="28"/>
      <c r="N103" s="28"/>
      <c r="O103" s="28"/>
      <c r="P103" s="28"/>
      <c r="Q103" s="28"/>
      <c r="R103" s="28"/>
      <c r="S103" s="28"/>
      <c r="T103" s="28"/>
      <c r="U103" s="3"/>
      <c r="W103" s="3"/>
      <c r="X103" s="3"/>
      <c r="Y103" s="3"/>
      <c r="Z103" s="3"/>
    </row>
    <row r="104" spans="1:26" ht="15.75" hidden="1" customHeight="1" outlineLevel="1" x14ac:dyDescent="0.3">
      <c r="A104" s="3"/>
      <c r="B104" s="9" t="s">
        <v>373</v>
      </c>
      <c r="C104" s="53"/>
      <c r="D104" s="53"/>
      <c r="E104" s="11">
        <v>0</v>
      </c>
      <c r="F104" s="11">
        <v>0</v>
      </c>
      <c r="G104" s="56"/>
      <c r="H104" s="56"/>
      <c r="I104" s="80"/>
      <c r="J104" s="56"/>
      <c r="K104" s="28"/>
      <c r="L104" s="28"/>
      <c r="M104" s="28"/>
      <c r="N104" s="28"/>
      <c r="O104" s="28"/>
      <c r="P104" s="28"/>
      <c r="Q104" s="28"/>
      <c r="R104" s="28"/>
      <c r="S104" s="28"/>
      <c r="T104" s="28"/>
      <c r="U104" s="3"/>
      <c r="W104" s="3"/>
      <c r="X104" s="3"/>
      <c r="Y104" s="3"/>
      <c r="Z104" s="3"/>
    </row>
    <row r="105" spans="1:26" ht="15.75" customHeight="1" collapsed="1" x14ac:dyDescent="0.3">
      <c r="A105" s="3"/>
      <c r="B105" s="75" t="s">
        <v>89</v>
      </c>
      <c r="C105" s="76" t="s">
        <v>44</v>
      </c>
      <c r="D105" s="76" t="s">
        <v>44</v>
      </c>
      <c r="E105" s="77">
        <f t="shared" ref="E105:F105" si="15">SUM(E106,E112,E118,E124)</f>
        <v>0</v>
      </c>
      <c r="F105" s="77">
        <f t="shared" si="15"/>
        <v>0</v>
      </c>
      <c r="G105" s="78"/>
      <c r="H105" s="78"/>
      <c r="I105" s="79"/>
      <c r="J105" s="78"/>
      <c r="K105" s="28"/>
      <c r="L105" s="28"/>
      <c r="M105" s="28"/>
      <c r="N105" s="28"/>
      <c r="O105" s="28"/>
      <c r="P105" s="28"/>
      <c r="Q105" s="28"/>
      <c r="R105" s="28"/>
      <c r="S105" s="28"/>
      <c r="T105" s="28"/>
      <c r="U105" s="3"/>
      <c r="W105" s="3"/>
      <c r="X105" s="3"/>
      <c r="Y105" s="3"/>
      <c r="Z105" s="3"/>
    </row>
    <row r="106" spans="1:26" ht="15.75" hidden="1" customHeight="1" outlineLevel="1" x14ac:dyDescent="0.3">
      <c r="A106" s="3"/>
      <c r="B106" s="82" t="s">
        <v>380</v>
      </c>
      <c r="C106" s="83"/>
      <c r="D106" s="83"/>
      <c r="E106" s="84">
        <f t="shared" ref="E106:F106" si="16">SUM(E107:E111)</f>
        <v>0</v>
      </c>
      <c r="F106" s="84">
        <f t="shared" si="16"/>
        <v>0</v>
      </c>
      <c r="G106" s="85"/>
      <c r="H106" s="85"/>
      <c r="I106" s="86"/>
      <c r="J106" s="85"/>
      <c r="K106" s="28"/>
      <c r="L106" s="28"/>
      <c r="M106" s="28"/>
      <c r="N106" s="28"/>
      <c r="O106" s="28"/>
      <c r="P106" s="28"/>
      <c r="Q106" s="28"/>
      <c r="R106" s="28"/>
      <c r="S106" s="28"/>
      <c r="T106" s="28"/>
      <c r="U106" s="3"/>
      <c r="W106" s="3"/>
      <c r="X106" s="3"/>
      <c r="Y106" s="3"/>
      <c r="Z106" s="3"/>
    </row>
    <row r="107" spans="1:26" ht="15.75" hidden="1" customHeight="1" outlineLevel="1" x14ac:dyDescent="0.3">
      <c r="A107" s="3"/>
      <c r="B107" s="9" t="s">
        <v>354</v>
      </c>
      <c r="C107" s="53"/>
      <c r="D107" s="53"/>
      <c r="E107" s="11">
        <v>0</v>
      </c>
      <c r="F107" s="11">
        <v>0</v>
      </c>
      <c r="G107" s="56"/>
      <c r="H107" s="56"/>
      <c r="I107" s="80"/>
      <c r="J107" s="56"/>
      <c r="K107" s="28"/>
      <c r="L107" s="28"/>
      <c r="M107" s="28"/>
      <c r="N107" s="28"/>
      <c r="O107" s="28"/>
      <c r="P107" s="28"/>
      <c r="Q107" s="28"/>
      <c r="R107" s="28"/>
      <c r="S107" s="28"/>
      <c r="T107" s="28"/>
      <c r="U107" s="3"/>
      <c r="W107" s="3"/>
      <c r="X107" s="3"/>
      <c r="Y107" s="3"/>
      <c r="Z107" s="3"/>
    </row>
    <row r="108" spans="1:26" ht="15.75" hidden="1" customHeight="1" outlineLevel="1" x14ac:dyDescent="0.3">
      <c r="A108" s="3"/>
      <c r="B108" s="9" t="s">
        <v>355</v>
      </c>
      <c r="C108" s="53"/>
      <c r="D108" s="53"/>
      <c r="E108" s="11">
        <v>0</v>
      </c>
      <c r="F108" s="11">
        <v>0</v>
      </c>
      <c r="G108" s="56"/>
      <c r="H108" s="56"/>
      <c r="I108" s="80"/>
      <c r="J108" s="56"/>
      <c r="K108" s="28"/>
      <c r="L108" s="28"/>
      <c r="M108" s="28"/>
      <c r="N108" s="28"/>
      <c r="O108" s="28"/>
      <c r="P108" s="28"/>
      <c r="Q108" s="28"/>
      <c r="R108" s="28"/>
      <c r="S108" s="28"/>
      <c r="T108" s="28"/>
      <c r="U108" s="3"/>
      <c r="W108" s="3"/>
      <c r="X108" s="3"/>
      <c r="Y108" s="3"/>
      <c r="Z108" s="3"/>
    </row>
    <row r="109" spans="1:26" ht="15.75" hidden="1" customHeight="1" outlineLevel="1" x14ac:dyDescent="0.3">
      <c r="A109" s="3"/>
      <c r="B109" s="9" t="s">
        <v>356</v>
      </c>
      <c r="C109" s="53"/>
      <c r="D109" s="53"/>
      <c r="E109" s="11">
        <v>0</v>
      </c>
      <c r="F109" s="11">
        <v>0</v>
      </c>
      <c r="G109" s="56"/>
      <c r="H109" s="56"/>
      <c r="I109" s="80"/>
      <c r="J109" s="56"/>
      <c r="K109" s="28"/>
      <c r="L109" s="28"/>
      <c r="M109" s="28"/>
      <c r="N109" s="28"/>
      <c r="O109" s="28"/>
      <c r="P109" s="28"/>
      <c r="Q109" s="28"/>
      <c r="R109" s="28"/>
      <c r="S109" s="28"/>
      <c r="T109" s="28"/>
      <c r="U109" s="3"/>
      <c r="W109" s="3"/>
      <c r="X109" s="3"/>
      <c r="Y109" s="3"/>
      <c r="Z109" s="3"/>
    </row>
    <row r="110" spans="1:26" ht="15.75" hidden="1" customHeight="1" outlineLevel="1" x14ac:dyDescent="0.3">
      <c r="A110" s="3"/>
      <c r="B110" s="9" t="s">
        <v>370</v>
      </c>
      <c r="C110" s="53"/>
      <c r="D110" s="53"/>
      <c r="E110" s="11">
        <v>0</v>
      </c>
      <c r="F110" s="11">
        <v>0</v>
      </c>
      <c r="G110" s="56"/>
      <c r="H110" s="56"/>
      <c r="I110" s="80"/>
      <c r="J110" s="56"/>
      <c r="K110" s="28"/>
      <c r="L110" s="28"/>
      <c r="M110" s="28"/>
      <c r="N110" s="28"/>
      <c r="O110" s="28"/>
      <c r="P110" s="28"/>
      <c r="Q110" s="28"/>
      <c r="R110" s="28"/>
      <c r="S110" s="28"/>
      <c r="T110" s="28"/>
      <c r="U110" s="3"/>
      <c r="W110" s="3"/>
      <c r="X110" s="3"/>
      <c r="Y110" s="3"/>
      <c r="Z110" s="3"/>
    </row>
    <row r="111" spans="1:26" ht="15.75" hidden="1" customHeight="1" outlineLevel="1" x14ac:dyDescent="0.3">
      <c r="A111" s="3"/>
      <c r="B111" s="9" t="s">
        <v>328</v>
      </c>
      <c r="C111" s="53"/>
      <c r="D111" s="53"/>
      <c r="E111" s="11">
        <v>0</v>
      </c>
      <c r="F111" s="11">
        <v>0</v>
      </c>
      <c r="G111" s="56"/>
      <c r="H111" s="56"/>
      <c r="I111" s="80"/>
      <c r="J111" s="56"/>
      <c r="K111" s="28"/>
      <c r="L111" s="28"/>
      <c r="M111" s="28"/>
      <c r="N111" s="28"/>
      <c r="O111" s="28"/>
      <c r="P111" s="28"/>
      <c r="Q111" s="28"/>
      <c r="R111" s="28"/>
      <c r="S111" s="28"/>
      <c r="T111" s="28"/>
      <c r="U111" s="3"/>
      <c r="W111" s="3"/>
      <c r="X111" s="3"/>
      <c r="Y111" s="3"/>
      <c r="Z111" s="3"/>
    </row>
    <row r="112" spans="1:26" ht="15.75" hidden="1" customHeight="1" outlineLevel="1" x14ac:dyDescent="0.3">
      <c r="A112" s="3"/>
      <c r="B112" s="82" t="s">
        <v>381</v>
      </c>
      <c r="C112" s="83"/>
      <c r="D112" s="83"/>
      <c r="E112" s="84">
        <f t="shared" ref="E112:F112" si="17">SUM(E113:E117)</f>
        <v>0</v>
      </c>
      <c r="F112" s="84">
        <f t="shared" si="17"/>
        <v>0</v>
      </c>
      <c r="G112" s="85"/>
      <c r="H112" s="85"/>
      <c r="I112" s="86"/>
      <c r="J112" s="85"/>
      <c r="K112" s="28"/>
      <c r="L112" s="28"/>
      <c r="M112" s="28"/>
      <c r="N112" s="28"/>
      <c r="O112" s="28"/>
      <c r="P112" s="28"/>
      <c r="Q112" s="28"/>
      <c r="R112" s="28"/>
      <c r="S112" s="28"/>
      <c r="T112" s="28"/>
      <c r="U112" s="3"/>
      <c r="W112" s="3"/>
      <c r="X112" s="3"/>
      <c r="Y112" s="3"/>
      <c r="Z112" s="3"/>
    </row>
    <row r="113" spans="1:26" ht="15.75" hidden="1" customHeight="1" outlineLevel="1" x14ac:dyDescent="0.3">
      <c r="A113" s="3"/>
      <c r="B113" s="9" t="s">
        <v>354</v>
      </c>
      <c r="C113" s="53"/>
      <c r="D113" s="53"/>
      <c r="E113" s="11">
        <v>0</v>
      </c>
      <c r="F113" s="11">
        <v>0</v>
      </c>
      <c r="G113" s="56"/>
      <c r="H113" s="56"/>
      <c r="I113" s="80"/>
      <c r="J113" s="56"/>
      <c r="K113" s="28"/>
      <c r="L113" s="28"/>
      <c r="M113" s="28"/>
      <c r="N113" s="28"/>
      <c r="O113" s="28"/>
      <c r="P113" s="28"/>
      <c r="Q113" s="28"/>
      <c r="R113" s="28"/>
      <c r="S113" s="28"/>
      <c r="T113" s="28"/>
      <c r="U113" s="3"/>
      <c r="W113" s="3"/>
      <c r="X113" s="3"/>
      <c r="Y113" s="3"/>
      <c r="Z113" s="3"/>
    </row>
    <row r="114" spans="1:26" ht="15.75" hidden="1" customHeight="1" outlineLevel="1" x14ac:dyDescent="0.3">
      <c r="A114" s="3"/>
      <c r="B114" s="9" t="s">
        <v>355</v>
      </c>
      <c r="C114" s="53"/>
      <c r="D114" s="53"/>
      <c r="E114" s="11">
        <v>0</v>
      </c>
      <c r="F114" s="11">
        <v>0</v>
      </c>
      <c r="G114" s="56"/>
      <c r="H114" s="56"/>
      <c r="I114" s="80"/>
      <c r="J114" s="56"/>
      <c r="K114" s="28"/>
      <c r="L114" s="28"/>
      <c r="M114" s="28"/>
      <c r="N114" s="28"/>
      <c r="O114" s="28"/>
      <c r="P114" s="28"/>
      <c r="Q114" s="28"/>
      <c r="R114" s="28"/>
      <c r="S114" s="28"/>
      <c r="T114" s="28"/>
      <c r="U114" s="3"/>
      <c r="W114" s="3"/>
      <c r="X114" s="3"/>
      <c r="Y114" s="3"/>
      <c r="Z114" s="3"/>
    </row>
    <row r="115" spans="1:26" ht="15.75" hidden="1" customHeight="1" outlineLevel="1" x14ac:dyDescent="0.3">
      <c r="A115" s="3"/>
      <c r="B115" s="9" t="s">
        <v>356</v>
      </c>
      <c r="C115" s="53"/>
      <c r="D115" s="53"/>
      <c r="E115" s="11">
        <v>0</v>
      </c>
      <c r="F115" s="11">
        <v>0</v>
      </c>
      <c r="G115" s="56"/>
      <c r="H115" s="56"/>
      <c r="I115" s="80"/>
      <c r="J115" s="56"/>
      <c r="K115" s="28"/>
      <c r="L115" s="28"/>
      <c r="M115" s="28"/>
      <c r="N115" s="28"/>
      <c r="O115" s="28"/>
      <c r="P115" s="28"/>
      <c r="Q115" s="28"/>
      <c r="R115" s="28"/>
      <c r="S115" s="28"/>
      <c r="T115" s="28"/>
      <c r="U115" s="3"/>
      <c r="W115" s="3"/>
      <c r="X115" s="3"/>
      <c r="Y115" s="3"/>
      <c r="Z115" s="3"/>
    </row>
    <row r="116" spans="1:26" ht="15.75" hidden="1" customHeight="1" outlineLevel="1" x14ac:dyDescent="0.3">
      <c r="A116" s="3"/>
      <c r="B116" s="9" t="s">
        <v>370</v>
      </c>
      <c r="C116" s="53"/>
      <c r="D116" s="53"/>
      <c r="E116" s="11">
        <v>0</v>
      </c>
      <c r="F116" s="11">
        <v>0</v>
      </c>
      <c r="G116" s="56"/>
      <c r="H116" s="56"/>
      <c r="I116" s="80"/>
      <c r="J116" s="56"/>
      <c r="K116" s="28"/>
      <c r="L116" s="28"/>
      <c r="M116" s="28"/>
      <c r="N116" s="28"/>
      <c r="O116" s="28"/>
      <c r="P116" s="28"/>
      <c r="Q116" s="28"/>
      <c r="R116" s="28"/>
      <c r="S116" s="28"/>
      <c r="T116" s="28"/>
      <c r="U116" s="3"/>
      <c r="W116" s="3"/>
      <c r="X116" s="3"/>
      <c r="Y116" s="3"/>
      <c r="Z116" s="3"/>
    </row>
    <row r="117" spans="1:26" ht="15.75" hidden="1" customHeight="1" outlineLevel="1" x14ac:dyDescent="0.3">
      <c r="A117" s="3"/>
      <c r="B117" s="9" t="s">
        <v>328</v>
      </c>
      <c r="C117" s="53"/>
      <c r="D117" s="53"/>
      <c r="E117" s="11">
        <v>0</v>
      </c>
      <c r="F117" s="11">
        <v>0</v>
      </c>
      <c r="G117" s="56"/>
      <c r="H117" s="56"/>
      <c r="I117" s="80"/>
      <c r="J117" s="56"/>
      <c r="K117" s="28"/>
      <c r="L117" s="28"/>
      <c r="M117" s="28"/>
      <c r="N117" s="28"/>
      <c r="O117" s="28"/>
      <c r="P117" s="28"/>
      <c r="Q117" s="28"/>
      <c r="R117" s="28"/>
      <c r="S117" s="28"/>
      <c r="T117" s="28"/>
      <c r="U117" s="3"/>
      <c r="W117" s="3"/>
      <c r="X117" s="3"/>
      <c r="Y117" s="3"/>
      <c r="Z117" s="3"/>
    </row>
    <row r="118" spans="1:26" ht="15.75" hidden="1" customHeight="1" outlineLevel="1" x14ac:dyDescent="0.3">
      <c r="A118" s="3"/>
      <c r="B118" s="82" t="s">
        <v>382</v>
      </c>
      <c r="C118" s="83"/>
      <c r="D118" s="83"/>
      <c r="E118" s="84">
        <f t="shared" ref="E118:F118" si="18">SUM(E119:E123)</f>
        <v>0</v>
      </c>
      <c r="F118" s="84">
        <f t="shared" si="18"/>
        <v>0</v>
      </c>
      <c r="G118" s="85"/>
      <c r="H118" s="85"/>
      <c r="I118" s="86"/>
      <c r="J118" s="85"/>
      <c r="K118" s="28"/>
      <c r="L118" s="28"/>
      <c r="M118" s="28"/>
      <c r="N118" s="28"/>
      <c r="O118" s="28"/>
      <c r="P118" s="28"/>
      <c r="Q118" s="28"/>
      <c r="R118" s="28"/>
      <c r="S118" s="28"/>
      <c r="T118" s="28"/>
      <c r="U118" s="3"/>
      <c r="W118" s="3"/>
      <c r="X118" s="3"/>
      <c r="Y118" s="3"/>
      <c r="Z118" s="3"/>
    </row>
    <row r="119" spans="1:26" ht="15.75" hidden="1" customHeight="1" outlineLevel="1" x14ac:dyDescent="0.3">
      <c r="A119" s="3"/>
      <c r="B119" s="9" t="s">
        <v>354</v>
      </c>
      <c r="C119" s="53"/>
      <c r="D119" s="53"/>
      <c r="E119" s="11">
        <v>0</v>
      </c>
      <c r="F119" s="11">
        <v>0</v>
      </c>
      <c r="G119" s="56"/>
      <c r="H119" s="56"/>
      <c r="I119" s="80"/>
      <c r="J119" s="56"/>
      <c r="K119" s="28"/>
      <c r="L119" s="28"/>
      <c r="M119" s="28"/>
      <c r="N119" s="28"/>
      <c r="O119" s="28"/>
      <c r="P119" s="28"/>
      <c r="Q119" s="28"/>
      <c r="R119" s="28"/>
      <c r="S119" s="28"/>
      <c r="T119" s="28"/>
      <c r="U119" s="3"/>
      <c r="W119" s="3"/>
      <c r="X119" s="3"/>
      <c r="Y119" s="3"/>
      <c r="Z119" s="3"/>
    </row>
    <row r="120" spans="1:26" ht="15.75" hidden="1" customHeight="1" outlineLevel="1" x14ac:dyDescent="0.3">
      <c r="A120" s="3"/>
      <c r="B120" s="9" t="s">
        <v>355</v>
      </c>
      <c r="C120" s="53"/>
      <c r="D120" s="53"/>
      <c r="E120" s="11">
        <v>0</v>
      </c>
      <c r="F120" s="11">
        <v>0</v>
      </c>
      <c r="G120" s="56"/>
      <c r="H120" s="56"/>
      <c r="I120" s="80"/>
      <c r="J120" s="56"/>
      <c r="K120" s="28"/>
      <c r="L120" s="28"/>
      <c r="M120" s="28"/>
      <c r="N120" s="28"/>
      <c r="O120" s="28"/>
      <c r="P120" s="28"/>
      <c r="Q120" s="28"/>
      <c r="R120" s="28"/>
      <c r="S120" s="28"/>
      <c r="T120" s="28"/>
      <c r="U120" s="3"/>
      <c r="W120" s="3"/>
      <c r="X120" s="3"/>
      <c r="Y120" s="3"/>
      <c r="Z120" s="3"/>
    </row>
    <row r="121" spans="1:26" ht="15.75" hidden="1" customHeight="1" outlineLevel="1" x14ac:dyDescent="0.3">
      <c r="A121" s="3"/>
      <c r="B121" s="9" t="s">
        <v>356</v>
      </c>
      <c r="C121" s="53"/>
      <c r="D121" s="53"/>
      <c r="E121" s="11">
        <v>0</v>
      </c>
      <c r="F121" s="11">
        <v>0</v>
      </c>
      <c r="G121" s="56"/>
      <c r="H121" s="56"/>
      <c r="I121" s="80"/>
      <c r="J121" s="56"/>
      <c r="K121" s="28"/>
      <c r="L121" s="28"/>
      <c r="M121" s="28"/>
      <c r="N121" s="28"/>
      <c r="O121" s="28"/>
      <c r="P121" s="28"/>
      <c r="Q121" s="28"/>
      <c r="R121" s="28"/>
      <c r="S121" s="28"/>
      <c r="T121" s="28"/>
      <c r="U121" s="3"/>
      <c r="W121" s="3"/>
      <c r="X121" s="3"/>
      <c r="Y121" s="3"/>
      <c r="Z121" s="3"/>
    </row>
    <row r="122" spans="1:26" ht="15.75" hidden="1" customHeight="1" outlineLevel="1" x14ac:dyDescent="0.3">
      <c r="A122" s="3"/>
      <c r="B122" s="9" t="s">
        <v>370</v>
      </c>
      <c r="C122" s="53"/>
      <c r="D122" s="53"/>
      <c r="E122" s="11">
        <v>0</v>
      </c>
      <c r="F122" s="11">
        <v>0</v>
      </c>
      <c r="G122" s="56"/>
      <c r="H122" s="56"/>
      <c r="I122" s="80"/>
      <c r="J122" s="56"/>
      <c r="K122" s="28"/>
      <c r="L122" s="28"/>
      <c r="M122" s="28"/>
      <c r="N122" s="28"/>
      <c r="O122" s="28"/>
      <c r="P122" s="28"/>
      <c r="Q122" s="28"/>
      <c r="R122" s="28"/>
      <c r="S122" s="28"/>
      <c r="T122" s="28"/>
      <c r="U122" s="3"/>
      <c r="W122" s="3"/>
      <c r="X122" s="3"/>
      <c r="Y122" s="3"/>
      <c r="Z122" s="3"/>
    </row>
    <row r="123" spans="1:26" ht="15.75" hidden="1" customHeight="1" outlineLevel="1" x14ac:dyDescent="0.3">
      <c r="A123" s="3"/>
      <c r="B123" s="9" t="s">
        <v>328</v>
      </c>
      <c r="C123" s="53"/>
      <c r="D123" s="53"/>
      <c r="E123" s="11">
        <v>0</v>
      </c>
      <c r="F123" s="11">
        <v>0</v>
      </c>
      <c r="G123" s="56"/>
      <c r="H123" s="56"/>
      <c r="I123" s="80"/>
      <c r="J123" s="56"/>
      <c r="K123" s="28"/>
      <c r="L123" s="28"/>
      <c r="M123" s="28"/>
      <c r="N123" s="28"/>
      <c r="O123" s="28"/>
      <c r="P123" s="28"/>
      <c r="Q123" s="28"/>
      <c r="R123" s="28"/>
      <c r="S123" s="28"/>
      <c r="T123" s="28"/>
      <c r="U123" s="3"/>
      <c r="W123" s="3"/>
      <c r="X123" s="3"/>
      <c r="Y123" s="3"/>
      <c r="Z123" s="3"/>
    </row>
    <row r="124" spans="1:26" ht="15.75" hidden="1" customHeight="1" outlineLevel="1" x14ac:dyDescent="0.3">
      <c r="A124" s="3"/>
      <c r="B124" s="82" t="s">
        <v>383</v>
      </c>
      <c r="C124" s="83"/>
      <c r="D124" s="83"/>
      <c r="E124" s="84">
        <f t="shared" ref="E124:F124" si="19">SUM(E125:E129)</f>
        <v>0</v>
      </c>
      <c r="F124" s="84">
        <f t="shared" si="19"/>
        <v>0</v>
      </c>
      <c r="G124" s="85"/>
      <c r="H124" s="85"/>
      <c r="I124" s="86"/>
      <c r="J124" s="85"/>
      <c r="K124" s="28"/>
      <c r="L124" s="28"/>
      <c r="M124" s="28"/>
      <c r="N124" s="28"/>
      <c r="O124" s="28"/>
      <c r="P124" s="28"/>
      <c r="Q124" s="28"/>
      <c r="R124" s="28"/>
      <c r="S124" s="28"/>
      <c r="T124" s="28"/>
      <c r="U124" s="3"/>
      <c r="W124" s="3"/>
      <c r="X124" s="3"/>
      <c r="Y124" s="3"/>
      <c r="Z124" s="3"/>
    </row>
    <row r="125" spans="1:26" ht="15.75" hidden="1" customHeight="1" outlineLevel="1" x14ac:dyDescent="0.3">
      <c r="A125" s="3"/>
      <c r="B125" s="9" t="s">
        <v>354</v>
      </c>
      <c r="C125" s="53"/>
      <c r="D125" s="53"/>
      <c r="E125" s="11">
        <v>0</v>
      </c>
      <c r="F125" s="11">
        <v>0</v>
      </c>
      <c r="G125" s="56"/>
      <c r="H125" s="56"/>
      <c r="I125" s="80"/>
      <c r="J125" s="56"/>
      <c r="K125" s="28"/>
      <c r="L125" s="28"/>
      <c r="M125" s="28"/>
      <c r="N125" s="28"/>
      <c r="O125" s="28"/>
      <c r="P125" s="28"/>
      <c r="Q125" s="28"/>
      <c r="R125" s="28"/>
      <c r="S125" s="28"/>
      <c r="T125" s="28"/>
      <c r="U125" s="3"/>
      <c r="W125" s="3"/>
      <c r="X125" s="3"/>
      <c r="Y125" s="3"/>
      <c r="Z125" s="3"/>
    </row>
    <row r="126" spans="1:26" ht="15.75" hidden="1" customHeight="1" outlineLevel="1" x14ac:dyDescent="0.3">
      <c r="A126" s="3"/>
      <c r="B126" s="9" t="s">
        <v>355</v>
      </c>
      <c r="C126" s="53"/>
      <c r="D126" s="53"/>
      <c r="E126" s="11">
        <v>0</v>
      </c>
      <c r="F126" s="11">
        <v>0</v>
      </c>
      <c r="G126" s="56"/>
      <c r="H126" s="56"/>
      <c r="I126" s="80"/>
      <c r="J126" s="56"/>
      <c r="K126" s="28"/>
      <c r="L126" s="28"/>
      <c r="M126" s="28"/>
      <c r="N126" s="28"/>
      <c r="O126" s="28"/>
      <c r="P126" s="28"/>
      <c r="Q126" s="28"/>
      <c r="R126" s="28"/>
      <c r="S126" s="28"/>
      <c r="T126" s="28"/>
      <c r="U126" s="3"/>
      <c r="W126" s="3"/>
      <c r="X126" s="3"/>
      <c r="Y126" s="3"/>
      <c r="Z126" s="3"/>
    </row>
    <row r="127" spans="1:26" ht="15.75" hidden="1" customHeight="1" outlineLevel="1" x14ac:dyDescent="0.3">
      <c r="A127" s="3"/>
      <c r="B127" s="9" t="s">
        <v>356</v>
      </c>
      <c r="C127" s="53"/>
      <c r="D127" s="53"/>
      <c r="E127" s="11">
        <v>0</v>
      </c>
      <c r="F127" s="11">
        <v>0</v>
      </c>
      <c r="G127" s="56"/>
      <c r="H127" s="56"/>
      <c r="I127" s="80"/>
      <c r="J127" s="56"/>
      <c r="K127" s="28"/>
      <c r="L127" s="28"/>
      <c r="M127" s="28"/>
      <c r="N127" s="28"/>
      <c r="O127" s="28"/>
      <c r="P127" s="28"/>
      <c r="Q127" s="28"/>
      <c r="R127" s="28"/>
      <c r="S127" s="28"/>
      <c r="T127" s="28"/>
      <c r="U127" s="3"/>
      <c r="W127" s="3"/>
      <c r="X127" s="3"/>
      <c r="Y127" s="3"/>
      <c r="Z127" s="3"/>
    </row>
    <row r="128" spans="1:26" ht="15.75" hidden="1" customHeight="1" outlineLevel="1" x14ac:dyDescent="0.3">
      <c r="A128" s="3"/>
      <c r="B128" s="9" t="s">
        <v>370</v>
      </c>
      <c r="C128" s="53"/>
      <c r="D128" s="53"/>
      <c r="E128" s="11">
        <v>0</v>
      </c>
      <c r="F128" s="11">
        <v>0</v>
      </c>
      <c r="G128" s="56"/>
      <c r="H128" s="56"/>
      <c r="I128" s="80"/>
      <c r="J128" s="56"/>
      <c r="K128" s="28"/>
      <c r="L128" s="28"/>
      <c r="M128" s="28"/>
      <c r="N128" s="28"/>
      <c r="O128" s="28"/>
      <c r="P128" s="28"/>
      <c r="Q128" s="28"/>
      <c r="R128" s="28"/>
      <c r="S128" s="28"/>
      <c r="T128" s="28"/>
      <c r="U128" s="3"/>
      <c r="W128" s="3"/>
      <c r="X128" s="3"/>
      <c r="Y128" s="3"/>
      <c r="Z128" s="3"/>
    </row>
    <row r="129" spans="1:26" ht="15.75" hidden="1" customHeight="1" outlineLevel="1" x14ac:dyDescent="0.3">
      <c r="A129" s="3"/>
      <c r="B129" s="9" t="s">
        <v>328</v>
      </c>
      <c r="C129" s="53"/>
      <c r="D129" s="53"/>
      <c r="E129" s="11">
        <v>0</v>
      </c>
      <c r="F129" s="11">
        <v>0</v>
      </c>
      <c r="G129" s="56"/>
      <c r="H129" s="56"/>
      <c r="I129" s="80"/>
      <c r="J129" s="56"/>
      <c r="K129" s="28"/>
      <c r="L129" s="28"/>
      <c r="M129" s="28"/>
      <c r="N129" s="28"/>
      <c r="O129" s="28"/>
      <c r="P129" s="28"/>
      <c r="Q129" s="28"/>
      <c r="R129" s="28"/>
      <c r="S129" s="28"/>
      <c r="T129" s="28"/>
      <c r="U129" s="3"/>
      <c r="W129" s="3"/>
      <c r="X129" s="3"/>
      <c r="Y129" s="3"/>
      <c r="Z129" s="3"/>
    </row>
    <row r="130" spans="1:26" ht="15.75" customHeight="1" collapsed="1" x14ac:dyDescent="0.3">
      <c r="A130" s="3"/>
      <c r="B130" s="75" t="s">
        <v>384</v>
      </c>
      <c r="C130" s="76" t="s">
        <v>44</v>
      </c>
      <c r="D130" s="76" t="s">
        <v>44</v>
      </c>
      <c r="E130" s="77">
        <f t="shared" ref="E130:F130" si="20">SUM(E131:E135)</f>
        <v>0</v>
      </c>
      <c r="F130" s="77">
        <f t="shared" si="20"/>
        <v>0</v>
      </c>
      <c r="G130" s="78"/>
      <c r="H130" s="78"/>
      <c r="I130" s="79"/>
      <c r="J130" s="78"/>
      <c r="K130" s="28"/>
      <c r="L130" s="28"/>
      <c r="M130" s="28"/>
      <c r="N130" s="28"/>
      <c r="O130" s="28"/>
      <c r="P130" s="28"/>
      <c r="Q130" s="28"/>
      <c r="R130" s="28"/>
      <c r="S130" s="28"/>
      <c r="T130" s="28"/>
      <c r="U130" s="3"/>
      <c r="W130" s="3"/>
      <c r="X130" s="3"/>
      <c r="Y130" s="3"/>
      <c r="Z130" s="3"/>
    </row>
    <row r="131" spans="1:26" ht="15.75" hidden="1" customHeight="1" outlineLevel="1" x14ac:dyDescent="0.3">
      <c r="A131" s="3"/>
      <c r="B131" s="9" t="s">
        <v>354</v>
      </c>
      <c r="C131" s="53"/>
      <c r="D131" s="53"/>
      <c r="E131" s="11">
        <v>0</v>
      </c>
      <c r="F131" s="11">
        <v>0</v>
      </c>
      <c r="G131" s="56"/>
      <c r="H131" s="56"/>
      <c r="I131" s="80"/>
      <c r="J131" s="56"/>
      <c r="K131" s="28"/>
      <c r="L131" s="28"/>
      <c r="M131" s="28"/>
      <c r="N131" s="28"/>
      <c r="O131" s="28"/>
      <c r="P131" s="28"/>
      <c r="Q131" s="28"/>
      <c r="R131" s="28"/>
      <c r="S131" s="28"/>
      <c r="T131" s="28"/>
      <c r="U131" s="3"/>
      <c r="W131" s="3"/>
      <c r="X131" s="3"/>
      <c r="Y131" s="3"/>
      <c r="Z131" s="3"/>
    </row>
    <row r="132" spans="1:26" ht="15.75" hidden="1" customHeight="1" outlineLevel="1" x14ac:dyDescent="0.3">
      <c r="A132" s="3"/>
      <c r="B132" s="9" t="s">
        <v>355</v>
      </c>
      <c r="C132" s="53"/>
      <c r="D132" s="53"/>
      <c r="E132" s="11">
        <v>0</v>
      </c>
      <c r="F132" s="11">
        <v>0</v>
      </c>
      <c r="G132" s="56"/>
      <c r="H132" s="56"/>
      <c r="I132" s="80"/>
      <c r="J132" s="56"/>
      <c r="K132" s="28"/>
      <c r="L132" s="28"/>
      <c r="M132" s="28"/>
      <c r="N132" s="28"/>
      <c r="O132" s="28"/>
      <c r="P132" s="28"/>
      <c r="Q132" s="28"/>
      <c r="R132" s="28"/>
      <c r="S132" s="28"/>
      <c r="T132" s="28"/>
      <c r="U132" s="3"/>
      <c r="W132" s="3"/>
      <c r="X132" s="3"/>
      <c r="Y132" s="3"/>
      <c r="Z132" s="3"/>
    </row>
    <row r="133" spans="1:26" ht="15.75" hidden="1" customHeight="1" outlineLevel="1" x14ac:dyDescent="0.3">
      <c r="A133" s="3"/>
      <c r="B133" s="9" t="s">
        <v>356</v>
      </c>
      <c r="C133" s="53"/>
      <c r="D133" s="53"/>
      <c r="E133" s="11">
        <v>0</v>
      </c>
      <c r="F133" s="11">
        <v>0</v>
      </c>
      <c r="G133" s="56"/>
      <c r="H133" s="56"/>
      <c r="I133" s="80"/>
      <c r="J133" s="56"/>
      <c r="K133" s="28"/>
      <c r="L133" s="28"/>
      <c r="M133" s="28"/>
      <c r="N133" s="28"/>
      <c r="O133" s="28"/>
      <c r="P133" s="28"/>
      <c r="Q133" s="28"/>
      <c r="R133" s="28"/>
      <c r="S133" s="28"/>
      <c r="T133" s="28"/>
      <c r="U133" s="3"/>
      <c r="W133" s="3"/>
      <c r="X133" s="3"/>
      <c r="Y133" s="3"/>
      <c r="Z133" s="3"/>
    </row>
    <row r="134" spans="1:26" ht="15.75" hidden="1" customHeight="1" outlineLevel="1" x14ac:dyDescent="0.3">
      <c r="A134" s="3"/>
      <c r="B134" s="9" t="s">
        <v>370</v>
      </c>
      <c r="C134" s="53"/>
      <c r="D134" s="53"/>
      <c r="E134" s="11">
        <v>0</v>
      </c>
      <c r="F134" s="11">
        <v>0</v>
      </c>
      <c r="G134" s="56"/>
      <c r="H134" s="56"/>
      <c r="I134" s="80"/>
      <c r="J134" s="56"/>
      <c r="K134" s="28"/>
      <c r="L134" s="28"/>
      <c r="M134" s="28"/>
      <c r="N134" s="28"/>
      <c r="O134" s="28"/>
      <c r="P134" s="28"/>
      <c r="Q134" s="28"/>
      <c r="R134" s="28"/>
      <c r="S134" s="28"/>
      <c r="T134" s="28"/>
      <c r="U134" s="3"/>
      <c r="W134" s="3"/>
      <c r="X134" s="3"/>
      <c r="Y134" s="3"/>
      <c r="Z134" s="3"/>
    </row>
    <row r="135" spans="1:26" ht="15.75" hidden="1" customHeight="1" outlineLevel="1" x14ac:dyDescent="0.3">
      <c r="A135" s="3"/>
      <c r="B135" s="9" t="s">
        <v>328</v>
      </c>
      <c r="C135" s="53"/>
      <c r="D135" s="53"/>
      <c r="E135" s="11">
        <v>0</v>
      </c>
      <c r="F135" s="11">
        <v>0</v>
      </c>
      <c r="G135" s="56"/>
      <c r="H135" s="56"/>
      <c r="I135" s="80"/>
      <c r="J135" s="56"/>
      <c r="K135" s="28"/>
      <c r="L135" s="28"/>
      <c r="M135" s="28"/>
      <c r="N135" s="28"/>
      <c r="O135" s="28"/>
      <c r="P135" s="28"/>
      <c r="Q135" s="28"/>
      <c r="R135" s="28"/>
      <c r="S135" s="28"/>
      <c r="T135" s="28"/>
      <c r="U135" s="3"/>
      <c r="W135" s="3"/>
      <c r="X135" s="3"/>
      <c r="Y135" s="3"/>
      <c r="Z135" s="3"/>
    </row>
    <row r="136" spans="1:26" ht="15.75" customHeight="1" collapsed="1" x14ac:dyDescent="0.3">
      <c r="A136" s="3"/>
      <c r="B136" s="75" t="s">
        <v>385</v>
      </c>
      <c r="C136" s="76" t="s">
        <v>44</v>
      </c>
      <c r="D136" s="76" t="s">
        <v>44</v>
      </c>
      <c r="E136" s="77">
        <f t="shared" ref="E136:F136" si="21">SUM(E137:E141)</f>
        <v>0</v>
      </c>
      <c r="F136" s="77">
        <f t="shared" si="21"/>
        <v>2207.5</v>
      </c>
      <c r="G136" s="78"/>
      <c r="H136" s="78"/>
      <c r="I136" s="79"/>
      <c r="J136" s="78"/>
      <c r="K136" s="28"/>
      <c r="L136" s="28"/>
      <c r="M136" s="28"/>
      <c r="N136" s="28"/>
      <c r="O136" s="28"/>
      <c r="P136" s="28"/>
      <c r="Q136" s="28"/>
      <c r="R136" s="28"/>
      <c r="S136" s="28"/>
      <c r="T136" s="28"/>
      <c r="U136" s="3"/>
      <c r="W136" s="3"/>
      <c r="X136" s="3"/>
      <c r="Y136" s="3"/>
      <c r="Z136" s="3"/>
    </row>
    <row r="137" spans="1:26" ht="15.75" hidden="1" customHeight="1" outlineLevel="1" x14ac:dyDescent="0.3">
      <c r="A137" s="3"/>
      <c r="B137" s="9" t="s">
        <v>386</v>
      </c>
      <c r="C137" s="71" t="s">
        <v>387</v>
      </c>
      <c r="D137" s="53" t="s">
        <v>95</v>
      </c>
      <c r="E137" s="11">
        <v>0</v>
      </c>
      <c r="F137" s="11">
        <f>57.5+150</f>
        <v>207.5</v>
      </c>
      <c r="G137" s="80" t="s">
        <v>388</v>
      </c>
      <c r="H137" s="56" t="s">
        <v>37</v>
      </c>
      <c r="I137" s="80" t="s">
        <v>389</v>
      </c>
      <c r="J137" s="56"/>
      <c r="K137" s="28"/>
      <c r="L137" s="28"/>
      <c r="M137" s="28"/>
      <c r="N137" s="28"/>
      <c r="O137" s="28"/>
      <c r="P137" s="28"/>
      <c r="Q137" s="28"/>
      <c r="R137" s="28"/>
      <c r="S137" s="28"/>
      <c r="T137" s="28"/>
      <c r="U137" s="3"/>
      <c r="W137" s="3"/>
      <c r="X137" s="3"/>
      <c r="Y137" s="3"/>
      <c r="Z137" s="3"/>
    </row>
    <row r="138" spans="1:26" ht="15.75" hidden="1" customHeight="1" outlineLevel="1" x14ac:dyDescent="0.3">
      <c r="A138" s="3"/>
      <c r="B138" s="9" t="s">
        <v>390</v>
      </c>
      <c r="C138" s="53">
        <v>12</v>
      </c>
      <c r="D138" s="53" t="s">
        <v>95</v>
      </c>
      <c r="E138" s="11">
        <v>0</v>
      </c>
      <c r="F138" s="11">
        <f>200</f>
        <v>200</v>
      </c>
      <c r="G138" s="87" t="s">
        <v>391</v>
      </c>
      <c r="H138" s="56" t="s">
        <v>37</v>
      </c>
      <c r="I138" s="88" t="s">
        <v>392</v>
      </c>
      <c r="J138" s="80"/>
      <c r="K138" s="28"/>
      <c r="L138" s="28"/>
      <c r="M138" s="28"/>
      <c r="N138" s="28"/>
      <c r="O138" s="28"/>
      <c r="P138" s="28"/>
      <c r="Q138" s="28"/>
      <c r="R138" s="28"/>
      <c r="S138" s="28"/>
      <c r="T138" s="28"/>
      <c r="U138" s="3"/>
      <c r="W138" s="3"/>
      <c r="X138" s="3"/>
      <c r="Y138" s="3"/>
      <c r="Z138" s="3"/>
    </row>
    <row r="139" spans="1:26" ht="15.75" hidden="1" customHeight="1" outlineLevel="1" x14ac:dyDescent="0.3">
      <c r="A139" s="3"/>
      <c r="B139" s="9" t="s">
        <v>393</v>
      </c>
      <c r="C139" s="53">
        <v>15</v>
      </c>
      <c r="D139" s="53" t="s">
        <v>95</v>
      </c>
      <c r="E139" s="11">
        <v>0</v>
      </c>
      <c r="F139" s="11">
        <f>1800</f>
        <v>1800</v>
      </c>
      <c r="G139" s="56"/>
      <c r="H139" s="56" t="s">
        <v>37</v>
      </c>
      <c r="I139" s="81" t="s">
        <v>394</v>
      </c>
      <c r="J139" s="56"/>
      <c r="K139" s="28"/>
      <c r="L139" s="28"/>
      <c r="M139" s="28"/>
      <c r="N139" s="28"/>
      <c r="O139" s="28"/>
      <c r="P139" s="28"/>
      <c r="Q139" s="28"/>
      <c r="R139" s="28"/>
      <c r="S139" s="28"/>
      <c r="T139" s="28"/>
      <c r="U139" s="3"/>
      <c r="W139" s="3"/>
      <c r="X139" s="3"/>
      <c r="Y139" s="3"/>
      <c r="Z139" s="3"/>
    </row>
    <row r="140" spans="1:26" ht="15.75" hidden="1" customHeight="1" outlineLevel="1" x14ac:dyDescent="0.3">
      <c r="A140" s="3"/>
      <c r="B140" s="9" t="s">
        <v>370</v>
      </c>
      <c r="C140" s="53"/>
      <c r="D140" s="53"/>
      <c r="E140" s="11">
        <v>0</v>
      </c>
      <c r="F140" s="11">
        <v>0</v>
      </c>
      <c r="G140" s="56"/>
      <c r="H140" s="56"/>
      <c r="I140" s="80"/>
      <c r="J140" s="56"/>
      <c r="K140" s="28"/>
      <c r="L140" s="28"/>
      <c r="M140" s="28"/>
      <c r="N140" s="28"/>
      <c r="O140" s="28"/>
      <c r="P140" s="28"/>
      <c r="Q140" s="28"/>
      <c r="R140" s="28"/>
      <c r="S140" s="28"/>
      <c r="T140" s="28"/>
      <c r="U140" s="3"/>
      <c r="W140" s="3"/>
      <c r="X140" s="3"/>
      <c r="Y140" s="3"/>
      <c r="Z140" s="3"/>
    </row>
    <row r="141" spans="1:26" ht="15.75" hidden="1" customHeight="1" outlineLevel="1" x14ac:dyDescent="0.3">
      <c r="A141" s="3"/>
      <c r="B141" s="9" t="s">
        <v>328</v>
      </c>
      <c r="C141" s="53"/>
      <c r="D141" s="53"/>
      <c r="E141" s="11">
        <v>0</v>
      </c>
      <c r="F141" s="11">
        <v>0</v>
      </c>
      <c r="G141" s="56"/>
      <c r="H141" s="56"/>
      <c r="I141" s="80"/>
      <c r="J141" s="56"/>
      <c r="K141" s="28"/>
      <c r="L141" s="28"/>
      <c r="M141" s="28"/>
      <c r="N141" s="28"/>
      <c r="O141" s="28"/>
      <c r="P141" s="28"/>
      <c r="Q141" s="28"/>
      <c r="R141" s="28"/>
      <c r="S141" s="28"/>
      <c r="T141" s="28"/>
      <c r="U141" s="3"/>
      <c r="W141" s="3"/>
      <c r="X141" s="3"/>
      <c r="Y141" s="3"/>
      <c r="Z141" s="3"/>
    </row>
    <row r="142" spans="1:26" ht="15.75" customHeight="1" collapsed="1" x14ac:dyDescent="0.3">
      <c r="A142" s="3"/>
      <c r="B142" s="75" t="s">
        <v>395</v>
      </c>
      <c r="C142" s="76" t="s">
        <v>44</v>
      </c>
      <c r="D142" s="76" t="s">
        <v>44</v>
      </c>
      <c r="E142" s="77">
        <f t="shared" ref="E142:F142" si="22">SUM(E143:E151)</f>
        <v>0</v>
      </c>
      <c r="F142" s="77">
        <f t="shared" si="22"/>
        <v>1054.69</v>
      </c>
      <c r="G142" s="78"/>
      <c r="H142" s="78"/>
      <c r="I142" s="79"/>
      <c r="J142" s="78"/>
      <c r="K142" s="28"/>
      <c r="L142" s="28"/>
      <c r="M142" s="28"/>
      <c r="N142" s="28"/>
      <c r="O142" s="28"/>
      <c r="P142" s="28"/>
      <c r="Q142" s="28"/>
      <c r="R142" s="28"/>
      <c r="S142" s="28"/>
      <c r="T142" s="28"/>
      <c r="U142" s="3"/>
      <c r="W142" s="3"/>
      <c r="X142" s="3"/>
      <c r="Y142" s="3"/>
      <c r="Z142" s="3"/>
    </row>
    <row r="143" spans="1:26" ht="15.75" hidden="1" customHeight="1" outlineLevel="1" x14ac:dyDescent="0.3">
      <c r="A143" s="3"/>
      <c r="B143" s="9" t="s">
        <v>396</v>
      </c>
      <c r="C143" s="53">
        <v>11</v>
      </c>
      <c r="D143" s="53" t="s">
        <v>95</v>
      </c>
      <c r="E143" s="11">
        <v>0</v>
      </c>
      <c r="F143" s="11">
        <v>300</v>
      </c>
      <c r="G143" s="56"/>
      <c r="H143" s="56" t="s">
        <v>37</v>
      </c>
      <c r="I143" s="81" t="s">
        <v>397</v>
      </c>
      <c r="J143" s="56"/>
      <c r="K143" s="28"/>
      <c r="L143" s="28"/>
      <c r="M143" s="28"/>
      <c r="N143" s="28"/>
      <c r="O143" s="28"/>
      <c r="P143" s="28"/>
      <c r="Q143" s="28"/>
      <c r="R143" s="28"/>
      <c r="S143" s="28"/>
      <c r="T143" s="28"/>
      <c r="U143" s="3"/>
      <c r="W143" s="3"/>
      <c r="X143" s="3"/>
      <c r="Y143" s="3"/>
      <c r="Z143" s="3"/>
    </row>
    <row r="144" spans="1:26" ht="15.75" hidden="1" customHeight="1" outlineLevel="1" x14ac:dyDescent="0.3">
      <c r="A144" s="3"/>
      <c r="B144" s="9" t="s">
        <v>398</v>
      </c>
      <c r="C144" s="53">
        <v>15</v>
      </c>
      <c r="D144" s="53" t="s">
        <v>95</v>
      </c>
      <c r="E144" s="11">
        <v>0</v>
      </c>
      <c r="F144" s="11">
        <v>720</v>
      </c>
      <c r="G144" s="56"/>
      <c r="H144" s="56" t="s">
        <v>37</v>
      </c>
      <c r="I144" s="81" t="s">
        <v>399</v>
      </c>
      <c r="J144" s="56"/>
      <c r="K144" s="28"/>
      <c r="L144" s="28"/>
      <c r="M144" s="28"/>
      <c r="N144" s="28"/>
      <c r="O144" s="28"/>
      <c r="P144" s="28"/>
      <c r="Q144" s="28"/>
      <c r="R144" s="28"/>
      <c r="S144" s="28"/>
      <c r="T144" s="28"/>
      <c r="U144" s="3"/>
      <c r="W144" s="3"/>
      <c r="X144" s="3"/>
      <c r="Y144" s="3"/>
      <c r="Z144" s="3"/>
    </row>
    <row r="145" spans="1:26" ht="15.75" hidden="1" customHeight="1" outlineLevel="1" x14ac:dyDescent="0.3">
      <c r="A145" s="3"/>
      <c r="B145" s="9" t="s">
        <v>400</v>
      </c>
      <c r="C145" s="53">
        <v>16</v>
      </c>
      <c r="D145" s="53" t="s">
        <v>95</v>
      </c>
      <c r="E145" s="11">
        <v>0</v>
      </c>
      <c r="F145" s="11">
        <v>34.69</v>
      </c>
      <c r="G145" s="56"/>
      <c r="H145" s="56" t="s">
        <v>37</v>
      </c>
      <c r="I145" s="81" t="s">
        <v>401</v>
      </c>
      <c r="J145" s="56"/>
      <c r="K145" s="28"/>
      <c r="L145" s="28"/>
      <c r="M145" s="28"/>
      <c r="N145" s="28"/>
      <c r="O145" s="28"/>
      <c r="P145" s="28"/>
      <c r="Q145" s="28"/>
      <c r="R145" s="28"/>
      <c r="S145" s="28"/>
      <c r="T145" s="28"/>
      <c r="U145" s="3"/>
      <c r="W145" s="3"/>
      <c r="X145" s="3"/>
      <c r="Y145" s="3"/>
      <c r="Z145" s="3"/>
    </row>
    <row r="146" spans="1:26" ht="15.75" hidden="1" customHeight="1" outlineLevel="1" x14ac:dyDescent="0.3">
      <c r="A146" s="3"/>
      <c r="B146" s="9" t="s">
        <v>370</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15.75" hidden="1" customHeight="1" outlineLevel="1" x14ac:dyDescent="0.3">
      <c r="A147" s="3"/>
      <c r="B147" s="9" t="s">
        <v>328</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5.75" hidden="1" customHeight="1" outlineLevel="1" x14ac:dyDescent="0.3">
      <c r="A148" s="3"/>
      <c r="B148" s="9" t="s">
        <v>329</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15.75" hidden="1" customHeight="1" outlineLevel="1" x14ac:dyDescent="0.3">
      <c r="A149" s="3"/>
      <c r="B149" s="9" t="s">
        <v>371</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15.75" hidden="1" customHeight="1" outlineLevel="1" x14ac:dyDescent="0.3">
      <c r="A150" s="3"/>
      <c r="B150" s="9" t="s">
        <v>372</v>
      </c>
      <c r="C150" s="53"/>
      <c r="D150" s="53"/>
      <c r="E150" s="11">
        <v>0</v>
      </c>
      <c r="F150" s="11">
        <v>0</v>
      </c>
      <c r="G150" s="56"/>
      <c r="H150" s="56"/>
      <c r="I150" s="80"/>
      <c r="J150" s="56"/>
      <c r="K150" s="28"/>
      <c r="L150" s="28"/>
      <c r="M150" s="28"/>
      <c r="N150" s="28"/>
      <c r="O150" s="28"/>
      <c r="P150" s="28"/>
      <c r="Q150" s="28"/>
      <c r="R150" s="28"/>
      <c r="S150" s="28"/>
      <c r="T150" s="28"/>
      <c r="U150" s="3"/>
      <c r="W150" s="3"/>
      <c r="X150" s="3"/>
      <c r="Y150" s="3"/>
      <c r="Z150" s="3"/>
    </row>
    <row r="151" spans="1:26" ht="15.75" hidden="1" customHeight="1" outlineLevel="1" x14ac:dyDescent="0.3">
      <c r="A151" s="3"/>
      <c r="B151" s="9" t="s">
        <v>373</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15.75" customHeight="1" collapsed="1" x14ac:dyDescent="0.3">
      <c r="A152" s="3"/>
      <c r="B152" s="75" t="s">
        <v>402</v>
      </c>
      <c r="C152" s="76" t="s">
        <v>44</v>
      </c>
      <c r="D152" s="76" t="s">
        <v>44</v>
      </c>
      <c r="E152" s="77">
        <f t="shared" ref="E152:F152" si="23">SUM(E153:E161)</f>
        <v>0</v>
      </c>
      <c r="F152" s="77">
        <f t="shared" si="23"/>
        <v>0</v>
      </c>
      <c r="G152" s="78"/>
      <c r="H152" s="78"/>
      <c r="I152" s="79"/>
      <c r="J152" s="78"/>
      <c r="K152" s="28"/>
      <c r="L152" s="28"/>
      <c r="M152" s="28"/>
      <c r="N152" s="28"/>
      <c r="O152" s="28"/>
      <c r="P152" s="28"/>
      <c r="Q152" s="28"/>
      <c r="R152" s="28"/>
      <c r="S152" s="28"/>
      <c r="T152" s="28"/>
      <c r="U152" s="3"/>
      <c r="W152" s="3"/>
      <c r="X152" s="3"/>
      <c r="Y152" s="3"/>
      <c r="Z152" s="3"/>
    </row>
    <row r="153" spans="1:26" ht="15.75" hidden="1" customHeight="1" outlineLevel="1" x14ac:dyDescent="0.3">
      <c r="A153" s="3"/>
      <c r="B153" s="9" t="s">
        <v>354</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15.75" hidden="1" customHeight="1" outlineLevel="1" x14ac:dyDescent="0.3">
      <c r="A154" s="3"/>
      <c r="B154" s="9" t="s">
        <v>355</v>
      </c>
      <c r="C154" s="53"/>
      <c r="D154" s="53"/>
      <c r="E154" s="11">
        <v>0</v>
      </c>
      <c r="F154" s="11">
        <v>0</v>
      </c>
      <c r="G154" s="56"/>
      <c r="H154" s="56"/>
      <c r="I154" s="80"/>
      <c r="J154" s="56"/>
      <c r="K154" s="28"/>
      <c r="L154" s="28"/>
      <c r="M154" s="28"/>
      <c r="N154" s="28"/>
      <c r="O154" s="28"/>
      <c r="P154" s="28"/>
      <c r="Q154" s="28"/>
      <c r="R154" s="28"/>
      <c r="S154" s="28"/>
      <c r="T154" s="28"/>
      <c r="U154" s="3"/>
      <c r="W154" s="3"/>
      <c r="X154" s="3"/>
      <c r="Y154" s="3"/>
      <c r="Z154" s="3"/>
    </row>
    <row r="155" spans="1:26" ht="15.75" hidden="1" customHeight="1" outlineLevel="1" x14ac:dyDescent="0.3">
      <c r="A155" s="3"/>
      <c r="B155" s="9" t="s">
        <v>356</v>
      </c>
      <c r="C155" s="53"/>
      <c r="D155" s="53"/>
      <c r="E155" s="11">
        <v>0</v>
      </c>
      <c r="F155" s="11">
        <v>0</v>
      </c>
      <c r="G155" s="56"/>
      <c r="H155" s="56"/>
      <c r="I155" s="80"/>
      <c r="J155" s="56"/>
      <c r="K155" s="28"/>
      <c r="L155" s="28"/>
      <c r="M155" s="28"/>
      <c r="N155" s="28"/>
      <c r="O155" s="28"/>
      <c r="P155" s="28"/>
      <c r="Q155" s="28"/>
      <c r="R155" s="28"/>
      <c r="S155" s="28"/>
      <c r="T155" s="28"/>
      <c r="U155" s="3"/>
      <c r="W155" s="3"/>
      <c r="X155" s="3"/>
      <c r="Y155" s="3"/>
      <c r="Z155" s="3"/>
    </row>
    <row r="156" spans="1:26" ht="15.75" hidden="1" customHeight="1" outlineLevel="1" x14ac:dyDescent="0.3">
      <c r="A156" s="3"/>
      <c r="B156" s="9" t="s">
        <v>370</v>
      </c>
      <c r="C156" s="53"/>
      <c r="D156" s="53"/>
      <c r="E156" s="11">
        <v>0</v>
      </c>
      <c r="F156" s="11">
        <v>0</v>
      </c>
      <c r="G156" s="56"/>
      <c r="H156" s="56"/>
      <c r="I156" s="80"/>
      <c r="J156" s="56"/>
      <c r="K156" s="28"/>
      <c r="L156" s="28"/>
      <c r="M156" s="28"/>
      <c r="N156" s="28"/>
      <c r="O156" s="28"/>
      <c r="P156" s="28"/>
      <c r="Q156" s="28"/>
      <c r="R156" s="28"/>
      <c r="S156" s="28"/>
      <c r="T156" s="28"/>
      <c r="U156" s="3"/>
      <c r="W156" s="3"/>
      <c r="X156" s="3"/>
      <c r="Y156" s="3"/>
      <c r="Z156" s="3"/>
    </row>
    <row r="157" spans="1:26" ht="15.75" hidden="1" customHeight="1" outlineLevel="1" x14ac:dyDescent="0.3">
      <c r="A157" s="3"/>
      <c r="B157" s="9" t="s">
        <v>328</v>
      </c>
      <c r="C157" s="53"/>
      <c r="D157" s="53"/>
      <c r="E157" s="11">
        <v>0</v>
      </c>
      <c r="F157" s="11">
        <v>0</v>
      </c>
      <c r="G157" s="56"/>
      <c r="H157" s="56"/>
      <c r="I157" s="80"/>
      <c r="J157" s="56"/>
      <c r="K157" s="28"/>
      <c r="L157" s="28"/>
      <c r="M157" s="28"/>
      <c r="N157" s="28"/>
      <c r="O157" s="28"/>
      <c r="P157" s="28"/>
      <c r="Q157" s="28"/>
      <c r="R157" s="28"/>
      <c r="S157" s="28"/>
      <c r="T157" s="28"/>
      <c r="U157" s="3"/>
      <c r="W157" s="3"/>
      <c r="X157" s="3"/>
      <c r="Y157" s="3"/>
      <c r="Z157" s="3"/>
    </row>
    <row r="158" spans="1:26" ht="15.75" hidden="1" customHeight="1" outlineLevel="1" x14ac:dyDescent="0.3">
      <c r="A158" s="3"/>
      <c r="B158" s="9" t="s">
        <v>329</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5.75" hidden="1" customHeight="1" outlineLevel="1" x14ac:dyDescent="0.3">
      <c r="A159" s="3"/>
      <c r="B159" s="9" t="s">
        <v>371</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5.75" hidden="1" customHeight="1" outlineLevel="1" x14ac:dyDescent="0.3">
      <c r="A160" s="3"/>
      <c r="B160" s="9" t="s">
        <v>372</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ht="15.75" hidden="1" customHeight="1" outlineLevel="1" x14ac:dyDescent="0.3">
      <c r="A161" s="3"/>
      <c r="B161" s="9" t="s">
        <v>373</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ht="15.75" customHeight="1" collapsed="1" x14ac:dyDescent="0.3">
      <c r="A162" s="3"/>
      <c r="B162" s="75" t="s">
        <v>403</v>
      </c>
      <c r="C162" s="76" t="s">
        <v>44</v>
      </c>
      <c r="D162" s="76" t="s">
        <v>44</v>
      </c>
      <c r="E162" s="77">
        <f t="shared" ref="E162:F162" si="24">SUM(E163:E171)</f>
        <v>0</v>
      </c>
      <c r="F162" s="77">
        <f t="shared" si="24"/>
        <v>0</v>
      </c>
      <c r="G162" s="78"/>
      <c r="H162" s="78"/>
      <c r="I162" s="79"/>
      <c r="J162" s="78"/>
      <c r="K162" s="28"/>
      <c r="L162" s="28"/>
      <c r="M162" s="28"/>
      <c r="N162" s="28"/>
      <c r="O162" s="28"/>
      <c r="P162" s="28"/>
      <c r="Q162" s="28"/>
      <c r="R162" s="28"/>
      <c r="S162" s="28"/>
      <c r="T162" s="28"/>
      <c r="U162" s="3"/>
      <c r="W162" s="3"/>
      <c r="X162" s="3"/>
      <c r="Y162" s="3"/>
      <c r="Z162" s="3"/>
    </row>
    <row r="163" spans="1:26" ht="15.75" hidden="1" customHeight="1" outlineLevel="1" x14ac:dyDescent="0.3">
      <c r="A163" s="3"/>
      <c r="B163" s="9" t="s">
        <v>354</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5.75" hidden="1" customHeight="1" outlineLevel="1" x14ac:dyDescent="0.3">
      <c r="A164" s="3"/>
      <c r="B164" s="9" t="s">
        <v>355</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5.75" hidden="1" customHeight="1" outlineLevel="1" x14ac:dyDescent="0.3">
      <c r="A165" s="3"/>
      <c r="B165" s="9" t="s">
        <v>356</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5.75" hidden="1" customHeight="1" outlineLevel="1" x14ac:dyDescent="0.3">
      <c r="A166" s="3"/>
      <c r="B166" s="9" t="s">
        <v>370</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5.75" hidden="1" customHeight="1" outlineLevel="1" x14ac:dyDescent="0.3">
      <c r="A167" s="3"/>
      <c r="B167" s="9" t="s">
        <v>328</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t="15.75" hidden="1" customHeight="1" outlineLevel="1" x14ac:dyDescent="0.3">
      <c r="A168" s="3"/>
      <c r="B168" s="9" t="s">
        <v>329</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t="15.75" hidden="1" customHeight="1" outlineLevel="1" x14ac:dyDescent="0.3">
      <c r="A169" s="3"/>
      <c r="B169" s="9" t="s">
        <v>371</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5.75" hidden="1" customHeight="1" outlineLevel="1" x14ac:dyDescent="0.3">
      <c r="A170" s="3"/>
      <c r="B170" s="9" t="s">
        <v>372</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5.75" hidden="1" customHeight="1" outlineLevel="1" x14ac:dyDescent="0.3">
      <c r="A171" s="3"/>
      <c r="B171" s="9" t="s">
        <v>373</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5.75" customHeight="1" collapsed="1" x14ac:dyDescent="0.3">
      <c r="A172" s="3"/>
      <c r="B172" s="75" t="s">
        <v>404</v>
      </c>
      <c r="C172" s="76" t="s">
        <v>44</v>
      </c>
      <c r="D172" s="76" t="s">
        <v>44</v>
      </c>
      <c r="E172" s="77">
        <f t="shared" ref="E172:F172" si="25">SUM(E173:E181)</f>
        <v>0</v>
      </c>
      <c r="F172" s="77">
        <f t="shared" si="25"/>
        <v>45.14</v>
      </c>
      <c r="G172" s="78"/>
      <c r="H172" s="78"/>
      <c r="I172" s="79"/>
      <c r="J172" s="78"/>
      <c r="K172" s="28"/>
      <c r="L172" s="28"/>
      <c r="M172" s="28"/>
      <c r="N172" s="28"/>
      <c r="O172" s="28"/>
      <c r="P172" s="28"/>
      <c r="Q172" s="28"/>
      <c r="R172" s="28"/>
      <c r="S172" s="28"/>
      <c r="T172" s="28"/>
      <c r="U172" s="3"/>
      <c r="W172" s="3"/>
      <c r="X172" s="3"/>
      <c r="Y172" s="3"/>
      <c r="Z172" s="3"/>
    </row>
    <row r="173" spans="1:26" ht="15.75" hidden="1" customHeight="1" outlineLevel="1" x14ac:dyDescent="0.3">
      <c r="A173" s="3"/>
      <c r="B173" s="9" t="s">
        <v>53</v>
      </c>
      <c r="C173" s="53"/>
      <c r="D173" s="53"/>
      <c r="E173" s="11">
        <v>0</v>
      </c>
      <c r="F173" s="11">
        <v>45.14</v>
      </c>
      <c r="G173" s="80" t="s">
        <v>296</v>
      </c>
      <c r="H173" s="56" t="s">
        <v>37</v>
      </c>
      <c r="I173" s="81" t="s">
        <v>405</v>
      </c>
      <c r="J173" s="56"/>
      <c r="K173" s="28"/>
      <c r="L173" s="28"/>
      <c r="M173" s="28"/>
      <c r="N173" s="28"/>
      <c r="O173" s="28"/>
      <c r="P173" s="28"/>
      <c r="Q173" s="28"/>
      <c r="R173" s="28"/>
      <c r="S173" s="28"/>
      <c r="T173" s="28"/>
      <c r="U173" s="3"/>
      <c r="W173" s="3"/>
      <c r="X173" s="3"/>
      <c r="Y173" s="3"/>
      <c r="Z173" s="3"/>
    </row>
    <row r="174" spans="1:26" ht="15.75" hidden="1" customHeight="1" outlineLevel="1" x14ac:dyDescent="0.3">
      <c r="A174" s="3"/>
      <c r="B174" s="9" t="s">
        <v>355</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15.75" hidden="1" customHeight="1" outlineLevel="1" x14ac:dyDescent="0.3">
      <c r="A175" s="3"/>
      <c r="B175" s="9" t="s">
        <v>356</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5.75" hidden="1" customHeight="1" outlineLevel="1" x14ac:dyDescent="0.3">
      <c r="A176" s="3"/>
      <c r="B176" s="9" t="s">
        <v>370</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15.75" hidden="1" customHeight="1" outlineLevel="1" x14ac:dyDescent="0.3">
      <c r="A177" s="3"/>
      <c r="B177" s="9" t="s">
        <v>328</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5.75" hidden="1" customHeight="1" outlineLevel="1" x14ac:dyDescent="0.3">
      <c r="A178" s="3"/>
      <c r="B178" s="9" t="s">
        <v>329</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5.75" hidden="1" customHeight="1" outlineLevel="1" x14ac:dyDescent="0.3">
      <c r="A179" s="3"/>
      <c r="B179" s="9" t="s">
        <v>371</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5.75" hidden="1" customHeight="1" outlineLevel="1" x14ac:dyDescent="0.3">
      <c r="A180" s="3"/>
      <c r="B180" s="9" t="s">
        <v>372</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15.75" hidden="1" customHeight="1" outlineLevel="1" x14ac:dyDescent="0.3">
      <c r="A181" s="3"/>
      <c r="B181" s="9" t="s">
        <v>373</v>
      </c>
      <c r="C181" s="53"/>
      <c r="D181" s="53"/>
      <c r="E181" s="11">
        <v>0</v>
      </c>
      <c r="F181" s="11">
        <v>0</v>
      </c>
      <c r="G181" s="56"/>
      <c r="H181" s="56"/>
      <c r="I181" s="80"/>
      <c r="J181" s="56"/>
      <c r="K181" s="28"/>
      <c r="L181" s="28"/>
      <c r="M181" s="28"/>
      <c r="N181" s="28"/>
      <c r="O181" s="28"/>
      <c r="P181" s="28"/>
      <c r="Q181" s="28"/>
      <c r="R181" s="28"/>
      <c r="S181" s="28"/>
      <c r="T181" s="28"/>
      <c r="U181" s="3"/>
      <c r="W181" s="3"/>
      <c r="X181" s="3"/>
      <c r="Y181" s="3"/>
      <c r="Z181" s="3"/>
    </row>
    <row r="182" spans="1:26" ht="15.75" customHeight="1" collapsed="1" x14ac:dyDescent="0.3">
      <c r="A182" s="3"/>
      <c r="B182" s="75" t="s">
        <v>406</v>
      </c>
      <c r="C182" s="76" t="s">
        <v>44</v>
      </c>
      <c r="D182" s="76" t="s">
        <v>44</v>
      </c>
      <c r="E182" s="77">
        <f t="shared" ref="E182:F182" si="26">SUM(E183:E191)</f>
        <v>0</v>
      </c>
      <c r="F182" s="77">
        <f t="shared" si="26"/>
        <v>180</v>
      </c>
      <c r="G182" s="78"/>
      <c r="H182" s="78"/>
      <c r="I182" s="79"/>
      <c r="J182" s="78"/>
      <c r="K182" s="28"/>
      <c r="L182" s="28"/>
      <c r="M182" s="28"/>
      <c r="N182" s="28"/>
      <c r="O182" s="28"/>
      <c r="P182" s="28"/>
      <c r="Q182" s="28"/>
      <c r="R182" s="28"/>
      <c r="S182" s="28"/>
      <c r="T182" s="28"/>
      <c r="U182" s="3"/>
      <c r="W182" s="3"/>
      <c r="X182" s="3"/>
      <c r="Y182" s="3"/>
      <c r="Z182" s="3"/>
    </row>
    <row r="183" spans="1:26" ht="15.75" hidden="1" customHeight="1" outlineLevel="1" x14ac:dyDescent="0.3">
      <c r="A183" s="3"/>
      <c r="B183" s="9" t="s">
        <v>407</v>
      </c>
      <c r="C183" s="53">
        <v>7</v>
      </c>
      <c r="D183" s="53" t="s">
        <v>95</v>
      </c>
      <c r="E183" s="11">
        <v>0</v>
      </c>
      <c r="F183" s="11">
        <v>180</v>
      </c>
      <c r="G183" s="56"/>
      <c r="H183" s="56" t="s">
        <v>37</v>
      </c>
      <c r="I183" s="81" t="s">
        <v>408</v>
      </c>
      <c r="J183" s="56"/>
      <c r="K183" s="28"/>
      <c r="L183" s="28"/>
      <c r="M183" s="28"/>
      <c r="N183" s="28"/>
      <c r="O183" s="28"/>
      <c r="P183" s="28"/>
      <c r="Q183" s="28"/>
      <c r="R183" s="28"/>
      <c r="S183" s="28"/>
      <c r="T183" s="28"/>
      <c r="U183" s="3"/>
      <c r="W183" s="3"/>
      <c r="X183" s="3"/>
      <c r="Y183" s="3"/>
      <c r="Z183" s="3"/>
    </row>
    <row r="184" spans="1:26" ht="15.75" hidden="1" customHeight="1" outlineLevel="1" x14ac:dyDescent="0.3">
      <c r="A184" s="3"/>
      <c r="B184" s="9" t="s">
        <v>355</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15.75" hidden="1" customHeight="1" outlineLevel="1" x14ac:dyDescent="0.3">
      <c r="A185" s="3"/>
      <c r="B185" s="9" t="s">
        <v>356</v>
      </c>
      <c r="C185" s="53"/>
      <c r="D185" s="53"/>
      <c r="E185" s="11">
        <v>0</v>
      </c>
      <c r="F185" s="11">
        <v>0</v>
      </c>
      <c r="G185" s="56"/>
      <c r="H185" s="56"/>
      <c r="I185" s="80"/>
      <c r="J185" s="56"/>
      <c r="K185" s="28"/>
      <c r="L185" s="28"/>
      <c r="M185" s="28"/>
      <c r="N185" s="28"/>
      <c r="O185" s="28"/>
      <c r="P185" s="28"/>
      <c r="Q185" s="28"/>
      <c r="R185" s="28"/>
      <c r="S185" s="28"/>
      <c r="T185" s="28"/>
      <c r="U185" s="3"/>
      <c r="W185" s="3"/>
      <c r="X185" s="3"/>
      <c r="Y185" s="3"/>
      <c r="Z185" s="3"/>
    </row>
    <row r="186" spans="1:26" ht="15.75" hidden="1" customHeight="1" outlineLevel="1" x14ac:dyDescent="0.3">
      <c r="A186" s="3"/>
      <c r="B186" s="9" t="s">
        <v>370</v>
      </c>
      <c r="C186" s="53"/>
      <c r="D186" s="53"/>
      <c r="E186" s="11">
        <v>0</v>
      </c>
      <c r="F186" s="11">
        <v>0</v>
      </c>
      <c r="G186" s="56"/>
      <c r="H186" s="56"/>
      <c r="I186" s="80"/>
      <c r="J186" s="56"/>
      <c r="K186" s="28"/>
      <c r="L186" s="28"/>
      <c r="M186" s="28"/>
      <c r="N186" s="28"/>
      <c r="O186" s="28"/>
      <c r="P186" s="28"/>
      <c r="Q186" s="28"/>
      <c r="R186" s="28"/>
      <c r="S186" s="28"/>
      <c r="T186" s="28"/>
      <c r="U186" s="3"/>
      <c r="W186" s="3"/>
      <c r="X186" s="3"/>
      <c r="Y186" s="3"/>
      <c r="Z186" s="3"/>
    </row>
    <row r="187" spans="1:26" ht="15.75" hidden="1" customHeight="1" outlineLevel="1" x14ac:dyDescent="0.3">
      <c r="A187" s="3"/>
      <c r="B187" s="9" t="s">
        <v>328</v>
      </c>
      <c r="C187" s="53"/>
      <c r="D187" s="53"/>
      <c r="E187" s="11">
        <v>0</v>
      </c>
      <c r="F187" s="11">
        <v>0</v>
      </c>
      <c r="G187" s="56"/>
      <c r="H187" s="56"/>
      <c r="I187" s="80"/>
      <c r="J187" s="56"/>
      <c r="K187" s="28"/>
      <c r="L187" s="28"/>
      <c r="M187" s="28"/>
      <c r="N187" s="28"/>
      <c r="O187" s="28"/>
      <c r="P187" s="28"/>
      <c r="Q187" s="28"/>
      <c r="R187" s="28"/>
      <c r="S187" s="28"/>
      <c r="T187" s="28"/>
      <c r="U187" s="3"/>
      <c r="W187" s="3"/>
      <c r="X187" s="3"/>
      <c r="Y187" s="3"/>
      <c r="Z187" s="3"/>
    </row>
    <row r="188" spans="1:26" ht="15.75" hidden="1" customHeight="1" outlineLevel="1" x14ac:dyDescent="0.3">
      <c r="A188" s="3"/>
      <c r="B188" s="9" t="s">
        <v>329</v>
      </c>
      <c r="C188" s="53"/>
      <c r="D188" s="53"/>
      <c r="E188" s="11">
        <v>0</v>
      </c>
      <c r="F188" s="11">
        <v>0</v>
      </c>
      <c r="G188" s="56"/>
      <c r="H188" s="56"/>
      <c r="I188" s="80"/>
      <c r="J188" s="56"/>
      <c r="K188" s="28"/>
      <c r="L188" s="28"/>
      <c r="M188" s="28"/>
      <c r="N188" s="28"/>
      <c r="O188" s="28"/>
      <c r="P188" s="28"/>
      <c r="Q188" s="28"/>
      <c r="R188" s="28"/>
      <c r="S188" s="28"/>
      <c r="T188" s="28"/>
      <c r="U188" s="3"/>
      <c r="W188" s="3"/>
      <c r="X188" s="3"/>
      <c r="Y188" s="3"/>
      <c r="Z188" s="3"/>
    </row>
    <row r="189" spans="1:26" ht="15.75" hidden="1" customHeight="1" outlineLevel="1" x14ac:dyDescent="0.3">
      <c r="A189" s="3"/>
      <c r="B189" s="9" t="s">
        <v>371</v>
      </c>
      <c r="C189" s="53"/>
      <c r="D189" s="53"/>
      <c r="E189" s="11">
        <v>0</v>
      </c>
      <c r="F189" s="11">
        <v>0</v>
      </c>
      <c r="G189" s="56"/>
      <c r="H189" s="56"/>
      <c r="I189" s="80"/>
      <c r="J189" s="56"/>
      <c r="K189" s="28"/>
      <c r="L189" s="28"/>
      <c r="M189" s="28"/>
      <c r="N189" s="28"/>
      <c r="O189" s="28"/>
      <c r="P189" s="28"/>
      <c r="Q189" s="28"/>
      <c r="R189" s="28"/>
      <c r="S189" s="28"/>
      <c r="T189" s="28"/>
      <c r="U189" s="3"/>
      <c r="W189" s="3"/>
      <c r="X189" s="3"/>
      <c r="Y189" s="3"/>
      <c r="Z189" s="3"/>
    </row>
    <row r="190" spans="1:26" ht="15.75" hidden="1" customHeight="1" outlineLevel="1" x14ac:dyDescent="0.3">
      <c r="A190" s="3"/>
      <c r="B190" s="9" t="s">
        <v>372</v>
      </c>
      <c r="C190" s="53"/>
      <c r="D190" s="53"/>
      <c r="E190" s="11">
        <v>0</v>
      </c>
      <c r="F190" s="11">
        <v>0</v>
      </c>
      <c r="G190" s="56"/>
      <c r="H190" s="56"/>
      <c r="I190" s="80"/>
      <c r="J190" s="56"/>
      <c r="K190" s="28"/>
      <c r="L190" s="28"/>
      <c r="M190" s="28"/>
      <c r="N190" s="28"/>
      <c r="O190" s="28"/>
      <c r="P190" s="28"/>
      <c r="Q190" s="28"/>
      <c r="R190" s="28"/>
      <c r="S190" s="28"/>
      <c r="T190" s="28"/>
      <c r="U190" s="3"/>
      <c r="W190" s="3"/>
      <c r="X190" s="3"/>
      <c r="Y190" s="3"/>
      <c r="Z190" s="3"/>
    </row>
    <row r="191" spans="1:26" ht="15.75" hidden="1" customHeight="1" outlineLevel="1" x14ac:dyDescent="0.3">
      <c r="A191" s="3"/>
      <c r="B191" s="9" t="s">
        <v>373</v>
      </c>
      <c r="C191" s="53"/>
      <c r="D191" s="53"/>
      <c r="E191" s="11">
        <v>0</v>
      </c>
      <c r="F191" s="11">
        <v>0</v>
      </c>
      <c r="G191" s="56"/>
      <c r="H191" s="56"/>
      <c r="I191" s="80"/>
      <c r="J191" s="56"/>
      <c r="K191" s="28"/>
      <c r="L191" s="28"/>
      <c r="M191" s="28"/>
      <c r="N191" s="28"/>
      <c r="O191" s="28"/>
      <c r="P191" s="28"/>
      <c r="Q191" s="28"/>
      <c r="R191" s="28"/>
      <c r="S191" s="28"/>
      <c r="T191" s="28"/>
      <c r="U191" s="3"/>
      <c r="W191" s="3"/>
      <c r="X191" s="3"/>
      <c r="Y191" s="3"/>
      <c r="Z191" s="3"/>
    </row>
    <row r="192" spans="1:26" ht="15.75" customHeight="1" collapsed="1" x14ac:dyDescent="0.3">
      <c r="A192" s="3"/>
      <c r="B192" s="75" t="s">
        <v>409</v>
      </c>
      <c r="C192" s="76" t="s">
        <v>44</v>
      </c>
      <c r="D192" s="76" t="s">
        <v>44</v>
      </c>
      <c r="E192" s="77">
        <f t="shared" ref="E192:F192" si="27">SUM(E193,E203,E213,E223)</f>
        <v>0</v>
      </c>
      <c r="F192" s="77">
        <f t="shared" si="27"/>
        <v>0</v>
      </c>
      <c r="G192" s="78"/>
      <c r="H192" s="78"/>
      <c r="I192" s="79"/>
      <c r="J192" s="78"/>
      <c r="K192" s="28"/>
      <c r="L192" s="28"/>
      <c r="M192" s="28"/>
      <c r="N192" s="28"/>
      <c r="O192" s="28"/>
      <c r="P192" s="28"/>
      <c r="Q192" s="28"/>
      <c r="R192" s="28"/>
      <c r="S192" s="28"/>
      <c r="T192" s="28"/>
      <c r="U192" s="3"/>
      <c r="W192" s="3"/>
      <c r="X192" s="3"/>
      <c r="Y192" s="3"/>
      <c r="Z192" s="3"/>
    </row>
    <row r="193" spans="1:26" ht="15.75" hidden="1" customHeight="1" outlineLevel="1" x14ac:dyDescent="0.3">
      <c r="A193" s="3"/>
      <c r="B193" s="82" t="s">
        <v>233</v>
      </c>
      <c r="C193" s="83"/>
      <c r="D193" s="83"/>
      <c r="E193" s="84">
        <f t="shared" ref="E193:F193" si="28">SUM(E194:E202)</f>
        <v>0</v>
      </c>
      <c r="F193" s="84">
        <f t="shared" si="28"/>
        <v>0</v>
      </c>
      <c r="G193" s="85"/>
      <c r="H193" s="85"/>
      <c r="I193" s="86"/>
      <c r="J193" s="85"/>
      <c r="K193" s="28"/>
      <c r="L193" s="28"/>
      <c r="M193" s="28"/>
      <c r="N193" s="28"/>
      <c r="O193" s="28"/>
      <c r="P193" s="28"/>
      <c r="Q193" s="28"/>
      <c r="R193" s="28"/>
      <c r="S193" s="28"/>
      <c r="T193" s="28"/>
      <c r="U193" s="3"/>
      <c r="W193" s="3"/>
      <c r="X193" s="3"/>
      <c r="Y193" s="3"/>
      <c r="Z193" s="3"/>
    </row>
    <row r="194" spans="1:26" ht="15.75" hidden="1" customHeight="1" outlineLevel="1" x14ac:dyDescent="0.3">
      <c r="A194" s="3"/>
      <c r="B194" s="9" t="s">
        <v>354</v>
      </c>
      <c r="C194" s="53"/>
      <c r="D194" s="53"/>
      <c r="E194" s="11">
        <v>0</v>
      </c>
      <c r="F194" s="11">
        <v>0</v>
      </c>
      <c r="G194" s="56"/>
      <c r="H194" s="56"/>
      <c r="I194" s="80"/>
      <c r="J194" s="56"/>
      <c r="K194" s="28"/>
      <c r="L194" s="28"/>
      <c r="M194" s="28"/>
      <c r="N194" s="28"/>
      <c r="O194" s="28"/>
      <c r="P194" s="28"/>
      <c r="Q194" s="28"/>
      <c r="R194" s="28"/>
      <c r="S194" s="28"/>
      <c r="T194" s="28"/>
      <c r="U194" s="3"/>
      <c r="W194" s="3"/>
      <c r="X194" s="3"/>
      <c r="Y194" s="3"/>
      <c r="Z194" s="3"/>
    </row>
    <row r="195" spans="1:26" ht="15.75" hidden="1" customHeight="1" outlineLevel="1" x14ac:dyDescent="0.3">
      <c r="A195" s="3"/>
      <c r="B195" s="9" t="s">
        <v>355</v>
      </c>
      <c r="C195" s="53"/>
      <c r="D195" s="53"/>
      <c r="E195" s="11">
        <v>0</v>
      </c>
      <c r="F195" s="11">
        <v>0</v>
      </c>
      <c r="G195" s="56"/>
      <c r="H195" s="56"/>
      <c r="I195" s="80"/>
      <c r="J195" s="56"/>
      <c r="K195" s="28"/>
      <c r="L195" s="28"/>
      <c r="M195" s="28"/>
      <c r="N195" s="28"/>
      <c r="O195" s="28"/>
      <c r="P195" s="28"/>
      <c r="Q195" s="28"/>
      <c r="R195" s="28"/>
      <c r="S195" s="28"/>
      <c r="T195" s="28"/>
      <c r="U195" s="3"/>
      <c r="W195" s="3"/>
      <c r="X195" s="3"/>
      <c r="Y195" s="3"/>
      <c r="Z195" s="3"/>
    </row>
    <row r="196" spans="1:26" ht="15.75" hidden="1" customHeight="1" outlineLevel="1" x14ac:dyDescent="0.3">
      <c r="A196" s="3"/>
      <c r="B196" s="9" t="s">
        <v>356</v>
      </c>
      <c r="C196" s="53"/>
      <c r="D196" s="53"/>
      <c r="E196" s="11">
        <v>0</v>
      </c>
      <c r="F196" s="11">
        <v>0</v>
      </c>
      <c r="G196" s="56"/>
      <c r="H196" s="56"/>
      <c r="I196" s="80"/>
      <c r="J196" s="56"/>
      <c r="K196" s="28"/>
      <c r="L196" s="28"/>
      <c r="M196" s="28"/>
      <c r="N196" s="28"/>
      <c r="O196" s="28"/>
      <c r="P196" s="28"/>
      <c r="Q196" s="28"/>
      <c r="R196" s="28"/>
      <c r="S196" s="28"/>
      <c r="T196" s="28"/>
      <c r="U196" s="3"/>
      <c r="W196" s="3"/>
      <c r="X196" s="3"/>
      <c r="Y196" s="3"/>
      <c r="Z196" s="3"/>
    </row>
    <row r="197" spans="1:26" ht="15.75" hidden="1" customHeight="1" outlineLevel="1" x14ac:dyDescent="0.3">
      <c r="A197" s="3"/>
      <c r="B197" s="9" t="s">
        <v>370</v>
      </c>
      <c r="C197" s="53"/>
      <c r="D197" s="53"/>
      <c r="E197" s="11">
        <v>0</v>
      </c>
      <c r="F197" s="11">
        <v>0</v>
      </c>
      <c r="G197" s="56"/>
      <c r="H197" s="56"/>
      <c r="I197" s="80"/>
      <c r="J197" s="56"/>
      <c r="K197" s="28"/>
      <c r="L197" s="28"/>
      <c r="M197" s="28"/>
      <c r="N197" s="28"/>
      <c r="O197" s="28"/>
      <c r="P197" s="28"/>
      <c r="Q197" s="28"/>
      <c r="R197" s="28"/>
      <c r="S197" s="28"/>
      <c r="T197" s="28"/>
      <c r="U197" s="3"/>
      <c r="W197" s="3"/>
      <c r="X197" s="3"/>
      <c r="Y197" s="3"/>
      <c r="Z197" s="3"/>
    </row>
    <row r="198" spans="1:26" ht="15.75" hidden="1" customHeight="1" outlineLevel="1" x14ac:dyDescent="0.3">
      <c r="A198" s="3"/>
      <c r="B198" s="9" t="s">
        <v>328</v>
      </c>
      <c r="C198" s="53"/>
      <c r="D198" s="53"/>
      <c r="E198" s="11">
        <v>0</v>
      </c>
      <c r="F198" s="11">
        <v>0</v>
      </c>
      <c r="G198" s="56"/>
      <c r="H198" s="56"/>
      <c r="I198" s="80"/>
      <c r="J198" s="56"/>
      <c r="K198" s="28"/>
      <c r="L198" s="28"/>
      <c r="M198" s="28"/>
      <c r="N198" s="28"/>
      <c r="O198" s="28"/>
      <c r="P198" s="28"/>
      <c r="Q198" s="28"/>
      <c r="R198" s="28"/>
      <c r="S198" s="28"/>
      <c r="T198" s="28"/>
      <c r="U198" s="3"/>
      <c r="W198" s="3"/>
      <c r="X198" s="3"/>
      <c r="Y198" s="3"/>
      <c r="Z198" s="3"/>
    </row>
    <row r="199" spans="1:26" ht="15.75" hidden="1" customHeight="1" outlineLevel="1" x14ac:dyDescent="0.3">
      <c r="A199" s="3"/>
      <c r="B199" s="9" t="s">
        <v>329</v>
      </c>
      <c r="C199" s="53"/>
      <c r="D199" s="53"/>
      <c r="E199" s="11">
        <v>0</v>
      </c>
      <c r="F199" s="11">
        <v>0</v>
      </c>
      <c r="G199" s="56"/>
      <c r="H199" s="56"/>
      <c r="I199" s="80"/>
      <c r="J199" s="56"/>
      <c r="K199" s="28"/>
      <c r="L199" s="28"/>
      <c r="M199" s="28"/>
      <c r="N199" s="28"/>
      <c r="O199" s="28"/>
      <c r="P199" s="28"/>
      <c r="Q199" s="28"/>
      <c r="R199" s="28"/>
      <c r="S199" s="28"/>
      <c r="T199" s="28"/>
      <c r="U199" s="3"/>
      <c r="W199" s="3"/>
      <c r="X199" s="3"/>
      <c r="Y199" s="3"/>
      <c r="Z199" s="3"/>
    </row>
    <row r="200" spans="1:26" ht="15.75" hidden="1" customHeight="1" outlineLevel="1" x14ac:dyDescent="0.3">
      <c r="A200" s="3"/>
      <c r="B200" s="9" t="s">
        <v>371</v>
      </c>
      <c r="C200" s="53"/>
      <c r="D200" s="53"/>
      <c r="E200" s="11">
        <v>0</v>
      </c>
      <c r="F200" s="11">
        <v>0</v>
      </c>
      <c r="G200" s="56"/>
      <c r="H200" s="56"/>
      <c r="I200" s="80"/>
      <c r="J200" s="56"/>
      <c r="K200" s="28"/>
      <c r="L200" s="28"/>
      <c r="M200" s="28"/>
      <c r="N200" s="28"/>
      <c r="O200" s="28"/>
      <c r="P200" s="28"/>
      <c r="Q200" s="28"/>
      <c r="R200" s="28"/>
      <c r="S200" s="28"/>
      <c r="T200" s="28"/>
      <c r="U200" s="3"/>
      <c r="W200" s="3"/>
      <c r="X200" s="3"/>
      <c r="Y200" s="3"/>
      <c r="Z200" s="3"/>
    </row>
    <row r="201" spans="1:26" ht="15.75" hidden="1" customHeight="1" outlineLevel="1" x14ac:dyDescent="0.3">
      <c r="A201" s="3"/>
      <c r="B201" s="9" t="s">
        <v>372</v>
      </c>
      <c r="C201" s="53"/>
      <c r="D201" s="53"/>
      <c r="E201" s="11">
        <v>0</v>
      </c>
      <c r="F201" s="11">
        <v>0</v>
      </c>
      <c r="G201" s="56"/>
      <c r="H201" s="56"/>
      <c r="I201" s="80"/>
      <c r="J201" s="56"/>
      <c r="K201" s="28"/>
      <c r="L201" s="28"/>
      <c r="M201" s="28"/>
      <c r="N201" s="28"/>
      <c r="O201" s="28"/>
      <c r="P201" s="28"/>
      <c r="Q201" s="28"/>
      <c r="R201" s="28"/>
      <c r="S201" s="28"/>
      <c r="T201" s="28"/>
      <c r="U201" s="3"/>
      <c r="W201" s="3"/>
      <c r="X201" s="3"/>
      <c r="Y201" s="3"/>
      <c r="Z201" s="3"/>
    </row>
    <row r="202" spans="1:26" ht="15.75" hidden="1" customHeight="1" outlineLevel="1" x14ac:dyDescent="0.3">
      <c r="A202" s="3"/>
      <c r="B202" s="9" t="s">
        <v>373</v>
      </c>
      <c r="C202" s="53"/>
      <c r="D202" s="53"/>
      <c r="E202" s="11">
        <v>0</v>
      </c>
      <c r="F202" s="11">
        <v>0</v>
      </c>
      <c r="G202" s="56"/>
      <c r="H202" s="56"/>
      <c r="I202" s="80"/>
      <c r="J202" s="56"/>
      <c r="K202" s="28"/>
      <c r="L202" s="28"/>
      <c r="M202" s="28"/>
      <c r="N202" s="28"/>
      <c r="O202" s="28"/>
      <c r="P202" s="28"/>
      <c r="Q202" s="28"/>
      <c r="R202" s="28"/>
      <c r="S202" s="28"/>
      <c r="T202" s="28"/>
      <c r="U202" s="3"/>
      <c r="W202" s="3"/>
      <c r="X202" s="3"/>
      <c r="Y202" s="3"/>
      <c r="Z202" s="3"/>
    </row>
    <row r="203" spans="1:26" ht="15.75" hidden="1" customHeight="1" outlineLevel="1" x14ac:dyDescent="0.3">
      <c r="A203" s="3"/>
      <c r="B203" s="82" t="s">
        <v>410</v>
      </c>
      <c r="C203" s="83"/>
      <c r="D203" s="83"/>
      <c r="E203" s="84">
        <f t="shared" ref="E203:F203" si="29">SUM(E204:E212)</f>
        <v>0</v>
      </c>
      <c r="F203" s="84">
        <f t="shared" si="29"/>
        <v>0</v>
      </c>
      <c r="G203" s="85"/>
      <c r="H203" s="85"/>
      <c r="I203" s="86"/>
      <c r="J203" s="85"/>
      <c r="K203" s="28"/>
      <c r="L203" s="28"/>
      <c r="M203" s="28"/>
      <c r="N203" s="28"/>
      <c r="O203" s="28"/>
      <c r="P203" s="28"/>
      <c r="Q203" s="28"/>
      <c r="R203" s="28"/>
      <c r="S203" s="28"/>
      <c r="T203" s="28"/>
      <c r="U203" s="3"/>
      <c r="W203" s="3"/>
      <c r="X203" s="3"/>
      <c r="Y203" s="3"/>
      <c r="Z203" s="3"/>
    </row>
    <row r="204" spans="1:26" ht="15.75" hidden="1" customHeight="1" outlineLevel="1" x14ac:dyDescent="0.3">
      <c r="A204" s="3"/>
      <c r="B204" s="9" t="s">
        <v>411</v>
      </c>
      <c r="C204" s="53"/>
      <c r="D204" s="53"/>
      <c r="E204" s="11">
        <v>0</v>
      </c>
      <c r="F204" s="11">
        <v>0</v>
      </c>
      <c r="G204" s="56"/>
      <c r="H204" s="56"/>
      <c r="I204" s="80"/>
      <c r="J204" s="56"/>
      <c r="K204" s="28"/>
      <c r="L204" s="28"/>
      <c r="M204" s="28"/>
      <c r="N204" s="28"/>
      <c r="O204" s="28"/>
      <c r="P204" s="28"/>
      <c r="Q204" s="28"/>
      <c r="R204" s="28"/>
      <c r="S204" s="28"/>
      <c r="T204" s="28"/>
      <c r="U204" s="3"/>
      <c r="W204" s="3"/>
      <c r="X204" s="3"/>
      <c r="Y204" s="3"/>
      <c r="Z204" s="3"/>
    </row>
    <row r="205" spans="1:26" ht="15.75" hidden="1" customHeight="1" outlineLevel="1" x14ac:dyDescent="0.3">
      <c r="A205" s="3"/>
      <c r="B205" s="9" t="s">
        <v>355</v>
      </c>
      <c r="C205" s="53"/>
      <c r="D205" s="53"/>
      <c r="E205" s="11">
        <v>0</v>
      </c>
      <c r="F205" s="11">
        <v>0</v>
      </c>
      <c r="G205" s="56"/>
      <c r="H205" s="56"/>
      <c r="I205" s="80"/>
      <c r="J205" s="56"/>
      <c r="K205" s="28"/>
      <c r="L205" s="28"/>
      <c r="M205" s="28"/>
      <c r="N205" s="28"/>
      <c r="O205" s="28"/>
      <c r="P205" s="28"/>
      <c r="Q205" s="28"/>
      <c r="R205" s="28"/>
      <c r="S205" s="28"/>
      <c r="T205" s="28"/>
      <c r="U205" s="3"/>
      <c r="W205" s="3"/>
      <c r="X205" s="3"/>
      <c r="Y205" s="3"/>
      <c r="Z205" s="3"/>
    </row>
    <row r="206" spans="1:26" ht="15.75" hidden="1" customHeight="1" outlineLevel="1" x14ac:dyDescent="0.3">
      <c r="A206" s="3"/>
      <c r="B206" s="9" t="s">
        <v>356</v>
      </c>
      <c r="C206" s="53"/>
      <c r="D206" s="53"/>
      <c r="E206" s="11">
        <v>0</v>
      </c>
      <c r="F206" s="11">
        <v>0</v>
      </c>
      <c r="G206" s="56"/>
      <c r="H206" s="56"/>
      <c r="I206" s="80"/>
      <c r="J206" s="56"/>
      <c r="K206" s="28"/>
      <c r="L206" s="28"/>
      <c r="M206" s="28"/>
      <c r="N206" s="28"/>
      <c r="O206" s="28"/>
      <c r="P206" s="28"/>
      <c r="Q206" s="28"/>
      <c r="R206" s="28"/>
      <c r="S206" s="28"/>
      <c r="T206" s="28"/>
      <c r="U206" s="3"/>
      <c r="W206" s="3"/>
      <c r="X206" s="3"/>
      <c r="Y206" s="3"/>
      <c r="Z206" s="3"/>
    </row>
    <row r="207" spans="1:26" ht="15.75" hidden="1" customHeight="1" outlineLevel="1" x14ac:dyDescent="0.3">
      <c r="A207" s="3"/>
      <c r="B207" s="9" t="s">
        <v>370</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5.75" hidden="1" customHeight="1" outlineLevel="1" x14ac:dyDescent="0.3">
      <c r="A208" s="3"/>
      <c r="B208" s="9" t="s">
        <v>328</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5.75" hidden="1" customHeight="1" outlineLevel="1" x14ac:dyDescent="0.3">
      <c r="A209" s="3"/>
      <c r="B209" s="9" t="s">
        <v>329</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5.75" hidden="1" customHeight="1" outlineLevel="1" x14ac:dyDescent="0.3">
      <c r="A210" s="3"/>
      <c r="B210" s="9" t="s">
        <v>371</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5.75" hidden="1" customHeight="1" outlineLevel="1" x14ac:dyDescent="0.3">
      <c r="A211" s="3"/>
      <c r="B211" s="9" t="s">
        <v>372</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15.75" hidden="1" customHeight="1" outlineLevel="1" x14ac:dyDescent="0.3">
      <c r="A212" s="3"/>
      <c r="B212" s="9" t="s">
        <v>373</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5.75" hidden="1" customHeight="1" outlineLevel="1" x14ac:dyDescent="0.3">
      <c r="A213" s="3"/>
      <c r="B213" s="82" t="s">
        <v>238</v>
      </c>
      <c r="C213" s="83"/>
      <c r="D213" s="83"/>
      <c r="E213" s="84">
        <f t="shared" ref="E213:F213" si="30">SUM(E214:E222)</f>
        <v>0</v>
      </c>
      <c r="F213" s="84">
        <f t="shared" si="30"/>
        <v>0</v>
      </c>
      <c r="G213" s="85"/>
      <c r="H213" s="85"/>
      <c r="I213" s="86"/>
      <c r="J213" s="85"/>
      <c r="K213" s="28"/>
      <c r="L213" s="28"/>
      <c r="M213" s="28"/>
      <c r="N213" s="28"/>
      <c r="O213" s="28"/>
      <c r="P213" s="28"/>
      <c r="Q213" s="28"/>
      <c r="R213" s="28"/>
      <c r="S213" s="28"/>
      <c r="T213" s="28"/>
      <c r="U213" s="3"/>
      <c r="W213" s="3"/>
      <c r="X213" s="3"/>
      <c r="Y213" s="3"/>
      <c r="Z213" s="3"/>
    </row>
    <row r="214" spans="1:26" ht="15.75" hidden="1" customHeight="1" outlineLevel="1" x14ac:dyDescent="0.3">
      <c r="A214" s="3"/>
      <c r="B214" s="9" t="s">
        <v>354</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5.75" hidden="1" customHeight="1" outlineLevel="1" x14ac:dyDescent="0.3">
      <c r="A215" s="3"/>
      <c r="B215" s="9" t="s">
        <v>355</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5.75" hidden="1" customHeight="1" outlineLevel="1" x14ac:dyDescent="0.3">
      <c r="A216" s="3"/>
      <c r="B216" s="9" t="s">
        <v>356</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15.75" hidden="1" customHeight="1" outlineLevel="1" x14ac:dyDescent="0.3">
      <c r="A217" s="3"/>
      <c r="B217" s="9" t="s">
        <v>370</v>
      </c>
      <c r="C217" s="53"/>
      <c r="D217" s="53"/>
      <c r="E217" s="11">
        <v>0</v>
      </c>
      <c r="F217" s="11">
        <v>0</v>
      </c>
      <c r="G217" s="56"/>
      <c r="H217" s="56"/>
      <c r="I217" s="80"/>
      <c r="J217" s="56"/>
      <c r="K217" s="28"/>
      <c r="L217" s="28"/>
      <c r="M217" s="28"/>
      <c r="N217" s="28"/>
      <c r="O217" s="28"/>
      <c r="P217" s="28"/>
      <c r="Q217" s="28"/>
      <c r="R217" s="28"/>
      <c r="S217" s="28"/>
      <c r="T217" s="28"/>
      <c r="U217" s="3"/>
      <c r="W217" s="3"/>
      <c r="X217" s="3"/>
      <c r="Y217" s="3"/>
      <c r="Z217" s="3"/>
    </row>
    <row r="218" spans="1:26" ht="15.75" hidden="1" customHeight="1" outlineLevel="1" x14ac:dyDescent="0.3">
      <c r="A218" s="3"/>
      <c r="B218" s="9" t="s">
        <v>328</v>
      </c>
      <c r="C218" s="53"/>
      <c r="D218" s="53"/>
      <c r="E218" s="11">
        <v>0</v>
      </c>
      <c r="F218" s="11">
        <v>0</v>
      </c>
      <c r="G218" s="56"/>
      <c r="H218" s="56"/>
      <c r="I218" s="80"/>
      <c r="J218" s="56"/>
      <c r="K218" s="28"/>
      <c r="L218" s="28"/>
      <c r="M218" s="28"/>
      <c r="N218" s="28"/>
      <c r="O218" s="28"/>
      <c r="P218" s="28"/>
      <c r="Q218" s="28"/>
      <c r="R218" s="28"/>
      <c r="S218" s="28"/>
      <c r="T218" s="28"/>
      <c r="U218" s="3"/>
      <c r="W218" s="3"/>
      <c r="X218" s="3"/>
      <c r="Y218" s="3"/>
      <c r="Z218" s="3"/>
    </row>
    <row r="219" spans="1:26" ht="15.75" hidden="1" customHeight="1" outlineLevel="1" x14ac:dyDescent="0.3">
      <c r="A219" s="3"/>
      <c r="B219" s="9" t="s">
        <v>329</v>
      </c>
      <c r="C219" s="53"/>
      <c r="D219" s="53"/>
      <c r="E219" s="11">
        <v>0</v>
      </c>
      <c r="F219" s="11">
        <v>0</v>
      </c>
      <c r="G219" s="56"/>
      <c r="H219" s="56"/>
      <c r="I219" s="80"/>
      <c r="J219" s="56"/>
      <c r="K219" s="28"/>
      <c r="L219" s="28"/>
      <c r="M219" s="28"/>
      <c r="N219" s="28"/>
      <c r="O219" s="28"/>
      <c r="P219" s="28"/>
      <c r="Q219" s="28"/>
      <c r="R219" s="28"/>
      <c r="S219" s="28"/>
      <c r="T219" s="28"/>
      <c r="U219" s="3"/>
      <c r="W219" s="3"/>
      <c r="X219" s="3"/>
      <c r="Y219" s="3"/>
      <c r="Z219" s="3"/>
    </row>
    <row r="220" spans="1:26" ht="15.75" hidden="1" customHeight="1" outlineLevel="1" x14ac:dyDescent="0.3">
      <c r="A220" s="3"/>
      <c r="B220" s="9" t="s">
        <v>371</v>
      </c>
      <c r="C220" s="53"/>
      <c r="D220" s="53"/>
      <c r="E220" s="11">
        <v>0</v>
      </c>
      <c r="F220" s="11">
        <v>0</v>
      </c>
      <c r="G220" s="56"/>
      <c r="H220" s="56"/>
      <c r="I220" s="80"/>
      <c r="J220" s="56"/>
      <c r="K220" s="28"/>
      <c r="L220" s="28"/>
      <c r="M220" s="28"/>
      <c r="N220" s="28"/>
      <c r="O220" s="28"/>
      <c r="P220" s="28"/>
      <c r="Q220" s="28"/>
      <c r="R220" s="28"/>
      <c r="S220" s="28"/>
      <c r="T220" s="28"/>
      <c r="U220" s="3"/>
      <c r="W220" s="3"/>
      <c r="X220" s="3"/>
      <c r="Y220" s="3"/>
      <c r="Z220" s="3"/>
    </row>
    <row r="221" spans="1:26" ht="15.75" hidden="1" customHeight="1" outlineLevel="1" x14ac:dyDescent="0.3">
      <c r="A221" s="3"/>
      <c r="B221" s="9" t="s">
        <v>372</v>
      </c>
      <c r="C221" s="53"/>
      <c r="D221" s="53"/>
      <c r="E221" s="11">
        <v>0</v>
      </c>
      <c r="F221" s="11">
        <v>0</v>
      </c>
      <c r="G221" s="56"/>
      <c r="H221" s="56"/>
      <c r="I221" s="80"/>
      <c r="J221" s="56"/>
      <c r="K221" s="28"/>
      <c r="L221" s="28"/>
      <c r="M221" s="28"/>
      <c r="N221" s="28"/>
      <c r="O221" s="28"/>
      <c r="P221" s="28"/>
      <c r="Q221" s="28"/>
      <c r="R221" s="28"/>
      <c r="S221" s="28"/>
      <c r="T221" s="28"/>
      <c r="U221" s="3"/>
      <c r="W221" s="3"/>
      <c r="X221" s="3"/>
      <c r="Y221" s="3"/>
      <c r="Z221" s="3"/>
    </row>
    <row r="222" spans="1:26" ht="15.75" hidden="1" customHeight="1" outlineLevel="1" x14ac:dyDescent="0.3">
      <c r="A222" s="3"/>
      <c r="B222" s="9" t="s">
        <v>373</v>
      </c>
      <c r="C222" s="53"/>
      <c r="D222" s="53"/>
      <c r="E222" s="11">
        <v>0</v>
      </c>
      <c r="F222" s="11">
        <v>0</v>
      </c>
      <c r="G222" s="56"/>
      <c r="H222" s="56"/>
      <c r="I222" s="80"/>
      <c r="J222" s="56"/>
      <c r="K222" s="28"/>
      <c r="L222" s="28"/>
      <c r="M222" s="28"/>
      <c r="N222" s="28"/>
      <c r="O222" s="28"/>
      <c r="P222" s="28"/>
      <c r="Q222" s="28"/>
      <c r="R222" s="28"/>
      <c r="S222" s="28"/>
      <c r="T222" s="28"/>
      <c r="U222" s="3"/>
      <c r="W222" s="3"/>
      <c r="X222" s="3"/>
      <c r="Y222" s="3"/>
      <c r="Z222" s="3"/>
    </row>
    <row r="223" spans="1:26" ht="15.75" hidden="1" customHeight="1" outlineLevel="1" x14ac:dyDescent="0.3">
      <c r="A223" s="3"/>
      <c r="B223" s="82" t="s">
        <v>239</v>
      </c>
      <c r="C223" s="83"/>
      <c r="D223" s="83"/>
      <c r="E223" s="84">
        <f t="shared" ref="E223:F223" si="31">SUM(E224:E232)</f>
        <v>0</v>
      </c>
      <c r="F223" s="84">
        <f t="shared" si="31"/>
        <v>0</v>
      </c>
      <c r="G223" s="85"/>
      <c r="H223" s="85"/>
      <c r="I223" s="86"/>
      <c r="J223" s="85"/>
      <c r="K223" s="28"/>
      <c r="L223" s="28"/>
      <c r="M223" s="28"/>
      <c r="N223" s="28"/>
      <c r="O223" s="28"/>
      <c r="P223" s="28"/>
      <c r="Q223" s="28"/>
      <c r="R223" s="28"/>
      <c r="S223" s="28"/>
      <c r="T223" s="28"/>
      <c r="U223" s="3"/>
      <c r="W223" s="3"/>
      <c r="X223" s="3"/>
      <c r="Y223" s="3"/>
      <c r="Z223" s="3"/>
    </row>
    <row r="224" spans="1:26" ht="15.75" hidden="1" customHeight="1" outlineLevel="1" x14ac:dyDescent="0.3">
      <c r="A224" s="3"/>
      <c r="B224" s="9" t="s">
        <v>354</v>
      </c>
      <c r="C224" s="53"/>
      <c r="D224" s="53"/>
      <c r="E224" s="11">
        <v>0</v>
      </c>
      <c r="F224" s="11">
        <v>0</v>
      </c>
      <c r="G224" s="56"/>
      <c r="H224" s="56"/>
      <c r="I224" s="80"/>
      <c r="J224" s="56"/>
      <c r="K224" s="28"/>
      <c r="L224" s="28"/>
      <c r="M224" s="28"/>
      <c r="N224" s="28"/>
      <c r="O224" s="28"/>
      <c r="P224" s="28"/>
      <c r="Q224" s="28"/>
      <c r="R224" s="28"/>
      <c r="S224" s="28"/>
      <c r="T224" s="28"/>
      <c r="U224" s="3"/>
      <c r="W224" s="3"/>
      <c r="X224" s="3"/>
      <c r="Y224" s="3"/>
      <c r="Z224" s="3"/>
    </row>
    <row r="225" spans="1:26" ht="15.75" hidden="1" customHeight="1" outlineLevel="1" x14ac:dyDescent="0.3">
      <c r="A225" s="3"/>
      <c r="B225" s="9" t="s">
        <v>355</v>
      </c>
      <c r="C225" s="53"/>
      <c r="D225" s="53"/>
      <c r="E225" s="11">
        <v>0</v>
      </c>
      <c r="F225" s="11">
        <v>0</v>
      </c>
      <c r="G225" s="56"/>
      <c r="H225" s="56"/>
      <c r="I225" s="80"/>
      <c r="J225" s="56"/>
      <c r="K225" s="28"/>
      <c r="L225" s="28"/>
      <c r="M225" s="28"/>
      <c r="N225" s="28"/>
      <c r="O225" s="28"/>
      <c r="P225" s="28"/>
      <c r="Q225" s="28"/>
      <c r="R225" s="28"/>
      <c r="S225" s="28"/>
      <c r="T225" s="28"/>
      <c r="U225" s="3"/>
      <c r="W225" s="3"/>
      <c r="X225" s="3"/>
      <c r="Y225" s="3"/>
      <c r="Z225" s="3"/>
    </row>
    <row r="226" spans="1:26" ht="15.75" hidden="1" customHeight="1" outlineLevel="1" x14ac:dyDescent="0.3">
      <c r="A226" s="3"/>
      <c r="B226" s="9" t="s">
        <v>356</v>
      </c>
      <c r="C226" s="53"/>
      <c r="D226" s="53"/>
      <c r="E226" s="11">
        <v>0</v>
      </c>
      <c r="F226" s="11">
        <v>0</v>
      </c>
      <c r="G226" s="56"/>
      <c r="H226" s="56"/>
      <c r="I226" s="80"/>
      <c r="J226" s="56"/>
      <c r="K226" s="28"/>
      <c r="L226" s="28"/>
      <c r="M226" s="28"/>
      <c r="N226" s="28"/>
      <c r="O226" s="28"/>
      <c r="P226" s="28"/>
      <c r="Q226" s="28"/>
      <c r="R226" s="28"/>
      <c r="S226" s="28"/>
      <c r="T226" s="28"/>
      <c r="U226" s="3"/>
      <c r="W226" s="3"/>
      <c r="X226" s="3"/>
      <c r="Y226" s="3"/>
      <c r="Z226" s="3"/>
    </row>
    <row r="227" spans="1:26" ht="15.75" hidden="1" customHeight="1" outlineLevel="1" x14ac:dyDescent="0.3">
      <c r="A227" s="3"/>
      <c r="B227" s="9" t="s">
        <v>370</v>
      </c>
      <c r="C227" s="53"/>
      <c r="D227" s="53"/>
      <c r="E227" s="11">
        <v>0</v>
      </c>
      <c r="F227" s="11">
        <v>0</v>
      </c>
      <c r="G227" s="56"/>
      <c r="H227" s="56"/>
      <c r="I227" s="80"/>
      <c r="J227" s="56"/>
      <c r="K227" s="28"/>
      <c r="L227" s="28"/>
      <c r="M227" s="28"/>
      <c r="N227" s="28"/>
      <c r="O227" s="28"/>
      <c r="P227" s="28"/>
      <c r="Q227" s="28"/>
      <c r="R227" s="28"/>
      <c r="S227" s="28"/>
      <c r="T227" s="28"/>
      <c r="U227" s="3"/>
      <c r="W227" s="3"/>
      <c r="X227" s="3"/>
      <c r="Y227" s="3"/>
      <c r="Z227" s="3"/>
    </row>
    <row r="228" spans="1:26" ht="15.75" hidden="1" customHeight="1" outlineLevel="1" x14ac:dyDescent="0.3">
      <c r="A228" s="3"/>
      <c r="B228" s="9" t="s">
        <v>328</v>
      </c>
      <c r="C228" s="53"/>
      <c r="D228" s="53"/>
      <c r="E228" s="11">
        <v>0</v>
      </c>
      <c r="F228" s="11">
        <v>0</v>
      </c>
      <c r="G228" s="56"/>
      <c r="H228" s="56"/>
      <c r="I228" s="80"/>
      <c r="J228" s="56"/>
      <c r="K228" s="28"/>
      <c r="L228" s="28"/>
      <c r="M228" s="28"/>
      <c r="N228" s="28"/>
      <c r="O228" s="28"/>
      <c r="P228" s="28"/>
      <c r="Q228" s="28"/>
      <c r="R228" s="28"/>
      <c r="S228" s="28"/>
      <c r="T228" s="28"/>
      <c r="U228" s="3"/>
      <c r="W228" s="3"/>
      <c r="X228" s="3"/>
      <c r="Y228" s="3"/>
      <c r="Z228" s="3"/>
    </row>
    <row r="229" spans="1:26" ht="15.75" hidden="1" customHeight="1" outlineLevel="1" x14ac:dyDescent="0.3">
      <c r="A229" s="3"/>
      <c r="B229" s="9" t="s">
        <v>329</v>
      </c>
      <c r="C229" s="53"/>
      <c r="D229" s="53"/>
      <c r="E229" s="11">
        <v>0</v>
      </c>
      <c r="F229" s="11">
        <v>0</v>
      </c>
      <c r="G229" s="56"/>
      <c r="H229" s="56"/>
      <c r="I229" s="80"/>
      <c r="J229" s="56"/>
      <c r="K229" s="28"/>
      <c r="L229" s="28"/>
      <c r="M229" s="28"/>
      <c r="N229" s="28"/>
      <c r="O229" s="28"/>
      <c r="P229" s="28"/>
      <c r="Q229" s="28"/>
      <c r="R229" s="28"/>
      <c r="S229" s="28"/>
      <c r="T229" s="28"/>
      <c r="U229" s="3"/>
      <c r="W229" s="3"/>
      <c r="X229" s="3"/>
      <c r="Y229" s="3"/>
      <c r="Z229" s="3"/>
    </row>
    <row r="230" spans="1:26" ht="15.75" hidden="1" customHeight="1" outlineLevel="1" x14ac:dyDescent="0.3">
      <c r="A230" s="3"/>
      <c r="B230" s="9" t="s">
        <v>371</v>
      </c>
      <c r="C230" s="53"/>
      <c r="D230" s="53"/>
      <c r="E230" s="11">
        <v>0</v>
      </c>
      <c r="F230" s="11">
        <v>0</v>
      </c>
      <c r="G230" s="56"/>
      <c r="H230" s="56"/>
      <c r="I230" s="80"/>
      <c r="J230" s="56"/>
      <c r="K230" s="28"/>
      <c r="L230" s="28"/>
      <c r="M230" s="28"/>
      <c r="N230" s="28"/>
      <c r="O230" s="28"/>
      <c r="P230" s="28"/>
      <c r="Q230" s="28"/>
      <c r="R230" s="28"/>
      <c r="S230" s="28"/>
      <c r="T230" s="28"/>
      <c r="U230" s="3"/>
      <c r="W230" s="3"/>
      <c r="X230" s="3"/>
      <c r="Y230" s="3"/>
      <c r="Z230" s="3"/>
    </row>
    <row r="231" spans="1:26" ht="15.75" hidden="1" customHeight="1" outlineLevel="1" x14ac:dyDescent="0.3">
      <c r="A231" s="3"/>
      <c r="B231" s="9" t="s">
        <v>372</v>
      </c>
      <c r="C231" s="53"/>
      <c r="D231" s="53"/>
      <c r="E231" s="11">
        <v>0</v>
      </c>
      <c r="F231" s="11">
        <v>0</v>
      </c>
      <c r="G231" s="56"/>
      <c r="H231" s="56"/>
      <c r="I231" s="80"/>
      <c r="J231" s="56"/>
      <c r="K231" s="28"/>
      <c r="L231" s="28"/>
      <c r="M231" s="28"/>
      <c r="N231" s="28"/>
      <c r="O231" s="28"/>
      <c r="P231" s="28"/>
      <c r="Q231" s="28"/>
      <c r="R231" s="28"/>
      <c r="S231" s="28"/>
      <c r="T231" s="28"/>
      <c r="U231" s="3"/>
      <c r="W231" s="3"/>
      <c r="X231" s="3"/>
      <c r="Y231" s="3"/>
      <c r="Z231" s="3"/>
    </row>
    <row r="232" spans="1:26" ht="15.75" hidden="1" customHeight="1" outlineLevel="1" x14ac:dyDescent="0.3">
      <c r="A232" s="3"/>
      <c r="B232" s="9" t="s">
        <v>373</v>
      </c>
      <c r="C232" s="53"/>
      <c r="D232" s="53"/>
      <c r="E232" s="11">
        <v>0</v>
      </c>
      <c r="F232" s="11">
        <v>0</v>
      </c>
      <c r="G232" s="56"/>
      <c r="H232" s="56"/>
      <c r="I232" s="80"/>
      <c r="J232" s="56"/>
      <c r="K232" s="28"/>
      <c r="L232" s="28"/>
      <c r="M232" s="28"/>
      <c r="N232" s="28"/>
      <c r="O232" s="28"/>
      <c r="P232" s="28"/>
      <c r="Q232" s="28"/>
      <c r="R232" s="28"/>
      <c r="S232" s="28"/>
      <c r="T232" s="28"/>
      <c r="U232" s="3"/>
      <c r="W232" s="3"/>
      <c r="X232" s="3"/>
      <c r="Y232" s="3"/>
      <c r="Z232" s="3"/>
    </row>
    <row r="233" spans="1:26" ht="15.75" customHeight="1" collapsed="1" x14ac:dyDescent="0.3">
      <c r="A233" s="3"/>
      <c r="B233" s="75" t="s">
        <v>412</v>
      </c>
      <c r="C233" s="76" t="s">
        <v>44</v>
      </c>
      <c r="D233" s="76" t="s">
        <v>44</v>
      </c>
      <c r="E233" s="77">
        <f t="shared" ref="E233:F233" si="32">SUM(E234:E243)</f>
        <v>0</v>
      </c>
      <c r="F233" s="77">
        <f t="shared" si="32"/>
        <v>0</v>
      </c>
      <c r="G233" s="78"/>
      <c r="H233" s="78"/>
      <c r="I233" s="79"/>
      <c r="J233" s="78"/>
      <c r="K233" s="28"/>
      <c r="L233" s="28"/>
      <c r="M233" s="28"/>
      <c r="N233" s="28"/>
      <c r="O233" s="28"/>
      <c r="P233" s="28"/>
      <c r="Q233" s="28"/>
      <c r="R233" s="28"/>
      <c r="S233" s="28"/>
      <c r="T233" s="28"/>
      <c r="U233" s="3"/>
      <c r="W233" s="3"/>
      <c r="X233" s="3"/>
      <c r="Y233" s="3"/>
      <c r="Z233" s="3"/>
    </row>
    <row r="234" spans="1:26" ht="15.75" hidden="1" customHeight="1" outlineLevel="1" x14ac:dyDescent="0.3">
      <c r="A234" s="3"/>
      <c r="B234" s="9" t="s">
        <v>413</v>
      </c>
      <c r="C234" s="53"/>
      <c r="D234" s="53"/>
      <c r="E234" s="11">
        <v>0</v>
      </c>
      <c r="F234" s="11">
        <v>0</v>
      </c>
      <c r="G234" s="56"/>
      <c r="H234" s="56"/>
      <c r="I234" s="80"/>
      <c r="J234" s="56"/>
      <c r="K234" s="28"/>
      <c r="L234" s="28"/>
      <c r="M234" s="28"/>
      <c r="N234" s="28"/>
      <c r="O234" s="28"/>
      <c r="P234" s="28"/>
      <c r="Q234" s="28"/>
      <c r="R234" s="28"/>
      <c r="S234" s="28"/>
      <c r="T234" s="28"/>
      <c r="U234" s="3"/>
      <c r="W234" s="3"/>
      <c r="X234" s="3"/>
      <c r="Y234" s="3"/>
      <c r="Z234" s="3"/>
    </row>
    <row r="235" spans="1:26" ht="15.75" hidden="1" customHeight="1" outlineLevel="1" x14ac:dyDescent="0.3">
      <c r="A235" s="3"/>
      <c r="B235" s="9" t="s">
        <v>414</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15.75" hidden="1" customHeight="1" outlineLevel="1" x14ac:dyDescent="0.3">
      <c r="A236" s="3"/>
      <c r="B236" s="9" t="s">
        <v>415</v>
      </c>
      <c r="C236" s="53"/>
      <c r="D236" s="53"/>
      <c r="E236" s="11">
        <v>0</v>
      </c>
      <c r="F236" s="11">
        <v>0</v>
      </c>
      <c r="G236" s="56"/>
      <c r="H236" s="56"/>
      <c r="I236" s="80"/>
      <c r="J236" s="56"/>
      <c r="K236" s="28"/>
      <c r="L236" s="28"/>
      <c r="M236" s="28"/>
      <c r="N236" s="28"/>
      <c r="O236" s="28"/>
      <c r="P236" s="28"/>
      <c r="Q236" s="28"/>
      <c r="R236" s="28"/>
      <c r="S236" s="28"/>
      <c r="T236" s="28"/>
      <c r="U236" s="3"/>
      <c r="W236" s="3"/>
      <c r="X236" s="3"/>
      <c r="Y236" s="3"/>
      <c r="Z236" s="3"/>
    </row>
    <row r="237" spans="1:26" ht="15.75" hidden="1" customHeight="1" outlineLevel="1" x14ac:dyDescent="0.3">
      <c r="A237" s="3"/>
      <c r="B237" s="9" t="s">
        <v>416</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5.75" hidden="1" customHeight="1" outlineLevel="1" x14ac:dyDescent="0.3">
      <c r="A238" s="3"/>
      <c r="B238" s="9" t="s">
        <v>417</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5.75" hidden="1" customHeight="1" outlineLevel="1" x14ac:dyDescent="0.3">
      <c r="A239" s="3"/>
      <c r="B239" s="9" t="s">
        <v>418</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5.75" hidden="1" customHeight="1" outlineLevel="1" x14ac:dyDescent="0.3">
      <c r="A240" s="3"/>
      <c r="B240" s="9" t="s">
        <v>419</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5.75" hidden="1" customHeight="1" outlineLevel="1" x14ac:dyDescent="0.3">
      <c r="A241" s="3"/>
      <c r="B241" s="9" t="s">
        <v>420</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15.75" hidden="1" customHeight="1" outlineLevel="1" x14ac:dyDescent="0.3">
      <c r="A242" s="3"/>
      <c r="B242" s="9" t="s">
        <v>421</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5.75" hidden="1" customHeight="1" outlineLevel="1" x14ac:dyDescent="0.3">
      <c r="A243" s="3"/>
      <c r="B243" s="9" t="s">
        <v>66</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5.75" customHeight="1" collapsed="1" x14ac:dyDescent="0.3">
      <c r="A244" s="3"/>
      <c r="B244" s="3"/>
      <c r="C244" s="28"/>
      <c r="D244" s="28"/>
      <c r="E244" s="28"/>
      <c r="F244" s="28"/>
      <c r="G244" s="89"/>
      <c r="H244" s="89"/>
      <c r="I244" s="90"/>
      <c r="J244" s="89"/>
      <c r="K244" s="28"/>
      <c r="L244" s="28"/>
      <c r="M244" s="28"/>
      <c r="N244" s="28"/>
      <c r="O244" s="28"/>
      <c r="P244" s="28"/>
      <c r="Q244" s="28"/>
      <c r="R244" s="28"/>
      <c r="S244" s="28"/>
      <c r="T244" s="28"/>
      <c r="U244" s="3"/>
    </row>
    <row r="245" spans="1:26" ht="15.75" customHeight="1" x14ac:dyDescent="0.3">
      <c r="A245" s="3"/>
      <c r="B245" s="3"/>
      <c r="C245" s="28"/>
      <c r="D245" s="28"/>
      <c r="E245" s="28"/>
      <c r="F245" s="28"/>
      <c r="G245" s="89"/>
      <c r="H245" s="89"/>
      <c r="I245" s="90"/>
      <c r="J245" s="89"/>
      <c r="K245" s="28"/>
      <c r="L245" s="28"/>
      <c r="M245" s="28"/>
      <c r="N245" s="28"/>
      <c r="O245" s="28"/>
      <c r="P245" s="28"/>
      <c r="Q245" s="28"/>
      <c r="R245" s="28"/>
      <c r="S245" s="28"/>
      <c r="T245" s="28"/>
      <c r="U245" s="3"/>
    </row>
    <row r="246" spans="1:26" ht="15.75" customHeight="1" x14ac:dyDescent="0.3">
      <c r="A246" s="3"/>
      <c r="B246" s="3"/>
      <c r="C246" s="28"/>
      <c r="D246" s="28"/>
      <c r="E246" s="28"/>
      <c r="F246" s="28"/>
      <c r="G246" s="89"/>
      <c r="H246" s="89"/>
      <c r="I246" s="90"/>
      <c r="J246" s="89"/>
      <c r="K246" s="28"/>
      <c r="L246" s="28"/>
      <c r="M246" s="28"/>
      <c r="N246" s="28"/>
      <c r="O246" s="28"/>
      <c r="P246" s="28"/>
      <c r="Q246" s="28"/>
      <c r="R246" s="28"/>
      <c r="S246" s="28"/>
      <c r="T246" s="28"/>
      <c r="U246" s="3"/>
    </row>
    <row r="247" spans="1:26" ht="15.75" customHeight="1" x14ac:dyDescent="0.3">
      <c r="A247" s="3"/>
      <c r="B247" s="3"/>
      <c r="C247" s="28"/>
      <c r="D247" s="28"/>
      <c r="E247" s="28"/>
      <c r="F247" s="28"/>
      <c r="G247" s="89"/>
      <c r="H247" s="89"/>
      <c r="I247" s="90"/>
      <c r="J247" s="89"/>
      <c r="K247" s="28"/>
      <c r="L247" s="28"/>
      <c r="M247" s="28"/>
      <c r="N247" s="28"/>
      <c r="O247" s="28"/>
      <c r="P247" s="28"/>
      <c r="Q247" s="28"/>
      <c r="R247" s="28"/>
      <c r="S247" s="28"/>
      <c r="T247" s="28"/>
      <c r="U247" s="3"/>
    </row>
    <row r="248" spans="1:26" ht="15.75" customHeight="1" x14ac:dyDescent="0.3">
      <c r="A248" s="3"/>
      <c r="B248" s="3"/>
      <c r="C248" s="28"/>
      <c r="D248" s="28"/>
      <c r="E248" s="28"/>
      <c r="F248" s="28"/>
      <c r="G248" s="89"/>
      <c r="H248" s="89"/>
      <c r="I248" s="90"/>
      <c r="J248" s="89"/>
      <c r="K248" s="28"/>
      <c r="L248" s="28"/>
      <c r="M248" s="28"/>
      <c r="N248" s="28"/>
      <c r="O248" s="28"/>
      <c r="P248" s="28"/>
      <c r="Q248" s="28"/>
      <c r="R248" s="28"/>
      <c r="S248" s="28"/>
      <c r="T248" s="28"/>
      <c r="U248" s="3"/>
    </row>
    <row r="249" spans="1:26" ht="15.75" customHeight="1" x14ac:dyDescent="0.3">
      <c r="A249" s="3"/>
      <c r="B249" s="3"/>
      <c r="C249" s="28"/>
      <c r="D249" s="28"/>
      <c r="E249" s="28"/>
      <c r="F249" s="28"/>
      <c r="G249" s="89"/>
      <c r="H249" s="89"/>
      <c r="I249" s="90"/>
      <c r="J249" s="89"/>
      <c r="K249" s="28"/>
      <c r="L249" s="28"/>
      <c r="M249" s="28"/>
      <c r="N249" s="28"/>
      <c r="O249" s="28"/>
      <c r="P249" s="28"/>
      <c r="Q249" s="28"/>
      <c r="R249" s="28"/>
      <c r="S249" s="28"/>
      <c r="T249" s="28"/>
      <c r="U249" s="3"/>
    </row>
    <row r="250" spans="1:26" ht="15.75" customHeight="1" x14ac:dyDescent="0.3">
      <c r="A250" s="3"/>
      <c r="B250" s="3"/>
      <c r="C250" s="28"/>
      <c r="D250" s="28"/>
      <c r="E250" s="28"/>
      <c r="F250" s="28"/>
      <c r="G250" s="89"/>
      <c r="H250" s="89"/>
      <c r="I250" s="90"/>
      <c r="J250" s="89"/>
      <c r="K250" s="28"/>
      <c r="L250" s="28"/>
      <c r="M250" s="28"/>
      <c r="N250" s="28"/>
      <c r="O250" s="28"/>
      <c r="P250" s="28"/>
      <c r="Q250" s="28"/>
      <c r="R250" s="28"/>
      <c r="S250" s="28"/>
      <c r="T250" s="28"/>
      <c r="U250" s="3"/>
    </row>
    <row r="251" spans="1:26" ht="15.75" customHeight="1" x14ac:dyDescent="0.3">
      <c r="A251" s="3"/>
      <c r="B251" s="3"/>
      <c r="C251" s="28"/>
      <c r="D251" s="28"/>
      <c r="E251" s="28"/>
      <c r="F251" s="28"/>
      <c r="G251" s="89"/>
      <c r="H251" s="89"/>
      <c r="I251" s="90"/>
      <c r="J251" s="89"/>
      <c r="K251" s="28"/>
      <c r="L251" s="28"/>
      <c r="M251" s="28"/>
      <c r="N251" s="28"/>
      <c r="O251" s="28"/>
      <c r="P251" s="28"/>
      <c r="Q251" s="28"/>
      <c r="R251" s="28"/>
      <c r="S251" s="28"/>
      <c r="T251" s="28"/>
      <c r="U251" s="3"/>
    </row>
    <row r="252" spans="1:26" ht="15.75" customHeight="1" x14ac:dyDescent="0.3">
      <c r="A252" s="3"/>
      <c r="B252" s="3"/>
      <c r="C252" s="28"/>
      <c r="D252" s="28"/>
      <c r="E252" s="28"/>
      <c r="F252" s="28"/>
      <c r="G252" s="89"/>
      <c r="H252" s="89"/>
      <c r="I252" s="90"/>
      <c r="J252" s="89"/>
      <c r="K252" s="28"/>
      <c r="L252" s="28"/>
      <c r="M252" s="28"/>
      <c r="N252" s="28"/>
      <c r="O252" s="28"/>
      <c r="P252" s="28"/>
      <c r="Q252" s="28"/>
      <c r="R252" s="28"/>
      <c r="S252" s="28"/>
      <c r="T252" s="28"/>
      <c r="U252" s="3"/>
    </row>
    <row r="253" spans="1:26" ht="15.75" customHeight="1" x14ac:dyDescent="0.3">
      <c r="A253" s="3"/>
      <c r="B253" s="3"/>
      <c r="C253" s="28"/>
      <c r="D253" s="28"/>
      <c r="E253" s="28"/>
      <c r="F253" s="28"/>
      <c r="G253" s="89"/>
      <c r="H253" s="89"/>
      <c r="I253" s="90"/>
      <c r="J253" s="89"/>
      <c r="K253" s="28"/>
      <c r="L253" s="28"/>
      <c r="M253" s="28"/>
      <c r="N253" s="28"/>
      <c r="O253" s="28"/>
      <c r="P253" s="28"/>
      <c r="Q253" s="28"/>
      <c r="R253" s="28"/>
      <c r="S253" s="28"/>
      <c r="T253" s="28"/>
      <c r="U253" s="3"/>
    </row>
    <row r="254" spans="1:26" ht="15.75" customHeight="1" x14ac:dyDescent="0.3">
      <c r="A254" s="3"/>
      <c r="B254" s="3"/>
      <c r="C254" s="28"/>
      <c r="D254" s="28"/>
      <c r="E254" s="28"/>
      <c r="F254" s="28"/>
      <c r="G254" s="89"/>
      <c r="H254" s="89"/>
      <c r="I254" s="90"/>
      <c r="J254" s="89"/>
      <c r="K254" s="28"/>
      <c r="L254" s="28"/>
      <c r="M254" s="28"/>
      <c r="N254" s="28"/>
      <c r="O254" s="28"/>
      <c r="P254" s="28"/>
      <c r="Q254" s="28"/>
      <c r="R254" s="28"/>
      <c r="S254" s="28"/>
      <c r="T254" s="28"/>
      <c r="U254" s="3"/>
    </row>
    <row r="255" spans="1:26" ht="15.75" customHeight="1" x14ac:dyDescent="0.3">
      <c r="A255" s="3"/>
      <c r="B255" s="3"/>
      <c r="C255" s="28"/>
      <c r="D255" s="28"/>
      <c r="E255" s="28"/>
      <c r="F255" s="28"/>
      <c r="G255" s="89"/>
      <c r="H255" s="89"/>
      <c r="I255" s="90"/>
      <c r="J255" s="89"/>
      <c r="K255" s="28"/>
      <c r="L255" s="28"/>
      <c r="M255" s="28"/>
      <c r="N255" s="28"/>
      <c r="O255" s="28"/>
      <c r="P255" s="28"/>
      <c r="Q255" s="28"/>
      <c r="R255" s="28"/>
      <c r="S255" s="28"/>
      <c r="T255" s="28"/>
      <c r="U255" s="3"/>
    </row>
    <row r="256" spans="1:26" ht="15.75" customHeight="1" x14ac:dyDescent="0.3">
      <c r="A256" s="3"/>
      <c r="B256" s="3"/>
      <c r="C256" s="28"/>
      <c r="D256" s="28"/>
      <c r="E256" s="28"/>
      <c r="F256" s="28"/>
      <c r="G256" s="89"/>
      <c r="H256" s="89"/>
      <c r="I256" s="90"/>
      <c r="J256" s="89"/>
      <c r="K256" s="28"/>
      <c r="L256" s="28"/>
      <c r="M256" s="28"/>
      <c r="N256" s="28"/>
      <c r="O256" s="28"/>
      <c r="P256" s="28"/>
      <c r="Q256" s="28"/>
      <c r="R256" s="28"/>
      <c r="S256" s="28"/>
      <c r="T256" s="28"/>
      <c r="U256" s="3"/>
    </row>
    <row r="257" spans="1:21" ht="15.75" customHeight="1" x14ac:dyDescent="0.3">
      <c r="A257" s="3"/>
      <c r="B257" s="3"/>
      <c r="C257" s="28"/>
      <c r="D257" s="28"/>
      <c r="E257" s="28"/>
      <c r="F257" s="28"/>
      <c r="G257" s="89"/>
      <c r="H257" s="89"/>
      <c r="I257" s="90"/>
      <c r="J257" s="89"/>
      <c r="K257" s="28"/>
      <c r="L257" s="28"/>
      <c r="M257" s="28"/>
      <c r="N257" s="28"/>
      <c r="O257" s="28"/>
      <c r="P257" s="28"/>
      <c r="Q257" s="28"/>
      <c r="R257" s="28"/>
      <c r="S257" s="28"/>
      <c r="T257" s="28"/>
      <c r="U257" s="3"/>
    </row>
    <row r="258" spans="1:21" ht="15.75" customHeight="1" x14ac:dyDescent="0.3">
      <c r="A258" s="3"/>
      <c r="B258" s="3"/>
      <c r="C258" s="28"/>
      <c r="D258" s="28"/>
      <c r="E258" s="28"/>
      <c r="F258" s="28"/>
      <c r="G258" s="89"/>
      <c r="H258" s="89"/>
      <c r="I258" s="90"/>
      <c r="J258" s="89"/>
      <c r="K258" s="28"/>
      <c r="L258" s="28"/>
      <c r="M258" s="28"/>
      <c r="N258" s="28"/>
      <c r="O258" s="28"/>
      <c r="P258" s="28"/>
      <c r="Q258" s="28"/>
      <c r="R258" s="28"/>
      <c r="S258" s="28"/>
      <c r="T258" s="28"/>
      <c r="U258" s="3"/>
    </row>
    <row r="259" spans="1:21" ht="15.75" customHeight="1" x14ac:dyDescent="0.3">
      <c r="A259" s="3"/>
      <c r="B259" s="3"/>
      <c r="C259" s="28"/>
      <c r="D259" s="28"/>
      <c r="E259" s="28"/>
      <c r="F259" s="28"/>
      <c r="G259" s="89"/>
      <c r="H259" s="89"/>
      <c r="I259" s="90"/>
      <c r="J259" s="89"/>
      <c r="K259" s="28"/>
      <c r="L259" s="28"/>
      <c r="M259" s="28"/>
      <c r="N259" s="28"/>
      <c r="O259" s="28"/>
      <c r="P259" s="28"/>
      <c r="Q259" s="28"/>
      <c r="R259" s="28"/>
      <c r="S259" s="28"/>
      <c r="T259" s="28"/>
      <c r="U259" s="3"/>
    </row>
    <row r="260" spans="1:21" ht="15.75" customHeight="1" x14ac:dyDescent="0.3">
      <c r="A260" s="3"/>
      <c r="B260" s="3"/>
      <c r="C260" s="28"/>
      <c r="D260" s="28"/>
      <c r="E260" s="28"/>
      <c r="F260" s="28"/>
      <c r="G260" s="89"/>
      <c r="H260" s="89"/>
      <c r="I260" s="90"/>
      <c r="J260" s="89"/>
      <c r="K260" s="28"/>
      <c r="L260" s="28"/>
      <c r="M260" s="28"/>
      <c r="N260" s="28"/>
      <c r="O260" s="28"/>
      <c r="P260" s="28"/>
      <c r="Q260" s="28"/>
      <c r="R260" s="28"/>
      <c r="S260" s="28"/>
      <c r="T260" s="28"/>
      <c r="U260" s="3"/>
    </row>
    <row r="261" spans="1:21" ht="15.75" customHeight="1" x14ac:dyDescent="0.3">
      <c r="A261" s="3"/>
      <c r="B261" s="3"/>
      <c r="C261" s="28"/>
      <c r="D261" s="28"/>
      <c r="E261" s="28"/>
      <c r="F261" s="28"/>
      <c r="G261" s="89"/>
      <c r="H261" s="89"/>
      <c r="I261" s="90"/>
      <c r="J261" s="89"/>
      <c r="K261" s="28"/>
      <c r="L261" s="28"/>
      <c r="M261" s="28"/>
      <c r="N261" s="28"/>
      <c r="O261" s="28"/>
      <c r="P261" s="28"/>
      <c r="Q261" s="28"/>
      <c r="R261" s="28"/>
      <c r="S261" s="28"/>
      <c r="T261" s="28"/>
      <c r="U261" s="3"/>
    </row>
    <row r="262" spans="1:21" ht="15.75" customHeight="1" x14ac:dyDescent="0.3">
      <c r="A262" s="3"/>
      <c r="B262" s="3"/>
      <c r="C262" s="28"/>
      <c r="D262" s="28"/>
      <c r="E262" s="28"/>
      <c r="F262" s="28"/>
      <c r="G262" s="89"/>
      <c r="H262" s="89"/>
      <c r="I262" s="90"/>
      <c r="J262" s="89"/>
      <c r="K262" s="28"/>
      <c r="L262" s="28"/>
      <c r="M262" s="28"/>
      <c r="N262" s="28"/>
      <c r="O262" s="28"/>
      <c r="P262" s="28"/>
      <c r="Q262" s="28"/>
      <c r="R262" s="28"/>
      <c r="S262" s="28"/>
      <c r="T262" s="28"/>
      <c r="U262" s="3"/>
    </row>
    <row r="263" spans="1:21" ht="15.75" customHeight="1" x14ac:dyDescent="0.3">
      <c r="A263" s="3"/>
      <c r="B263" s="3"/>
      <c r="C263" s="28"/>
      <c r="D263" s="28"/>
      <c r="E263" s="28"/>
      <c r="F263" s="28"/>
      <c r="G263" s="89"/>
      <c r="H263" s="89"/>
      <c r="I263" s="90"/>
      <c r="J263" s="89"/>
      <c r="K263" s="28"/>
      <c r="L263" s="28"/>
      <c r="M263" s="28"/>
      <c r="N263" s="28"/>
      <c r="O263" s="28"/>
      <c r="P263" s="28"/>
      <c r="Q263" s="28"/>
      <c r="R263" s="28"/>
      <c r="S263" s="28"/>
      <c r="T263" s="28"/>
      <c r="U263" s="3"/>
    </row>
    <row r="264" spans="1:21" ht="15.75" customHeight="1" x14ac:dyDescent="0.3">
      <c r="A264" s="3"/>
      <c r="B264" s="3"/>
      <c r="C264" s="28"/>
      <c r="D264" s="28"/>
      <c r="E264" s="28"/>
      <c r="F264" s="28"/>
      <c r="G264" s="89"/>
      <c r="H264" s="89"/>
      <c r="I264" s="90"/>
      <c r="J264" s="89"/>
      <c r="K264" s="28"/>
      <c r="L264" s="28"/>
      <c r="M264" s="28"/>
      <c r="N264" s="28"/>
      <c r="O264" s="28"/>
      <c r="P264" s="28"/>
      <c r="Q264" s="28"/>
      <c r="R264" s="28"/>
      <c r="S264" s="28"/>
      <c r="T264" s="28"/>
      <c r="U264" s="3"/>
    </row>
    <row r="265" spans="1:21" ht="15.75" customHeight="1" x14ac:dyDescent="0.3">
      <c r="A265" s="3"/>
      <c r="B265" s="3"/>
      <c r="C265" s="28"/>
      <c r="D265" s="28"/>
      <c r="E265" s="28"/>
      <c r="F265" s="28"/>
      <c r="G265" s="89"/>
      <c r="H265" s="89"/>
      <c r="I265" s="90"/>
      <c r="J265" s="89"/>
      <c r="K265" s="28"/>
      <c r="L265" s="28"/>
      <c r="M265" s="28"/>
      <c r="N265" s="28"/>
      <c r="O265" s="28"/>
      <c r="P265" s="28"/>
      <c r="Q265" s="28"/>
      <c r="R265" s="28"/>
      <c r="S265" s="28"/>
      <c r="T265" s="28"/>
      <c r="U265" s="3"/>
    </row>
    <row r="266" spans="1:21" ht="15.75" customHeight="1" x14ac:dyDescent="0.3">
      <c r="A266" s="3"/>
      <c r="B266" s="3"/>
      <c r="C266" s="28"/>
      <c r="D266" s="28"/>
      <c r="E266" s="28"/>
      <c r="F266" s="28"/>
      <c r="G266" s="89"/>
      <c r="H266" s="89"/>
      <c r="I266" s="90"/>
      <c r="J266" s="89"/>
      <c r="K266" s="28"/>
      <c r="L266" s="28"/>
      <c r="M266" s="28"/>
      <c r="N266" s="28"/>
      <c r="O266" s="28"/>
      <c r="P266" s="28"/>
      <c r="Q266" s="28"/>
      <c r="R266" s="28"/>
      <c r="S266" s="28"/>
      <c r="T266" s="28"/>
      <c r="U266" s="3"/>
    </row>
    <row r="267" spans="1:21" ht="15.75" customHeight="1" x14ac:dyDescent="0.3">
      <c r="A267" s="3"/>
      <c r="B267" s="3"/>
      <c r="C267" s="28"/>
      <c r="D267" s="28"/>
      <c r="E267" s="28"/>
      <c r="F267" s="28"/>
      <c r="G267" s="89"/>
      <c r="H267" s="89"/>
      <c r="I267" s="90"/>
      <c r="J267" s="89"/>
      <c r="K267" s="28"/>
      <c r="L267" s="28"/>
      <c r="M267" s="28"/>
      <c r="N267" s="28"/>
      <c r="O267" s="28"/>
      <c r="P267" s="28"/>
      <c r="Q267" s="28"/>
      <c r="R267" s="28"/>
      <c r="S267" s="28"/>
      <c r="T267" s="28"/>
      <c r="U267" s="3"/>
    </row>
    <row r="268" spans="1:21" ht="15.75" customHeight="1" x14ac:dyDescent="0.3">
      <c r="A268" s="3"/>
      <c r="B268" s="3"/>
      <c r="C268" s="28"/>
      <c r="D268" s="28"/>
      <c r="E268" s="28"/>
      <c r="F268" s="28"/>
      <c r="G268" s="89"/>
      <c r="H268" s="89"/>
      <c r="I268" s="90"/>
      <c r="J268" s="89"/>
      <c r="K268" s="28"/>
      <c r="L268" s="28"/>
      <c r="M268" s="28"/>
      <c r="N268" s="28"/>
      <c r="O268" s="28"/>
      <c r="P268" s="28"/>
      <c r="Q268" s="28"/>
      <c r="R268" s="28"/>
      <c r="S268" s="28"/>
      <c r="T268" s="28"/>
      <c r="U268" s="3"/>
    </row>
    <row r="269" spans="1:21" ht="15.75" customHeight="1" x14ac:dyDescent="0.3">
      <c r="A269" s="3"/>
      <c r="B269" s="3"/>
      <c r="C269" s="28"/>
      <c r="D269" s="28"/>
      <c r="E269" s="28"/>
      <c r="F269" s="28"/>
      <c r="G269" s="89"/>
      <c r="H269" s="89"/>
      <c r="I269" s="90"/>
      <c r="J269" s="89"/>
      <c r="K269" s="28"/>
      <c r="L269" s="28"/>
      <c r="M269" s="28"/>
      <c r="N269" s="28"/>
      <c r="O269" s="28"/>
      <c r="P269" s="28"/>
      <c r="Q269" s="28"/>
      <c r="R269" s="28"/>
      <c r="S269" s="28"/>
      <c r="T269" s="28"/>
      <c r="U269" s="3"/>
    </row>
    <row r="270" spans="1:21" ht="15.75" customHeight="1" x14ac:dyDescent="0.3">
      <c r="A270" s="3"/>
      <c r="B270" s="3"/>
      <c r="C270" s="28"/>
      <c r="D270" s="28"/>
      <c r="E270" s="28"/>
      <c r="F270" s="28"/>
      <c r="G270" s="89"/>
      <c r="H270" s="89"/>
      <c r="I270" s="90"/>
      <c r="J270" s="89"/>
      <c r="K270" s="28"/>
      <c r="L270" s="28"/>
      <c r="M270" s="28"/>
      <c r="N270" s="28"/>
      <c r="O270" s="28"/>
      <c r="P270" s="28"/>
      <c r="Q270" s="28"/>
      <c r="R270" s="28"/>
      <c r="S270" s="28"/>
      <c r="T270" s="28"/>
      <c r="U270" s="3"/>
    </row>
    <row r="271" spans="1:21" ht="15.75" customHeight="1" x14ac:dyDescent="0.3">
      <c r="A271" s="3"/>
      <c r="B271" s="3"/>
      <c r="C271" s="28"/>
      <c r="D271" s="28"/>
      <c r="E271" s="28"/>
      <c r="F271" s="28"/>
      <c r="G271" s="89"/>
      <c r="H271" s="89"/>
      <c r="I271" s="90"/>
      <c r="J271" s="89"/>
      <c r="K271" s="28"/>
      <c r="L271" s="28"/>
      <c r="M271" s="28"/>
      <c r="N271" s="28"/>
      <c r="O271" s="28"/>
      <c r="P271" s="28"/>
      <c r="Q271" s="28"/>
      <c r="R271" s="28"/>
      <c r="S271" s="28"/>
      <c r="T271" s="28"/>
      <c r="U271" s="3"/>
    </row>
    <row r="272" spans="1:21" ht="15.75" customHeight="1" x14ac:dyDescent="0.3">
      <c r="A272" s="3"/>
      <c r="B272" s="3"/>
      <c r="C272" s="28"/>
      <c r="D272" s="28"/>
      <c r="E272" s="28"/>
      <c r="F272" s="28"/>
      <c r="G272" s="89"/>
      <c r="H272" s="89"/>
      <c r="I272" s="90"/>
      <c r="J272" s="89"/>
      <c r="K272" s="28"/>
      <c r="L272" s="28"/>
      <c r="M272" s="28"/>
      <c r="N272" s="28"/>
      <c r="O272" s="28"/>
      <c r="P272" s="28"/>
      <c r="Q272" s="28"/>
      <c r="R272" s="28"/>
      <c r="S272" s="28"/>
      <c r="T272" s="28"/>
      <c r="U272" s="3"/>
    </row>
    <row r="273" spans="1:21" ht="15.75" customHeight="1" x14ac:dyDescent="0.3">
      <c r="A273" s="3"/>
      <c r="B273" s="3"/>
      <c r="C273" s="28"/>
      <c r="D273" s="28"/>
      <c r="E273" s="28"/>
      <c r="F273" s="28"/>
      <c r="G273" s="89"/>
      <c r="H273" s="89"/>
      <c r="I273" s="90"/>
      <c r="J273" s="89"/>
      <c r="K273" s="28"/>
      <c r="L273" s="28"/>
      <c r="M273" s="28"/>
      <c r="N273" s="28"/>
      <c r="O273" s="28"/>
      <c r="P273" s="28"/>
      <c r="Q273" s="28"/>
      <c r="R273" s="28"/>
      <c r="S273" s="28"/>
      <c r="T273" s="28"/>
      <c r="U273" s="3"/>
    </row>
    <row r="274" spans="1:21" ht="15.75" customHeight="1" x14ac:dyDescent="0.3">
      <c r="A274" s="3"/>
      <c r="B274" s="3"/>
      <c r="C274" s="28"/>
      <c r="D274" s="28"/>
      <c r="E274" s="28"/>
      <c r="F274" s="28"/>
      <c r="G274" s="89"/>
      <c r="H274" s="89"/>
      <c r="I274" s="90"/>
      <c r="J274" s="89"/>
      <c r="K274" s="28"/>
      <c r="L274" s="28"/>
      <c r="M274" s="28"/>
      <c r="N274" s="28"/>
      <c r="O274" s="28"/>
      <c r="P274" s="28"/>
      <c r="Q274" s="28"/>
      <c r="R274" s="28"/>
      <c r="S274" s="28"/>
      <c r="T274" s="28"/>
      <c r="U274" s="3"/>
    </row>
    <row r="275" spans="1:21" ht="15.75" customHeight="1" x14ac:dyDescent="0.3">
      <c r="A275" s="3"/>
      <c r="B275" s="3"/>
      <c r="C275" s="28"/>
      <c r="D275" s="28"/>
      <c r="E275" s="28"/>
      <c r="F275" s="28"/>
      <c r="G275" s="89"/>
      <c r="H275" s="89"/>
      <c r="I275" s="90"/>
      <c r="J275" s="89"/>
      <c r="K275" s="28"/>
      <c r="L275" s="28"/>
      <c r="M275" s="28"/>
      <c r="N275" s="28"/>
      <c r="O275" s="28"/>
      <c r="P275" s="28"/>
      <c r="Q275" s="28"/>
      <c r="R275" s="28"/>
      <c r="S275" s="28"/>
      <c r="T275" s="28"/>
      <c r="U275" s="3"/>
    </row>
    <row r="276" spans="1:21" ht="15.75" customHeight="1" x14ac:dyDescent="0.3">
      <c r="A276" s="3"/>
      <c r="B276" s="3"/>
      <c r="C276" s="28"/>
      <c r="D276" s="28"/>
      <c r="E276" s="28"/>
      <c r="F276" s="28"/>
      <c r="G276" s="89"/>
      <c r="H276" s="89"/>
      <c r="I276" s="90"/>
      <c r="J276" s="89"/>
      <c r="K276" s="28"/>
      <c r="L276" s="28"/>
      <c r="M276" s="28"/>
      <c r="N276" s="28"/>
      <c r="O276" s="28"/>
      <c r="P276" s="28"/>
      <c r="Q276" s="28"/>
      <c r="R276" s="28"/>
      <c r="S276" s="28"/>
      <c r="T276" s="28"/>
      <c r="U276" s="3"/>
    </row>
    <row r="277" spans="1:21" ht="15.75" customHeight="1" x14ac:dyDescent="0.3">
      <c r="A277" s="3"/>
      <c r="B277" s="3"/>
      <c r="C277" s="28"/>
      <c r="D277" s="28"/>
      <c r="E277" s="28"/>
      <c r="F277" s="28"/>
      <c r="G277" s="89"/>
      <c r="H277" s="89"/>
      <c r="I277" s="90"/>
      <c r="J277" s="89"/>
      <c r="K277" s="28"/>
      <c r="L277" s="28"/>
      <c r="M277" s="28"/>
      <c r="N277" s="28"/>
      <c r="O277" s="28"/>
      <c r="P277" s="28"/>
      <c r="Q277" s="28"/>
      <c r="R277" s="28"/>
      <c r="S277" s="28"/>
      <c r="T277" s="28"/>
      <c r="U277" s="3"/>
    </row>
    <row r="278" spans="1:21" ht="15.75" customHeight="1" x14ac:dyDescent="0.3">
      <c r="A278" s="3"/>
      <c r="B278" s="3"/>
      <c r="C278" s="28"/>
      <c r="D278" s="28"/>
      <c r="E278" s="28"/>
      <c r="F278" s="28"/>
      <c r="G278" s="89"/>
      <c r="H278" s="89"/>
      <c r="I278" s="90"/>
      <c r="J278" s="89"/>
      <c r="K278" s="28"/>
      <c r="L278" s="28"/>
      <c r="M278" s="28"/>
      <c r="N278" s="28"/>
      <c r="O278" s="28"/>
      <c r="P278" s="28"/>
      <c r="Q278" s="28"/>
      <c r="R278" s="28"/>
      <c r="S278" s="28"/>
      <c r="T278" s="28"/>
      <c r="U278" s="3"/>
    </row>
    <row r="279" spans="1:21" ht="15.75" customHeight="1" x14ac:dyDescent="0.3">
      <c r="A279" s="3"/>
      <c r="B279" s="3"/>
      <c r="C279" s="28"/>
      <c r="D279" s="28"/>
      <c r="E279" s="28"/>
      <c r="F279" s="28"/>
      <c r="G279" s="89"/>
      <c r="H279" s="89"/>
      <c r="I279" s="90"/>
      <c r="J279" s="89"/>
      <c r="K279" s="28"/>
      <c r="L279" s="28"/>
      <c r="M279" s="28"/>
      <c r="N279" s="28"/>
      <c r="O279" s="28"/>
      <c r="P279" s="28"/>
      <c r="Q279" s="28"/>
      <c r="R279" s="28"/>
      <c r="S279" s="28"/>
      <c r="T279" s="28"/>
      <c r="U279" s="3"/>
    </row>
    <row r="280" spans="1:21" ht="15.75" customHeight="1" x14ac:dyDescent="0.3">
      <c r="A280" s="3"/>
      <c r="B280" s="3"/>
      <c r="C280" s="28"/>
      <c r="D280" s="28"/>
      <c r="E280" s="28"/>
      <c r="F280" s="28"/>
      <c r="G280" s="89"/>
      <c r="H280" s="89"/>
      <c r="I280" s="90"/>
      <c r="J280" s="89"/>
      <c r="K280" s="28"/>
      <c r="L280" s="28"/>
      <c r="M280" s="28"/>
      <c r="N280" s="28"/>
      <c r="O280" s="28"/>
      <c r="P280" s="28"/>
      <c r="Q280" s="28"/>
      <c r="R280" s="28"/>
      <c r="S280" s="28"/>
      <c r="T280" s="28"/>
      <c r="U280" s="3"/>
    </row>
    <row r="281" spans="1:21" ht="15.75" customHeight="1" x14ac:dyDescent="0.3">
      <c r="A281" s="3"/>
      <c r="B281" s="3"/>
      <c r="C281" s="28"/>
      <c r="D281" s="28"/>
      <c r="E281" s="28"/>
      <c r="F281" s="28"/>
      <c r="G281" s="89"/>
      <c r="H281" s="89"/>
      <c r="I281" s="90"/>
      <c r="J281" s="89"/>
      <c r="K281" s="28"/>
      <c r="L281" s="28"/>
      <c r="M281" s="28"/>
      <c r="N281" s="28"/>
      <c r="O281" s="28"/>
      <c r="P281" s="28"/>
      <c r="Q281" s="28"/>
      <c r="R281" s="28"/>
      <c r="S281" s="28"/>
      <c r="T281" s="28"/>
      <c r="U281" s="3"/>
    </row>
    <row r="282" spans="1:21" ht="15.75" customHeight="1" x14ac:dyDescent="0.3">
      <c r="A282" s="3"/>
      <c r="B282" s="3"/>
      <c r="C282" s="28"/>
      <c r="D282" s="28"/>
      <c r="E282" s="28"/>
      <c r="F282" s="28"/>
      <c r="G282" s="89"/>
      <c r="H282" s="89"/>
      <c r="I282" s="90"/>
      <c r="J282" s="89"/>
      <c r="K282" s="28"/>
      <c r="L282" s="28"/>
      <c r="M282" s="28"/>
      <c r="N282" s="28"/>
      <c r="O282" s="28"/>
      <c r="P282" s="28"/>
      <c r="Q282" s="28"/>
      <c r="R282" s="28"/>
      <c r="S282" s="28"/>
      <c r="T282" s="28"/>
      <c r="U282" s="3"/>
    </row>
    <row r="283" spans="1:21" ht="15.75" customHeight="1" x14ac:dyDescent="0.3">
      <c r="A283" s="3"/>
      <c r="B283" s="3"/>
      <c r="C283" s="28"/>
      <c r="D283" s="28"/>
      <c r="E283" s="28"/>
      <c r="F283" s="28"/>
      <c r="G283" s="89"/>
      <c r="H283" s="89"/>
      <c r="I283" s="90"/>
      <c r="J283" s="89"/>
      <c r="K283" s="28"/>
      <c r="L283" s="28"/>
      <c r="M283" s="28"/>
      <c r="N283" s="28"/>
      <c r="O283" s="28"/>
      <c r="P283" s="28"/>
      <c r="Q283" s="28"/>
      <c r="R283" s="28"/>
      <c r="S283" s="28"/>
      <c r="T283" s="28"/>
      <c r="U283" s="3"/>
    </row>
    <row r="284" spans="1:21" ht="15.75" customHeight="1" x14ac:dyDescent="0.3">
      <c r="A284" s="3"/>
      <c r="B284" s="3"/>
      <c r="C284" s="28"/>
      <c r="D284" s="28"/>
      <c r="E284" s="28"/>
      <c r="F284" s="28"/>
      <c r="G284" s="89"/>
      <c r="H284" s="89"/>
      <c r="I284" s="90"/>
      <c r="J284" s="89"/>
      <c r="K284" s="28"/>
      <c r="L284" s="28"/>
      <c r="M284" s="28"/>
      <c r="N284" s="28"/>
      <c r="O284" s="28"/>
      <c r="P284" s="28"/>
      <c r="Q284" s="28"/>
      <c r="R284" s="28"/>
      <c r="S284" s="28"/>
      <c r="T284" s="28"/>
      <c r="U284" s="3"/>
    </row>
    <row r="285" spans="1:21" ht="15.75" customHeight="1" x14ac:dyDescent="0.3">
      <c r="A285" s="3"/>
      <c r="B285" s="3"/>
      <c r="C285" s="28"/>
      <c r="D285" s="28"/>
      <c r="E285" s="28"/>
      <c r="F285" s="28"/>
      <c r="G285" s="89"/>
      <c r="H285" s="89"/>
      <c r="I285" s="90"/>
      <c r="J285" s="89"/>
      <c r="K285" s="28"/>
      <c r="L285" s="28"/>
      <c r="M285" s="28"/>
      <c r="N285" s="28"/>
      <c r="O285" s="28"/>
      <c r="P285" s="28"/>
      <c r="Q285" s="28"/>
      <c r="R285" s="28"/>
      <c r="S285" s="28"/>
      <c r="T285" s="28"/>
      <c r="U285" s="3"/>
    </row>
    <row r="286" spans="1:21" ht="15.75" customHeight="1" x14ac:dyDescent="0.3">
      <c r="A286" s="3"/>
      <c r="B286" s="3"/>
      <c r="C286" s="28"/>
      <c r="D286" s="28"/>
      <c r="E286" s="28"/>
      <c r="F286" s="28"/>
      <c r="G286" s="89"/>
      <c r="H286" s="89"/>
      <c r="I286" s="90"/>
      <c r="J286" s="89"/>
      <c r="K286" s="28"/>
      <c r="L286" s="28"/>
      <c r="M286" s="28"/>
      <c r="N286" s="28"/>
      <c r="O286" s="28"/>
      <c r="P286" s="28"/>
      <c r="Q286" s="28"/>
      <c r="R286" s="28"/>
      <c r="S286" s="28"/>
      <c r="T286" s="28"/>
      <c r="U286" s="3"/>
    </row>
    <row r="287" spans="1:21" ht="15.75" customHeight="1" x14ac:dyDescent="0.3">
      <c r="A287" s="3"/>
      <c r="B287" s="3"/>
      <c r="C287" s="28"/>
      <c r="D287" s="28"/>
      <c r="E287" s="28"/>
      <c r="F287" s="28"/>
      <c r="G287" s="89"/>
      <c r="H287" s="89"/>
      <c r="I287" s="90"/>
      <c r="J287" s="89"/>
      <c r="K287" s="28"/>
      <c r="L287" s="28"/>
      <c r="M287" s="28"/>
      <c r="N287" s="28"/>
      <c r="O287" s="28"/>
      <c r="P287" s="28"/>
      <c r="Q287" s="28"/>
      <c r="R287" s="28"/>
      <c r="S287" s="28"/>
      <c r="T287" s="28"/>
      <c r="U287" s="3"/>
    </row>
    <row r="288" spans="1:21" ht="15.75" customHeight="1" x14ac:dyDescent="0.3">
      <c r="A288" s="3"/>
      <c r="B288" s="3"/>
      <c r="C288" s="28"/>
      <c r="D288" s="28"/>
      <c r="E288" s="28"/>
      <c r="F288" s="28"/>
      <c r="G288" s="89"/>
      <c r="H288" s="89"/>
      <c r="I288" s="90"/>
      <c r="J288" s="89"/>
      <c r="K288" s="28"/>
      <c r="L288" s="28"/>
      <c r="M288" s="28"/>
      <c r="N288" s="28"/>
      <c r="O288" s="28"/>
      <c r="P288" s="28"/>
      <c r="Q288" s="28"/>
      <c r="R288" s="28"/>
      <c r="S288" s="28"/>
      <c r="T288" s="28"/>
      <c r="U288" s="3"/>
    </row>
    <row r="289" spans="1:21" ht="15.75" customHeight="1" x14ac:dyDescent="0.3">
      <c r="A289" s="3"/>
      <c r="B289" s="3"/>
      <c r="C289" s="28"/>
      <c r="D289" s="28"/>
      <c r="E289" s="28"/>
      <c r="F289" s="28"/>
      <c r="G289" s="89"/>
      <c r="H289" s="89"/>
      <c r="I289" s="90"/>
      <c r="J289" s="89"/>
      <c r="K289" s="28"/>
      <c r="L289" s="28"/>
      <c r="M289" s="28"/>
      <c r="N289" s="28"/>
      <c r="O289" s="28"/>
      <c r="P289" s="28"/>
      <c r="Q289" s="28"/>
      <c r="R289" s="28"/>
      <c r="S289" s="28"/>
      <c r="T289" s="28"/>
      <c r="U289" s="3"/>
    </row>
    <row r="290" spans="1:21" ht="15.75" customHeight="1" x14ac:dyDescent="0.3">
      <c r="A290" s="3"/>
      <c r="B290" s="3"/>
      <c r="C290" s="28"/>
      <c r="D290" s="28"/>
      <c r="E290" s="28"/>
      <c r="F290" s="28"/>
      <c r="G290" s="89"/>
      <c r="H290" s="89"/>
      <c r="I290" s="90"/>
      <c r="J290" s="89"/>
      <c r="K290" s="28"/>
      <c r="L290" s="28"/>
      <c r="M290" s="28"/>
      <c r="N290" s="28"/>
      <c r="O290" s="28"/>
      <c r="P290" s="28"/>
      <c r="Q290" s="28"/>
      <c r="R290" s="28"/>
      <c r="S290" s="28"/>
      <c r="T290" s="28"/>
      <c r="U290" s="3"/>
    </row>
    <row r="291" spans="1:21" ht="15.75" customHeight="1" x14ac:dyDescent="0.3">
      <c r="A291" s="3"/>
      <c r="B291" s="3"/>
      <c r="C291" s="28"/>
      <c r="D291" s="28"/>
      <c r="E291" s="28"/>
      <c r="F291" s="28"/>
      <c r="G291" s="89"/>
      <c r="H291" s="89"/>
      <c r="I291" s="90"/>
      <c r="J291" s="89"/>
      <c r="K291" s="28"/>
      <c r="L291" s="28"/>
      <c r="M291" s="28"/>
      <c r="N291" s="28"/>
      <c r="O291" s="28"/>
      <c r="P291" s="28"/>
      <c r="Q291" s="28"/>
      <c r="R291" s="28"/>
      <c r="S291" s="28"/>
      <c r="T291" s="28"/>
      <c r="U291" s="3"/>
    </row>
    <row r="292" spans="1:21" ht="15.75" customHeight="1" x14ac:dyDescent="0.3">
      <c r="A292" s="3"/>
      <c r="B292" s="3"/>
      <c r="C292" s="28"/>
      <c r="D292" s="28"/>
      <c r="E292" s="28"/>
      <c r="F292" s="28"/>
      <c r="G292" s="89"/>
      <c r="H292" s="89"/>
      <c r="I292" s="90"/>
      <c r="J292" s="89"/>
      <c r="K292" s="28"/>
      <c r="L292" s="28"/>
      <c r="M292" s="28"/>
      <c r="N292" s="28"/>
      <c r="O292" s="28"/>
      <c r="P292" s="28"/>
      <c r="Q292" s="28"/>
      <c r="R292" s="28"/>
      <c r="S292" s="28"/>
      <c r="T292" s="28"/>
      <c r="U292" s="3"/>
    </row>
    <row r="293" spans="1:21" ht="15.75" customHeight="1" x14ac:dyDescent="0.3">
      <c r="A293" s="3"/>
      <c r="B293" s="3"/>
      <c r="C293" s="28"/>
      <c r="D293" s="28"/>
      <c r="E293" s="28"/>
      <c r="F293" s="28"/>
      <c r="G293" s="89"/>
      <c r="H293" s="89"/>
      <c r="I293" s="90"/>
      <c r="J293" s="89"/>
      <c r="K293" s="28"/>
      <c r="L293" s="28"/>
      <c r="M293" s="28"/>
      <c r="N293" s="28"/>
      <c r="O293" s="28"/>
      <c r="P293" s="28"/>
      <c r="Q293" s="28"/>
      <c r="R293" s="28"/>
      <c r="S293" s="28"/>
      <c r="T293" s="28"/>
      <c r="U293" s="3"/>
    </row>
    <row r="294" spans="1:21" ht="15.75" customHeight="1" x14ac:dyDescent="0.3">
      <c r="A294" s="3"/>
      <c r="B294" s="3"/>
      <c r="C294" s="28"/>
      <c r="D294" s="28"/>
      <c r="E294" s="28"/>
      <c r="F294" s="28"/>
      <c r="G294" s="89"/>
      <c r="H294" s="89"/>
      <c r="I294" s="90"/>
      <c r="J294" s="89"/>
      <c r="K294" s="28"/>
      <c r="L294" s="28"/>
      <c r="M294" s="28"/>
      <c r="N294" s="28"/>
      <c r="O294" s="28"/>
      <c r="P294" s="28"/>
      <c r="Q294" s="28"/>
      <c r="R294" s="28"/>
      <c r="S294" s="28"/>
      <c r="T294" s="28"/>
      <c r="U294" s="3"/>
    </row>
    <row r="295" spans="1:21" ht="15.75" customHeight="1" x14ac:dyDescent="0.3">
      <c r="A295" s="3"/>
      <c r="B295" s="3"/>
      <c r="C295" s="28"/>
      <c r="D295" s="28"/>
      <c r="E295" s="28"/>
      <c r="F295" s="28"/>
      <c r="G295" s="89"/>
      <c r="H295" s="89"/>
      <c r="I295" s="90"/>
      <c r="J295" s="89"/>
      <c r="K295" s="28"/>
      <c r="L295" s="28"/>
      <c r="M295" s="28"/>
      <c r="N295" s="28"/>
      <c r="O295" s="28"/>
      <c r="P295" s="28"/>
      <c r="Q295" s="28"/>
      <c r="R295" s="28"/>
      <c r="S295" s="28"/>
      <c r="T295" s="28"/>
      <c r="U295" s="3"/>
    </row>
    <row r="296" spans="1:21" ht="15.75" customHeight="1" x14ac:dyDescent="0.3">
      <c r="A296" s="3"/>
      <c r="B296" s="3"/>
      <c r="C296" s="28"/>
      <c r="D296" s="28"/>
      <c r="E296" s="28"/>
      <c r="F296" s="28"/>
      <c r="G296" s="89"/>
      <c r="H296" s="89"/>
      <c r="I296" s="90"/>
      <c r="J296" s="89"/>
      <c r="K296" s="28"/>
      <c r="L296" s="28"/>
      <c r="M296" s="28"/>
      <c r="N296" s="28"/>
      <c r="O296" s="28"/>
      <c r="P296" s="28"/>
      <c r="Q296" s="28"/>
      <c r="R296" s="28"/>
      <c r="S296" s="28"/>
      <c r="T296" s="28"/>
      <c r="U296" s="3"/>
    </row>
    <row r="297" spans="1:21" ht="15.75" customHeight="1" x14ac:dyDescent="0.3">
      <c r="A297" s="3"/>
      <c r="B297" s="3"/>
      <c r="C297" s="28"/>
      <c r="D297" s="28"/>
      <c r="E297" s="28"/>
      <c r="F297" s="28"/>
      <c r="G297" s="89"/>
      <c r="H297" s="89"/>
      <c r="I297" s="90"/>
      <c r="J297" s="89"/>
      <c r="K297" s="28"/>
      <c r="L297" s="28"/>
      <c r="M297" s="28"/>
      <c r="N297" s="28"/>
      <c r="O297" s="28"/>
      <c r="P297" s="28"/>
      <c r="Q297" s="28"/>
      <c r="R297" s="28"/>
      <c r="S297" s="28"/>
      <c r="T297" s="28"/>
      <c r="U297" s="3"/>
    </row>
    <row r="298" spans="1:21" ht="15.75" customHeight="1" x14ac:dyDescent="0.3">
      <c r="A298" s="3"/>
      <c r="B298" s="3"/>
      <c r="C298" s="28"/>
      <c r="D298" s="28"/>
      <c r="E298" s="28"/>
      <c r="F298" s="28"/>
      <c r="G298" s="89"/>
      <c r="H298" s="89"/>
      <c r="I298" s="90"/>
      <c r="J298" s="89"/>
      <c r="K298" s="28"/>
      <c r="L298" s="28"/>
      <c r="M298" s="28"/>
      <c r="N298" s="28"/>
      <c r="O298" s="28"/>
      <c r="P298" s="28"/>
      <c r="Q298" s="28"/>
      <c r="R298" s="28"/>
      <c r="S298" s="28"/>
      <c r="T298" s="28"/>
      <c r="U298" s="3"/>
    </row>
    <row r="299" spans="1:21" ht="15.75" customHeight="1" x14ac:dyDescent="0.3">
      <c r="A299" s="3"/>
      <c r="B299" s="3"/>
      <c r="C299" s="28"/>
      <c r="D299" s="28"/>
      <c r="E299" s="28"/>
      <c r="F299" s="28"/>
      <c r="G299" s="89"/>
      <c r="H299" s="89"/>
      <c r="I299" s="90"/>
      <c r="J299" s="89"/>
      <c r="K299" s="28"/>
      <c r="L299" s="28"/>
      <c r="M299" s="28"/>
      <c r="N299" s="28"/>
      <c r="O299" s="28"/>
      <c r="P299" s="28"/>
      <c r="Q299" s="28"/>
      <c r="R299" s="28"/>
      <c r="S299" s="28"/>
      <c r="T299" s="28"/>
      <c r="U299" s="3"/>
    </row>
    <row r="300" spans="1:21" ht="15.75" customHeight="1" x14ac:dyDescent="0.3">
      <c r="A300" s="3"/>
      <c r="B300" s="3"/>
      <c r="C300" s="28"/>
      <c r="D300" s="28"/>
      <c r="E300" s="28"/>
      <c r="F300" s="28"/>
      <c r="G300" s="89"/>
      <c r="H300" s="89"/>
      <c r="I300" s="90"/>
      <c r="J300" s="89"/>
      <c r="K300" s="28"/>
      <c r="L300" s="28"/>
      <c r="M300" s="28"/>
      <c r="N300" s="28"/>
      <c r="O300" s="28"/>
      <c r="P300" s="28"/>
      <c r="Q300" s="28"/>
      <c r="R300" s="28"/>
      <c r="S300" s="28"/>
      <c r="T300" s="28"/>
      <c r="U300" s="3"/>
    </row>
    <row r="301" spans="1:21" ht="15.75" customHeight="1" x14ac:dyDescent="0.3">
      <c r="A301" s="3"/>
      <c r="B301" s="3"/>
      <c r="C301" s="28"/>
      <c r="D301" s="28"/>
      <c r="E301" s="28"/>
      <c r="F301" s="28"/>
      <c r="G301" s="89"/>
      <c r="H301" s="89"/>
      <c r="I301" s="90"/>
      <c r="J301" s="89"/>
      <c r="K301" s="28"/>
      <c r="L301" s="28"/>
      <c r="M301" s="28"/>
      <c r="N301" s="28"/>
      <c r="O301" s="28"/>
      <c r="P301" s="28"/>
      <c r="Q301" s="28"/>
      <c r="R301" s="28"/>
      <c r="S301" s="28"/>
      <c r="T301" s="28"/>
      <c r="U301" s="3"/>
    </row>
    <row r="302" spans="1:21" ht="15.75" customHeight="1" x14ac:dyDescent="0.3">
      <c r="A302" s="3"/>
      <c r="B302" s="3"/>
      <c r="C302" s="28"/>
      <c r="D302" s="28"/>
      <c r="E302" s="28"/>
      <c r="F302" s="28"/>
      <c r="G302" s="89"/>
      <c r="H302" s="89"/>
      <c r="I302" s="90"/>
      <c r="J302" s="89"/>
      <c r="K302" s="28"/>
      <c r="L302" s="28"/>
      <c r="M302" s="28"/>
      <c r="N302" s="28"/>
      <c r="O302" s="28"/>
      <c r="P302" s="28"/>
      <c r="Q302" s="28"/>
      <c r="R302" s="28"/>
      <c r="S302" s="28"/>
      <c r="T302" s="28"/>
      <c r="U302" s="3"/>
    </row>
    <row r="303" spans="1:21" ht="15.75" customHeight="1" x14ac:dyDescent="0.3">
      <c r="A303" s="3"/>
      <c r="B303" s="3"/>
      <c r="C303" s="28"/>
      <c r="D303" s="28"/>
      <c r="E303" s="28"/>
      <c r="F303" s="28"/>
      <c r="G303" s="89"/>
      <c r="H303" s="89"/>
      <c r="I303" s="90"/>
      <c r="J303" s="89"/>
      <c r="K303" s="28"/>
      <c r="L303" s="28"/>
      <c r="M303" s="28"/>
      <c r="N303" s="28"/>
      <c r="O303" s="28"/>
      <c r="P303" s="28"/>
      <c r="Q303" s="28"/>
      <c r="R303" s="28"/>
      <c r="S303" s="28"/>
      <c r="T303" s="28"/>
      <c r="U303" s="3"/>
    </row>
    <row r="304" spans="1:21" ht="15.75" customHeight="1" x14ac:dyDescent="0.3">
      <c r="A304" s="3"/>
      <c r="B304" s="3"/>
      <c r="C304" s="28"/>
      <c r="D304" s="28"/>
      <c r="E304" s="28"/>
      <c r="F304" s="28"/>
      <c r="G304" s="89"/>
      <c r="H304" s="89"/>
      <c r="I304" s="90"/>
      <c r="J304" s="89"/>
      <c r="K304" s="28"/>
      <c r="L304" s="28"/>
      <c r="M304" s="28"/>
      <c r="N304" s="28"/>
      <c r="O304" s="28"/>
      <c r="P304" s="28"/>
      <c r="Q304" s="28"/>
      <c r="R304" s="28"/>
      <c r="S304" s="28"/>
      <c r="T304" s="28"/>
      <c r="U304" s="3"/>
    </row>
    <row r="305" spans="1:21" ht="15.75" customHeight="1" x14ac:dyDescent="0.3">
      <c r="A305" s="3"/>
      <c r="B305" s="3"/>
      <c r="C305" s="28"/>
      <c r="D305" s="28"/>
      <c r="E305" s="28"/>
      <c r="F305" s="28"/>
      <c r="G305" s="89"/>
      <c r="H305" s="89"/>
      <c r="I305" s="90"/>
      <c r="J305" s="89"/>
      <c r="K305" s="28"/>
      <c r="L305" s="28"/>
      <c r="M305" s="28"/>
      <c r="N305" s="28"/>
      <c r="O305" s="28"/>
      <c r="P305" s="28"/>
      <c r="Q305" s="28"/>
      <c r="R305" s="28"/>
      <c r="S305" s="28"/>
      <c r="T305" s="28"/>
      <c r="U305" s="3"/>
    </row>
    <row r="306" spans="1:21" ht="15.75" customHeight="1" x14ac:dyDescent="0.3">
      <c r="A306" s="3"/>
      <c r="B306" s="3"/>
      <c r="C306" s="28"/>
      <c r="D306" s="28"/>
      <c r="E306" s="28"/>
      <c r="F306" s="28"/>
      <c r="G306" s="89"/>
      <c r="H306" s="89"/>
      <c r="I306" s="90"/>
      <c r="J306" s="89"/>
      <c r="K306" s="28"/>
      <c r="L306" s="28"/>
      <c r="M306" s="28"/>
      <c r="N306" s="28"/>
      <c r="O306" s="28"/>
      <c r="P306" s="28"/>
      <c r="Q306" s="28"/>
      <c r="R306" s="28"/>
      <c r="S306" s="28"/>
      <c r="T306" s="28"/>
      <c r="U306" s="3"/>
    </row>
    <row r="307" spans="1:21" ht="15.75" customHeight="1" x14ac:dyDescent="0.3">
      <c r="A307" s="3"/>
      <c r="B307" s="3"/>
      <c r="C307" s="28"/>
      <c r="D307" s="28"/>
      <c r="E307" s="28"/>
      <c r="F307" s="28"/>
      <c r="G307" s="89"/>
      <c r="H307" s="89"/>
      <c r="I307" s="90"/>
      <c r="J307" s="89"/>
      <c r="K307" s="28"/>
      <c r="L307" s="28"/>
      <c r="M307" s="28"/>
      <c r="N307" s="28"/>
      <c r="O307" s="28"/>
      <c r="P307" s="28"/>
      <c r="Q307" s="28"/>
      <c r="R307" s="28"/>
      <c r="S307" s="28"/>
      <c r="T307" s="28"/>
      <c r="U307" s="3"/>
    </row>
    <row r="308" spans="1:21" ht="15.75" customHeight="1" x14ac:dyDescent="0.3">
      <c r="A308" s="3"/>
      <c r="B308" s="3"/>
      <c r="C308" s="28"/>
      <c r="D308" s="28"/>
      <c r="E308" s="28"/>
      <c r="F308" s="28"/>
      <c r="G308" s="89"/>
      <c r="H308" s="89"/>
      <c r="I308" s="90"/>
      <c r="J308" s="89"/>
      <c r="K308" s="28"/>
      <c r="L308" s="28"/>
      <c r="M308" s="28"/>
      <c r="N308" s="28"/>
      <c r="O308" s="28"/>
      <c r="P308" s="28"/>
      <c r="Q308" s="28"/>
      <c r="R308" s="28"/>
      <c r="S308" s="28"/>
      <c r="T308" s="28"/>
      <c r="U308" s="3"/>
    </row>
    <row r="309" spans="1:21" ht="15.75" customHeight="1" x14ac:dyDescent="0.3">
      <c r="A309" s="3"/>
      <c r="B309" s="3"/>
      <c r="C309" s="28"/>
      <c r="D309" s="28"/>
      <c r="E309" s="28"/>
      <c r="F309" s="28"/>
      <c r="G309" s="89"/>
      <c r="H309" s="89"/>
      <c r="I309" s="90"/>
      <c r="J309" s="89"/>
      <c r="K309" s="28"/>
      <c r="L309" s="28"/>
      <c r="M309" s="28"/>
      <c r="N309" s="28"/>
      <c r="O309" s="28"/>
      <c r="P309" s="28"/>
      <c r="Q309" s="28"/>
      <c r="R309" s="28"/>
      <c r="S309" s="28"/>
      <c r="T309" s="28"/>
      <c r="U309" s="3"/>
    </row>
    <row r="310" spans="1:21" ht="15.75" customHeight="1" x14ac:dyDescent="0.3">
      <c r="A310" s="3"/>
      <c r="B310" s="3"/>
      <c r="C310" s="28"/>
      <c r="D310" s="28"/>
      <c r="E310" s="28"/>
      <c r="F310" s="28"/>
      <c r="G310" s="89"/>
      <c r="H310" s="89"/>
      <c r="I310" s="90"/>
      <c r="J310" s="89"/>
      <c r="K310" s="28"/>
      <c r="L310" s="28"/>
      <c r="M310" s="28"/>
      <c r="N310" s="28"/>
      <c r="O310" s="28"/>
      <c r="P310" s="28"/>
      <c r="Q310" s="28"/>
      <c r="R310" s="28"/>
      <c r="S310" s="28"/>
      <c r="T310" s="28"/>
      <c r="U310" s="3"/>
    </row>
    <row r="311" spans="1:21" ht="15.75" customHeight="1" x14ac:dyDescent="0.3">
      <c r="A311" s="3"/>
      <c r="B311" s="3"/>
      <c r="C311" s="28"/>
      <c r="D311" s="28"/>
      <c r="E311" s="28"/>
      <c r="F311" s="28"/>
      <c r="G311" s="89"/>
      <c r="H311" s="89"/>
      <c r="I311" s="90"/>
      <c r="J311" s="89"/>
      <c r="K311" s="28"/>
      <c r="L311" s="28"/>
      <c r="M311" s="28"/>
      <c r="N311" s="28"/>
      <c r="O311" s="28"/>
      <c r="P311" s="28"/>
      <c r="Q311" s="28"/>
      <c r="R311" s="28"/>
      <c r="S311" s="28"/>
      <c r="T311" s="28"/>
      <c r="U311" s="3"/>
    </row>
    <row r="312" spans="1:21" ht="15.75" customHeight="1" x14ac:dyDescent="0.3">
      <c r="A312" s="3"/>
      <c r="B312" s="3"/>
      <c r="C312" s="28"/>
      <c r="D312" s="28"/>
      <c r="E312" s="28"/>
      <c r="F312" s="28"/>
      <c r="G312" s="89"/>
      <c r="H312" s="89"/>
      <c r="I312" s="90"/>
      <c r="J312" s="89"/>
      <c r="K312" s="28"/>
      <c r="L312" s="28"/>
      <c r="M312" s="28"/>
      <c r="N312" s="28"/>
      <c r="O312" s="28"/>
      <c r="P312" s="28"/>
      <c r="Q312" s="28"/>
      <c r="R312" s="28"/>
      <c r="S312" s="28"/>
      <c r="T312" s="28"/>
      <c r="U312" s="3"/>
    </row>
    <row r="313" spans="1:21" ht="15.75" customHeight="1" x14ac:dyDescent="0.3">
      <c r="A313" s="3"/>
      <c r="B313" s="3"/>
      <c r="C313" s="28"/>
      <c r="D313" s="28"/>
      <c r="E313" s="28"/>
      <c r="F313" s="28"/>
      <c r="G313" s="89"/>
      <c r="H313" s="89"/>
      <c r="I313" s="90"/>
      <c r="J313" s="89"/>
      <c r="K313" s="28"/>
      <c r="L313" s="28"/>
      <c r="M313" s="28"/>
      <c r="N313" s="28"/>
      <c r="O313" s="28"/>
      <c r="P313" s="28"/>
      <c r="Q313" s="28"/>
      <c r="R313" s="28"/>
      <c r="S313" s="28"/>
      <c r="T313" s="28"/>
      <c r="U313" s="3"/>
    </row>
    <row r="314" spans="1:21" ht="15.75" customHeight="1" x14ac:dyDescent="0.3">
      <c r="A314" s="3"/>
      <c r="B314" s="3"/>
      <c r="C314" s="28"/>
      <c r="D314" s="28"/>
      <c r="E314" s="28"/>
      <c r="F314" s="28"/>
      <c r="G314" s="89"/>
      <c r="H314" s="89"/>
      <c r="I314" s="90"/>
      <c r="J314" s="89"/>
      <c r="K314" s="28"/>
      <c r="L314" s="28"/>
      <c r="M314" s="28"/>
      <c r="N314" s="28"/>
      <c r="O314" s="28"/>
      <c r="P314" s="28"/>
      <c r="Q314" s="28"/>
      <c r="R314" s="28"/>
      <c r="S314" s="28"/>
      <c r="T314" s="28"/>
      <c r="U314" s="3"/>
    </row>
    <row r="315" spans="1:21" ht="15.75" customHeight="1" x14ac:dyDescent="0.3">
      <c r="A315" s="3"/>
      <c r="B315" s="3"/>
      <c r="C315" s="28"/>
      <c r="D315" s="28"/>
      <c r="E315" s="28"/>
      <c r="F315" s="28"/>
      <c r="G315" s="89"/>
      <c r="H315" s="89"/>
      <c r="I315" s="90"/>
      <c r="J315" s="89"/>
      <c r="K315" s="28"/>
      <c r="L315" s="28"/>
      <c r="M315" s="28"/>
      <c r="N315" s="28"/>
      <c r="O315" s="28"/>
      <c r="P315" s="28"/>
      <c r="Q315" s="28"/>
      <c r="R315" s="28"/>
      <c r="S315" s="28"/>
      <c r="T315" s="28"/>
      <c r="U315" s="3"/>
    </row>
    <row r="316" spans="1:21" ht="15.75" customHeight="1" x14ac:dyDescent="0.3">
      <c r="A316" s="3"/>
      <c r="B316" s="3"/>
      <c r="C316" s="28"/>
      <c r="D316" s="28"/>
      <c r="E316" s="28"/>
      <c r="F316" s="28"/>
      <c r="G316" s="89"/>
      <c r="H316" s="89"/>
      <c r="I316" s="90"/>
      <c r="J316" s="89"/>
      <c r="K316" s="28"/>
      <c r="L316" s="28"/>
      <c r="M316" s="28"/>
      <c r="N316" s="28"/>
      <c r="O316" s="28"/>
      <c r="P316" s="28"/>
      <c r="Q316" s="28"/>
      <c r="R316" s="28"/>
      <c r="S316" s="28"/>
      <c r="T316" s="28"/>
      <c r="U316" s="3"/>
    </row>
    <row r="317" spans="1:21" ht="15.75" customHeight="1" x14ac:dyDescent="0.3">
      <c r="A317" s="3"/>
      <c r="B317" s="3"/>
      <c r="C317" s="28"/>
      <c r="D317" s="28"/>
      <c r="E317" s="28"/>
      <c r="F317" s="28"/>
      <c r="G317" s="89"/>
      <c r="H317" s="89"/>
      <c r="I317" s="90"/>
      <c r="J317" s="89"/>
      <c r="K317" s="28"/>
      <c r="L317" s="28"/>
      <c r="M317" s="28"/>
      <c r="N317" s="28"/>
      <c r="O317" s="28"/>
      <c r="P317" s="28"/>
      <c r="Q317" s="28"/>
      <c r="R317" s="28"/>
      <c r="S317" s="28"/>
      <c r="T317" s="28"/>
      <c r="U317" s="3"/>
    </row>
    <row r="318" spans="1:21" ht="15.75" customHeight="1" x14ac:dyDescent="0.3">
      <c r="A318" s="3"/>
      <c r="B318" s="3"/>
      <c r="C318" s="28"/>
      <c r="D318" s="28"/>
      <c r="E318" s="28"/>
      <c r="F318" s="28"/>
      <c r="G318" s="89"/>
      <c r="H318" s="89"/>
      <c r="I318" s="90"/>
      <c r="J318" s="89"/>
      <c r="K318" s="28"/>
      <c r="L318" s="28"/>
      <c r="M318" s="28"/>
      <c r="N318" s="28"/>
      <c r="O318" s="28"/>
      <c r="P318" s="28"/>
      <c r="Q318" s="28"/>
      <c r="R318" s="28"/>
      <c r="S318" s="28"/>
      <c r="T318" s="28"/>
      <c r="U318" s="3"/>
    </row>
    <row r="319" spans="1:21" ht="15.75" customHeight="1" x14ac:dyDescent="0.3">
      <c r="A319" s="3"/>
      <c r="B319" s="3"/>
      <c r="C319" s="28"/>
      <c r="D319" s="28"/>
      <c r="E319" s="28"/>
      <c r="F319" s="28"/>
      <c r="G319" s="89"/>
      <c r="H319" s="89"/>
      <c r="I319" s="90"/>
      <c r="J319" s="89"/>
      <c r="K319" s="28"/>
      <c r="L319" s="28"/>
      <c r="M319" s="28"/>
      <c r="N319" s="28"/>
      <c r="O319" s="28"/>
      <c r="P319" s="28"/>
      <c r="Q319" s="28"/>
      <c r="R319" s="28"/>
      <c r="S319" s="28"/>
      <c r="T319" s="28"/>
      <c r="U319" s="3"/>
    </row>
    <row r="320" spans="1:21" ht="15.75" customHeight="1" x14ac:dyDescent="0.3">
      <c r="A320" s="3"/>
      <c r="B320" s="3"/>
      <c r="C320" s="28"/>
      <c r="D320" s="28"/>
      <c r="E320" s="28"/>
      <c r="F320" s="28"/>
      <c r="G320" s="89"/>
      <c r="H320" s="89"/>
      <c r="I320" s="90"/>
      <c r="J320" s="89"/>
      <c r="K320" s="28"/>
      <c r="L320" s="28"/>
      <c r="M320" s="28"/>
      <c r="N320" s="28"/>
      <c r="O320" s="28"/>
      <c r="P320" s="28"/>
      <c r="Q320" s="28"/>
      <c r="R320" s="28"/>
      <c r="S320" s="28"/>
      <c r="T320" s="28"/>
      <c r="U320" s="3"/>
    </row>
    <row r="321" spans="1:21" ht="15.75" customHeight="1" x14ac:dyDescent="0.3">
      <c r="A321" s="3"/>
      <c r="B321" s="3"/>
      <c r="C321" s="28"/>
      <c r="D321" s="28"/>
      <c r="E321" s="28"/>
      <c r="F321" s="28"/>
      <c r="G321" s="89"/>
      <c r="H321" s="89"/>
      <c r="I321" s="90"/>
      <c r="J321" s="89"/>
      <c r="K321" s="28"/>
      <c r="L321" s="28"/>
      <c r="M321" s="28"/>
      <c r="N321" s="28"/>
      <c r="O321" s="28"/>
      <c r="P321" s="28"/>
      <c r="Q321" s="28"/>
      <c r="R321" s="28"/>
      <c r="S321" s="28"/>
      <c r="T321" s="28"/>
      <c r="U321" s="3"/>
    </row>
    <row r="322" spans="1:21" ht="15.75" customHeight="1" x14ac:dyDescent="0.3">
      <c r="A322" s="3"/>
      <c r="B322" s="3"/>
      <c r="C322" s="28"/>
      <c r="D322" s="28"/>
      <c r="E322" s="28"/>
      <c r="F322" s="28"/>
      <c r="G322" s="89"/>
      <c r="H322" s="89"/>
      <c r="I322" s="90"/>
      <c r="J322" s="89"/>
      <c r="K322" s="28"/>
      <c r="L322" s="28"/>
      <c r="M322" s="28"/>
      <c r="N322" s="28"/>
      <c r="O322" s="28"/>
      <c r="P322" s="28"/>
      <c r="Q322" s="28"/>
      <c r="R322" s="28"/>
      <c r="S322" s="28"/>
      <c r="T322" s="28"/>
      <c r="U322" s="3"/>
    </row>
    <row r="323" spans="1:21" ht="15.75" customHeight="1" x14ac:dyDescent="0.3">
      <c r="A323" s="3"/>
      <c r="B323" s="3"/>
      <c r="C323" s="28"/>
      <c r="D323" s="28"/>
      <c r="E323" s="28"/>
      <c r="F323" s="28"/>
      <c r="G323" s="89"/>
      <c r="H323" s="89"/>
      <c r="I323" s="90"/>
      <c r="J323" s="89"/>
      <c r="K323" s="28"/>
      <c r="L323" s="28"/>
      <c r="M323" s="28"/>
      <c r="N323" s="28"/>
      <c r="O323" s="28"/>
      <c r="P323" s="28"/>
      <c r="Q323" s="28"/>
      <c r="R323" s="28"/>
      <c r="S323" s="28"/>
      <c r="T323" s="28"/>
      <c r="U323" s="3"/>
    </row>
    <row r="324" spans="1:21" ht="15.75" customHeight="1" x14ac:dyDescent="0.3">
      <c r="A324" s="3"/>
      <c r="B324" s="3"/>
      <c r="C324" s="28"/>
      <c r="D324" s="28"/>
      <c r="E324" s="28"/>
      <c r="F324" s="28"/>
      <c r="G324" s="89"/>
      <c r="H324" s="89"/>
      <c r="I324" s="90"/>
      <c r="J324" s="89"/>
      <c r="K324" s="28"/>
      <c r="L324" s="28"/>
      <c r="M324" s="28"/>
      <c r="N324" s="28"/>
      <c r="O324" s="28"/>
      <c r="P324" s="28"/>
      <c r="Q324" s="28"/>
      <c r="R324" s="28"/>
      <c r="S324" s="28"/>
      <c r="T324" s="28"/>
      <c r="U324" s="3"/>
    </row>
    <row r="325" spans="1:21" ht="15.75" customHeight="1" x14ac:dyDescent="0.3">
      <c r="A325" s="3"/>
      <c r="B325" s="3"/>
      <c r="C325" s="28"/>
      <c r="D325" s="28"/>
      <c r="E325" s="28"/>
      <c r="F325" s="28"/>
      <c r="G325" s="89"/>
      <c r="H325" s="89"/>
      <c r="I325" s="90"/>
      <c r="J325" s="89"/>
      <c r="K325" s="28"/>
      <c r="L325" s="28"/>
      <c r="M325" s="28"/>
      <c r="N325" s="28"/>
      <c r="O325" s="28"/>
      <c r="P325" s="28"/>
      <c r="Q325" s="28"/>
      <c r="R325" s="28"/>
      <c r="S325" s="28"/>
      <c r="T325" s="28"/>
      <c r="U325" s="3"/>
    </row>
    <row r="326" spans="1:21" ht="15.75" customHeight="1" x14ac:dyDescent="0.3">
      <c r="A326" s="3"/>
      <c r="B326" s="3"/>
      <c r="C326" s="28"/>
      <c r="D326" s="28"/>
      <c r="E326" s="28"/>
      <c r="F326" s="28"/>
      <c r="G326" s="89"/>
      <c r="H326" s="89"/>
      <c r="I326" s="90"/>
      <c r="J326" s="89"/>
      <c r="K326" s="28"/>
      <c r="L326" s="28"/>
      <c r="M326" s="28"/>
      <c r="N326" s="28"/>
      <c r="O326" s="28"/>
      <c r="P326" s="28"/>
      <c r="Q326" s="28"/>
      <c r="R326" s="28"/>
      <c r="S326" s="28"/>
      <c r="T326" s="28"/>
      <c r="U326" s="3"/>
    </row>
    <row r="327" spans="1:21" ht="15.75" customHeight="1" x14ac:dyDescent="0.3">
      <c r="A327" s="3"/>
      <c r="B327" s="3"/>
      <c r="C327" s="28"/>
      <c r="D327" s="28"/>
      <c r="E327" s="28"/>
      <c r="F327" s="28"/>
      <c r="G327" s="89"/>
      <c r="H327" s="89"/>
      <c r="I327" s="90"/>
      <c r="J327" s="89"/>
      <c r="K327" s="28"/>
      <c r="L327" s="28"/>
      <c r="M327" s="28"/>
      <c r="N327" s="28"/>
      <c r="O327" s="28"/>
      <c r="P327" s="28"/>
      <c r="Q327" s="28"/>
      <c r="R327" s="28"/>
      <c r="S327" s="28"/>
      <c r="T327" s="28"/>
      <c r="U327" s="3"/>
    </row>
    <row r="328" spans="1:21" ht="15.75" customHeight="1" x14ac:dyDescent="0.3">
      <c r="A328" s="3"/>
      <c r="B328" s="3"/>
      <c r="C328" s="28"/>
      <c r="D328" s="28"/>
      <c r="E328" s="28"/>
      <c r="F328" s="28"/>
      <c r="G328" s="89"/>
      <c r="H328" s="89"/>
      <c r="I328" s="90"/>
      <c r="J328" s="89"/>
      <c r="K328" s="28"/>
      <c r="L328" s="28"/>
      <c r="M328" s="28"/>
      <c r="N328" s="28"/>
      <c r="O328" s="28"/>
      <c r="P328" s="28"/>
      <c r="Q328" s="28"/>
      <c r="R328" s="28"/>
      <c r="S328" s="28"/>
      <c r="T328" s="28"/>
      <c r="U328" s="3"/>
    </row>
    <row r="329" spans="1:21" ht="15.75" customHeight="1" x14ac:dyDescent="0.3">
      <c r="A329" s="3"/>
      <c r="B329" s="3"/>
      <c r="C329" s="28"/>
      <c r="D329" s="28"/>
      <c r="E329" s="28"/>
      <c r="F329" s="28"/>
      <c r="G329" s="89"/>
      <c r="H329" s="89"/>
      <c r="I329" s="90"/>
      <c r="J329" s="89"/>
      <c r="K329" s="28"/>
      <c r="L329" s="28"/>
      <c r="M329" s="28"/>
      <c r="N329" s="28"/>
      <c r="O329" s="28"/>
      <c r="P329" s="28"/>
      <c r="Q329" s="28"/>
      <c r="R329" s="28"/>
      <c r="S329" s="28"/>
      <c r="T329" s="28"/>
      <c r="U329" s="3"/>
    </row>
    <row r="330" spans="1:21" ht="15.75" customHeight="1" x14ac:dyDescent="0.3">
      <c r="A330" s="3"/>
      <c r="B330" s="3"/>
      <c r="C330" s="28"/>
      <c r="D330" s="28"/>
      <c r="E330" s="28"/>
      <c r="F330" s="28"/>
      <c r="G330" s="89"/>
      <c r="H330" s="89"/>
      <c r="I330" s="90"/>
      <c r="J330" s="89"/>
      <c r="K330" s="28"/>
      <c r="L330" s="28"/>
      <c r="M330" s="28"/>
      <c r="N330" s="28"/>
      <c r="O330" s="28"/>
      <c r="P330" s="28"/>
      <c r="Q330" s="28"/>
      <c r="R330" s="28"/>
      <c r="S330" s="28"/>
      <c r="T330" s="28"/>
      <c r="U330" s="3"/>
    </row>
    <row r="331" spans="1:21" ht="15.75" customHeight="1" x14ac:dyDescent="0.3">
      <c r="A331" s="3"/>
      <c r="B331" s="3"/>
      <c r="C331" s="28"/>
      <c r="D331" s="28"/>
      <c r="E331" s="28"/>
      <c r="F331" s="28"/>
      <c r="G331" s="89"/>
      <c r="H331" s="89"/>
      <c r="I331" s="90"/>
      <c r="J331" s="89"/>
      <c r="K331" s="28"/>
      <c r="L331" s="28"/>
      <c r="M331" s="28"/>
      <c r="N331" s="28"/>
      <c r="O331" s="28"/>
      <c r="P331" s="28"/>
      <c r="Q331" s="28"/>
      <c r="R331" s="28"/>
      <c r="S331" s="28"/>
      <c r="T331" s="28"/>
      <c r="U331" s="3"/>
    </row>
    <row r="332" spans="1:21" ht="15.75" customHeight="1" x14ac:dyDescent="0.3">
      <c r="A332" s="3"/>
      <c r="B332" s="3"/>
      <c r="C332" s="28"/>
      <c r="D332" s="28"/>
      <c r="E332" s="28"/>
      <c r="F332" s="28"/>
      <c r="G332" s="89"/>
      <c r="H332" s="89"/>
      <c r="I332" s="90"/>
      <c r="J332" s="89"/>
      <c r="K332" s="28"/>
      <c r="L332" s="28"/>
      <c r="M332" s="28"/>
      <c r="N332" s="28"/>
      <c r="O332" s="28"/>
      <c r="P332" s="28"/>
      <c r="Q332" s="28"/>
      <c r="R332" s="28"/>
      <c r="S332" s="28"/>
      <c r="T332" s="28"/>
      <c r="U332" s="3"/>
    </row>
    <row r="333" spans="1:21" ht="15.75" customHeight="1" x14ac:dyDescent="0.3">
      <c r="A333" s="3"/>
      <c r="B333" s="3"/>
      <c r="C333" s="28"/>
      <c r="D333" s="28"/>
      <c r="E333" s="28"/>
      <c r="F333" s="28"/>
      <c r="G333" s="89"/>
      <c r="H333" s="89"/>
      <c r="I333" s="90"/>
      <c r="J333" s="89"/>
      <c r="K333" s="28"/>
      <c r="L333" s="28"/>
      <c r="M333" s="28"/>
      <c r="N333" s="28"/>
      <c r="O333" s="28"/>
      <c r="P333" s="28"/>
      <c r="Q333" s="28"/>
      <c r="R333" s="28"/>
      <c r="S333" s="28"/>
      <c r="T333" s="28"/>
      <c r="U333" s="3"/>
    </row>
    <row r="334" spans="1:21" ht="15.75" customHeight="1" x14ac:dyDescent="0.3">
      <c r="A334" s="3"/>
      <c r="B334" s="3"/>
      <c r="C334" s="28"/>
      <c r="D334" s="28"/>
      <c r="E334" s="28"/>
      <c r="F334" s="28"/>
      <c r="G334" s="89"/>
      <c r="H334" s="89"/>
      <c r="I334" s="90"/>
      <c r="J334" s="89"/>
      <c r="K334" s="28"/>
      <c r="L334" s="28"/>
      <c r="M334" s="28"/>
      <c r="N334" s="28"/>
      <c r="O334" s="28"/>
      <c r="P334" s="28"/>
      <c r="Q334" s="28"/>
      <c r="R334" s="28"/>
      <c r="S334" s="28"/>
      <c r="T334" s="28"/>
      <c r="U334" s="3"/>
    </row>
    <row r="335" spans="1:21" ht="15.75" customHeight="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1"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row r="445" spans="1:21" ht="15.75" customHeight="1" x14ac:dyDescent="0.3"/>
    <row r="446" spans="1:21" ht="15.75" customHeight="1" x14ac:dyDescent="0.3"/>
    <row r="447" spans="1:21" ht="15.75" customHeight="1" x14ac:dyDescent="0.3"/>
    <row r="448" spans="1:21"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243" xr:uid="{00000000-0009-0000-0000-000006000000}"/>
  <mergeCells count="6">
    <mergeCell ref="J4:J5"/>
    <mergeCell ref="B2:B3"/>
    <mergeCell ref="C2:F3"/>
    <mergeCell ref="B4:B5"/>
    <mergeCell ref="H4:H5"/>
    <mergeCell ref="I4:I5"/>
  </mergeCells>
  <dataValidations count="1">
    <dataValidation type="list" allowBlank="1" showErrorMessage="1" sqref="D7:D23 D25:D36 D38:D94 D96:D104 D107:D111 D113:D117 D119:D123 D125:D129 D131:D135 D137:D191 D194:D202 D204:D212 D214:D222 D224:D232 D234:D243" xr:uid="{00000000-0002-0000-0600-000000000000}">
      <formula1>"OK,Parcial,Pendente"</formula1>
    </dataValidation>
  </dataValidations>
  <hyperlinks>
    <hyperlink ref="I8" r:id="rId1" xr:uid="{00000000-0004-0000-0600-000000000000}"/>
    <hyperlink ref="I10" r:id="rId2" xr:uid="{00000000-0004-0000-0600-000001000000}"/>
    <hyperlink ref="I11" r:id="rId3" xr:uid="{00000000-0004-0000-0600-000002000000}"/>
    <hyperlink ref="I13" r:id="rId4" xr:uid="{00000000-0004-0000-0600-000003000000}"/>
    <hyperlink ref="I14" r:id="rId5" xr:uid="{00000000-0004-0000-0600-000004000000}"/>
    <hyperlink ref="I15" r:id="rId6" xr:uid="{00000000-0004-0000-0600-000005000000}"/>
    <hyperlink ref="I16" r:id="rId7" xr:uid="{00000000-0004-0000-0600-000006000000}"/>
    <hyperlink ref="I21" r:id="rId8" xr:uid="{00000000-0004-0000-0600-000007000000}"/>
    <hyperlink ref="I22" r:id="rId9" xr:uid="{00000000-0004-0000-0600-000008000000}"/>
    <hyperlink ref="I25" r:id="rId10" xr:uid="{00000000-0004-0000-0600-000009000000}"/>
    <hyperlink ref="I26" r:id="rId11" xr:uid="{00000000-0004-0000-0600-00000A000000}"/>
    <hyperlink ref="I27" r:id="rId12" xr:uid="{00000000-0004-0000-0600-00000B000000}"/>
    <hyperlink ref="I28" r:id="rId13" xr:uid="{00000000-0004-0000-0600-00000C000000}"/>
    <hyperlink ref="I31" r:id="rId14" xr:uid="{00000000-0004-0000-0600-00000D000000}"/>
    <hyperlink ref="I32" r:id="rId15" xr:uid="{00000000-0004-0000-0600-00000E000000}"/>
    <hyperlink ref="I33" r:id="rId16" xr:uid="{00000000-0004-0000-0600-00000F000000}"/>
    <hyperlink ref="I34" r:id="rId17" xr:uid="{00000000-0004-0000-0600-000010000000}"/>
    <hyperlink ref="I39" r:id="rId18" xr:uid="{00000000-0004-0000-0600-000011000000}"/>
    <hyperlink ref="I42" r:id="rId19" xr:uid="{00000000-0004-0000-0600-000012000000}"/>
    <hyperlink ref="I67" r:id="rId20" xr:uid="{00000000-0004-0000-0600-000013000000}"/>
    <hyperlink ref="I76" r:id="rId21" xr:uid="{00000000-0004-0000-0600-000014000000}"/>
    <hyperlink ref="I138" r:id="rId22" xr:uid="{00000000-0004-0000-0600-000015000000}"/>
    <hyperlink ref="I139" r:id="rId23" xr:uid="{00000000-0004-0000-0600-000016000000}"/>
    <hyperlink ref="I143" r:id="rId24" xr:uid="{00000000-0004-0000-0600-000017000000}"/>
    <hyperlink ref="I144" r:id="rId25" xr:uid="{00000000-0004-0000-0600-000018000000}"/>
    <hyperlink ref="I145" r:id="rId26" xr:uid="{00000000-0004-0000-0600-000019000000}"/>
    <hyperlink ref="I173" r:id="rId27" xr:uid="{00000000-0004-0000-0600-00001A000000}"/>
    <hyperlink ref="I183" r:id="rId28" xr:uid="{00000000-0004-0000-0600-00001B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Caixa!$B$5:$B$7</xm:f>
          </x14:formula1>
          <xm:sqref>H7:H243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customWidth="1"/>
    <col min="10" max="21" width="14.109375" customWidth="1"/>
    <col min="22" max="22" width="34" customWidth="1"/>
    <col min="23" max="23" width="9" customWidth="1"/>
    <col min="24" max="24" width="12.6640625" customWidth="1"/>
    <col min="25" max="26" width="8.6640625" customWidth="1"/>
  </cols>
  <sheetData>
    <row r="1" spans="1:26" ht="14.4" x14ac:dyDescent="0.3">
      <c r="A1" s="29"/>
      <c r="B1" s="29"/>
      <c r="C1" s="30"/>
      <c r="D1" s="30"/>
      <c r="E1" s="30"/>
      <c r="F1" s="30"/>
      <c r="G1" s="30"/>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3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37"/>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SUM(E6,E127,E148,E168,E172)</f>
        <v>17447.43</v>
      </c>
      <c r="F4" s="18">
        <f t="shared" si="0"/>
        <v>49292.990000000005</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43"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SUM(E7:E126)</f>
        <v>17447.43</v>
      </c>
      <c r="F6" s="48">
        <f>SUMIF(D7:D126,"OK",F7:F126)+SUMIF(D7:D126,"Parcial",F7:F126)</f>
        <v>13383.979999999998</v>
      </c>
      <c r="G6" s="49" t="s">
        <v>44</v>
      </c>
      <c r="H6" s="50"/>
      <c r="I6" s="50"/>
      <c r="J6" s="51">
        <f>(COUNTIF(D7:D126,"Pendente")+COUNTIF(D7:D126,"Parcial"))/COUNTA(B7:B126)</f>
        <v>0.31632653061224492</v>
      </c>
      <c r="K6" s="51">
        <f>IFERROR(-(X6/E6),"Pendente info")</f>
        <v>0.25623028721135432</v>
      </c>
      <c r="L6" s="91">
        <f>SUM(L7:L105)/COUNTA(B7:B105)</f>
        <v>0.19387755102040816</v>
      </c>
      <c r="M6" s="48">
        <f t="shared" ref="M6:U6" si="1">SUMIF($D$7:$D$126,"OK",M7:M126)+SUMIF($D$7:$D$126,"Parcial",M7:M126)</f>
        <v>7065.0000000000036</v>
      </c>
      <c r="N6" s="48">
        <f t="shared" si="1"/>
        <v>1621.6199999999997</v>
      </c>
      <c r="O6" s="48">
        <f t="shared" si="1"/>
        <v>792</v>
      </c>
      <c r="P6" s="48">
        <f t="shared" si="1"/>
        <v>152.35999999999996</v>
      </c>
      <c r="Q6" s="48">
        <f t="shared" si="1"/>
        <v>155</v>
      </c>
      <c r="R6" s="48">
        <f t="shared" si="1"/>
        <v>185</v>
      </c>
      <c r="S6" s="48">
        <f t="shared" si="1"/>
        <v>217</v>
      </c>
      <c r="T6" s="48">
        <f t="shared" si="1"/>
        <v>580</v>
      </c>
      <c r="U6" s="48">
        <f t="shared" si="1"/>
        <v>2616</v>
      </c>
      <c r="V6" s="47" t="s">
        <v>44</v>
      </c>
      <c r="W6" s="35" t="str">
        <f t="shared" ref="W6:W126" si="2">IF(F6=SUM(M6:U6),"OK","Diferente")</f>
        <v>OK</v>
      </c>
      <c r="X6" s="38">
        <f>SUM(X7:X126)</f>
        <v>-4470.5599999999995</v>
      </c>
      <c r="Y6" s="3"/>
      <c r="Z6" s="3"/>
    </row>
    <row r="7" spans="1:26" ht="14.4" outlineLevel="1" x14ac:dyDescent="0.3">
      <c r="A7" s="3"/>
      <c r="B7" s="52" t="s">
        <v>423</v>
      </c>
      <c r="C7" s="53"/>
      <c r="D7" s="53" t="s">
        <v>95</v>
      </c>
      <c r="E7" s="11">
        <f t="shared" ref="E7:E56" si="3">SUM(M7:U7)</f>
        <v>0</v>
      </c>
      <c r="F7" s="11"/>
      <c r="G7" s="225"/>
      <c r="H7" s="54"/>
      <c r="I7" s="54"/>
      <c r="J7" s="55"/>
      <c r="K7" s="53"/>
      <c r="L7" s="53" t="str">
        <f t="shared" ref="L7:L125" si="4">IF(C7&gt;=13,1,"")</f>
        <v/>
      </c>
      <c r="M7" s="11"/>
      <c r="N7" s="11"/>
      <c r="O7" s="11"/>
      <c r="P7" s="11"/>
      <c r="Q7" s="11"/>
      <c r="R7" s="11"/>
      <c r="S7" s="11"/>
      <c r="T7" s="11"/>
      <c r="U7" s="11"/>
      <c r="V7" s="56" t="s">
        <v>424</v>
      </c>
      <c r="W7" s="35" t="str">
        <f t="shared" si="2"/>
        <v>OK</v>
      </c>
      <c r="X7" s="38" t="str">
        <f t="shared" ref="X7:X126" si="5">IF(W7="Diferente",F7-SUM(M7:U7),"")</f>
        <v/>
      </c>
      <c r="Y7" s="3"/>
      <c r="Z7" s="3"/>
    </row>
    <row r="8" spans="1:26" ht="14.4" outlineLevel="1" x14ac:dyDescent="0.3">
      <c r="A8" s="3"/>
      <c r="B8" s="52" t="s">
        <v>425</v>
      </c>
      <c r="C8" s="53"/>
      <c r="D8" s="53" t="s">
        <v>95</v>
      </c>
      <c r="E8" s="11">
        <f t="shared" si="3"/>
        <v>0</v>
      </c>
      <c r="F8" s="11"/>
      <c r="G8" s="226"/>
      <c r="H8" s="54"/>
      <c r="I8" s="54"/>
      <c r="J8" s="55"/>
      <c r="K8" s="53"/>
      <c r="L8" s="53" t="str">
        <f t="shared" si="4"/>
        <v/>
      </c>
      <c r="M8" s="11"/>
      <c r="N8" s="11"/>
      <c r="O8" s="11"/>
      <c r="P8" s="11"/>
      <c r="Q8" s="11"/>
      <c r="R8" s="11"/>
      <c r="S8" s="11"/>
      <c r="T8" s="11"/>
      <c r="U8" s="11"/>
      <c r="V8" s="56" t="s">
        <v>424</v>
      </c>
      <c r="W8" s="35" t="str">
        <f t="shared" si="2"/>
        <v>OK</v>
      </c>
      <c r="X8" s="38" t="str">
        <f t="shared" si="5"/>
        <v/>
      </c>
      <c r="Y8" s="3"/>
      <c r="Z8" s="3"/>
    </row>
    <row r="9" spans="1:26" ht="14.4" outlineLevel="1" x14ac:dyDescent="0.3">
      <c r="A9" s="3"/>
      <c r="B9" s="52" t="s">
        <v>426</v>
      </c>
      <c r="C9" s="53"/>
      <c r="D9" s="53" t="s">
        <v>95</v>
      </c>
      <c r="E9" s="11">
        <f t="shared" si="3"/>
        <v>0</v>
      </c>
      <c r="F9" s="11"/>
      <c r="G9" s="226"/>
      <c r="H9" s="54"/>
      <c r="I9" s="54"/>
      <c r="J9" s="55"/>
      <c r="K9" s="53"/>
      <c r="L9" s="53" t="str">
        <f t="shared" si="4"/>
        <v/>
      </c>
      <c r="M9" s="11"/>
      <c r="N9" s="11"/>
      <c r="O9" s="11"/>
      <c r="P9" s="11"/>
      <c r="Q9" s="11"/>
      <c r="R9" s="11"/>
      <c r="S9" s="11"/>
      <c r="T9" s="11"/>
      <c r="U9" s="11"/>
      <c r="V9" s="56" t="s">
        <v>424</v>
      </c>
      <c r="W9" s="35" t="str">
        <f t="shared" si="2"/>
        <v>OK</v>
      </c>
      <c r="X9" s="38" t="str">
        <f t="shared" si="5"/>
        <v/>
      </c>
      <c r="Y9" s="3"/>
      <c r="Z9" s="3"/>
    </row>
    <row r="10" spans="1:26" ht="14.4" outlineLevel="1" x14ac:dyDescent="0.3">
      <c r="A10" s="3"/>
      <c r="B10" s="52" t="s">
        <v>427</v>
      </c>
      <c r="C10" s="53"/>
      <c r="D10" s="53" t="s">
        <v>95</v>
      </c>
      <c r="E10" s="11">
        <f t="shared" si="3"/>
        <v>0</v>
      </c>
      <c r="F10" s="11"/>
      <c r="G10" s="227"/>
      <c r="H10" s="54"/>
      <c r="I10" s="54"/>
      <c r="J10" s="55"/>
      <c r="K10" s="53"/>
      <c r="L10" s="53" t="str">
        <f t="shared" si="4"/>
        <v/>
      </c>
      <c r="M10" s="11"/>
      <c r="N10" s="11"/>
      <c r="O10" s="11"/>
      <c r="P10" s="11"/>
      <c r="Q10" s="11"/>
      <c r="R10" s="11"/>
      <c r="S10" s="11"/>
      <c r="T10" s="11"/>
      <c r="U10" s="11"/>
      <c r="V10" s="56" t="s">
        <v>424</v>
      </c>
      <c r="W10" s="35" t="str">
        <f t="shared" si="2"/>
        <v>OK</v>
      </c>
      <c r="X10" s="38" t="str">
        <f t="shared" si="5"/>
        <v/>
      </c>
      <c r="Y10" s="3"/>
      <c r="Z10" s="3"/>
    </row>
    <row r="11" spans="1:26" ht="14.4" outlineLevel="1" x14ac:dyDescent="0.3">
      <c r="A11" s="3"/>
      <c r="B11" s="9" t="s">
        <v>428</v>
      </c>
      <c r="C11" s="53">
        <v>10</v>
      </c>
      <c r="D11" s="53" t="s">
        <v>95</v>
      </c>
      <c r="E11" s="11">
        <f t="shared" si="3"/>
        <v>193.43</v>
      </c>
      <c r="F11" s="11">
        <f t="shared" ref="F11:F12" si="6">E11</f>
        <v>193.43</v>
      </c>
      <c r="G11" s="225"/>
      <c r="H11" s="54" t="s">
        <v>37</v>
      </c>
      <c r="I11" s="54"/>
      <c r="J11" s="55"/>
      <c r="K11" s="53"/>
      <c r="L11" s="53" t="str">
        <f t="shared" si="4"/>
        <v/>
      </c>
      <c r="M11" s="11">
        <v>130</v>
      </c>
      <c r="N11" s="11">
        <v>24.57</v>
      </c>
      <c r="O11" s="11">
        <v>12</v>
      </c>
      <c r="P11" s="11">
        <v>3.86</v>
      </c>
      <c r="Q11" s="11">
        <v>5</v>
      </c>
      <c r="R11" s="11"/>
      <c r="S11" s="11"/>
      <c r="T11" s="11"/>
      <c r="U11" s="11">
        <v>18</v>
      </c>
      <c r="V11" s="56" t="s">
        <v>424</v>
      </c>
      <c r="W11" s="35" t="str">
        <f t="shared" si="2"/>
        <v>OK</v>
      </c>
      <c r="X11" s="38" t="str">
        <f t="shared" si="5"/>
        <v/>
      </c>
      <c r="Y11" s="3"/>
      <c r="Z11" s="3"/>
    </row>
    <row r="12" spans="1:26" ht="14.4" outlineLevel="1" x14ac:dyDescent="0.3">
      <c r="A12" s="3"/>
      <c r="B12" s="9" t="s">
        <v>429</v>
      </c>
      <c r="C12" s="53">
        <v>10</v>
      </c>
      <c r="D12" s="53" t="s">
        <v>95</v>
      </c>
      <c r="E12" s="11">
        <f t="shared" si="3"/>
        <v>186.57</v>
      </c>
      <c r="F12" s="11">
        <f t="shared" si="6"/>
        <v>186.57</v>
      </c>
      <c r="G12" s="227"/>
      <c r="H12" s="54" t="s">
        <v>37</v>
      </c>
      <c r="I12" s="54"/>
      <c r="J12" s="55"/>
      <c r="K12" s="53"/>
      <c r="L12" s="53" t="str">
        <f t="shared" si="4"/>
        <v/>
      </c>
      <c r="M12" s="11">
        <v>130</v>
      </c>
      <c r="N12" s="11">
        <v>24.57</v>
      </c>
      <c r="O12" s="11">
        <v>12</v>
      </c>
      <c r="P12" s="11">
        <v>2</v>
      </c>
      <c r="Q12" s="11"/>
      <c r="R12" s="11"/>
      <c r="S12" s="11"/>
      <c r="T12" s="11"/>
      <c r="U12" s="11">
        <v>18</v>
      </c>
      <c r="V12" s="56" t="s">
        <v>424</v>
      </c>
      <c r="W12" s="35" t="str">
        <f t="shared" si="2"/>
        <v>OK</v>
      </c>
      <c r="X12" s="38" t="str">
        <f t="shared" si="5"/>
        <v/>
      </c>
      <c r="Y12" s="3"/>
      <c r="Z12" s="3"/>
    </row>
    <row r="13" spans="1:26" ht="14.4" outlineLevel="1" x14ac:dyDescent="0.3">
      <c r="A13" s="3"/>
      <c r="B13" s="52" t="s">
        <v>430</v>
      </c>
      <c r="C13" s="53"/>
      <c r="D13" s="53" t="s">
        <v>105</v>
      </c>
      <c r="E13" s="11">
        <f t="shared" si="3"/>
        <v>366.49</v>
      </c>
      <c r="F13" s="11"/>
      <c r="G13" s="225"/>
      <c r="H13" s="54"/>
      <c r="I13" s="54"/>
      <c r="J13" s="55"/>
      <c r="K13" s="53"/>
      <c r="L13" s="53" t="str">
        <f t="shared" si="4"/>
        <v/>
      </c>
      <c r="M13" s="11">
        <v>130.47999999999999</v>
      </c>
      <c r="N13" s="11">
        <v>24.57</v>
      </c>
      <c r="O13" s="11">
        <v>12</v>
      </c>
      <c r="P13" s="11">
        <v>1.44</v>
      </c>
      <c r="Q13" s="11">
        <v>10</v>
      </c>
      <c r="R13" s="11">
        <v>20</v>
      </c>
      <c r="S13" s="11">
        <v>50</v>
      </c>
      <c r="T13" s="11">
        <v>50</v>
      </c>
      <c r="U13" s="11">
        <v>68</v>
      </c>
      <c r="V13" s="56" t="s">
        <v>431</v>
      </c>
      <c r="W13" s="35" t="str">
        <f t="shared" si="2"/>
        <v>Diferente</v>
      </c>
      <c r="X13" s="38">
        <f t="shared" si="5"/>
        <v>-366.49</v>
      </c>
      <c r="Y13" s="3"/>
      <c r="Z13" s="3"/>
    </row>
    <row r="14" spans="1:26" ht="14.4" outlineLevel="1" x14ac:dyDescent="0.3">
      <c r="A14" s="3"/>
      <c r="B14" s="52" t="s">
        <v>432</v>
      </c>
      <c r="C14" s="53"/>
      <c r="D14" s="53" t="s">
        <v>105</v>
      </c>
      <c r="E14" s="11">
        <f t="shared" si="3"/>
        <v>209.29</v>
      </c>
      <c r="F14" s="11"/>
      <c r="G14" s="227"/>
      <c r="H14" s="54"/>
      <c r="I14" s="54"/>
      <c r="J14" s="55"/>
      <c r="K14" s="53"/>
      <c r="L14" s="53" t="str">
        <f t="shared" si="4"/>
        <v/>
      </c>
      <c r="M14" s="11">
        <v>98.28</v>
      </c>
      <c r="N14" s="11">
        <v>24.57</v>
      </c>
      <c r="O14" s="11">
        <v>12</v>
      </c>
      <c r="P14" s="11">
        <v>1.44</v>
      </c>
      <c r="Q14" s="11">
        <v>5</v>
      </c>
      <c r="R14" s="11"/>
      <c r="S14" s="11"/>
      <c r="T14" s="11">
        <v>50</v>
      </c>
      <c r="U14" s="11">
        <v>18</v>
      </c>
      <c r="V14" s="56" t="s">
        <v>424</v>
      </c>
      <c r="W14" s="35" t="str">
        <f t="shared" si="2"/>
        <v>Diferente</v>
      </c>
      <c r="X14" s="38">
        <f t="shared" si="5"/>
        <v>-209.29</v>
      </c>
      <c r="Y14" s="3"/>
      <c r="Z14" s="3"/>
    </row>
    <row r="15" spans="1:26" ht="14.4" outlineLevel="1" x14ac:dyDescent="0.3">
      <c r="A15" s="3"/>
      <c r="B15" s="9" t="s">
        <v>433</v>
      </c>
      <c r="C15" s="53"/>
      <c r="D15" s="53" t="s">
        <v>105</v>
      </c>
      <c r="E15" s="11">
        <f t="shared" si="3"/>
        <v>316.14</v>
      </c>
      <c r="F15" s="11"/>
      <c r="G15" s="228"/>
      <c r="H15" s="54"/>
      <c r="I15" s="54"/>
      <c r="J15" s="55"/>
      <c r="K15" s="53"/>
      <c r="L15" s="53" t="str">
        <f t="shared" si="4"/>
        <v/>
      </c>
      <c r="M15" s="11">
        <v>180.13</v>
      </c>
      <c r="N15" s="11">
        <v>24.57</v>
      </c>
      <c r="O15" s="11">
        <v>12</v>
      </c>
      <c r="P15" s="11">
        <v>1.44</v>
      </c>
      <c r="Q15" s="11">
        <v>5</v>
      </c>
      <c r="R15" s="11">
        <v>5</v>
      </c>
      <c r="S15" s="11">
        <v>20</v>
      </c>
      <c r="T15" s="11"/>
      <c r="U15" s="11">
        <v>68</v>
      </c>
      <c r="V15" s="56" t="s">
        <v>431</v>
      </c>
      <c r="W15" s="35" t="str">
        <f t="shared" si="2"/>
        <v>Diferente</v>
      </c>
      <c r="X15" s="38">
        <f t="shared" si="5"/>
        <v>-316.14</v>
      </c>
      <c r="Y15" s="3"/>
      <c r="Z15" s="3"/>
    </row>
    <row r="16" spans="1:26" ht="14.4" outlineLevel="1" x14ac:dyDescent="0.3">
      <c r="A16" s="3"/>
      <c r="B16" s="9" t="s">
        <v>434</v>
      </c>
      <c r="C16" s="53"/>
      <c r="D16" s="53" t="s">
        <v>105</v>
      </c>
      <c r="E16" s="11">
        <f t="shared" si="3"/>
        <v>155.99</v>
      </c>
      <c r="F16" s="11"/>
      <c r="G16" s="227"/>
      <c r="H16" s="54"/>
      <c r="I16" s="54"/>
      <c r="J16" s="55"/>
      <c r="K16" s="53"/>
      <c r="L16" s="53" t="str">
        <f t="shared" si="4"/>
        <v/>
      </c>
      <c r="M16" s="11">
        <v>89.98</v>
      </c>
      <c r="N16" s="11">
        <v>24.57</v>
      </c>
      <c r="O16" s="11">
        <v>12</v>
      </c>
      <c r="P16" s="11">
        <v>1.44</v>
      </c>
      <c r="Q16" s="11">
        <v>5</v>
      </c>
      <c r="R16" s="11">
        <v>5</v>
      </c>
      <c r="S16" s="11"/>
      <c r="T16" s="11"/>
      <c r="U16" s="11">
        <v>18</v>
      </c>
      <c r="V16" s="56" t="s">
        <v>424</v>
      </c>
      <c r="W16" s="35" t="str">
        <f t="shared" si="2"/>
        <v>Diferente</v>
      </c>
      <c r="X16" s="38">
        <f t="shared" si="5"/>
        <v>-155.99</v>
      </c>
      <c r="Y16" s="3"/>
      <c r="Z16" s="3"/>
    </row>
    <row r="17" spans="1:26" ht="14.4" outlineLevel="1" x14ac:dyDescent="0.3">
      <c r="A17" s="3"/>
      <c r="B17" s="52" t="s">
        <v>435</v>
      </c>
      <c r="C17" s="53">
        <v>10</v>
      </c>
      <c r="D17" s="53" t="s">
        <v>95</v>
      </c>
      <c r="E17" s="11">
        <f t="shared" si="3"/>
        <v>252.19</v>
      </c>
      <c r="F17" s="11">
        <f t="shared" ref="F17:F22" si="7">E17</f>
        <v>252.19</v>
      </c>
      <c r="G17" s="225"/>
      <c r="H17" s="54" t="s">
        <v>37</v>
      </c>
      <c r="I17" s="54"/>
      <c r="J17" s="55"/>
      <c r="K17" s="53"/>
      <c r="L17" s="53" t="str">
        <f t="shared" si="4"/>
        <v/>
      </c>
      <c r="M17" s="11">
        <v>191.18</v>
      </c>
      <c r="N17" s="11">
        <v>24.57</v>
      </c>
      <c r="O17" s="11">
        <v>12</v>
      </c>
      <c r="P17" s="11">
        <v>1.44</v>
      </c>
      <c r="Q17" s="11">
        <v>5</v>
      </c>
      <c r="R17" s="11"/>
      <c r="S17" s="11"/>
      <c r="T17" s="11"/>
      <c r="U17" s="11">
        <v>18</v>
      </c>
      <c r="V17" s="56" t="s">
        <v>424</v>
      </c>
      <c r="W17" s="35" t="str">
        <f t="shared" si="2"/>
        <v>OK</v>
      </c>
      <c r="X17" s="38" t="str">
        <f t="shared" si="5"/>
        <v/>
      </c>
      <c r="Y17" s="3"/>
      <c r="Z17" s="3"/>
    </row>
    <row r="18" spans="1:26" ht="14.4" outlineLevel="1" x14ac:dyDescent="0.3">
      <c r="A18" s="3"/>
      <c r="B18" s="52" t="s">
        <v>436</v>
      </c>
      <c r="C18" s="53">
        <v>10</v>
      </c>
      <c r="D18" s="53" t="s">
        <v>95</v>
      </c>
      <c r="E18" s="11">
        <f t="shared" si="3"/>
        <v>191.98999999999998</v>
      </c>
      <c r="F18" s="11">
        <f t="shared" si="7"/>
        <v>191.98999999999998</v>
      </c>
      <c r="G18" s="227"/>
      <c r="H18" s="54" t="s">
        <v>37</v>
      </c>
      <c r="I18" s="54"/>
      <c r="J18" s="55"/>
      <c r="K18" s="53"/>
      <c r="L18" s="53" t="str">
        <f t="shared" si="4"/>
        <v/>
      </c>
      <c r="M18" s="11">
        <v>135.97999999999999</v>
      </c>
      <c r="N18" s="11">
        <v>24.57</v>
      </c>
      <c r="O18" s="11">
        <v>12</v>
      </c>
      <c r="P18" s="11">
        <v>1.44</v>
      </c>
      <c r="Q18" s="11"/>
      <c r="R18" s="11"/>
      <c r="S18" s="11"/>
      <c r="T18" s="11"/>
      <c r="U18" s="11">
        <v>18</v>
      </c>
      <c r="V18" s="56" t="s">
        <v>424</v>
      </c>
      <c r="W18" s="35" t="str">
        <f t="shared" si="2"/>
        <v>OK</v>
      </c>
      <c r="X18" s="38" t="str">
        <f t="shared" si="5"/>
        <v/>
      </c>
      <c r="Y18" s="3"/>
      <c r="Z18" s="3"/>
    </row>
    <row r="19" spans="1:26" ht="14.4" outlineLevel="1" x14ac:dyDescent="0.3">
      <c r="A19" s="3"/>
      <c r="B19" s="9" t="s">
        <v>437</v>
      </c>
      <c r="C19" s="53">
        <v>9</v>
      </c>
      <c r="D19" s="53" t="s">
        <v>95</v>
      </c>
      <c r="E19" s="11">
        <f t="shared" si="3"/>
        <v>459.28999999999996</v>
      </c>
      <c r="F19" s="11">
        <f t="shared" si="7"/>
        <v>459.28999999999996</v>
      </c>
      <c r="G19" s="225"/>
      <c r="H19" s="54" t="s">
        <v>37</v>
      </c>
      <c r="I19" s="54"/>
      <c r="J19" s="55"/>
      <c r="K19" s="53"/>
      <c r="L19" s="53" t="str">
        <f t="shared" si="4"/>
        <v/>
      </c>
      <c r="M19" s="11">
        <v>328.28</v>
      </c>
      <c r="N19" s="11">
        <v>24.57</v>
      </c>
      <c r="O19" s="11">
        <v>12</v>
      </c>
      <c r="P19" s="11">
        <v>11.44</v>
      </c>
      <c r="Q19" s="11">
        <v>5</v>
      </c>
      <c r="R19" s="11">
        <v>10</v>
      </c>
      <c r="S19" s="11"/>
      <c r="T19" s="11">
        <v>50</v>
      </c>
      <c r="U19" s="11">
        <v>18</v>
      </c>
      <c r="V19" s="56" t="s">
        <v>424</v>
      </c>
      <c r="W19" s="35" t="str">
        <f t="shared" si="2"/>
        <v>OK</v>
      </c>
      <c r="X19" s="38" t="str">
        <f t="shared" si="5"/>
        <v/>
      </c>
      <c r="Y19" s="3"/>
      <c r="Z19" s="3"/>
    </row>
    <row r="20" spans="1:26" ht="14.4" outlineLevel="1" x14ac:dyDescent="0.3">
      <c r="A20" s="3"/>
      <c r="B20" s="9" t="s">
        <v>438</v>
      </c>
      <c r="C20" s="53">
        <v>9</v>
      </c>
      <c r="D20" s="53" t="s">
        <v>95</v>
      </c>
      <c r="E20" s="11">
        <f t="shared" si="3"/>
        <v>449.28999999999996</v>
      </c>
      <c r="F20" s="11">
        <f t="shared" si="7"/>
        <v>449.28999999999996</v>
      </c>
      <c r="G20" s="227"/>
      <c r="H20" s="54" t="s">
        <v>37</v>
      </c>
      <c r="I20" s="54"/>
      <c r="J20" s="55"/>
      <c r="K20" s="53"/>
      <c r="L20" s="53" t="str">
        <f t="shared" si="4"/>
        <v/>
      </c>
      <c r="M20" s="11">
        <v>328.28</v>
      </c>
      <c r="N20" s="11">
        <v>24.57</v>
      </c>
      <c r="O20" s="11">
        <v>12</v>
      </c>
      <c r="P20" s="11">
        <v>1.44</v>
      </c>
      <c r="Q20" s="11">
        <v>5</v>
      </c>
      <c r="R20" s="11">
        <v>10</v>
      </c>
      <c r="S20" s="11"/>
      <c r="T20" s="11">
        <v>50</v>
      </c>
      <c r="U20" s="11">
        <v>18</v>
      </c>
      <c r="V20" s="56" t="s">
        <v>424</v>
      </c>
      <c r="W20" s="35" t="str">
        <f t="shared" si="2"/>
        <v>OK</v>
      </c>
      <c r="X20" s="38" t="str">
        <f t="shared" si="5"/>
        <v/>
      </c>
      <c r="Y20" s="3"/>
      <c r="Z20" s="3"/>
    </row>
    <row r="21" spans="1:26" ht="15.75" customHeight="1" outlineLevel="1" x14ac:dyDescent="0.3">
      <c r="A21" s="3"/>
      <c r="B21" s="52" t="s">
        <v>439</v>
      </c>
      <c r="C21" s="53">
        <v>11</v>
      </c>
      <c r="D21" s="53" t="s">
        <v>95</v>
      </c>
      <c r="E21" s="11">
        <f t="shared" si="3"/>
        <v>266.99</v>
      </c>
      <c r="F21" s="11">
        <f t="shared" si="7"/>
        <v>266.99</v>
      </c>
      <c r="G21" s="225"/>
      <c r="H21" s="54" t="s">
        <v>37</v>
      </c>
      <c r="I21" s="54"/>
      <c r="J21" s="55"/>
      <c r="K21" s="53"/>
      <c r="L21" s="53" t="str">
        <f t="shared" si="4"/>
        <v/>
      </c>
      <c r="M21" s="11">
        <v>120.98</v>
      </c>
      <c r="N21" s="11">
        <v>24.57</v>
      </c>
      <c r="O21" s="11">
        <v>12</v>
      </c>
      <c r="P21" s="11">
        <v>1.44</v>
      </c>
      <c r="Q21" s="11">
        <v>5</v>
      </c>
      <c r="R21" s="11">
        <v>5</v>
      </c>
      <c r="S21" s="11"/>
      <c r="T21" s="11">
        <v>30</v>
      </c>
      <c r="U21" s="11">
        <v>68</v>
      </c>
      <c r="V21" s="56" t="s">
        <v>431</v>
      </c>
      <c r="W21" s="35" t="str">
        <f t="shared" si="2"/>
        <v>OK</v>
      </c>
      <c r="X21" s="38" t="str">
        <f t="shared" si="5"/>
        <v/>
      </c>
      <c r="Y21" s="3"/>
      <c r="Z21" s="3"/>
    </row>
    <row r="22" spans="1:26" ht="15.75" customHeight="1" outlineLevel="1" x14ac:dyDescent="0.3">
      <c r="A22" s="3"/>
      <c r="B22" s="52" t="s">
        <v>440</v>
      </c>
      <c r="C22" s="53">
        <v>11</v>
      </c>
      <c r="D22" s="53" t="s">
        <v>95</v>
      </c>
      <c r="E22" s="11">
        <f t="shared" si="3"/>
        <v>193.59</v>
      </c>
      <c r="F22" s="11">
        <f t="shared" si="7"/>
        <v>193.59</v>
      </c>
      <c r="G22" s="226"/>
      <c r="H22" s="54" t="s">
        <v>37</v>
      </c>
      <c r="I22" s="54"/>
      <c r="J22" s="55"/>
      <c r="K22" s="53"/>
      <c r="L22" s="53" t="str">
        <f t="shared" si="4"/>
        <v/>
      </c>
      <c r="M22" s="11">
        <v>102.58</v>
      </c>
      <c r="N22" s="11">
        <v>24.57</v>
      </c>
      <c r="O22" s="11">
        <v>12</v>
      </c>
      <c r="P22" s="11">
        <v>1.44</v>
      </c>
      <c r="Q22" s="11">
        <v>5</v>
      </c>
      <c r="R22" s="11"/>
      <c r="S22" s="11"/>
      <c r="T22" s="11">
        <v>30</v>
      </c>
      <c r="U22" s="11">
        <v>18</v>
      </c>
      <c r="V22" s="56" t="s">
        <v>424</v>
      </c>
      <c r="W22" s="35" t="str">
        <f t="shared" si="2"/>
        <v>OK</v>
      </c>
      <c r="X22" s="38" t="str">
        <f t="shared" si="5"/>
        <v/>
      </c>
      <c r="Y22" s="3"/>
      <c r="Z22" s="3"/>
    </row>
    <row r="23" spans="1:26" ht="15.75" customHeight="1" outlineLevel="1" x14ac:dyDescent="0.3">
      <c r="A23" s="3"/>
      <c r="B23" s="9" t="s">
        <v>441</v>
      </c>
      <c r="C23" s="53"/>
      <c r="D23" s="53" t="s">
        <v>105</v>
      </c>
      <c r="E23" s="11">
        <f t="shared" si="3"/>
        <v>153.34</v>
      </c>
      <c r="F23" s="92"/>
      <c r="G23" s="237"/>
      <c r="H23" s="93"/>
      <c r="I23" s="54"/>
      <c r="J23" s="55"/>
      <c r="K23" s="11"/>
      <c r="L23" s="53" t="str">
        <f t="shared" si="4"/>
        <v/>
      </c>
      <c r="M23" s="11">
        <v>37.33</v>
      </c>
      <c r="N23" s="11">
        <v>24.57</v>
      </c>
      <c r="O23" s="11">
        <v>12</v>
      </c>
      <c r="P23" s="11">
        <v>1.44</v>
      </c>
      <c r="Q23" s="11">
        <v>5</v>
      </c>
      <c r="R23" s="11">
        <v>5</v>
      </c>
      <c r="S23" s="11"/>
      <c r="T23" s="11"/>
      <c r="U23" s="11">
        <v>68</v>
      </c>
      <c r="V23" s="56" t="s">
        <v>431</v>
      </c>
      <c r="W23" s="35" t="str">
        <f t="shared" si="2"/>
        <v>Diferente</v>
      </c>
      <c r="X23" s="38">
        <f t="shared" si="5"/>
        <v>-153.34</v>
      </c>
      <c r="Y23" s="3"/>
      <c r="Z23" s="3"/>
    </row>
    <row r="24" spans="1:26" ht="15.75" customHeight="1" outlineLevel="1" x14ac:dyDescent="0.3">
      <c r="A24" s="3"/>
      <c r="B24" s="9" t="s">
        <v>442</v>
      </c>
      <c r="C24" s="53"/>
      <c r="D24" s="53" t="s">
        <v>105</v>
      </c>
      <c r="E24" s="11">
        <f t="shared" si="3"/>
        <v>134.44</v>
      </c>
      <c r="F24" s="92"/>
      <c r="G24" s="214"/>
      <c r="H24" s="93"/>
      <c r="I24" s="54"/>
      <c r="J24" s="55"/>
      <c r="K24" s="11"/>
      <c r="L24" s="53" t="str">
        <f t="shared" si="4"/>
        <v/>
      </c>
      <c r="M24" s="11">
        <v>53.43</v>
      </c>
      <c r="N24" s="11">
        <v>24.57</v>
      </c>
      <c r="O24" s="11">
        <v>12</v>
      </c>
      <c r="P24" s="11">
        <v>1.44</v>
      </c>
      <c r="Q24" s="11">
        <v>5</v>
      </c>
      <c r="R24" s="11">
        <v>5</v>
      </c>
      <c r="S24" s="11"/>
      <c r="T24" s="11">
        <v>15</v>
      </c>
      <c r="U24" s="11">
        <v>18</v>
      </c>
      <c r="V24" s="56" t="s">
        <v>424</v>
      </c>
      <c r="W24" s="35" t="str">
        <f t="shared" si="2"/>
        <v>Diferente</v>
      </c>
      <c r="X24" s="38">
        <f t="shared" si="5"/>
        <v>-134.44</v>
      </c>
      <c r="Y24" s="3"/>
      <c r="Z24" s="3"/>
    </row>
    <row r="25" spans="1:26" ht="15.75" customHeight="1" outlineLevel="1" x14ac:dyDescent="0.3">
      <c r="A25" s="3"/>
      <c r="B25" s="52" t="s">
        <v>443</v>
      </c>
      <c r="C25" s="53"/>
      <c r="D25" s="53" t="s">
        <v>105</v>
      </c>
      <c r="E25" s="11">
        <f t="shared" si="3"/>
        <v>203</v>
      </c>
      <c r="F25" s="92"/>
      <c r="G25" s="94"/>
      <c r="H25" s="93"/>
      <c r="I25" s="54"/>
      <c r="J25" s="55"/>
      <c r="K25" s="11"/>
      <c r="L25" s="53" t="str">
        <f t="shared" si="4"/>
        <v/>
      </c>
      <c r="M25" s="11">
        <v>131.99</v>
      </c>
      <c r="N25" s="11">
        <v>24.57</v>
      </c>
      <c r="O25" s="11">
        <v>12</v>
      </c>
      <c r="P25" s="11">
        <v>6.44</v>
      </c>
      <c r="Q25" s="11"/>
      <c r="R25" s="11">
        <v>10</v>
      </c>
      <c r="S25" s="11"/>
      <c r="T25" s="11"/>
      <c r="U25" s="11">
        <v>18</v>
      </c>
      <c r="V25" s="56" t="s">
        <v>424</v>
      </c>
      <c r="W25" s="35" t="str">
        <f t="shared" si="2"/>
        <v>Diferente</v>
      </c>
      <c r="X25" s="38">
        <f t="shared" si="5"/>
        <v>-203</v>
      </c>
      <c r="Y25" s="3"/>
      <c r="Z25" s="3"/>
    </row>
    <row r="26" spans="1:26" ht="15.75" customHeight="1" outlineLevel="1" x14ac:dyDescent="0.3">
      <c r="A26" s="3"/>
      <c r="B26" s="9" t="s">
        <v>444</v>
      </c>
      <c r="C26" s="53"/>
      <c r="D26" s="53" t="s">
        <v>105</v>
      </c>
      <c r="E26" s="11">
        <f t="shared" si="3"/>
        <v>128</v>
      </c>
      <c r="F26" s="92"/>
      <c r="G26" s="95"/>
      <c r="H26" s="93"/>
      <c r="I26" s="54"/>
      <c r="J26" s="55"/>
      <c r="K26" s="11"/>
      <c r="L26" s="53" t="str">
        <f t="shared" si="4"/>
        <v/>
      </c>
      <c r="M26" s="11">
        <v>71.430000000000007</v>
      </c>
      <c r="N26" s="11">
        <v>24.57</v>
      </c>
      <c r="O26" s="11">
        <v>12</v>
      </c>
      <c r="P26" s="11">
        <v>2</v>
      </c>
      <c r="Q26" s="11"/>
      <c r="R26" s="11"/>
      <c r="S26" s="11"/>
      <c r="T26" s="11"/>
      <c r="U26" s="11">
        <v>18</v>
      </c>
      <c r="V26" s="56" t="s">
        <v>424</v>
      </c>
      <c r="W26" s="35" t="str">
        <f t="shared" si="2"/>
        <v>Diferente</v>
      </c>
      <c r="X26" s="38">
        <f t="shared" si="5"/>
        <v>-128</v>
      </c>
      <c r="Y26" s="3"/>
      <c r="Z26" s="3"/>
    </row>
    <row r="27" spans="1:26" ht="15.75" customHeight="1" outlineLevel="1" x14ac:dyDescent="0.3">
      <c r="A27" s="3"/>
      <c r="B27" s="52" t="s">
        <v>445</v>
      </c>
      <c r="C27" s="53">
        <v>8</v>
      </c>
      <c r="D27" s="53" t="s">
        <v>95</v>
      </c>
      <c r="E27" s="11">
        <f t="shared" si="3"/>
        <v>598</v>
      </c>
      <c r="F27" s="92">
        <f t="shared" ref="F27:F30" si="8">E27</f>
        <v>598</v>
      </c>
      <c r="G27" s="237"/>
      <c r="H27" s="93" t="s">
        <v>37</v>
      </c>
      <c r="I27" s="54"/>
      <c r="J27" s="55"/>
      <c r="K27" s="11"/>
      <c r="L27" s="53" t="str">
        <f t="shared" si="4"/>
        <v/>
      </c>
      <c r="M27" s="11">
        <v>131.99</v>
      </c>
      <c r="N27" s="11">
        <v>24.57</v>
      </c>
      <c r="O27" s="11">
        <v>12</v>
      </c>
      <c r="P27" s="11">
        <v>11.44</v>
      </c>
      <c r="Q27" s="11">
        <v>5</v>
      </c>
      <c r="R27" s="11">
        <v>5</v>
      </c>
      <c r="S27" s="11">
        <v>10</v>
      </c>
      <c r="T27" s="11">
        <v>30</v>
      </c>
      <c r="U27" s="11">
        <v>368</v>
      </c>
      <c r="V27" s="56" t="s">
        <v>446</v>
      </c>
      <c r="W27" s="35" t="str">
        <f t="shared" si="2"/>
        <v>OK</v>
      </c>
      <c r="X27" s="38" t="str">
        <f t="shared" si="5"/>
        <v/>
      </c>
      <c r="Y27" s="3"/>
      <c r="Z27" s="3"/>
    </row>
    <row r="28" spans="1:26" ht="15.75" customHeight="1" outlineLevel="1" x14ac:dyDescent="0.3">
      <c r="A28" s="3"/>
      <c r="B28" s="52" t="s">
        <v>447</v>
      </c>
      <c r="C28" s="53">
        <v>8</v>
      </c>
      <c r="D28" s="53" t="s">
        <v>95</v>
      </c>
      <c r="E28" s="11">
        <f t="shared" si="3"/>
        <v>238</v>
      </c>
      <c r="F28" s="92">
        <f t="shared" si="8"/>
        <v>238</v>
      </c>
      <c r="G28" s="214"/>
      <c r="H28" s="93" t="s">
        <v>37</v>
      </c>
      <c r="I28" s="54"/>
      <c r="J28" s="55"/>
      <c r="K28" s="11"/>
      <c r="L28" s="53" t="str">
        <f t="shared" si="4"/>
        <v/>
      </c>
      <c r="M28" s="11">
        <v>131.99</v>
      </c>
      <c r="N28" s="11">
        <v>24.57</v>
      </c>
      <c r="O28" s="11">
        <v>12</v>
      </c>
      <c r="P28" s="11">
        <v>1.44</v>
      </c>
      <c r="Q28" s="11">
        <v>5</v>
      </c>
      <c r="R28" s="11">
        <v>5</v>
      </c>
      <c r="S28" s="11">
        <v>10</v>
      </c>
      <c r="T28" s="11">
        <v>30</v>
      </c>
      <c r="U28" s="11">
        <v>18</v>
      </c>
      <c r="V28" s="56" t="s">
        <v>424</v>
      </c>
      <c r="W28" s="35" t="str">
        <f t="shared" si="2"/>
        <v>OK</v>
      </c>
      <c r="X28" s="38" t="str">
        <f t="shared" si="5"/>
        <v/>
      </c>
      <c r="Y28" s="3"/>
      <c r="Z28" s="3"/>
    </row>
    <row r="29" spans="1:26" ht="15.75" customHeight="1" outlineLevel="1" x14ac:dyDescent="0.3">
      <c r="A29" s="3"/>
      <c r="B29" s="9" t="s">
        <v>448</v>
      </c>
      <c r="C29" s="53">
        <v>13</v>
      </c>
      <c r="D29" s="53" t="s">
        <v>95</v>
      </c>
      <c r="E29" s="11">
        <f t="shared" si="3"/>
        <v>277.69</v>
      </c>
      <c r="F29" s="92">
        <f t="shared" si="8"/>
        <v>277.69</v>
      </c>
      <c r="G29" s="237"/>
      <c r="H29" s="93" t="s">
        <v>37</v>
      </c>
      <c r="I29" s="54"/>
      <c r="J29" s="55"/>
      <c r="K29" s="11"/>
      <c r="L29" s="53">
        <f t="shared" si="4"/>
        <v>1</v>
      </c>
      <c r="M29" s="11">
        <v>116.68</v>
      </c>
      <c r="N29" s="11">
        <v>24.57</v>
      </c>
      <c r="O29" s="11">
        <v>12</v>
      </c>
      <c r="P29" s="11">
        <v>1.44</v>
      </c>
      <c r="Q29" s="11">
        <v>5</v>
      </c>
      <c r="R29" s="11">
        <v>10</v>
      </c>
      <c r="S29" s="11">
        <v>10</v>
      </c>
      <c r="T29" s="11">
        <v>30</v>
      </c>
      <c r="U29" s="11">
        <v>68</v>
      </c>
      <c r="V29" s="56" t="s">
        <v>431</v>
      </c>
      <c r="W29" s="35" t="str">
        <f t="shared" si="2"/>
        <v>OK</v>
      </c>
      <c r="X29" s="38" t="str">
        <f t="shared" si="5"/>
        <v/>
      </c>
      <c r="Y29" s="3"/>
      <c r="Z29" s="3"/>
    </row>
    <row r="30" spans="1:26" ht="15.75" customHeight="1" outlineLevel="1" x14ac:dyDescent="0.3">
      <c r="A30" s="3"/>
      <c r="B30" s="9" t="s">
        <v>449</v>
      </c>
      <c r="C30" s="53">
        <v>13</v>
      </c>
      <c r="D30" s="53" t="s">
        <v>95</v>
      </c>
      <c r="E30" s="11">
        <f t="shared" si="3"/>
        <v>176.69</v>
      </c>
      <c r="F30" s="92">
        <f t="shared" si="8"/>
        <v>176.69</v>
      </c>
      <c r="G30" s="214"/>
      <c r="H30" s="93" t="s">
        <v>37</v>
      </c>
      <c r="I30" s="54"/>
      <c r="J30" s="55"/>
      <c r="K30" s="11"/>
      <c r="L30" s="53">
        <f t="shared" si="4"/>
        <v>1</v>
      </c>
      <c r="M30" s="11">
        <v>70.680000000000007</v>
      </c>
      <c r="N30" s="11">
        <v>24.57</v>
      </c>
      <c r="O30" s="11">
        <v>12</v>
      </c>
      <c r="P30" s="11">
        <v>1.44</v>
      </c>
      <c r="Q30" s="11"/>
      <c r="R30" s="11">
        <v>10</v>
      </c>
      <c r="S30" s="11">
        <v>10</v>
      </c>
      <c r="T30" s="11">
        <v>30</v>
      </c>
      <c r="U30" s="11">
        <v>18</v>
      </c>
      <c r="V30" s="56" t="s">
        <v>424</v>
      </c>
      <c r="W30" s="35" t="str">
        <f t="shared" si="2"/>
        <v>OK</v>
      </c>
      <c r="X30" s="38" t="str">
        <f t="shared" si="5"/>
        <v/>
      </c>
      <c r="Y30" s="3"/>
      <c r="Z30" s="3"/>
    </row>
    <row r="31" spans="1:26" ht="15.75" customHeight="1" outlineLevel="1" x14ac:dyDescent="0.3">
      <c r="A31" s="3"/>
      <c r="B31" s="52" t="s">
        <v>450</v>
      </c>
      <c r="C31" s="53"/>
      <c r="D31" s="53" t="s">
        <v>105</v>
      </c>
      <c r="E31" s="11">
        <f t="shared" si="3"/>
        <v>185.44</v>
      </c>
      <c r="F31" s="92"/>
      <c r="G31" s="237"/>
      <c r="H31" s="93"/>
      <c r="I31" s="54"/>
      <c r="J31" s="55"/>
      <c r="K31" s="11"/>
      <c r="L31" s="53" t="str">
        <f t="shared" si="4"/>
        <v/>
      </c>
      <c r="M31" s="11">
        <v>104.43</v>
      </c>
      <c r="N31" s="11">
        <v>24.57</v>
      </c>
      <c r="O31" s="11">
        <v>12</v>
      </c>
      <c r="P31" s="11">
        <v>1.44</v>
      </c>
      <c r="Q31" s="11">
        <v>5</v>
      </c>
      <c r="R31" s="11"/>
      <c r="S31" s="11">
        <v>10</v>
      </c>
      <c r="T31" s="11">
        <v>10</v>
      </c>
      <c r="U31" s="11">
        <v>18</v>
      </c>
      <c r="V31" s="56" t="s">
        <v>424</v>
      </c>
      <c r="W31" s="35" t="str">
        <f t="shared" si="2"/>
        <v>Diferente</v>
      </c>
      <c r="X31" s="38">
        <f t="shared" si="5"/>
        <v>-185.44</v>
      </c>
      <c r="Y31" s="3"/>
      <c r="Z31" s="3"/>
    </row>
    <row r="32" spans="1:26" ht="15.75" customHeight="1" outlineLevel="1" x14ac:dyDescent="0.3">
      <c r="A32" s="3"/>
      <c r="B32" s="52" t="s">
        <v>451</v>
      </c>
      <c r="C32" s="53"/>
      <c r="D32" s="53" t="s">
        <v>105</v>
      </c>
      <c r="E32" s="11">
        <f t="shared" si="3"/>
        <v>185.44</v>
      </c>
      <c r="F32" s="92"/>
      <c r="G32" s="214"/>
      <c r="H32" s="93"/>
      <c r="I32" s="54"/>
      <c r="J32" s="55"/>
      <c r="K32" s="11"/>
      <c r="L32" s="53" t="str">
        <f t="shared" si="4"/>
        <v/>
      </c>
      <c r="M32" s="11">
        <v>104.43</v>
      </c>
      <c r="N32" s="11">
        <v>24.57</v>
      </c>
      <c r="O32" s="11">
        <v>12</v>
      </c>
      <c r="P32" s="11">
        <v>1.44</v>
      </c>
      <c r="Q32" s="11">
        <v>5</v>
      </c>
      <c r="R32" s="11"/>
      <c r="S32" s="11">
        <v>10</v>
      </c>
      <c r="T32" s="11">
        <v>10</v>
      </c>
      <c r="U32" s="11">
        <v>18</v>
      </c>
      <c r="V32" s="56" t="s">
        <v>424</v>
      </c>
      <c r="W32" s="35" t="str">
        <f t="shared" si="2"/>
        <v>Diferente</v>
      </c>
      <c r="X32" s="38">
        <f t="shared" si="5"/>
        <v>-185.44</v>
      </c>
      <c r="Y32" s="3"/>
      <c r="Z32" s="3"/>
    </row>
    <row r="33" spans="1:26" ht="15.75" customHeight="1" outlineLevel="1" x14ac:dyDescent="0.3">
      <c r="A33" s="3"/>
      <c r="B33" s="9" t="s">
        <v>452</v>
      </c>
      <c r="C33" s="53">
        <v>10</v>
      </c>
      <c r="D33" s="53" t="s">
        <v>95</v>
      </c>
      <c r="E33" s="11">
        <f t="shared" si="3"/>
        <v>217.01</v>
      </c>
      <c r="F33" s="92">
        <f t="shared" ref="F33:F34" si="9">E33</f>
        <v>217.01</v>
      </c>
      <c r="G33" s="237"/>
      <c r="H33" s="93" t="s">
        <v>37</v>
      </c>
      <c r="I33" s="54"/>
      <c r="J33" s="55"/>
      <c r="K33" s="11"/>
      <c r="L33" s="53" t="str">
        <f t="shared" si="4"/>
        <v/>
      </c>
      <c r="M33" s="11">
        <v>156</v>
      </c>
      <c r="N33" s="11">
        <v>24.57</v>
      </c>
      <c r="O33" s="11">
        <v>12</v>
      </c>
      <c r="P33" s="11">
        <v>1.44</v>
      </c>
      <c r="Q33" s="11">
        <v>5</v>
      </c>
      <c r="R33" s="11"/>
      <c r="S33" s="11"/>
      <c r="T33" s="11"/>
      <c r="U33" s="11">
        <v>18</v>
      </c>
      <c r="V33" s="56" t="s">
        <v>424</v>
      </c>
      <c r="W33" s="35" t="str">
        <f t="shared" si="2"/>
        <v>OK</v>
      </c>
      <c r="X33" s="38" t="str">
        <f t="shared" si="5"/>
        <v/>
      </c>
      <c r="Y33" s="3"/>
      <c r="Z33" s="3"/>
    </row>
    <row r="34" spans="1:26" ht="15.75" customHeight="1" outlineLevel="1" x14ac:dyDescent="0.3">
      <c r="A34" s="3"/>
      <c r="B34" s="9" t="s">
        <v>453</v>
      </c>
      <c r="C34" s="53">
        <v>10</v>
      </c>
      <c r="D34" s="53" t="s">
        <v>95</v>
      </c>
      <c r="E34" s="11">
        <f t="shared" si="3"/>
        <v>287.01</v>
      </c>
      <c r="F34" s="92">
        <f t="shared" si="9"/>
        <v>287.01</v>
      </c>
      <c r="G34" s="214"/>
      <c r="H34" s="93" t="s">
        <v>37</v>
      </c>
      <c r="I34" s="54"/>
      <c r="J34" s="55"/>
      <c r="K34" s="11"/>
      <c r="L34" s="53" t="str">
        <f t="shared" si="4"/>
        <v/>
      </c>
      <c r="M34" s="11">
        <v>156</v>
      </c>
      <c r="N34" s="11">
        <v>24.57</v>
      </c>
      <c r="O34" s="11">
        <v>12</v>
      </c>
      <c r="P34" s="11">
        <v>11.44</v>
      </c>
      <c r="Q34" s="11">
        <v>5</v>
      </c>
      <c r="R34" s="11">
        <v>10</v>
      </c>
      <c r="S34" s="11"/>
      <c r="T34" s="11"/>
      <c r="U34" s="11">
        <v>68</v>
      </c>
      <c r="V34" s="56" t="s">
        <v>431</v>
      </c>
      <c r="W34" s="35" t="str">
        <f t="shared" si="2"/>
        <v>OK</v>
      </c>
      <c r="X34" s="38" t="str">
        <f t="shared" si="5"/>
        <v/>
      </c>
      <c r="Y34" s="3"/>
      <c r="Z34" s="3"/>
    </row>
    <row r="35" spans="1:26" ht="15.75" customHeight="1" outlineLevel="1" x14ac:dyDescent="0.3">
      <c r="A35" s="3"/>
      <c r="B35" s="52" t="s">
        <v>454</v>
      </c>
      <c r="C35" s="53"/>
      <c r="D35" s="53" t="s">
        <v>105</v>
      </c>
      <c r="E35" s="11">
        <f t="shared" si="3"/>
        <v>198.2</v>
      </c>
      <c r="F35" s="92"/>
      <c r="G35" s="95"/>
      <c r="H35" s="93"/>
      <c r="I35" s="54"/>
      <c r="J35" s="55"/>
      <c r="K35" s="11"/>
      <c r="L35" s="53" t="str">
        <f t="shared" si="4"/>
        <v/>
      </c>
      <c r="M35" s="11">
        <v>131.63</v>
      </c>
      <c r="N35" s="11">
        <v>24.57</v>
      </c>
      <c r="O35" s="11">
        <v>12</v>
      </c>
      <c r="P35" s="11">
        <v>10</v>
      </c>
      <c r="Q35" s="11">
        <v>5</v>
      </c>
      <c r="R35" s="11">
        <v>15</v>
      </c>
      <c r="S35" s="11"/>
      <c r="T35" s="11"/>
      <c r="U35" s="11"/>
      <c r="V35" s="56" t="s">
        <v>424</v>
      </c>
      <c r="W35" s="35" t="str">
        <f t="shared" si="2"/>
        <v>Diferente</v>
      </c>
      <c r="X35" s="38">
        <f t="shared" si="5"/>
        <v>-198.2</v>
      </c>
      <c r="Y35" s="3"/>
      <c r="Z35" s="3"/>
    </row>
    <row r="36" spans="1:26" ht="15.75" customHeight="1" outlineLevel="1" x14ac:dyDescent="0.3">
      <c r="A36" s="3"/>
      <c r="B36" s="9" t="s">
        <v>455</v>
      </c>
      <c r="C36" s="53">
        <v>9</v>
      </c>
      <c r="D36" s="53" t="s">
        <v>95</v>
      </c>
      <c r="E36" s="11">
        <f t="shared" si="3"/>
        <v>246.76</v>
      </c>
      <c r="F36" s="92">
        <f>E36</f>
        <v>246.76</v>
      </c>
      <c r="G36" s="53"/>
      <c r="H36" s="93" t="s">
        <v>37</v>
      </c>
      <c r="I36" s="54"/>
      <c r="J36" s="55"/>
      <c r="K36" s="11"/>
      <c r="L36" s="53" t="str">
        <f t="shared" si="4"/>
        <v/>
      </c>
      <c r="M36" s="11">
        <v>132.19</v>
      </c>
      <c r="N36" s="11">
        <v>24.57</v>
      </c>
      <c r="O36" s="11">
        <v>12</v>
      </c>
      <c r="P36" s="11">
        <v>5</v>
      </c>
      <c r="Q36" s="11">
        <v>5</v>
      </c>
      <c r="R36" s="11">
        <v>10</v>
      </c>
      <c r="S36" s="11">
        <v>10</v>
      </c>
      <c r="T36" s="11">
        <v>30</v>
      </c>
      <c r="U36" s="11">
        <v>18</v>
      </c>
      <c r="V36" s="56" t="s">
        <v>424</v>
      </c>
      <c r="W36" s="35" t="str">
        <f t="shared" si="2"/>
        <v>OK</v>
      </c>
      <c r="X36" s="38" t="str">
        <f t="shared" si="5"/>
        <v/>
      </c>
      <c r="Y36" s="3"/>
      <c r="Z36" s="3"/>
    </row>
    <row r="37" spans="1:26" ht="15.75" customHeight="1" outlineLevel="1" x14ac:dyDescent="0.3">
      <c r="A37" s="3"/>
      <c r="B37" s="52" t="s">
        <v>456</v>
      </c>
      <c r="C37" s="53"/>
      <c r="D37" s="53" t="s">
        <v>105</v>
      </c>
      <c r="E37" s="11">
        <f t="shared" si="3"/>
        <v>130.81</v>
      </c>
      <c r="F37" s="92"/>
      <c r="G37" s="237"/>
      <c r="H37" s="93"/>
      <c r="I37" s="54"/>
      <c r="J37" s="55"/>
      <c r="K37" s="11"/>
      <c r="L37" s="53" t="str">
        <f t="shared" si="4"/>
        <v/>
      </c>
      <c r="M37" s="11">
        <v>74.739999999999995</v>
      </c>
      <c r="N37" s="11">
        <v>24.57</v>
      </c>
      <c r="O37" s="11">
        <v>12</v>
      </c>
      <c r="P37" s="11">
        <v>1.5</v>
      </c>
      <c r="Q37" s="11"/>
      <c r="R37" s="11"/>
      <c r="S37" s="11"/>
      <c r="T37" s="11"/>
      <c r="U37" s="11">
        <v>18</v>
      </c>
      <c r="V37" s="56" t="s">
        <v>424</v>
      </c>
      <c r="W37" s="35" t="str">
        <f t="shared" si="2"/>
        <v>Diferente</v>
      </c>
      <c r="X37" s="38">
        <f t="shared" si="5"/>
        <v>-130.81</v>
      </c>
      <c r="Y37" s="3"/>
      <c r="Z37" s="3"/>
    </row>
    <row r="38" spans="1:26" ht="15.75" customHeight="1" outlineLevel="1" x14ac:dyDescent="0.3">
      <c r="A38" s="3"/>
      <c r="B38" s="52" t="s">
        <v>457</v>
      </c>
      <c r="C38" s="53"/>
      <c r="D38" s="53" t="s">
        <v>105</v>
      </c>
      <c r="E38" s="11">
        <f t="shared" si="3"/>
        <v>130.81</v>
      </c>
      <c r="F38" s="92"/>
      <c r="G38" s="214"/>
      <c r="H38" s="93"/>
      <c r="I38" s="54"/>
      <c r="J38" s="55"/>
      <c r="K38" s="11"/>
      <c r="L38" s="53" t="str">
        <f t="shared" si="4"/>
        <v/>
      </c>
      <c r="M38" s="11">
        <v>74.739999999999995</v>
      </c>
      <c r="N38" s="11">
        <v>24.57</v>
      </c>
      <c r="O38" s="11">
        <v>12</v>
      </c>
      <c r="P38" s="11">
        <v>1.5</v>
      </c>
      <c r="Q38" s="11"/>
      <c r="R38" s="11"/>
      <c r="S38" s="11"/>
      <c r="T38" s="11"/>
      <c r="U38" s="11">
        <v>18</v>
      </c>
      <c r="V38" s="56" t="s">
        <v>424</v>
      </c>
      <c r="W38" s="35" t="str">
        <f t="shared" si="2"/>
        <v>Diferente</v>
      </c>
      <c r="X38" s="38">
        <f t="shared" si="5"/>
        <v>-130.81</v>
      </c>
      <c r="Y38" s="3"/>
      <c r="Z38" s="3"/>
    </row>
    <row r="39" spans="1:26" ht="15.75" customHeight="1" outlineLevel="1" x14ac:dyDescent="0.3">
      <c r="A39" s="3"/>
      <c r="B39" s="9" t="s">
        <v>458</v>
      </c>
      <c r="C39" s="53">
        <v>9</v>
      </c>
      <c r="D39" s="53" t="s">
        <v>95</v>
      </c>
      <c r="E39" s="11">
        <f t="shared" si="3"/>
        <v>164.44</v>
      </c>
      <c r="F39" s="92">
        <f t="shared" ref="F39:F42" si="10">E39</f>
        <v>164.44</v>
      </c>
      <c r="G39" s="238"/>
      <c r="H39" s="93" t="s">
        <v>37</v>
      </c>
      <c r="I39" s="54"/>
      <c r="J39" s="55"/>
      <c r="K39" s="11"/>
      <c r="L39" s="53" t="str">
        <f t="shared" si="4"/>
        <v/>
      </c>
      <c r="M39" s="11">
        <v>103.43</v>
      </c>
      <c r="N39" s="11">
        <v>24.57</v>
      </c>
      <c r="O39" s="11">
        <v>12</v>
      </c>
      <c r="P39" s="11">
        <v>1.44</v>
      </c>
      <c r="Q39" s="11"/>
      <c r="R39" s="11">
        <v>5</v>
      </c>
      <c r="S39" s="11"/>
      <c r="T39" s="11"/>
      <c r="U39" s="11">
        <v>18</v>
      </c>
      <c r="V39" s="56" t="s">
        <v>424</v>
      </c>
      <c r="W39" s="35" t="str">
        <f t="shared" si="2"/>
        <v>OK</v>
      </c>
      <c r="X39" s="38" t="str">
        <f t="shared" si="5"/>
        <v/>
      </c>
      <c r="Y39" s="3"/>
      <c r="Z39" s="3"/>
    </row>
    <row r="40" spans="1:26" ht="15.75" customHeight="1" outlineLevel="1" x14ac:dyDescent="0.3">
      <c r="A40" s="3"/>
      <c r="B40" s="9" t="s">
        <v>459</v>
      </c>
      <c r="C40" s="53">
        <v>9</v>
      </c>
      <c r="D40" s="53" t="s">
        <v>95</v>
      </c>
      <c r="E40" s="11">
        <f t="shared" si="3"/>
        <v>169.44</v>
      </c>
      <c r="F40" s="92">
        <f t="shared" si="10"/>
        <v>169.44</v>
      </c>
      <c r="G40" s="213"/>
      <c r="H40" s="93" t="s">
        <v>37</v>
      </c>
      <c r="I40" s="54"/>
      <c r="J40" s="55"/>
      <c r="K40" s="11"/>
      <c r="L40" s="53" t="str">
        <f t="shared" si="4"/>
        <v/>
      </c>
      <c r="M40" s="11">
        <v>103.43</v>
      </c>
      <c r="N40" s="11">
        <v>24.57</v>
      </c>
      <c r="O40" s="11">
        <v>12</v>
      </c>
      <c r="P40" s="11">
        <v>1.44</v>
      </c>
      <c r="Q40" s="11">
        <v>5</v>
      </c>
      <c r="R40" s="11">
        <v>5</v>
      </c>
      <c r="S40" s="11"/>
      <c r="T40" s="11"/>
      <c r="U40" s="11">
        <v>18</v>
      </c>
      <c r="V40" s="56" t="s">
        <v>424</v>
      </c>
      <c r="W40" s="35" t="str">
        <f t="shared" si="2"/>
        <v>OK</v>
      </c>
      <c r="X40" s="38" t="str">
        <f t="shared" si="5"/>
        <v/>
      </c>
      <c r="Y40" s="3"/>
      <c r="Z40" s="3"/>
    </row>
    <row r="41" spans="1:26" ht="15.75" customHeight="1" outlineLevel="1" x14ac:dyDescent="0.3">
      <c r="A41" s="3"/>
      <c r="B41" s="9" t="s">
        <v>460</v>
      </c>
      <c r="C41" s="53">
        <v>9</v>
      </c>
      <c r="D41" s="53" t="s">
        <v>95</v>
      </c>
      <c r="E41" s="11">
        <f t="shared" si="3"/>
        <v>169.44</v>
      </c>
      <c r="F41" s="92">
        <f t="shared" si="10"/>
        <v>169.44</v>
      </c>
      <c r="G41" s="213"/>
      <c r="H41" s="93" t="s">
        <v>37</v>
      </c>
      <c r="I41" s="54"/>
      <c r="J41" s="55"/>
      <c r="K41" s="11"/>
      <c r="L41" s="53" t="str">
        <f t="shared" si="4"/>
        <v/>
      </c>
      <c r="M41" s="11">
        <v>103.43</v>
      </c>
      <c r="N41" s="11">
        <v>24.57</v>
      </c>
      <c r="O41" s="11">
        <v>12</v>
      </c>
      <c r="P41" s="11">
        <v>1.44</v>
      </c>
      <c r="Q41" s="11">
        <v>5</v>
      </c>
      <c r="R41" s="11">
        <v>5</v>
      </c>
      <c r="S41" s="11"/>
      <c r="T41" s="11"/>
      <c r="U41" s="11">
        <v>18</v>
      </c>
      <c r="V41" s="56" t="s">
        <v>424</v>
      </c>
      <c r="W41" s="35" t="str">
        <f t="shared" si="2"/>
        <v>OK</v>
      </c>
      <c r="X41" s="38" t="str">
        <f t="shared" si="5"/>
        <v/>
      </c>
      <c r="Y41" s="3"/>
      <c r="Z41" s="3"/>
    </row>
    <row r="42" spans="1:26" ht="15.75" customHeight="1" outlineLevel="1" x14ac:dyDescent="0.3">
      <c r="A42" s="3"/>
      <c r="B42" s="9" t="s">
        <v>461</v>
      </c>
      <c r="C42" s="53">
        <v>9</v>
      </c>
      <c r="D42" s="53" t="s">
        <v>95</v>
      </c>
      <c r="E42" s="11">
        <f t="shared" si="3"/>
        <v>87.59</v>
      </c>
      <c r="F42" s="92">
        <f t="shared" si="10"/>
        <v>87.59</v>
      </c>
      <c r="G42" s="214"/>
      <c r="H42" s="93" t="s">
        <v>37</v>
      </c>
      <c r="I42" s="54"/>
      <c r="J42" s="55"/>
      <c r="K42" s="11"/>
      <c r="L42" s="53" t="str">
        <f t="shared" si="4"/>
        <v/>
      </c>
      <c r="M42" s="11">
        <v>31.58</v>
      </c>
      <c r="N42" s="11">
        <v>24.57</v>
      </c>
      <c r="O42" s="11">
        <v>12</v>
      </c>
      <c r="P42" s="11">
        <v>1.44</v>
      </c>
      <c r="Q42" s="11"/>
      <c r="R42" s="11"/>
      <c r="S42" s="11"/>
      <c r="T42" s="11"/>
      <c r="U42" s="11">
        <v>18</v>
      </c>
      <c r="V42" s="56" t="s">
        <v>424</v>
      </c>
      <c r="W42" s="35" t="str">
        <f t="shared" si="2"/>
        <v>OK</v>
      </c>
      <c r="X42" s="38" t="str">
        <f t="shared" si="5"/>
        <v/>
      </c>
      <c r="Y42" s="3"/>
      <c r="Z42" s="3"/>
    </row>
    <row r="43" spans="1:26" ht="15.75" customHeight="1" outlineLevel="1" x14ac:dyDescent="0.3">
      <c r="A43" s="3"/>
      <c r="B43" s="52" t="s">
        <v>462</v>
      </c>
      <c r="C43" s="53"/>
      <c r="D43" s="53" t="s">
        <v>105</v>
      </c>
      <c r="E43" s="11">
        <f t="shared" si="3"/>
        <v>218</v>
      </c>
      <c r="F43" s="92"/>
      <c r="G43" s="95"/>
      <c r="H43" s="93"/>
      <c r="I43" s="54"/>
      <c r="J43" s="55"/>
      <c r="K43" s="11"/>
      <c r="L43" s="53" t="str">
        <f t="shared" si="4"/>
        <v/>
      </c>
      <c r="M43" s="11">
        <v>151.99</v>
      </c>
      <c r="N43" s="11">
        <v>24.57</v>
      </c>
      <c r="O43" s="11">
        <v>12</v>
      </c>
      <c r="P43" s="11">
        <v>1.44</v>
      </c>
      <c r="Q43" s="11"/>
      <c r="R43" s="11">
        <v>5</v>
      </c>
      <c r="S43" s="11">
        <v>5</v>
      </c>
      <c r="T43" s="11"/>
      <c r="U43" s="11">
        <v>18</v>
      </c>
      <c r="V43" s="56" t="s">
        <v>424</v>
      </c>
      <c r="W43" s="35" t="str">
        <f t="shared" si="2"/>
        <v>Diferente</v>
      </c>
      <c r="X43" s="38">
        <f t="shared" si="5"/>
        <v>-218</v>
      </c>
      <c r="Y43" s="3"/>
      <c r="Z43" s="3"/>
    </row>
    <row r="44" spans="1:26" ht="15.75" customHeight="1" outlineLevel="1" x14ac:dyDescent="0.3">
      <c r="A44" s="3"/>
      <c r="B44" s="9" t="s">
        <v>463</v>
      </c>
      <c r="C44" s="53">
        <v>13</v>
      </c>
      <c r="D44" s="53" t="s">
        <v>95</v>
      </c>
      <c r="E44" s="11">
        <f t="shared" si="3"/>
        <v>316.89</v>
      </c>
      <c r="F44" s="92">
        <f t="shared" ref="F44:F47" si="11">E44</f>
        <v>316.89</v>
      </c>
      <c r="G44" s="237"/>
      <c r="H44" s="93" t="s">
        <v>37</v>
      </c>
      <c r="I44" s="54"/>
      <c r="J44" s="55"/>
      <c r="K44" s="11"/>
      <c r="L44" s="53">
        <f t="shared" si="4"/>
        <v>1</v>
      </c>
      <c r="M44" s="11">
        <v>125.88</v>
      </c>
      <c r="N44" s="11">
        <v>24.57</v>
      </c>
      <c r="O44" s="11">
        <v>12</v>
      </c>
      <c r="P44" s="11">
        <v>1.44</v>
      </c>
      <c r="Q44" s="11">
        <v>5</v>
      </c>
      <c r="R44" s="11">
        <v>10</v>
      </c>
      <c r="S44" s="11">
        <v>20</v>
      </c>
      <c r="T44" s="11">
        <v>100</v>
      </c>
      <c r="U44" s="11">
        <v>18</v>
      </c>
      <c r="V44" s="56" t="s">
        <v>424</v>
      </c>
      <c r="W44" s="35" t="str">
        <f t="shared" si="2"/>
        <v>OK</v>
      </c>
      <c r="X44" s="38" t="str">
        <f t="shared" si="5"/>
        <v/>
      </c>
      <c r="Y44" s="3"/>
      <c r="Z44" s="3"/>
    </row>
    <row r="45" spans="1:26" ht="15.75" customHeight="1" outlineLevel="1" x14ac:dyDescent="0.3">
      <c r="A45" s="3"/>
      <c r="B45" s="9" t="s">
        <v>464</v>
      </c>
      <c r="C45" s="53">
        <v>13</v>
      </c>
      <c r="D45" s="53" t="s">
        <v>95</v>
      </c>
      <c r="E45" s="11">
        <f t="shared" si="3"/>
        <v>180.44</v>
      </c>
      <c r="F45" s="92">
        <f t="shared" si="11"/>
        <v>180.44</v>
      </c>
      <c r="G45" s="214"/>
      <c r="H45" s="93" t="s">
        <v>37</v>
      </c>
      <c r="I45" s="54"/>
      <c r="J45" s="55"/>
      <c r="K45" s="11"/>
      <c r="L45" s="53">
        <f t="shared" si="4"/>
        <v>1</v>
      </c>
      <c r="M45" s="11">
        <v>99.43</v>
      </c>
      <c r="N45" s="11">
        <v>24.57</v>
      </c>
      <c r="O45" s="11">
        <v>12</v>
      </c>
      <c r="P45" s="11">
        <v>1.44</v>
      </c>
      <c r="Q45" s="11">
        <v>5</v>
      </c>
      <c r="R45" s="11"/>
      <c r="S45" s="11">
        <v>20</v>
      </c>
      <c r="T45" s="11"/>
      <c r="U45" s="11">
        <v>18</v>
      </c>
      <c r="V45" s="56" t="s">
        <v>424</v>
      </c>
      <c r="W45" s="35" t="str">
        <f t="shared" si="2"/>
        <v>OK</v>
      </c>
      <c r="X45" s="38" t="str">
        <f t="shared" si="5"/>
        <v/>
      </c>
      <c r="Y45" s="3"/>
      <c r="Z45" s="3"/>
    </row>
    <row r="46" spans="1:26" ht="15.75" customHeight="1" outlineLevel="1" x14ac:dyDescent="0.3">
      <c r="A46" s="3"/>
      <c r="B46" s="52" t="s">
        <v>465</v>
      </c>
      <c r="C46" s="53">
        <v>8</v>
      </c>
      <c r="D46" s="53" t="s">
        <v>95</v>
      </c>
      <c r="E46" s="11">
        <f t="shared" si="3"/>
        <v>170</v>
      </c>
      <c r="F46" s="92">
        <f t="shared" si="11"/>
        <v>170</v>
      </c>
      <c r="G46" s="237"/>
      <c r="H46" s="93" t="s">
        <v>37</v>
      </c>
      <c r="I46" s="54"/>
      <c r="J46" s="55"/>
      <c r="K46" s="11"/>
      <c r="L46" s="53" t="str">
        <f t="shared" si="4"/>
        <v/>
      </c>
      <c r="M46" s="11">
        <v>93.43</v>
      </c>
      <c r="N46" s="11">
        <v>24.57</v>
      </c>
      <c r="O46" s="11">
        <v>12</v>
      </c>
      <c r="P46" s="11">
        <v>2</v>
      </c>
      <c r="Q46" s="11">
        <v>5</v>
      </c>
      <c r="R46" s="11">
        <v>5</v>
      </c>
      <c r="S46" s="11">
        <v>10</v>
      </c>
      <c r="T46" s="11"/>
      <c r="U46" s="11">
        <v>18</v>
      </c>
      <c r="V46" s="56" t="s">
        <v>424</v>
      </c>
      <c r="W46" s="35" t="str">
        <f t="shared" si="2"/>
        <v>OK</v>
      </c>
      <c r="X46" s="38" t="str">
        <f t="shared" si="5"/>
        <v/>
      </c>
      <c r="Y46" s="3"/>
      <c r="Z46" s="3"/>
    </row>
    <row r="47" spans="1:26" ht="15.75" customHeight="1" outlineLevel="1" x14ac:dyDescent="0.3">
      <c r="A47" s="3"/>
      <c r="B47" s="52" t="s">
        <v>466</v>
      </c>
      <c r="C47" s="53">
        <v>8</v>
      </c>
      <c r="D47" s="53" t="s">
        <v>95</v>
      </c>
      <c r="E47" s="11">
        <f t="shared" si="3"/>
        <v>105</v>
      </c>
      <c r="F47" s="92">
        <f t="shared" si="11"/>
        <v>105</v>
      </c>
      <c r="G47" s="214"/>
      <c r="H47" s="93" t="s">
        <v>37</v>
      </c>
      <c r="I47" s="54"/>
      <c r="J47" s="55"/>
      <c r="K47" s="11"/>
      <c r="L47" s="53" t="str">
        <f t="shared" si="4"/>
        <v/>
      </c>
      <c r="M47" s="11">
        <v>43.93</v>
      </c>
      <c r="N47" s="11">
        <v>24.57</v>
      </c>
      <c r="O47" s="11">
        <v>12</v>
      </c>
      <c r="P47" s="11">
        <v>1.5</v>
      </c>
      <c r="Q47" s="11"/>
      <c r="R47" s="11"/>
      <c r="S47" s="11">
        <v>5</v>
      </c>
      <c r="T47" s="11"/>
      <c r="U47" s="11">
        <v>18</v>
      </c>
      <c r="V47" s="56" t="s">
        <v>424</v>
      </c>
      <c r="W47" s="35" t="str">
        <f t="shared" si="2"/>
        <v>OK</v>
      </c>
      <c r="X47" s="38" t="str">
        <f t="shared" si="5"/>
        <v/>
      </c>
      <c r="Y47" s="3"/>
      <c r="Z47" s="3"/>
    </row>
    <row r="48" spans="1:26" ht="15.75" customHeight="1" outlineLevel="1" x14ac:dyDescent="0.3">
      <c r="A48" s="3"/>
      <c r="B48" s="9" t="s">
        <v>467</v>
      </c>
      <c r="C48" s="53"/>
      <c r="D48" s="53" t="s">
        <v>105</v>
      </c>
      <c r="E48" s="11">
        <f t="shared" si="3"/>
        <v>249.99</v>
      </c>
      <c r="F48" s="92"/>
      <c r="G48" s="237"/>
      <c r="H48" s="93"/>
      <c r="I48" s="54"/>
      <c r="J48" s="55"/>
      <c r="K48" s="11"/>
      <c r="L48" s="53" t="str">
        <f t="shared" si="4"/>
        <v/>
      </c>
      <c r="M48" s="11">
        <v>118.98</v>
      </c>
      <c r="N48" s="11">
        <v>24.57</v>
      </c>
      <c r="O48" s="11">
        <v>12</v>
      </c>
      <c r="P48" s="11">
        <v>11.44</v>
      </c>
      <c r="Q48" s="11">
        <v>5</v>
      </c>
      <c r="R48" s="11">
        <v>10</v>
      </c>
      <c r="S48" s="11"/>
      <c r="T48" s="11"/>
      <c r="U48" s="11">
        <v>68</v>
      </c>
      <c r="V48" s="56" t="s">
        <v>431</v>
      </c>
      <c r="W48" s="35" t="str">
        <f t="shared" si="2"/>
        <v>Diferente</v>
      </c>
      <c r="X48" s="38">
        <f t="shared" si="5"/>
        <v>-249.99</v>
      </c>
      <c r="Y48" s="3"/>
      <c r="Z48" s="3"/>
    </row>
    <row r="49" spans="1:26" ht="15.75" customHeight="1" outlineLevel="1" x14ac:dyDescent="0.3">
      <c r="A49" s="3"/>
      <c r="B49" s="9" t="s">
        <v>468</v>
      </c>
      <c r="C49" s="53"/>
      <c r="D49" s="53" t="s">
        <v>105</v>
      </c>
      <c r="E49" s="11">
        <f t="shared" si="3"/>
        <v>111.74</v>
      </c>
      <c r="F49" s="92"/>
      <c r="G49" s="214"/>
      <c r="H49" s="93"/>
      <c r="I49" s="54"/>
      <c r="J49" s="55"/>
      <c r="K49" s="11"/>
      <c r="L49" s="53" t="str">
        <f t="shared" si="4"/>
        <v/>
      </c>
      <c r="M49" s="11">
        <v>55.73</v>
      </c>
      <c r="N49" s="11">
        <v>24.57</v>
      </c>
      <c r="O49" s="11">
        <v>12</v>
      </c>
      <c r="P49" s="11">
        <v>1.44</v>
      </c>
      <c r="Q49" s="11"/>
      <c r="R49" s="11"/>
      <c r="S49" s="11"/>
      <c r="T49" s="11"/>
      <c r="U49" s="11">
        <v>18</v>
      </c>
      <c r="V49" s="56" t="s">
        <v>424</v>
      </c>
      <c r="W49" s="35" t="str">
        <f t="shared" si="2"/>
        <v>Diferente</v>
      </c>
      <c r="X49" s="38">
        <f t="shared" si="5"/>
        <v>-111.74</v>
      </c>
      <c r="Y49" s="3"/>
      <c r="Z49" s="3"/>
    </row>
    <row r="50" spans="1:26" ht="15.75" customHeight="1" outlineLevel="1" x14ac:dyDescent="0.3">
      <c r="A50" s="3"/>
      <c r="B50" s="52" t="s">
        <v>469</v>
      </c>
      <c r="C50" s="53">
        <v>8</v>
      </c>
      <c r="D50" s="53" t="s">
        <v>95</v>
      </c>
      <c r="E50" s="11">
        <f t="shared" si="3"/>
        <v>112.75999999999999</v>
      </c>
      <c r="F50" s="92">
        <f t="shared" ref="F50:F56" si="12">E50</f>
        <v>112.75999999999999</v>
      </c>
      <c r="G50" s="237"/>
      <c r="H50" s="93" t="s">
        <v>37</v>
      </c>
      <c r="I50" s="54"/>
      <c r="J50" s="55"/>
      <c r="K50" s="11"/>
      <c r="L50" s="53" t="str">
        <f t="shared" si="4"/>
        <v/>
      </c>
      <c r="M50" s="11">
        <v>58.19</v>
      </c>
      <c r="N50" s="11">
        <v>24.57</v>
      </c>
      <c r="O50" s="11">
        <v>12</v>
      </c>
      <c r="P50" s="11" t="s">
        <v>44</v>
      </c>
      <c r="Q50" s="11" t="s">
        <v>44</v>
      </c>
      <c r="R50" s="11" t="s">
        <v>44</v>
      </c>
      <c r="S50" s="11" t="s">
        <v>44</v>
      </c>
      <c r="T50" s="11"/>
      <c r="U50" s="11">
        <v>18</v>
      </c>
      <c r="V50" s="56" t="s">
        <v>424</v>
      </c>
      <c r="W50" s="35" t="str">
        <f t="shared" si="2"/>
        <v>OK</v>
      </c>
      <c r="X50" s="38" t="str">
        <f t="shared" si="5"/>
        <v/>
      </c>
      <c r="Y50" s="3"/>
      <c r="Z50" s="3"/>
    </row>
    <row r="51" spans="1:26" ht="15.75" customHeight="1" outlineLevel="1" x14ac:dyDescent="0.3">
      <c r="A51" s="3"/>
      <c r="B51" s="52" t="s">
        <v>470</v>
      </c>
      <c r="C51" s="53">
        <v>8</v>
      </c>
      <c r="D51" s="53" t="s">
        <v>95</v>
      </c>
      <c r="E51" s="11">
        <f t="shared" si="3"/>
        <v>88.45</v>
      </c>
      <c r="F51" s="92">
        <f t="shared" si="12"/>
        <v>88.45</v>
      </c>
      <c r="G51" s="214"/>
      <c r="H51" s="93" t="s">
        <v>37</v>
      </c>
      <c r="I51" s="54"/>
      <c r="J51" s="55"/>
      <c r="K51" s="11"/>
      <c r="L51" s="53" t="str">
        <f t="shared" si="4"/>
        <v/>
      </c>
      <c r="M51" s="11">
        <v>33.880000000000003</v>
      </c>
      <c r="N51" s="11">
        <v>24.57</v>
      </c>
      <c r="O51" s="11">
        <v>12</v>
      </c>
      <c r="P51" s="11" t="s">
        <v>44</v>
      </c>
      <c r="Q51" s="11"/>
      <c r="R51" s="11" t="s">
        <v>44</v>
      </c>
      <c r="S51" s="11"/>
      <c r="T51" s="11"/>
      <c r="U51" s="11">
        <v>18</v>
      </c>
      <c r="V51" s="56" t="s">
        <v>424</v>
      </c>
      <c r="W51" s="35" t="str">
        <f t="shared" si="2"/>
        <v>OK</v>
      </c>
      <c r="X51" s="38" t="str">
        <f t="shared" si="5"/>
        <v/>
      </c>
      <c r="Y51" s="3"/>
      <c r="Z51" s="3"/>
    </row>
    <row r="52" spans="1:26" ht="15.75" customHeight="1" outlineLevel="1" x14ac:dyDescent="0.3">
      <c r="A52" s="3"/>
      <c r="B52" s="9" t="s">
        <v>471</v>
      </c>
      <c r="C52" s="53">
        <v>22</v>
      </c>
      <c r="D52" s="53" t="s">
        <v>95</v>
      </c>
      <c r="E52" s="11">
        <f t="shared" si="3"/>
        <v>409.69</v>
      </c>
      <c r="F52" s="92">
        <f t="shared" si="12"/>
        <v>409.69</v>
      </c>
      <c r="G52" s="237"/>
      <c r="H52" s="93" t="s">
        <v>37</v>
      </c>
      <c r="I52" s="54"/>
      <c r="J52" s="55"/>
      <c r="K52" s="11"/>
      <c r="L52" s="53">
        <f t="shared" si="4"/>
        <v>1</v>
      </c>
      <c r="M52" s="11">
        <v>93.62</v>
      </c>
      <c r="N52" s="11">
        <v>24.57</v>
      </c>
      <c r="O52" s="11">
        <v>12</v>
      </c>
      <c r="P52" s="11">
        <v>1.5</v>
      </c>
      <c r="Q52" s="11"/>
      <c r="R52" s="11"/>
      <c r="S52" s="11">
        <v>10</v>
      </c>
      <c r="T52" s="11"/>
      <c r="U52" s="11">
        <v>268</v>
      </c>
      <c r="V52" s="56" t="s">
        <v>472</v>
      </c>
      <c r="W52" s="35" t="str">
        <f t="shared" si="2"/>
        <v>OK</v>
      </c>
      <c r="X52" s="38" t="str">
        <f t="shared" si="5"/>
        <v/>
      </c>
      <c r="Y52" s="3"/>
      <c r="Z52" s="3"/>
    </row>
    <row r="53" spans="1:26" ht="15.75" customHeight="1" outlineLevel="1" x14ac:dyDescent="0.3">
      <c r="A53" s="3"/>
      <c r="B53" s="9" t="s">
        <v>473</v>
      </c>
      <c r="C53" s="53">
        <v>22</v>
      </c>
      <c r="D53" s="53" t="s">
        <v>95</v>
      </c>
      <c r="E53" s="11">
        <f t="shared" si="3"/>
        <v>149.69</v>
      </c>
      <c r="F53" s="92">
        <f t="shared" si="12"/>
        <v>149.69</v>
      </c>
      <c r="G53" s="214"/>
      <c r="H53" s="93" t="s">
        <v>37</v>
      </c>
      <c r="I53" s="54"/>
      <c r="J53" s="55"/>
      <c r="K53" s="11"/>
      <c r="L53" s="53">
        <f t="shared" si="4"/>
        <v>1</v>
      </c>
      <c r="M53" s="11">
        <v>93.62</v>
      </c>
      <c r="N53" s="11">
        <v>24.57</v>
      </c>
      <c r="O53" s="11">
        <v>12</v>
      </c>
      <c r="P53" s="11">
        <v>1.5</v>
      </c>
      <c r="Q53" s="11"/>
      <c r="R53" s="11"/>
      <c r="S53" s="11"/>
      <c r="T53" s="11"/>
      <c r="U53" s="11">
        <v>18</v>
      </c>
      <c r="V53" s="56" t="s">
        <v>424</v>
      </c>
      <c r="W53" s="35" t="str">
        <f t="shared" si="2"/>
        <v>OK</v>
      </c>
      <c r="X53" s="38" t="str">
        <f t="shared" si="5"/>
        <v/>
      </c>
      <c r="Y53" s="3"/>
      <c r="Z53" s="3"/>
    </row>
    <row r="54" spans="1:26" ht="15.75" customHeight="1" outlineLevel="1" x14ac:dyDescent="0.3">
      <c r="A54" s="3"/>
      <c r="B54" s="52" t="s">
        <v>474</v>
      </c>
      <c r="C54" s="53">
        <v>9</v>
      </c>
      <c r="D54" s="53" t="s">
        <v>95</v>
      </c>
      <c r="E54" s="11">
        <f t="shared" si="3"/>
        <v>200.44</v>
      </c>
      <c r="F54" s="92">
        <f t="shared" si="12"/>
        <v>200.44</v>
      </c>
      <c r="G54" s="95"/>
      <c r="H54" s="93" t="s">
        <v>37</v>
      </c>
      <c r="I54" s="54"/>
      <c r="J54" s="55"/>
      <c r="K54" s="11"/>
      <c r="L54" s="53" t="str">
        <f t="shared" si="4"/>
        <v/>
      </c>
      <c r="M54" s="11">
        <v>139.43</v>
      </c>
      <c r="N54" s="11">
        <v>24.57</v>
      </c>
      <c r="O54" s="11">
        <v>12</v>
      </c>
      <c r="P54" s="11">
        <v>1.44</v>
      </c>
      <c r="Q54" s="11">
        <v>5</v>
      </c>
      <c r="R54" s="11"/>
      <c r="S54" s="11"/>
      <c r="T54" s="11"/>
      <c r="U54" s="11">
        <v>18</v>
      </c>
      <c r="V54" s="56" t="s">
        <v>424</v>
      </c>
      <c r="W54" s="35" t="str">
        <f t="shared" si="2"/>
        <v>OK</v>
      </c>
      <c r="X54" s="38" t="str">
        <f t="shared" si="5"/>
        <v/>
      </c>
      <c r="Y54" s="3"/>
      <c r="Z54" s="3"/>
    </row>
    <row r="55" spans="1:26" ht="15.75" customHeight="1" outlineLevel="1" x14ac:dyDescent="0.3">
      <c r="A55" s="3"/>
      <c r="B55" s="9" t="s">
        <v>475</v>
      </c>
      <c r="C55" s="53">
        <v>8</v>
      </c>
      <c r="D55" s="53" t="s">
        <v>95</v>
      </c>
      <c r="E55" s="11">
        <f t="shared" si="3"/>
        <v>664.29</v>
      </c>
      <c r="F55" s="92">
        <f t="shared" si="12"/>
        <v>664.29</v>
      </c>
      <c r="G55" s="237"/>
      <c r="H55" s="93" t="s">
        <v>37</v>
      </c>
      <c r="I55" s="54"/>
      <c r="J55" s="55"/>
      <c r="K55" s="11"/>
      <c r="L55" s="53" t="str">
        <f t="shared" si="4"/>
        <v/>
      </c>
      <c r="M55" s="11">
        <v>98.28</v>
      </c>
      <c r="N55" s="11">
        <v>24.57</v>
      </c>
      <c r="O55" s="11">
        <v>12</v>
      </c>
      <c r="P55" s="11">
        <v>1.44</v>
      </c>
      <c r="Q55" s="11"/>
      <c r="R55" s="11">
        <v>10</v>
      </c>
      <c r="S55" s="11"/>
      <c r="T55" s="11">
        <v>100</v>
      </c>
      <c r="U55" s="11">
        <v>418</v>
      </c>
      <c r="V55" s="56" t="s">
        <v>476</v>
      </c>
      <c r="W55" s="35" t="str">
        <f t="shared" si="2"/>
        <v>OK</v>
      </c>
      <c r="X55" s="38" t="str">
        <f t="shared" si="5"/>
        <v/>
      </c>
      <c r="Y55" s="3"/>
      <c r="Z55" s="3"/>
    </row>
    <row r="56" spans="1:26" ht="15.75" customHeight="1" outlineLevel="1" x14ac:dyDescent="0.3">
      <c r="A56" s="3"/>
      <c r="B56" s="9" t="s">
        <v>477</v>
      </c>
      <c r="C56" s="53">
        <v>8</v>
      </c>
      <c r="D56" s="53" t="s">
        <v>95</v>
      </c>
      <c r="E56" s="11">
        <f t="shared" si="3"/>
        <v>164.29</v>
      </c>
      <c r="F56" s="92">
        <f t="shared" si="12"/>
        <v>164.29</v>
      </c>
      <c r="G56" s="214"/>
      <c r="H56" s="93" t="s">
        <v>37</v>
      </c>
      <c r="I56" s="54"/>
      <c r="J56" s="55"/>
      <c r="K56" s="11"/>
      <c r="L56" s="53" t="str">
        <f t="shared" si="4"/>
        <v/>
      </c>
      <c r="M56" s="11">
        <v>98.28</v>
      </c>
      <c r="N56" s="11">
        <v>24.57</v>
      </c>
      <c r="O56" s="11">
        <v>12</v>
      </c>
      <c r="P56" s="11">
        <v>1.44</v>
      </c>
      <c r="Q56" s="11"/>
      <c r="R56" s="11">
        <v>10</v>
      </c>
      <c r="S56" s="11"/>
      <c r="T56" s="11"/>
      <c r="U56" s="11">
        <v>18</v>
      </c>
      <c r="V56" s="56" t="s">
        <v>424</v>
      </c>
      <c r="W56" s="35" t="str">
        <f t="shared" si="2"/>
        <v>OK</v>
      </c>
      <c r="X56" s="38" t="str">
        <f t="shared" si="5"/>
        <v/>
      </c>
      <c r="Y56" s="3"/>
      <c r="Z56" s="3"/>
    </row>
    <row r="57" spans="1:26" ht="15.75" customHeight="1" outlineLevel="1" x14ac:dyDescent="0.3">
      <c r="A57" s="3"/>
      <c r="B57" s="52" t="s">
        <v>478</v>
      </c>
      <c r="C57" s="53">
        <v>17</v>
      </c>
      <c r="D57" s="53" t="s">
        <v>95</v>
      </c>
      <c r="E57" s="11">
        <v>75</v>
      </c>
      <c r="F57" s="92">
        <f>SUM(M57:U57)</f>
        <v>175</v>
      </c>
      <c r="G57" s="96"/>
      <c r="H57" s="93" t="s">
        <v>37</v>
      </c>
      <c r="I57" s="54"/>
      <c r="J57" s="55"/>
      <c r="K57" s="11"/>
      <c r="L57" s="53">
        <f t="shared" si="4"/>
        <v>1</v>
      </c>
      <c r="M57" s="11">
        <f>13.93+100</f>
        <v>113.93</v>
      </c>
      <c r="N57" s="11">
        <v>24.57</v>
      </c>
      <c r="O57" s="11">
        <v>12</v>
      </c>
      <c r="P57" s="11">
        <v>1.5</v>
      </c>
      <c r="Q57" s="11">
        <v>5</v>
      </c>
      <c r="R57" s="11"/>
      <c r="S57" s="11"/>
      <c r="T57" s="11"/>
      <c r="U57" s="11">
        <v>18</v>
      </c>
      <c r="V57" s="56" t="s">
        <v>424</v>
      </c>
      <c r="W57" s="35" t="str">
        <f t="shared" si="2"/>
        <v>OK</v>
      </c>
      <c r="X57" s="38" t="str">
        <f t="shared" si="5"/>
        <v/>
      </c>
      <c r="Y57" s="3"/>
      <c r="Z57" s="3"/>
    </row>
    <row r="58" spans="1:26" ht="15.75" customHeight="1" outlineLevel="1" x14ac:dyDescent="0.3">
      <c r="A58" s="3"/>
      <c r="B58" s="9" t="s">
        <v>479</v>
      </c>
      <c r="C58" s="53">
        <v>9</v>
      </c>
      <c r="D58" s="53" t="s">
        <v>95</v>
      </c>
      <c r="E58" s="11">
        <f t="shared" ref="E58:E60" si="13">SUM(M58:U58)</f>
        <v>168.5</v>
      </c>
      <c r="F58" s="92">
        <f t="shared" ref="F58:F60" si="14">E58</f>
        <v>168.5</v>
      </c>
      <c r="G58" s="237"/>
      <c r="H58" s="93" t="s">
        <v>37</v>
      </c>
      <c r="I58" s="54"/>
      <c r="J58" s="55"/>
      <c r="K58" s="11"/>
      <c r="L58" s="53" t="str">
        <f t="shared" si="4"/>
        <v/>
      </c>
      <c r="M58" s="11">
        <v>93.43</v>
      </c>
      <c r="N58" s="11">
        <v>24.57</v>
      </c>
      <c r="O58" s="11">
        <v>12</v>
      </c>
      <c r="P58" s="11">
        <v>1.5</v>
      </c>
      <c r="Q58" s="11"/>
      <c r="R58" s="11">
        <v>10</v>
      </c>
      <c r="S58" s="11">
        <v>4</v>
      </c>
      <c r="T58" s="11">
        <v>5</v>
      </c>
      <c r="U58" s="11">
        <v>18</v>
      </c>
      <c r="V58" s="56" t="s">
        <v>424</v>
      </c>
      <c r="W58" s="35" t="str">
        <f t="shared" si="2"/>
        <v>OK</v>
      </c>
      <c r="X58" s="38" t="str">
        <f t="shared" si="5"/>
        <v/>
      </c>
      <c r="Y58" s="3"/>
      <c r="Z58" s="3"/>
    </row>
    <row r="59" spans="1:26" ht="15.75" customHeight="1" outlineLevel="1" x14ac:dyDescent="0.3">
      <c r="A59" s="3"/>
      <c r="B59" s="9" t="s">
        <v>480</v>
      </c>
      <c r="C59" s="53">
        <v>9</v>
      </c>
      <c r="D59" s="53" t="s">
        <v>95</v>
      </c>
      <c r="E59" s="11">
        <f t="shared" si="13"/>
        <v>167.5</v>
      </c>
      <c r="F59" s="92">
        <f t="shared" si="14"/>
        <v>167.5</v>
      </c>
      <c r="G59" s="214"/>
      <c r="H59" s="93" t="s">
        <v>37</v>
      </c>
      <c r="I59" s="54"/>
      <c r="J59" s="55"/>
      <c r="K59" s="11"/>
      <c r="L59" s="53" t="str">
        <f t="shared" si="4"/>
        <v/>
      </c>
      <c r="M59" s="11">
        <v>93.43</v>
      </c>
      <c r="N59" s="11">
        <v>24.57</v>
      </c>
      <c r="O59" s="11">
        <v>12</v>
      </c>
      <c r="P59" s="11">
        <v>1.5</v>
      </c>
      <c r="Q59" s="11"/>
      <c r="R59" s="11">
        <v>10</v>
      </c>
      <c r="S59" s="11">
        <v>3</v>
      </c>
      <c r="T59" s="11">
        <v>5</v>
      </c>
      <c r="U59" s="11">
        <v>18</v>
      </c>
      <c r="V59" s="56" t="s">
        <v>424</v>
      </c>
      <c r="W59" s="35" t="str">
        <f t="shared" si="2"/>
        <v>OK</v>
      </c>
      <c r="X59" s="38" t="str">
        <f t="shared" si="5"/>
        <v/>
      </c>
      <c r="Y59" s="3"/>
      <c r="Z59" s="3"/>
    </row>
    <row r="60" spans="1:26" ht="15.75" customHeight="1" outlineLevel="1" x14ac:dyDescent="0.3">
      <c r="A60" s="3"/>
      <c r="B60" s="52" t="s">
        <v>481</v>
      </c>
      <c r="C60" s="53">
        <v>8</v>
      </c>
      <c r="D60" s="53" t="s">
        <v>95</v>
      </c>
      <c r="E60" s="11">
        <f t="shared" si="13"/>
        <v>100</v>
      </c>
      <c r="F60" s="92">
        <f t="shared" si="14"/>
        <v>100</v>
      </c>
      <c r="G60" s="53"/>
      <c r="H60" s="93" t="s">
        <v>37</v>
      </c>
      <c r="I60" s="54"/>
      <c r="J60" s="55"/>
      <c r="K60" s="11"/>
      <c r="L60" s="53" t="str">
        <f t="shared" si="4"/>
        <v/>
      </c>
      <c r="M60" s="11">
        <v>61.93</v>
      </c>
      <c r="N60" s="11">
        <v>24.57</v>
      </c>
      <c r="O60" s="11">
        <v>12</v>
      </c>
      <c r="P60" s="11">
        <v>1.5</v>
      </c>
      <c r="Q60" s="11"/>
      <c r="R60" s="11"/>
      <c r="S60" s="11"/>
      <c r="T60" s="11"/>
      <c r="U60" s="11"/>
      <c r="V60" s="56"/>
      <c r="W60" s="35" t="str">
        <f t="shared" si="2"/>
        <v>OK</v>
      </c>
      <c r="X60" s="38" t="str">
        <f t="shared" si="5"/>
        <v/>
      </c>
      <c r="Y60" s="3"/>
      <c r="Z60" s="3"/>
    </row>
    <row r="61" spans="1:26" ht="15.75" customHeight="1" outlineLevel="1" x14ac:dyDescent="0.3">
      <c r="A61" s="3"/>
      <c r="B61" s="9" t="s">
        <v>482</v>
      </c>
      <c r="C61" s="53">
        <v>4</v>
      </c>
      <c r="D61" s="53" t="s">
        <v>130</v>
      </c>
      <c r="E61" s="11">
        <v>80.37</v>
      </c>
      <c r="F61" s="92">
        <f>SUM(M61:U61)</f>
        <v>363.48</v>
      </c>
      <c r="G61" s="94"/>
      <c r="H61" s="93" t="s">
        <v>38</v>
      </c>
      <c r="I61" s="54"/>
      <c r="J61" s="55"/>
      <c r="K61" s="11"/>
      <c r="L61" s="53" t="str">
        <f t="shared" si="4"/>
        <v/>
      </c>
      <c r="M61" s="11">
        <f>19.36+283.11</f>
        <v>302.47000000000003</v>
      </c>
      <c r="N61" s="11">
        <v>24.57</v>
      </c>
      <c r="O61" s="11">
        <v>12</v>
      </c>
      <c r="P61" s="11">
        <v>1.44</v>
      </c>
      <c r="Q61" s="11">
        <v>5</v>
      </c>
      <c r="R61" s="11"/>
      <c r="S61" s="11"/>
      <c r="T61" s="11"/>
      <c r="U61" s="11">
        <v>18</v>
      </c>
      <c r="V61" s="56" t="s">
        <v>424</v>
      </c>
      <c r="W61" s="35" t="str">
        <f t="shared" si="2"/>
        <v>OK</v>
      </c>
      <c r="X61" s="38" t="str">
        <f t="shared" si="5"/>
        <v/>
      </c>
      <c r="Y61" s="3"/>
      <c r="Z61" s="3"/>
    </row>
    <row r="62" spans="1:26" ht="15.75" customHeight="1" outlineLevel="1" x14ac:dyDescent="0.3">
      <c r="A62" s="3"/>
      <c r="B62" s="52" t="s">
        <v>483</v>
      </c>
      <c r="C62" s="53"/>
      <c r="D62" s="53" t="s">
        <v>105</v>
      </c>
      <c r="E62" s="11">
        <f t="shared" ref="E62:E96" si="15">SUM(M62:U62)</f>
        <v>90.75</v>
      </c>
      <c r="F62" s="92"/>
      <c r="G62" s="237"/>
      <c r="H62" s="93"/>
      <c r="I62" s="54"/>
      <c r="J62" s="55"/>
      <c r="K62" s="11"/>
      <c r="L62" s="53" t="str">
        <f t="shared" si="4"/>
        <v/>
      </c>
      <c r="M62" s="11">
        <v>29.74</v>
      </c>
      <c r="N62" s="11">
        <v>24.57</v>
      </c>
      <c r="O62" s="11">
        <v>12</v>
      </c>
      <c r="P62" s="11">
        <v>1.44</v>
      </c>
      <c r="Q62" s="11">
        <v>5</v>
      </c>
      <c r="R62" s="11"/>
      <c r="S62" s="11"/>
      <c r="T62" s="11"/>
      <c r="U62" s="11">
        <v>18</v>
      </c>
      <c r="V62" s="56" t="s">
        <v>424</v>
      </c>
      <c r="W62" s="35" t="str">
        <f t="shared" si="2"/>
        <v>Diferente</v>
      </c>
      <c r="X62" s="38">
        <f t="shared" si="5"/>
        <v>-90.75</v>
      </c>
      <c r="Y62" s="3"/>
      <c r="Z62" s="3"/>
    </row>
    <row r="63" spans="1:26" ht="15.75" customHeight="1" outlineLevel="1" x14ac:dyDescent="0.3">
      <c r="A63" s="3"/>
      <c r="B63" s="52" t="s">
        <v>484</v>
      </c>
      <c r="C63" s="53"/>
      <c r="D63" s="53" t="s">
        <v>105</v>
      </c>
      <c r="E63" s="11">
        <f t="shared" si="15"/>
        <v>91</v>
      </c>
      <c r="F63" s="92"/>
      <c r="G63" s="214"/>
      <c r="H63" s="93"/>
      <c r="I63" s="54"/>
      <c r="J63" s="55"/>
      <c r="K63" s="11"/>
      <c r="L63" s="53" t="str">
        <f t="shared" si="4"/>
        <v/>
      </c>
      <c r="M63" s="11">
        <v>29.93</v>
      </c>
      <c r="N63" s="11">
        <v>24.57</v>
      </c>
      <c r="O63" s="11">
        <v>12</v>
      </c>
      <c r="P63" s="11">
        <v>1.5</v>
      </c>
      <c r="Q63" s="11">
        <v>5</v>
      </c>
      <c r="R63" s="11"/>
      <c r="S63" s="11"/>
      <c r="T63" s="11"/>
      <c r="U63" s="11">
        <v>18</v>
      </c>
      <c r="V63" s="56" t="s">
        <v>424</v>
      </c>
      <c r="W63" s="35" t="str">
        <f t="shared" si="2"/>
        <v>Diferente</v>
      </c>
      <c r="X63" s="38">
        <f t="shared" si="5"/>
        <v>-91</v>
      </c>
      <c r="Y63" s="3"/>
      <c r="Z63" s="3"/>
    </row>
    <row r="64" spans="1:26" ht="15.75" customHeight="1" outlineLevel="1" x14ac:dyDescent="0.3">
      <c r="A64" s="3"/>
      <c r="B64" s="9" t="s">
        <v>485</v>
      </c>
      <c r="C64" s="53">
        <v>13</v>
      </c>
      <c r="D64" s="53" t="s">
        <v>95</v>
      </c>
      <c r="E64" s="11">
        <f t="shared" si="15"/>
        <v>168</v>
      </c>
      <c r="F64" s="92">
        <f t="shared" ref="F64:F66" si="16">E64</f>
        <v>168</v>
      </c>
      <c r="G64" s="80"/>
      <c r="H64" s="93" t="s">
        <v>37</v>
      </c>
      <c r="I64" s="54"/>
      <c r="J64" s="55"/>
      <c r="K64" s="11"/>
      <c r="L64" s="53">
        <f t="shared" si="4"/>
        <v>1</v>
      </c>
      <c r="M64" s="11">
        <v>61.99</v>
      </c>
      <c r="N64" s="11">
        <v>24.57</v>
      </c>
      <c r="O64" s="11">
        <v>12</v>
      </c>
      <c r="P64" s="11">
        <v>1.44</v>
      </c>
      <c r="Q64" s="11"/>
      <c r="R64" s="11"/>
      <c r="S64" s="11"/>
      <c r="T64" s="11"/>
      <c r="U64" s="11">
        <v>68</v>
      </c>
      <c r="V64" s="56" t="s">
        <v>486</v>
      </c>
      <c r="W64" s="35" t="str">
        <f t="shared" si="2"/>
        <v>OK</v>
      </c>
      <c r="X64" s="38" t="str">
        <f t="shared" si="5"/>
        <v/>
      </c>
      <c r="Y64" s="3"/>
      <c r="Z64" s="3"/>
    </row>
    <row r="65" spans="1:26" ht="15.75" customHeight="1" outlineLevel="1" x14ac:dyDescent="0.3">
      <c r="A65" s="3"/>
      <c r="B65" s="52" t="s">
        <v>487</v>
      </c>
      <c r="C65" s="53">
        <v>10</v>
      </c>
      <c r="D65" s="53" t="s">
        <v>95</v>
      </c>
      <c r="E65" s="11">
        <f t="shared" si="15"/>
        <v>78</v>
      </c>
      <c r="F65" s="92">
        <f t="shared" si="16"/>
        <v>78</v>
      </c>
      <c r="G65" s="94"/>
      <c r="H65" s="93" t="s">
        <v>37</v>
      </c>
      <c r="I65" s="54"/>
      <c r="J65" s="55"/>
      <c r="K65" s="11"/>
      <c r="L65" s="53" t="str">
        <f t="shared" si="4"/>
        <v/>
      </c>
      <c r="M65" s="11">
        <v>21.93</v>
      </c>
      <c r="N65" s="11">
        <v>24.57</v>
      </c>
      <c r="O65" s="11">
        <v>12</v>
      </c>
      <c r="P65" s="11">
        <v>1.5</v>
      </c>
      <c r="Q65" s="11"/>
      <c r="R65" s="11"/>
      <c r="S65" s="11"/>
      <c r="T65" s="11"/>
      <c r="U65" s="11">
        <v>18</v>
      </c>
      <c r="V65" s="56" t="s">
        <v>424</v>
      </c>
      <c r="W65" s="35" t="str">
        <f t="shared" si="2"/>
        <v>OK</v>
      </c>
      <c r="X65" s="38" t="str">
        <f t="shared" si="5"/>
        <v/>
      </c>
      <c r="Y65" s="3"/>
      <c r="Z65" s="3"/>
    </row>
    <row r="66" spans="1:26" ht="15.75" customHeight="1" outlineLevel="1" x14ac:dyDescent="0.3">
      <c r="A66" s="3"/>
      <c r="B66" s="9" t="s">
        <v>488</v>
      </c>
      <c r="C66" s="53">
        <v>13</v>
      </c>
      <c r="D66" s="53" t="s">
        <v>95</v>
      </c>
      <c r="E66" s="11">
        <f t="shared" si="15"/>
        <v>185</v>
      </c>
      <c r="F66" s="92">
        <f t="shared" si="16"/>
        <v>185</v>
      </c>
      <c r="G66" s="95"/>
      <c r="H66" s="93" t="s">
        <v>37</v>
      </c>
      <c r="I66" s="54"/>
      <c r="J66" s="55"/>
      <c r="K66" s="11"/>
      <c r="L66" s="53">
        <f t="shared" si="4"/>
        <v>1</v>
      </c>
      <c r="M66" s="11">
        <v>102.43</v>
      </c>
      <c r="N66" s="11">
        <v>24.57</v>
      </c>
      <c r="O66" s="11">
        <v>12</v>
      </c>
      <c r="P66" s="11">
        <v>3</v>
      </c>
      <c r="Q66" s="11">
        <v>15</v>
      </c>
      <c r="R66" s="11"/>
      <c r="S66" s="11">
        <v>10</v>
      </c>
      <c r="T66" s="11"/>
      <c r="U66" s="11">
        <v>18</v>
      </c>
      <c r="V66" s="56" t="s">
        <v>424</v>
      </c>
      <c r="W66" s="35" t="str">
        <f t="shared" si="2"/>
        <v>OK</v>
      </c>
      <c r="X66" s="38" t="str">
        <f t="shared" si="5"/>
        <v/>
      </c>
      <c r="Y66" s="3"/>
      <c r="Z66" s="3"/>
    </row>
    <row r="67" spans="1:26" ht="15.75" customHeight="1" outlineLevel="1" x14ac:dyDescent="0.3">
      <c r="A67" s="3"/>
      <c r="B67" s="52" t="s">
        <v>489</v>
      </c>
      <c r="C67" s="53"/>
      <c r="D67" s="53" t="s">
        <v>105</v>
      </c>
      <c r="E67" s="11">
        <f t="shared" si="15"/>
        <v>156.07</v>
      </c>
      <c r="F67" s="92"/>
      <c r="G67" s="53"/>
      <c r="H67" s="93"/>
      <c r="I67" s="54"/>
      <c r="J67" s="55"/>
      <c r="K67" s="11"/>
      <c r="L67" s="53" t="str">
        <f t="shared" si="4"/>
        <v/>
      </c>
      <c r="M67" s="11">
        <v>100</v>
      </c>
      <c r="N67" s="11">
        <v>24.57</v>
      </c>
      <c r="O67" s="11">
        <v>12</v>
      </c>
      <c r="P67" s="11">
        <v>1.5</v>
      </c>
      <c r="Q67" s="11"/>
      <c r="R67" s="11"/>
      <c r="S67" s="11"/>
      <c r="T67" s="11"/>
      <c r="U67" s="11">
        <v>18</v>
      </c>
      <c r="V67" s="56" t="s">
        <v>424</v>
      </c>
      <c r="W67" s="35" t="str">
        <f t="shared" si="2"/>
        <v>Diferente</v>
      </c>
      <c r="X67" s="38">
        <f t="shared" si="5"/>
        <v>-156.07</v>
      </c>
      <c r="Y67" s="3"/>
      <c r="Z67" s="3"/>
    </row>
    <row r="68" spans="1:26" ht="15.75" customHeight="1" outlineLevel="1" x14ac:dyDescent="0.3">
      <c r="A68" s="3"/>
      <c r="B68" s="9" t="s">
        <v>490</v>
      </c>
      <c r="C68" s="53">
        <v>8</v>
      </c>
      <c r="D68" s="53" t="s">
        <v>95</v>
      </c>
      <c r="E68" s="11">
        <f t="shared" si="15"/>
        <v>286.82</v>
      </c>
      <c r="F68" s="92">
        <f t="shared" ref="F68:F72" si="17">E68</f>
        <v>286.82</v>
      </c>
      <c r="G68" s="237"/>
      <c r="H68" s="93" t="s">
        <v>37</v>
      </c>
      <c r="I68" s="54"/>
      <c r="J68" s="55"/>
      <c r="K68" s="11"/>
      <c r="L68" s="53" t="str">
        <f t="shared" si="4"/>
        <v/>
      </c>
      <c r="M68" s="11">
        <v>122.25</v>
      </c>
      <c r="N68" s="11">
        <v>24.57</v>
      </c>
      <c r="O68" s="11">
        <v>12</v>
      </c>
      <c r="P68" s="11">
        <v>10</v>
      </c>
      <c r="Q68" s="11">
        <v>5</v>
      </c>
      <c r="R68" s="11">
        <v>5</v>
      </c>
      <c r="S68" s="11">
        <v>15</v>
      </c>
      <c r="T68" s="11">
        <v>25</v>
      </c>
      <c r="U68" s="11">
        <v>68</v>
      </c>
      <c r="V68" s="56" t="s">
        <v>431</v>
      </c>
      <c r="W68" s="35" t="str">
        <f t="shared" si="2"/>
        <v>OK</v>
      </c>
      <c r="X68" s="38" t="str">
        <f t="shared" si="5"/>
        <v/>
      </c>
      <c r="Y68" s="3"/>
      <c r="Z68" s="3"/>
    </row>
    <row r="69" spans="1:26" ht="15.75" customHeight="1" outlineLevel="1" x14ac:dyDescent="0.3">
      <c r="A69" s="3"/>
      <c r="B69" s="9" t="s">
        <v>491</v>
      </c>
      <c r="C69" s="53">
        <v>8</v>
      </c>
      <c r="D69" s="53" t="s">
        <v>95</v>
      </c>
      <c r="E69" s="11">
        <f t="shared" si="15"/>
        <v>236.82</v>
      </c>
      <c r="F69" s="92">
        <f t="shared" si="17"/>
        <v>236.82</v>
      </c>
      <c r="G69" s="214"/>
      <c r="H69" s="93" t="s">
        <v>37</v>
      </c>
      <c r="I69" s="54"/>
      <c r="J69" s="55"/>
      <c r="K69" s="11"/>
      <c r="L69" s="53" t="str">
        <f t="shared" si="4"/>
        <v/>
      </c>
      <c r="M69" s="11">
        <v>122.25</v>
      </c>
      <c r="N69" s="11">
        <v>24.57</v>
      </c>
      <c r="O69" s="11">
        <v>12</v>
      </c>
      <c r="P69" s="11">
        <v>10</v>
      </c>
      <c r="Q69" s="11">
        <v>5</v>
      </c>
      <c r="R69" s="11">
        <v>5</v>
      </c>
      <c r="S69" s="11">
        <v>15</v>
      </c>
      <c r="T69" s="11">
        <v>25</v>
      </c>
      <c r="U69" s="11">
        <v>18</v>
      </c>
      <c r="V69" s="56" t="s">
        <v>424</v>
      </c>
      <c r="W69" s="35" t="str">
        <f t="shared" si="2"/>
        <v>OK</v>
      </c>
      <c r="X69" s="38" t="str">
        <f t="shared" si="5"/>
        <v/>
      </c>
      <c r="Y69" s="3"/>
      <c r="Z69" s="3"/>
    </row>
    <row r="70" spans="1:26" ht="15.75" customHeight="1" outlineLevel="1" x14ac:dyDescent="0.3">
      <c r="A70" s="3"/>
      <c r="B70" s="52" t="s">
        <v>492</v>
      </c>
      <c r="C70" s="53">
        <v>27</v>
      </c>
      <c r="D70" s="53" t="s">
        <v>95</v>
      </c>
      <c r="E70" s="11">
        <f t="shared" si="15"/>
        <v>199.44</v>
      </c>
      <c r="F70" s="92">
        <f t="shared" si="17"/>
        <v>199.44</v>
      </c>
      <c r="G70" s="53"/>
      <c r="H70" s="93" t="s">
        <v>37</v>
      </c>
      <c r="I70" s="54"/>
      <c r="J70" s="55"/>
      <c r="K70" s="11"/>
      <c r="L70" s="53">
        <f t="shared" si="4"/>
        <v>1</v>
      </c>
      <c r="M70" s="11">
        <v>113.43</v>
      </c>
      <c r="N70" s="11">
        <v>24.57</v>
      </c>
      <c r="O70" s="11">
        <v>12</v>
      </c>
      <c r="P70" s="11">
        <v>1.44</v>
      </c>
      <c r="Q70" s="11">
        <v>5</v>
      </c>
      <c r="R70" s="11">
        <v>20</v>
      </c>
      <c r="S70" s="11">
        <v>5</v>
      </c>
      <c r="T70" s="11"/>
      <c r="U70" s="11">
        <v>18</v>
      </c>
      <c r="V70" s="56" t="s">
        <v>424</v>
      </c>
      <c r="W70" s="35" t="str">
        <f t="shared" si="2"/>
        <v>OK</v>
      </c>
      <c r="X70" s="38" t="str">
        <f t="shared" si="5"/>
        <v/>
      </c>
      <c r="Y70" s="3"/>
      <c r="Z70" s="3"/>
    </row>
    <row r="71" spans="1:26" ht="15.75" customHeight="1" outlineLevel="1" x14ac:dyDescent="0.3">
      <c r="A71" s="3"/>
      <c r="B71" s="9" t="s">
        <v>493</v>
      </c>
      <c r="C71" s="53">
        <v>13</v>
      </c>
      <c r="D71" s="53" t="s">
        <v>95</v>
      </c>
      <c r="E71" s="11">
        <f t="shared" si="15"/>
        <v>83.67</v>
      </c>
      <c r="F71" s="92">
        <f t="shared" si="17"/>
        <v>83.67</v>
      </c>
      <c r="G71" s="94"/>
      <c r="H71" s="93" t="s">
        <v>37</v>
      </c>
      <c r="I71" s="54"/>
      <c r="J71" s="55"/>
      <c r="K71" s="11"/>
      <c r="L71" s="53">
        <f t="shared" si="4"/>
        <v>1</v>
      </c>
      <c r="M71" s="11">
        <v>27.66</v>
      </c>
      <c r="N71" s="11">
        <v>24.57</v>
      </c>
      <c r="O71" s="11">
        <v>12</v>
      </c>
      <c r="P71" s="11">
        <v>1.44</v>
      </c>
      <c r="Q71" s="11"/>
      <c r="R71" s="11"/>
      <c r="S71" s="11"/>
      <c r="T71" s="11"/>
      <c r="U71" s="11">
        <v>18</v>
      </c>
      <c r="V71" s="56" t="s">
        <v>424</v>
      </c>
      <c r="W71" s="35" t="str">
        <f t="shared" si="2"/>
        <v>OK</v>
      </c>
      <c r="X71" s="38" t="str">
        <f t="shared" si="5"/>
        <v/>
      </c>
      <c r="Y71" s="3"/>
      <c r="Z71" s="3"/>
    </row>
    <row r="72" spans="1:26" ht="15.75" customHeight="1" outlineLevel="1" x14ac:dyDescent="0.3">
      <c r="A72" s="3"/>
      <c r="B72" s="52" t="s">
        <v>494</v>
      </c>
      <c r="C72" s="53">
        <v>13</v>
      </c>
      <c r="D72" s="53" t="s">
        <v>95</v>
      </c>
      <c r="E72" s="11">
        <f t="shared" si="15"/>
        <v>138</v>
      </c>
      <c r="F72" s="92">
        <f t="shared" si="17"/>
        <v>138</v>
      </c>
      <c r="G72" s="95"/>
      <c r="H72" s="93" t="s">
        <v>37</v>
      </c>
      <c r="I72" s="54"/>
      <c r="J72" s="55"/>
      <c r="K72" s="11"/>
      <c r="L72" s="53">
        <f t="shared" si="4"/>
        <v>1</v>
      </c>
      <c r="M72" s="11">
        <v>81.93</v>
      </c>
      <c r="N72" s="11">
        <v>24.57</v>
      </c>
      <c r="O72" s="11">
        <v>12</v>
      </c>
      <c r="P72" s="11">
        <v>1.5</v>
      </c>
      <c r="Q72" s="11"/>
      <c r="R72" s="11"/>
      <c r="S72" s="11"/>
      <c r="T72" s="11"/>
      <c r="U72" s="11">
        <v>18</v>
      </c>
      <c r="V72" s="56" t="s">
        <v>424</v>
      </c>
      <c r="W72" s="35" t="str">
        <f t="shared" si="2"/>
        <v>OK</v>
      </c>
      <c r="X72" s="38" t="str">
        <f t="shared" si="5"/>
        <v/>
      </c>
      <c r="Y72" s="3"/>
      <c r="Z72" s="3"/>
    </row>
    <row r="73" spans="1:26" ht="15.75" customHeight="1" outlineLevel="1" x14ac:dyDescent="0.3">
      <c r="A73" s="3"/>
      <c r="B73" s="9" t="s">
        <v>495</v>
      </c>
      <c r="C73" s="53"/>
      <c r="D73" s="53" t="s">
        <v>105</v>
      </c>
      <c r="E73" s="11">
        <f t="shared" si="15"/>
        <v>70</v>
      </c>
      <c r="F73" s="92"/>
      <c r="G73" s="237"/>
      <c r="H73" s="93"/>
      <c r="I73" s="54"/>
      <c r="J73" s="55"/>
      <c r="K73" s="11"/>
      <c r="L73" s="53" t="str">
        <f t="shared" si="4"/>
        <v/>
      </c>
      <c r="M73" s="11">
        <v>13.93</v>
      </c>
      <c r="N73" s="11">
        <v>24.57</v>
      </c>
      <c r="O73" s="11">
        <v>12</v>
      </c>
      <c r="P73" s="11">
        <v>1.5</v>
      </c>
      <c r="Q73" s="11"/>
      <c r="R73" s="11"/>
      <c r="S73" s="11"/>
      <c r="T73" s="11"/>
      <c r="U73" s="11">
        <v>18</v>
      </c>
      <c r="V73" s="56" t="s">
        <v>424</v>
      </c>
      <c r="W73" s="35" t="str">
        <f t="shared" si="2"/>
        <v>Diferente</v>
      </c>
      <c r="X73" s="38">
        <f t="shared" si="5"/>
        <v>-70</v>
      </c>
      <c r="Y73" s="3"/>
      <c r="Z73" s="3"/>
    </row>
    <row r="74" spans="1:26" ht="15.75" customHeight="1" outlineLevel="1" x14ac:dyDescent="0.3">
      <c r="A74" s="3"/>
      <c r="B74" s="9" t="s">
        <v>496</v>
      </c>
      <c r="C74" s="53"/>
      <c r="D74" s="53" t="s">
        <v>105</v>
      </c>
      <c r="E74" s="11">
        <f t="shared" si="15"/>
        <v>70</v>
      </c>
      <c r="F74" s="92"/>
      <c r="G74" s="214"/>
      <c r="H74" s="93"/>
      <c r="I74" s="54"/>
      <c r="J74" s="55"/>
      <c r="K74" s="11"/>
      <c r="L74" s="53" t="str">
        <f t="shared" si="4"/>
        <v/>
      </c>
      <c r="M74" s="11">
        <v>13.93</v>
      </c>
      <c r="N74" s="11">
        <v>24.57</v>
      </c>
      <c r="O74" s="11">
        <v>12</v>
      </c>
      <c r="P74" s="11">
        <v>1.5</v>
      </c>
      <c r="Q74" s="11"/>
      <c r="R74" s="11"/>
      <c r="S74" s="11"/>
      <c r="T74" s="11"/>
      <c r="U74" s="11">
        <v>18</v>
      </c>
      <c r="V74" s="56" t="s">
        <v>424</v>
      </c>
      <c r="W74" s="35" t="str">
        <f t="shared" si="2"/>
        <v>Diferente</v>
      </c>
      <c r="X74" s="38">
        <f t="shared" si="5"/>
        <v>-70</v>
      </c>
      <c r="Y74" s="3"/>
      <c r="Z74" s="3"/>
    </row>
    <row r="75" spans="1:26" ht="15.75" customHeight="1" outlineLevel="1" x14ac:dyDescent="0.3">
      <c r="A75" s="3"/>
      <c r="B75" s="52" t="s">
        <v>497</v>
      </c>
      <c r="C75" s="53">
        <v>10</v>
      </c>
      <c r="D75" s="53" t="s">
        <v>95</v>
      </c>
      <c r="E75" s="11">
        <f t="shared" si="15"/>
        <v>118</v>
      </c>
      <c r="F75" s="92">
        <f t="shared" ref="F75:F76" si="18">E75</f>
        <v>118</v>
      </c>
      <c r="G75" s="53"/>
      <c r="H75" s="93" t="s">
        <v>37</v>
      </c>
      <c r="I75" s="54"/>
      <c r="J75" s="55"/>
      <c r="K75" s="11"/>
      <c r="L75" s="53" t="str">
        <f t="shared" si="4"/>
        <v/>
      </c>
      <c r="M75" s="11">
        <v>56.93</v>
      </c>
      <c r="N75" s="11">
        <v>24.57</v>
      </c>
      <c r="O75" s="11">
        <v>12</v>
      </c>
      <c r="P75" s="11">
        <v>1.5</v>
      </c>
      <c r="Q75" s="11">
        <v>5</v>
      </c>
      <c r="R75" s="11"/>
      <c r="S75" s="11"/>
      <c r="T75" s="11"/>
      <c r="U75" s="11">
        <v>18</v>
      </c>
      <c r="V75" s="56" t="s">
        <v>424</v>
      </c>
      <c r="W75" s="35" t="str">
        <f t="shared" si="2"/>
        <v>OK</v>
      </c>
      <c r="X75" s="38" t="str">
        <f t="shared" si="5"/>
        <v/>
      </c>
      <c r="Y75" s="3"/>
      <c r="Z75" s="3"/>
    </row>
    <row r="76" spans="1:26" ht="15.75" customHeight="1" outlineLevel="1" x14ac:dyDescent="0.3">
      <c r="A76" s="3"/>
      <c r="B76" s="9" t="s">
        <v>498</v>
      </c>
      <c r="C76" s="53">
        <v>10</v>
      </c>
      <c r="D76" s="53" t="s">
        <v>95</v>
      </c>
      <c r="E76" s="11">
        <f t="shared" si="15"/>
        <v>218</v>
      </c>
      <c r="F76" s="92">
        <f t="shared" si="18"/>
        <v>218</v>
      </c>
      <c r="G76" s="94"/>
      <c r="H76" s="93" t="s">
        <v>37</v>
      </c>
      <c r="I76" s="54"/>
      <c r="J76" s="55"/>
      <c r="K76" s="11"/>
      <c r="L76" s="53" t="str">
        <f t="shared" si="4"/>
        <v/>
      </c>
      <c r="M76" s="11">
        <v>148.43</v>
      </c>
      <c r="N76" s="11">
        <v>24.57</v>
      </c>
      <c r="O76" s="11">
        <v>12</v>
      </c>
      <c r="P76" s="11">
        <v>5</v>
      </c>
      <c r="Q76" s="11">
        <v>10</v>
      </c>
      <c r="R76" s="11"/>
      <c r="S76" s="11"/>
      <c r="T76" s="11"/>
      <c r="U76" s="11">
        <v>18</v>
      </c>
      <c r="V76" s="56" t="s">
        <v>424</v>
      </c>
      <c r="W76" s="35" t="str">
        <f t="shared" si="2"/>
        <v>OK</v>
      </c>
      <c r="X76" s="38" t="str">
        <f t="shared" si="5"/>
        <v/>
      </c>
      <c r="Y76" s="3"/>
      <c r="Z76" s="3"/>
    </row>
    <row r="77" spans="1:26" ht="15.75" customHeight="1" outlineLevel="1" x14ac:dyDescent="0.3">
      <c r="A77" s="3"/>
      <c r="B77" s="52" t="s">
        <v>499</v>
      </c>
      <c r="C77" s="53"/>
      <c r="D77" s="53" t="s">
        <v>105</v>
      </c>
      <c r="E77" s="11">
        <f t="shared" si="15"/>
        <v>75.39</v>
      </c>
      <c r="F77" s="92"/>
      <c r="G77" s="95"/>
      <c r="H77" s="93"/>
      <c r="I77" s="54"/>
      <c r="J77" s="55"/>
      <c r="K77" s="11"/>
      <c r="L77" s="53" t="str">
        <f t="shared" si="4"/>
        <v/>
      </c>
      <c r="M77" s="11">
        <v>19.32</v>
      </c>
      <c r="N77" s="11">
        <v>24.57</v>
      </c>
      <c r="O77" s="11">
        <v>12</v>
      </c>
      <c r="P77" s="11">
        <v>1.5</v>
      </c>
      <c r="Q77" s="11"/>
      <c r="R77" s="11"/>
      <c r="S77" s="11"/>
      <c r="T77" s="11"/>
      <c r="U77" s="11">
        <v>18</v>
      </c>
      <c r="V77" s="56" t="s">
        <v>424</v>
      </c>
      <c r="W77" s="35" t="str">
        <f t="shared" si="2"/>
        <v>Diferente</v>
      </c>
      <c r="X77" s="38">
        <f t="shared" si="5"/>
        <v>-75.39</v>
      </c>
      <c r="Y77" s="3"/>
      <c r="Z77" s="3"/>
    </row>
    <row r="78" spans="1:26" ht="15.75" customHeight="1" outlineLevel="1" x14ac:dyDescent="0.3">
      <c r="A78" s="3"/>
      <c r="B78" s="9" t="s">
        <v>500</v>
      </c>
      <c r="C78" s="53">
        <v>13</v>
      </c>
      <c r="D78" s="53" t="s">
        <v>95</v>
      </c>
      <c r="E78" s="11">
        <f t="shared" si="15"/>
        <v>85.740000000000009</v>
      </c>
      <c r="F78" s="92">
        <f>E78</f>
        <v>85.740000000000009</v>
      </c>
      <c r="G78" s="53"/>
      <c r="H78" s="93" t="s">
        <v>37</v>
      </c>
      <c r="I78" s="54"/>
      <c r="J78" s="55"/>
      <c r="K78" s="11"/>
      <c r="L78" s="53">
        <f t="shared" si="4"/>
        <v>1</v>
      </c>
      <c r="M78" s="11">
        <v>29.67</v>
      </c>
      <c r="N78" s="11">
        <v>24.57</v>
      </c>
      <c r="O78" s="11">
        <v>12</v>
      </c>
      <c r="P78" s="11">
        <v>1.5</v>
      </c>
      <c r="Q78" s="11"/>
      <c r="R78" s="11"/>
      <c r="S78" s="11"/>
      <c r="T78" s="11"/>
      <c r="U78" s="11">
        <v>18</v>
      </c>
      <c r="V78" s="56" t="s">
        <v>424</v>
      </c>
      <c r="W78" s="35" t="str">
        <f t="shared" si="2"/>
        <v>OK</v>
      </c>
      <c r="X78" s="38" t="str">
        <f t="shared" si="5"/>
        <v/>
      </c>
      <c r="Y78" s="3"/>
      <c r="Z78" s="3"/>
    </row>
    <row r="79" spans="1:26" ht="15.75" customHeight="1" outlineLevel="1" x14ac:dyDescent="0.3">
      <c r="A79" s="3"/>
      <c r="B79" s="52" t="s">
        <v>501</v>
      </c>
      <c r="C79" s="53"/>
      <c r="D79" s="53" t="s">
        <v>105</v>
      </c>
      <c r="E79" s="11">
        <f t="shared" si="15"/>
        <v>112.43</v>
      </c>
      <c r="F79" s="92"/>
      <c r="G79" s="237"/>
      <c r="H79" s="93"/>
      <c r="I79" s="54"/>
      <c r="J79" s="55"/>
      <c r="K79" s="11"/>
      <c r="L79" s="53" t="str">
        <f t="shared" si="4"/>
        <v/>
      </c>
      <c r="M79" s="11">
        <v>50.86</v>
      </c>
      <c r="N79" s="11">
        <v>24.57</v>
      </c>
      <c r="O79" s="11">
        <v>12</v>
      </c>
      <c r="P79" s="11">
        <v>2</v>
      </c>
      <c r="Q79" s="11">
        <v>5</v>
      </c>
      <c r="R79" s="11"/>
      <c r="S79" s="11"/>
      <c r="T79" s="11"/>
      <c r="U79" s="11">
        <v>18</v>
      </c>
      <c r="V79" s="56" t="s">
        <v>424</v>
      </c>
      <c r="W79" s="35" t="str">
        <f t="shared" si="2"/>
        <v>Diferente</v>
      </c>
      <c r="X79" s="38">
        <f t="shared" si="5"/>
        <v>-112.43</v>
      </c>
      <c r="Y79" s="3"/>
      <c r="Z79" s="3"/>
    </row>
    <row r="80" spans="1:26" ht="15.75" customHeight="1" outlineLevel="1" x14ac:dyDescent="0.3">
      <c r="A80" s="3"/>
      <c r="B80" s="52" t="s">
        <v>502</v>
      </c>
      <c r="C80" s="53"/>
      <c r="D80" s="53" t="s">
        <v>105</v>
      </c>
      <c r="E80" s="11">
        <f t="shared" si="15"/>
        <v>111.57</v>
      </c>
      <c r="F80" s="92"/>
      <c r="G80" s="214"/>
      <c r="H80" s="93"/>
      <c r="I80" s="54"/>
      <c r="J80" s="55"/>
      <c r="K80" s="11"/>
      <c r="L80" s="53" t="str">
        <f t="shared" si="4"/>
        <v/>
      </c>
      <c r="M80" s="11">
        <v>50</v>
      </c>
      <c r="N80" s="11">
        <v>24.57</v>
      </c>
      <c r="O80" s="11">
        <v>12</v>
      </c>
      <c r="P80" s="11">
        <v>2</v>
      </c>
      <c r="Q80" s="11">
        <v>5</v>
      </c>
      <c r="R80" s="11"/>
      <c r="S80" s="11"/>
      <c r="T80" s="11"/>
      <c r="U80" s="11">
        <v>18</v>
      </c>
      <c r="V80" s="56" t="s">
        <v>424</v>
      </c>
      <c r="W80" s="35" t="str">
        <f t="shared" si="2"/>
        <v>Diferente</v>
      </c>
      <c r="X80" s="38">
        <f t="shared" si="5"/>
        <v>-111.57</v>
      </c>
      <c r="Y80" s="3"/>
      <c r="Z80" s="3"/>
    </row>
    <row r="81" spans="1:26" ht="15.75" customHeight="1" outlineLevel="1" x14ac:dyDescent="0.3">
      <c r="A81" s="3"/>
      <c r="B81" s="9" t="s">
        <v>503</v>
      </c>
      <c r="C81" s="53">
        <v>8</v>
      </c>
      <c r="D81" s="53" t="s">
        <v>95</v>
      </c>
      <c r="E81" s="11">
        <f t="shared" si="15"/>
        <v>149.69</v>
      </c>
      <c r="F81" s="92">
        <f t="shared" ref="F81:F87" si="19">E81</f>
        <v>149.69</v>
      </c>
      <c r="G81" s="237"/>
      <c r="H81" s="93" t="s">
        <v>37</v>
      </c>
      <c r="I81" s="54"/>
      <c r="J81" s="55"/>
      <c r="K81" s="11"/>
      <c r="L81" s="53" t="str">
        <f t="shared" si="4"/>
        <v/>
      </c>
      <c r="M81" s="11">
        <v>93.62</v>
      </c>
      <c r="N81" s="11">
        <v>24.57</v>
      </c>
      <c r="O81" s="11">
        <v>12</v>
      </c>
      <c r="P81" s="11">
        <v>1.5</v>
      </c>
      <c r="Q81" s="11"/>
      <c r="R81" s="11"/>
      <c r="S81" s="11"/>
      <c r="T81" s="11"/>
      <c r="U81" s="11">
        <v>18</v>
      </c>
      <c r="V81" s="56" t="s">
        <v>424</v>
      </c>
      <c r="W81" s="35" t="str">
        <f t="shared" si="2"/>
        <v>OK</v>
      </c>
      <c r="X81" s="38" t="str">
        <f t="shared" si="5"/>
        <v/>
      </c>
      <c r="Y81" s="3"/>
      <c r="Z81" s="3"/>
    </row>
    <row r="82" spans="1:26" ht="15.75" customHeight="1" outlineLevel="1" x14ac:dyDescent="0.3">
      <c r="A82" s="3"/>
      <c r="B82" s="9" t="s">
        <v>504</v>
      </c>
      <c r="C82" s="53">
        <v>8</v>
      </c>
      <c r="D82" s="53" t="s">
        <v>95</v>
      </c>
      <c r="E82" s="11">
        <f t="shared" si="15"/>
        <v>149.69</v>
      </c>
      <c r="F82" s="92">
        <f t="shared" si="19"/>
        <v>149.69</v>
      </c>
      <c r="G82" s="214"/>
      <c r="H82" s="93" t="s">
        <v>37</v>
      </c>
      <c r="I82" s="54"/>
      <c r="J82" s="55"/>
      <c r="K82" s="11"/>
      <c r="L82" s="53" t="str">
        <f t="shared" si="4"/>
        <v/>
      </c>
      <c r="M82" s="11">
        <v>93.62</v>
      </c>
      <c r="N82" s="11">
        <v>24.57</v>
      </c>
      <c r="O82" s="11">
        <v>12</v>
      </c>
      <c r="P82" s="11">
        <v>1.5</v>
      </c>
      <c r="Q82" s="11"/>
      <c r="R82" s="11"/>
      <c r="S82" s="11"/>
      <c r="T82" s="11"/>
      <c r="U82" s="11">
        <v>18</v>
      </c>
      <c r="V82" s="56" t="s">
        <v>424</v>
      </c>
      <c r="W82" s="35" t="str">
        <f t="shared" si="2"/>
        <v>OK</v>
      </c>
      <c r="X82" s="38" t="str">
        <f t="shared" si="5"/>
        <v/>
      </c>
      <c r="Y82" s="3"/>
      <c r="Z82" s="3"/>
    </row>
    <row r="83" spans="1:26" ht="15.75" customHeight="1" outlineLevel="1" x14ac:dyDescent="0.3">
      <c r="A83" s="3"/>
      <c r="B83" s="52" t="s">
        <v>505</v>
      </c>
      <c r="C83" s="53">
        <v>15</v>
      </c>
      <c r="D83" s="53" t="s">
        <v>95</v>
      </c>
      <c r="E83" s="11">
        <f t="shared" si="15"/>
        <v>311.57</v>
      </c>
      <c r="F83" s="92">
        <f t="shared" si="19"/>
        <v>311.57</v>
      </c>
      <c r="G83" s="237"/>
      <c r="H83" s="93" t="s">
        <v>37</v>
      </c>
      <c r="I83" s="54"/>
      <c r="J83" s="55"/>
      <c r="K83" s="11"/>
      <c r="L83" s="53">
        <f t="shared" si="4"/>
        <v>1</v>
      </c>
      <c r="M83" s="11">
        <v>100</v>
      </c>
      <c r="N83" s="11">
        <v>24.57</v>
      </c>
      <c r="O83" s="11">
        <v>12</v>
      </c>
      <c r="P83" s="11">
        <v>2</v>
      </c>
      <c r="Q83" s="11"/>
      <c r="R83" s="11"/>
      <c r="S83" s="11">
        <v>5</v>
      </c>
      <c r="T83" s="11"/>
      <c r="U83" s="11">
        <v>168</v>
      </c>
      <c r="V83" s="56" t="s">
        <v>506</v>
      </c>
      <c r="W83" s="35" t="str">
        <f t="shared" si="2"/>
        <v>OK</v>
      </c>
      <c r="X83" s="38" t="str">
        <f t="shared" si="5"/>
        <v/>
      </c>
      <c r="Y83" s="3"/>
      <c r="Z83" s="3"/>
    </row>
    <row r="84" spans="1:26" ht="15.75" customHeight="1" outlineLevel="1" x14ac:dyDescent="0.3">
      <c r="A84" s="3"/>
      <c r="B84" s="52" t="s">
        <v>507</v>
      </c>
      <c r="C84" s="53">
        <v>15</v>
      </c>
      <c r="D84" s="53" t="s">
        <v>95</v>
      </c>
      <c r="E84" s="11">
        <f t="shared" si="15"/>
        <v>161.57</v>
      </c>
      <c r="F84" s="92">
        <f t="shared" si="19"/>
        <v>161.57</v>
      </c>
      <c r="G84" s="214"/>
      <c r="H84" s="93" t="s">
        <v>37</v>
      </c>
      <c r="I84" s="54"/>
      <c r="J84" s="55"/>
      <c r="K84" s="11"/>
      <c r="L84" s="53">
        <f t="shared" si="4"/>
        <v>1</v>
      </c>
      <c r="M84" s="11">
        <v>100</v>
      </c>
      <c r="N84" s="11">
        <v>24.57</v>
      </c>
      <c r="O84" s="11">
        <v>12</v>
      </c>
      <c r="P84" s="11">
        <v>2</v>
      </c>
      <c r="Q84" s="11"/>
      <c r="R84" s="11"/>
      <c r="S84" s="11">
        <v>5</v>
      </c>
      <c r="T84" s="11"/>
      <c r="U84" s="11">
        <v>18</v>
      </c>
      <c r="V84" s="56" t="s">
        <v>424</v>
      </c>
      <c r="W84" s="35" t="str">
        <f t="shared" si="2"/>
        <v>OK</v>
      </c>
      <c r="X84" s="38" t="str">
        <f t="shared" si="5"/>
        <v/>
      </c>
      <c r="Y84" s="3"/>
      <c r="Z84" s="3"/>
    </row>
    <row r="85" spans="1:26" ht="15.75" customHeight="1" outlineLevel="1" x14ac:dyDescent="0.3">
      <c r="A85" s="3"/>
      <c r="B85" s="9" t="s">
        <v>508</v>
      </c>
      <c r="C85" s="53">
        <v>9</v>
      </c>
      <c r="D85" s="53" t="s">
        <v>95</v>
      </c>
      <c r="E85" s="11">
        <f t="shared" si="15"/>
        <v>268</v>
      </c>
      <c r="F85" s="92">
        <f t="shared" si="19"/>
        <v>268</v>
      </c>
      <c r="G85" s="95"/>
      <c r="H85" s="93" t="s">
        <v>37</v>
      </c>
      <c r="I85" s="54"/>
      <c r="J85" s="55"/>
      <c r="K85" s="11"/>
      <c r="L85" s="53" t="str">
        <f t="shared" si="4"/>
        <v/>
      </c>
      <c r="M85" s="11">
        <v>196.43</v>
      </c>
      <c r="N85" s="11">
        <v>24.57</v>
      </c>
      <c r="O85" s="11">
        <v>12</v>
      </c>
      <c r="P85" s="11">
        <v>2</v>
      </c>
      <c r="Q85" s="11"/>
      <c r="R85" s="11"/>
      <c r="S85" s="11">
        <v>5</v>
      </c>
      <c r="T85" s="11">
        <v>10</v>
      </c>
      <c r="U85" s="11">
        <v>18</v>
      </c>
      <c r="V85" s="56" t="s">
        <v>424</v>
      </c>
      <c r="W85" s="35" t="str">
        <f t="shared" si="2"/>
        <v>OK</v>
      </c>
      <c r="X85" s="38" t="str">
        <f t="shared" si="5"/>
        <v/>
      </c>
      <c r="Y85" s="3"/>
      <c r="Z85" s="3"/>
    </row>
    <row r="86" spans="1:26" ht="15.75" customHeight="1" outlineLevel="1" x14ac:dyDescent="0.3">
      <c r="A86" s="3"/>
      <c r="B86" s="52" t="s">
        <v>509</v>
      </c>
      <c r="C86" s="53">
        <v>20</v>
      </c>
      <c r="D86" s="53" t="s">
        <v>95</v>
      </c>
      <c r="E86" s="11">
        <f t="shared" si="15"/>
        <v>265</v>
      </c>
      <c r="F86" s="92">
        <f t="shared" si="19"/>
        <v>265</v>
      </c>
      <c r="G86" s="237"/>
      <c r="H86" s="93" t="s">
        <v>37</v>
      </c>
      <c r="I86" s="54"/>
      <c r="J86" s="55"/>
      <c r="K86" s="11"/>
      <c r="L86" s="53">
        <f t="shared" si="4"/>
        <v>1</v>
      </c>
      <c r="M86" s="11">
        <v>138.43</v>
      </c>
      <c r="N86" s="11">
        <v>24.57</v>
      </c>
      <c r="O86" s="11">
        <v>12</v>
      </c>
      <c r="P86" s="11">
        <v>2</v>
      </c>
      <c r="Q86" s="11">
        <v>5</v>
      </c>
      <c r="R86" s="11">
        <v>5</v>
      </c>
      <c r="S86" s="11">
        <v>10</v>
      </c>
      <c r="T86" s="11"/>
      <c r="U86" s="11">
        <v>68</v>
      </c>
      <c r="V86" s="56" t="s">
        <v>431</v>
      </c>
      <c r="W86" s="35" t="str">
        <f t="shared" si="2"/>
        <v>OK</v>
      </c>
      <c r="X86" s="38" t="str">
        <f t="shared" si="5"/>
        <v/>
      </c>
      <c r="Y86" s="3"/>
      <c r="Z86" s="3"/>
    </row>
    <row r="87" spans="1:26" ht="15.75" customHeight="1" outlineLevel="1" x14ac:dyDescent="0.3">
      <c r="A87" s="3"/>
      <c r="B87" s="52" t="s">
        <v>510</v>
      </c>
      <c r="C87" s="53">
        <v>20</v>
      </c>
      <c r="D87" s="53" t="s">
        <v>95</v>
      </c>
      <c r="E87" s="11">
        <f t="shared" si="15"/>
        <v>215</v>
      </c>
      <c r="F87" s="92">
        <f t="shared" si="19"/>
        <v>215</v>
      </c>
      <c r="G87" s="214"/>
      <c r="H87" s="93" t="s">
        <v>37</v>
      </c>
      <c r="I87" s="54"/>
      <c r="J87" s="55"/>
      <c r="K87" s="11"/>
      <c r="L87" s="53">
        <f t="shared" si="4"/>
        <v>1</v>
      </c>
      <c r="M87" s="11">
        <v>138.43</v>
      </c>
      <c r="N87" s="11">
        <v>24.57</v>
      </c>
      <c r="O87" s="11">
        <v>12</v>
      </c>
      <c r="P87" s="11">
        <v>2</v>
      </c>
      <c r="Q87" s="11">
        <v>5</v>
      </c>
      <c r="R87" s="11">
        <v>5</v>
      </c>
      <c r="S87" s="11">
        <v>10</v>
      </c>
      <c r="T87" s="11"/>
      <c r="U87" s="11">
        <v>18</v>
      </c>
      <c r="V87" s="56" t="s">
        <v>424</v>
      </c>
      <c r="W87" s="35" t="str">
        <f t="shared" si="2"/>
        <v>OK</v>
      </c>
      <c r="X87" s="38" t="str">
        <f t="shared" si="5"/>
        <v/>
      </c>
      <c r="Y87" s="3"/>
      <c r="Z87" s="3"/>
    </row>
    <row r="88" spans="1:26" ht="15.75" customHeight="1" outlineLevel="1" x14ac:dyDescent="0.3">
      <c r="A88" s="3"/>
      <c r="B88" s="9" t="s">
        <v>511</v>
      </c>
      <c r="C88" s="53"/>
      <c r="D88" s="53" t="s">
        <v>105</v>
      </c>
      <c r="E88" s="11">
        <f t="shared" si="15"/>
        <v>130.22999999999999</v>
      </c>
      <c r="F88" s="92"/>
      <c r="G88" s="95"/>
      <c r="H88" s="93"/>
      <c r="I88" s="54"/>
      <c r="J88" s="55"/>
      <c r="K88" s="11"/>
      <c r="L88" s="53" t="str">
        <f t="shared" si="4"/>
        <v/>
      </c>
      <c r="M88" s="11">
        <v>33.93</v>
      </c>
      <c r="N88" s="11">
        <v>24.57</v>
      </c>
      <c r="O88" s="11">
        <v>12</v>
      </c>
      <c r="P88" s="11">
        <v>1.5</v>
      </c>
      <c r="Q88" s="11"/>
      <c r="R88" s="11"/>
      <c r="S88" s="11"/>
      <c r="T88" s="11"/>
      <c r="U88" s="11">
        <v>58.23</v>
      </c>
      <c r="V88" s="56" t="s">
        <v>512</v>
      </c>
      <c r="W88" s="35" t="str">
        <f t="shared" si="2"/>
        <v>Diferente</v>
      </c>
      <c r="X88" s="38">
        <f t="shared" si="5"/>
        <v>-130.22999999999999</v>
      </c>
      <c r="Y88" s="3"/>
      <c r="Z88" s="3"/>
    </row>
    <row r="89" spans="1:26" ht="15.75" customHeight="1" outlineLevel="1" x14ac:dyDescent="0.3">
      <c r="A89" s="3"/>
      <c r="B89" s="52" t="s">
        <v>513</v>
      </c>
      <c r="C89" s="53">
        <v>8</v>
      </c>
      <c r="D89" s="53" t="s">
        <v>95</v>
      </c>
      <c r="E89" s="11">
        <f t="shared" si="15"/>
        <v>181.57</v>
      </c>
      <c r="F89" s="92">
        <f t="shared" ref="F89:F93" si="20">E89</f>
        <v>181.57</v>
      </c>
      <c r="G89" s="237"/>
      <c r="H89" s="93" t="s">
        <v>37</v>
      </c>
      <c r="I89" s="54"/>
      <c r="J89" s="55"/>
      <c r="K89" s="11"/>
      <c r="L89" s="53" t="str">
        <f t="shared" si="4"/>
        <v/>
      </c>
      <c r="M89" s="11">
        <v>120</v>
      </c>
      <c r="N89" s="11">
        <v>24.57</v>
      </c>
      <c r="O89" s="11">
        <v>12</v>
      </c>
      <c r="P89" s="11">
        <v>2</v>
      </c>
      <c r="Q89" s="11"/>
      <c r="R89" s="11"/>
      <c r="S89" s="11">
        <v>5</v>
      </c>
      <c r="T89" s="11"/>
      <c r="U89" s="11">
        <v>18</v>
      </c>
      <c r="V89" s="56" t="s">
        <v>424</v>
      </c>
      <c r="W89" s="35" t="str">
        <f t="shared" si="2"/>
        <v>OK</v>
      </c>
      <c r="X89" s="38" t="str">
        <f t="shared" si="5"/>
        <v/>
      </c>
      <c r="Y89" s="3"/>
      <c r="Z89" s="3"/>
    </row>
    <row r="90" spans="1:26" ht="15.75" customHeight="1" outlineLevel="1" x14ac:dyDescent="0.3">
      <c r="A90" s="3"/>
      <c r="B90" s="52" t="s">
        <v>514</v>
      </c>
      <c r="C90" s="53">
        <v>8</v>
      </c>
      <c r="D90" s="53" t="s">
        <v>95</v>
      </c>
      <c r="E90" s="11">
        <f t="shared" si="15"/>
        <v>181.57</v>
      </c>
      <c r="F90" s="92">
        <f t="shared" si="20"/>
        <v>181.57</v>
      </c>
      <c r="G90" s="214"/>
      <c r="H90" s="93" t="s">
        <v>37</v>
      </c>
      <c r="I90" s="54"/>
      <c r="J90" s="55"/>
      <c r="K90" s="11"/>
      <c r="L90" s="53" t="str">
        <f t="shared" si="4"/>
        <v/>
      </c>
      <c r="M90" s="11">
        <v>120</v>
      </c>
      <c r="N90" s="11">
        <v>24.57</v>
      </c>
      <c r="O90" s="11">
        <v>12</v>
      </c>
      <c r="P90" s="11">
        <v>2</v>
      </c>
      <c r="Q90" s="11"/>
      <c r="R90" s="11"/>
      <c r="S90" s="11">
        <v>5</v>
      </c>
      <c r="T90" s="11"/>
      <c r="U90" s="11">
        <v>18</v>
      </c>
      <c r="V90" s="56" t="s">
        <v>424</v>
      </c>
      <c r="W90" s="35" t="str">
        <f t="shared" si="2"/>
        <v>OK</v>
      </c>
      <c r="X90" s="38" t="str">
        <f t="shared" si="5"/>
        <v/>
      </c>
      <c r="Y90" s="3"/>
      <c r="Z90" s="3"/>
    </row>
    <row r="91" spans="1:26" ht="15.75" customHeight="1" outlineLevel="1" x14ac:dyDescent="0.3">
      <c r="A91" s="3"/>
      <c r="B91" s="9" t="s">
        <v>515</v>
      </c>
      <c r="C91" s="53">
        <v>10</v>
      </c>
      <c r="D91" s="53" t="s">
        <v>95</v>
      </c>
      <c r="E91" s="11">
        <f t="shared" si="15"/>
        <v>170</v>
      </c>
      <c r="F91" s="92">
        <f t="shared" si="20"/>
        <v>170</v>
      </c>
      <c r="G91" s="95"/>
      <c r="H91" s="93" t="s">
        <v>37</v>
      </c>
      <c r="I91" s="54"/>
      <c r="J91" s="55"/>
      <c r="K91" s="11"/>
      <c r="L91" s="53" t="str">
        <f t="shared" si="4"/>
        <v/>
      </c>
      <c r="M91" s="11">
        <v>108.43</v>
      </c>
      <c r="N91" s="11">
        <v>24.57</v>
      </c>
      <c r="O91" s="11">
        <v>12</v>
      </c>
      <c r="P91" s="11">
        <v>2</v>
      </c>
      <c r="Q91" s="11"/>
      <c r="R91" s="11"/>
      <c r="S91" s="11">
        <v>5</v>
      </c>
      <c r="T91" s="11"/>
      <c r="U91" s="11">
        <v>18</v>
      </c>
      <c r="V91" s="56" t="s">
        <v>424</v>
      </c>
      <c r="W91" s="35" t="str">
        <f t="shared" si="2"/>
        <v>OK</v>
      </c>
      <c r="X91" s="38" t="str">
        <f t="shared" si="5"/>
        <v/>
      </c>
      <c r="Y91" s="3"/>
      <c r="Z91" s="3"/>
    </row>
    <row r="92" spans="1:26" ht="15.75" customHeight="1" outlineLevel="1" x14ac:dyDescent="0.3">
      <c r="A92" s="3"/>
      <c r="B92" s="52" t="s">
        <v>516</v>
      </c>
      <c r="C92" s="53">
        <v>8</v>
      </c>
      <c r="D92" s="53" t="s">
        <v>95</v>
      </c>
      <c r="E92" s="11">
        <f t="shared" si="15"/>
        <v>119.5</v>
      </c>
      <c r="F92" s="92">
        <f t="shared" si="20"/>
        <v>119.5</v>
      </c>
      <c r="G92" s="237"/>
      <c r="H92" s="93" t="s">
        <v>37</v>
      </c>
      <c r="I92" s="54"/>
      <c r="J92" s="55"/>
      <c r="K92" s="11"/>
      <c r="L92" s="53" t="str">
        <f t="shared" si="4"/>
        <v/>
      </c>
      <c r="M92" s="11">
        <v>63.43</v>
      </c>
      <c r="N92" s="11">
        <v>24.57</v>
      </c>
      <c r="O92" s="11">
        <v>12</v>
      </c>
      <c r="P92" s="11">
        <v>1.5</v>
      </c>
      <c r="Q92" s="11"/>
      <c r="R92" s="11"/>
      <c r="S92" s="11"/>
      <c r="T92" s="11"/>
      <c r="U92" s="11">
        <v>18</v>
      </c>
      <c r="V92" s="56" t="s">
        <v>424</v>
      </c>
      <c r="W92" s="35" t="str">
        <f t="shared" si="2"/>
        <v>OK</v>
      </c>
      <c r="X92" s="38" t="str">
        <f t="shared" si="5"/>
        <v/>
      </c>
      <c r="Y92" s="3"/>
      <c r="Z92" s="3"/>
    </row>
    <row r="93" spans="1:26" ht="15.75" customHeight="1" outlineLevel="1" x14ac:dyDescent="0.3">
      <c r="A93" s="3"/>
      <c r="B93" s="52" t="s">
        <v>517</v>
      </c>
      <c r="C93" s="53">
        <v>8</v>
      </c>
      <c r="D93" s="53" t="s">
        <v>95</v>
      </c>
      <c r="E93" s="11">
        <f t="shared" si="15"/>
        <v>169.5</v>
      </c>
      <c r="F93" s="92">
        <f t="shared" si="20"/>
        <v>169.5</v>
      </c>
      <c r="G93" s="214"/>
      <c r="H93" s="93" t="s">
        <v>37</v>
      </c>
      <c r="I93" s="54"/>
      <c r="J93" s="55"/>
      <c r="K93" s="11"/>
      <c r="L93" s="53" t="str">
        <f t="shared" si="4"/>
        <v/>
      </c>
      <c r="M93" s="11">
        <v>63.43</v>
      </c>
      <c r="N93" s="11">
        <v>24.57</v>
      </c>
      <c r="O93" s="11">
        <v>12</v>
      </c>
      <c r="P93" s="11">
        <v>1.5</v>
      </c>
      <c r="Q93" s="11"/>
      <c r="R93" s="11"/>
      <c r="S93" s="11"/>
      <c r="T93" s="11"/>
      <c r="U93" s="11">
        <v>68</v>
      </c>
      <c r="V93" s="56" t="s">
        <v>431</v>
      </c>
      <c r="W93" s="35" t="str">
        <f t="shared" si="2"/>
        <v>OK</v>
      </c>
      <c r="X93" s="38" t="str">
        <f t="shared" si="5"/>
        <v/>
      </c>
      <c r="Y93" s="3"/>
      <c r="Z93" s="3"/>
    </row>
    <row r="94" spans="1:26" ht="15.75" customHeight="1" outlineLevel="1" x14ac:dyDescent="0.3">
      <c r="A94" s="3"/>
      <c r="B94" s="9" t="s">
        <v>518</v>
      </c>
      <c r="C94" s="53"/>
      <c r="D94" s="53" t="s">
        <v>105</v>
      </c>
      <c r="E94" s="11">
        <f t="shared" si="15"/>
        <v>165</v>
      </c>
      <c r="F94" s="92"/>
      <c r="G94" s="53"/>
      <c r="H94" s="93"/>
      <c r="I94" s="54"/>
      <c r="J94" s="55"/>
      <c r="K94" s="11"/>
      <c r="L94" s="53" t="str">
        <f t="shared" si="4"/>
        <v/>
      </c>
      <c r="M94" s="11">
        <v>93.93</v>
      </c>
      <c r="N94" s="11">
        <v>24.57</v>
      </c>
      <c r="O94" s="11">
        <v>12</v>
      </c>
      <c r="P94" s="11">
        <v>1.5</v>
      </c>
      <c r="Q94" s="11">
        <v>5</v>
      </c>
      <c r="R94" s="11"/>
      <c r="S94" s="11">
        <v>10</v>
      </c>
      <c r="T94" s="11"/>
      <c r="U94" s="11">
        <v>18</v>
      </c>
      <c r="V94" s="56" t="s">
        <v>424</v>
      </c>
      <c r="W94" s="35" t="str">
        <f t="shared" si="2"/>
        <v>Diferente</v>
      </c>
      <c r="X94" s="38">
        <f t="shared" si="5"/>
        <v>-165</v>
      </c>
      <c r="Y94" s="3"/>
      <c r="Z94" s="3"/>
    </row>
    <row r="95" spans="1:26" ht="15.75" customHeight="1" outlineLevel="1" x14ac:dyDescent="0.3">
      <c r="A95" s="3"/>
      <c r="B95" s="52" t="s">
        <v>519</v>
      </c>
      <c r="C95" s="53"/>
      <c r="D95" s="53" t="s">
        <v>105</v>
      </c>
      <c r="E95" s="11">
        <f t="shared" si="15"/>
        <v>170</v>
      </c>
      <c r="F95" s="92"/>
      <c r="G95" s="94"/>
      <c r="H95" s="93"/>
      <c r="I95" s="54"/>
      <c r="J95" s="55"/>
      <c r="K95" s="11"/>
      <c r="L95" s="53" t="str">
        <f t="shared" si="4"/>
        <v/>
      </c>
      <c r="M95" s="11">
        <v>108.43</v>
      </c>
      <c r="N95" s="11">
        <v>24.57</v>
      </c>
      <c r="O95" s="11">
        <v>12</v>
      </c>
      <c r="P95" s="11">
        <v>2</v>
      </c>
      <c r="Q95" s="11"/>
      <c r="R95" s="11"/>
      <c r="S95" s="11">
        <v>5</v>
      </c>
      <c r="T95" s="11"/>
      <c r="U95" s="11">
        <v>18</v>
      </c>
      <c r="V95" s="56" t="s">
        <v>424</v>
      </c>
      <c r="W95" s="35" t="str">
        <f t="shared" si="2"/>
        <v>Diferente</v>
      </c>
      <c r="X95" s="38">
        <f t="shared" si="5"/>
        <v>-170</v>
      </c>
      <c r="Y95" s="3"/>
      <c r="Z95" s="3"/>
    </row>
    <row r="96" spans="1:26" ht="15.75" customHeight="1" outlineLevel="1" x14ac:dyDescent="0.3">
      <c r="A96" s="3"/>
      <c r="B96" s="9" t="s">
        <v>520</v>
      </c>
      <c r="C96" s="53">
        <v>8</v>
      </c>
      <c r="D96" s="53" t="s">
        <v>95</v>
      </c>
      <c r="E96" s="11">
        <f t="shared" si="15"/>
        <v>168</v>
      </c>
      <c r="F96" s="92">
        <f>E96</f>
        <v>168</v>
      </c>
      <c r="G96" s="95"/>
      <c r="H96" s="93" t="s">
        <v>37</v>
      </c>
      <c r="I96" s="54"/>
      <c r="J96" s="55"/>
      <c r="K96" s="11"/>
      <c r="L96" s="53" t="str">
        <f t="shared" si="4"/>
        <v/>
      </c>
      <c r="M96" s="11">
        <v>113.43</v>
      </c>
      <c r="N96" s="11">
        <v>24.57</v>
      </c>
      <c r="O96" s="11">
        <v>12</v>
      </c>
      <c r="P96" s="11"/>
      <c r="Q96" s="11"/>
      <c r="R96" s="11"/>
      <c r="S96" s="11"/>
      <c r="T96" s="11"/>
      <c r="U96" s="11">
        <v>18</v>
      </c>
      <c r="V96" s="56" t="s">
        <v>424</v>
      </c>
      <c r="W96" s="35" t="str">
        <f t="shared" si="2"/>
        <v>OK</v>
      </c>
      <c r="X96" s="38" t="str">
        <f t="shared" si="5"/>
        <v/>
      </c>
      <c r="Y96" s="3"/>
      <c r="Z96" s="3"/>
    </row>
    <row r="97" spans="1:26" ht="15.75" customHeight="1" outlineLevel="1" x14ac:dyDescent="0.3">
      <c r="A97" s="3"/>
      <c r="B97" s="52" t="s">
        <v>521</v>
      </c>
      <c r="C97" s="53">
        <v>9</v>
      </c>
      <c r="D97" s="53" t="s">
        <v>130</v>
      </c>
      <c r="E97" s="11">
        <v>24</v>
      </c>
      <c r="F97" s="92">
        <f>SUM(M97:U97)</f>
        <v>48</v>
      </c>
      <c r="G97" s="80" t="s">
        <v>522</v>
      </c>
      <c r="H97" s="93" t="s">
        <v>37</v>
      </c>
      <c r="I97" s="54"/>
      <c r="J97" s="55"/>
      <c r="K97" s="11"/>
      <c r="L97" s="53" t="str">
        <f t="shared" si="4"/>
        <v/>
      </c>
      <c r="M97" s="11">
        <f>-12.57*2</f>
        <v>-25.14</v>
      </c>
      <c r="N97" s="11">
        <f>24.57*2</f>
        <v>49.14</v>
      </c>
      <c r="O97" s="11">
        <f>12*2</f>
        <v>24</v>
      </c>
      <c r="P97" s="11"/>
      <c r="Q97" s="11"/>
      <c r="R97" s="11"/>
      <c r="S97" s="11"/>
      <c r="T97" s="11"/>
      <c r="U97" s="11"/>
      <c r="V97" s="56"/>
      <c r="W97" s="35" t="str">
        <f t="shared" si="2"/>
        <v>OK</v>
      </c>
      <c r="X97" s="38" t="str">
        <f t="shared" si="5"/>
        <v/>
      </c>
      <c r="Y97" s="3"/>
      <c r="Z97" s="3"/>
    </row>
    <row r="98" spans="1:26" ht="15.75" customHeight="1" outlineLevel="1" x14ac:dyDescent="0.3">
      <c r="A98" s="3"/>
      <c r="B98" s="9" t="s">
        <v>523</v>
      </c>
      <c r="C98" s="53">
        <v>8</v>
      </c>
      <c r="D98" s="53" t="s">
        <v>95</v>
      </c>
      <c r="E98" s="11">
        <f t="shared" ref="E98:E103" si="21">SUM(M98:U98)</f>
        <v>143</v>
      </c>
      <c r="F98" s="92">
        <f>E98</f>
        <v>143</v>
      </c>
      <c r="G98" s="94"/>
      <c r="H98" s="93" t="s">
        <v>37</v>
      </c>
      <c r="I98" s="54"/>
      <c r="J98" s="55"/>
      <c r="K98" s="11"/>
      <c r="L98" s="53" t="str">
        <f t="shared" si="4"/>
        <v/>
      </c>
      <c r="M98" s="11">
        <v>88.43</v>
      </c>
      <c r="N98" s="11">
        <v>24.57</v>
      </c>
      <c r="O98" s="11">
        <v>12</v>
      </c>
      <c r="P98" s="11"/>
      <c r="Q98" s="11"/>
      <c r="R98" s="11"/>
      <c r="S98" s="11"/>
      <c r="T98" s="11"/>
      <c r="U98" s="11">
        <v>18</v>
      </c>
      <c r="V98" s="56" t="s">
        <v>424</v>
      </c>
      <c r="W98" s="35" t="str">
        <f t="shared" si="2"/>
        <v>OK</v>
      </c>
      <c r="X98" s="38" t="str">
        <f t="shared" si="5"/>
        <v/>
      </c>
      <c r="Y98" s="3"/>
      <c r="Z98" s="3"/>
    </row>
    <row r="99" spans="1:26" ht="15.75" customHeight="1" outlineLevel="1" x14ac:dyDescent="0.3">
      <c r="A99" s="3"/>
      <c r="B99" s="52" t="s">
        <v>524</v>
      </c>
      <c r="C99" s="53"/>
      <c r="D99" s="53" t="s">
        <v>105</v>
      </c>
      <c r="E99" s="11">
        <f t="shared" si="21"/>
        <v>68</v>
      </c>
      <c r="F99" s="92"/>
      <c r="G99" s="95"/>
      <c r="H99" s="93"/>
      <c r="I99" s="54"/>
      <c r="J99" s="55"/>
      <c r="K99" s="11"/>
      <c r="L99" s="53" t="str">
        <f t="shared" si="4"/>
        <v/>
      </c>
      <c r="M99" s="11">
        <v>13.43</v>
      </c>
      <c r="N99" s="11">
        <v>24.57</v>
      </c>
      <c r="O99" s="11">
        <v>12</v>
      </c>
      <c r="P99" s="11"/>
      <c r="Q99" s="11"/>
      <c r="R99" s="11"/>
      <c r="S99" s="11"/>
      <c r="T99" s="11"/>
      <c r="U99" s="11">
        <v>18</v>
      </c>
      <c r="V99" s="56" t="s">
        <v>424</v>
      </c>
      <c r="W99" s="35" t="str">
        <f t="shared" si="2"/>
        <v>Diferente</v>
      </c>
      <c r="X99" s="38">
        <f t="shared" si="5"/>
        <v>-68</v>
      </c>
      <c r="Y99" s="3"/>
      <c r="Z99" s="3"/>
    </row>
    <row r="100" spans="1:26" ht="15.75" customHeight="1" outlineLevel="1" x14ac:dyDescent="0.3">
      <c r="A100" s="3"/>
      <c r="B100" s="9" t="s">
        <v>525</v>
      </c>
      <c r="C100" s="53">
        <v>10</v>
      </c>
      <c r="D100" s="53" t="s">
        <v>95</v>
      </c>
      <c r="E100" s="11">
        <f t="shared" si="21"/>
        <v>148</v>
      </c>
      <c r="F100" s="92">
        <f t="shared" ref="F100:F101" si="22">E100</f>
        <v>148</v>
      </c>
      <c r="G100" s="237"/>
      <c r="H100" s="93" t="s">
        <v>37</v>
      </c>
      <c r="I100" s="54"/>
      <c r="J100" s="55"/>
      <c r="K100" s="11"/>
      <c r="L100" s="53" t="str">
        <f t="shared" si="4"/>
        <v/>
      </c>
      <c r="M100" s="11">
        <v>91.93</v>
      </c>
      <c r="N100" s="11">
        <v>24.57</v>
      </c>
      <c r="O100" s="11">
        <v>12</v>
      </c>
      <c r="P100" s="11">
        <v>1.5</v>
      </c>
      <c r="Q100" s="11"/>
      <c r="R100" s="11"/>
      <c r="S100" s="11"/>
      <c r="T100" s="11"/>
      <c r="U100" s="11">
        <v>18</v>
      </c>
      <c r="V100" s="56" t="s">
        <v>424</v>
      </c>
      <c r="W100" s="35" t="str">
        <f t="shared" si="2"/>
        <v>OK</v>
      </c>
      <c r="X100" s="38" t="str">
        <f t="shared" si="5"/>
        <v/>
      </c>
      <c r="Y100" s="3"/>
      <c r="Z100" s="3"/>
    </row>
    <row r="101" spans="1:26" ht="15.75" customHeight="1" outlineLevel="1" x14ac:dyDescent="0.3">
      <c r="A101" s="3"/>
      <c r="B101" s="9" t="s">
        <v>526</v>
      </c>
      <c r="C101" s="53">
        <v>10</v>
      </c>
      <c r="D101" s="53" t="s">
        <v>95</v>
      </c>
      <c r="E101" s="11">
        <f t="shared" si="21"/>
        <v>148</v>
      </c>
      <c r="F101" s="92">
        <f t="shared" si="22"/>
        <v>148</v>
      </c>
      <c r="G101" s="214"/>
      <c r="H101" s="93" t="s">
        <v>37</v>
      </c>
      <c r="I101" s="54"/>
      <c r="J101" s="55"/>
      <c r="K101" s="53"/>
      <c r="L101" s="53" t="str">
        <f t="shared" si="4"/>
        <v/>
      </c>
      <c r="M101" s="11">
        <v>91.93</v>
      </c>
      <c r="N101" s="11">
        <v>24.57</v>
      </c>
      <c r="O101" s="11">
        <v>12</v>
      </c>
      <c r="P101" s="11">
        <v>1.5</v>
      </c>
      <c r="Q101" s="11"/>
      <c r="R101" s="11"/>
      <c r="S101" s="11"/>
      <c r="T101" s="11"/>
      <c r="U101" s="11">
        <v>18</v>
      </c>
      <c r="V101" s="56" t="s">
        <v>424</v>
      </c>
      <c r="W101" s="35" t="str">
        <f t="shared" si="2"/>
        <v>OK</v>
      </c>
      <c r="X101" s="38" t="str">
        <f t="shared" si="5"/>
        <v/>
      </c>
      <c r="Y101" s="3"/>
      <c r="Z101" s="3"/>
    </row>
    <row r="102" spans="1:26" ht="15.75" customHeight="1" outlineLevel="1" x14ac:dyDescent="0.3">
      <c r="A102" s="3"/>
      <c r="B102" s="52" t="s">
        <v>527</v>
      </c>
      <c r="C102" s="53"/>
      <c r="D102" s="53" t="s">
        <v>105</v>
      </c>
      <c r="E102" s="11">
        <f t="shared" si="21"/>
        <v>83</v>
      </c>
      <c r="F102" s="92"/>
      <c r="G102" s="53"/>
      <c r="H102" s="93"/>
      <c r="I102" s="54"/>
      <c r="J102" s="55"/>
      <c r="K102" s="53"/>
      <c r="L102" s="53" t="str">
        <f t="shared" si="4"/>
        <v/>
      </c>
      <c r="M102" s="11">
        <v>26.43</v>
      </c>
      <c r="N102" s="11">
        <v>24.57</v>
      </c>
      <c r="O102" s="11">
        <v>12</v>
      </c>
      <c r="P102" s="11">
        <v>2</v>
      </c>
      <c r="Q102" s="11"/>
      <c r="R102" s="11"/>
      <c r="S102" s="11"/>
      <c r="T102" s="11"/>
      <c r="U102" s="11">
        <v>18</v>
      </c>
      <c r="V102" s="56" t="s">
        <v>424</v>
      </c>
      <c r="W102" s="35" t="str">
        <f t="shared" si="2"/>
        <v>Diferente</v>
      </c>
      <c r="X102" s="38">
        <f t="shared" si="5"/>
        <v>-83</v>
      </c>
      <c r="Y102" s="3"/>
      <c r="Z102" s="3"/>
    </row>
    <row r="103" spans="1:26" ht="15.75" customHeight="1" outlineLevel="1" x14ac:dyDescent="0.3">
      <c r="A103" s="3"/>
      <c r="B103" s="9" t="s">
        <v>528</v>
      </c>
      <c r="C103" s="53">
        <v>13</v>
      </c>
      <c r="D103" s="53" t="s">
        <v>95</v>
      </c>
      <c r="E103" s="11">
        <f t="shared" si="21"/>
        <v>157</v>
      </c>
      <c r="F103" s="92">
        <f>E103</f>
        <v>157</v>
      </c>
      <c r="G103" s="53"/>
      <c r="H103" s="93" t="s">
        <v>37</v>
      </c>
      <c r="I103" s="54"/>
      <c r="J103" s="55"/>
      <c r="K103" s="53"/>
      <c r="L103" s="53">
        <f t="shared" si="4"/>
        <v>1</v>
      </c>
      <c r="M103" s="11">
        <v>100.43</v>
      </c>
      <c r="N103" s="11">
        <v>24.57</v>
      </c>
      <c r="O103" s="11">
        <v>12</v>
      </c>
      <c r="P103" s="11">
        <v>2</v>
      </c>
      <c r="Q103" s="11"/>
      <c r="R103" s="11"/>
      <c r="S103" s="11"/>
      <c r="T103" s="11"/>
      <c r="U103" s="11">
        <v>18</v>
      </c>
      <c r="V103" s="56" t="s">
        <v>424</v>
      </c>
      <c r="W103" s="35" t="str">
        <f t="shared" si="2"/>
        <v>OK</v>
      </c>
      <c r="X103" s="38" t="str">
        <f t="shared" si="5"/>
        <v/>
      </c>
      <c r="Y103" s="3"/>
      <c r="Z103" s="3"/>
    </row>
    <row r="104" spans="1:26" ht="15.75" customHeight="1" outlineLevel="1" x14ac:dyDescent="0.3">
      <c r="A104" s="3"/>
      <c r="B104" s="52" t="s">
        <v>529</v>
      </c>
      <c r="C104" s="53">
        <v>24</v>
      </c>
      <c r="D104" s="53" t="s">
        <v>95</v>
      </c>
      <c r="E104" s="11">
        <v>70</v>
      </c>
      <c r="F104" s="92">
        <v>70</v>
      </c>
      <c r="G104" s="53"/>
      <c r="H104" s="93" t="s">
        <v>37</v>
      </c>
      <c r="I104" s="54"/>
      <c r="J104" s="55"/>
      <c r="K104" s="53"/>
      <c r="L104" s="53">
        <f t="shared" si="4"/>
        <v>1</v>
      </c>
      <c r="M104" s="11">
        <f>70-N104-O104-P104</f>
        <v>31.43</v>
      </c>
      <c r="N104" s="11">
        <v>24.57</v>
      </c>
      <c r="O104" s="11">
        <v>12</v>
      </c>
      <c r="P104" s="11">
        <v>2</v>
      </c>
      <c r="Q104" s="11"/>
      <c r="R104" s="11"/>
      <c r="S104" s="11"/>
      <c r="T104" s="11"/>
      <c r="U104" s="11"/>
      <c r="V104" s="56"/>
      <c r="W104" s="35" t="str">
        <f t="shared" si="2"/>
        <v>OK</v>
      </c>
      <c r="X104" s="38" t="str">
        <f t="shared" si="5"/>
        <v/>
      </c>
      <c r="Y104" s="3"/>
      <c r="Z104" s="3"/>
    </row>
    <row r="105" spans="1:26" ht="15.75" customHeight="1" outlineLevel="1" x14ac:dyDescent="0.3">
      <c r="A105" s="3"/>
      <c r="B105" s="9"/>
      <c r="C105" s="53"/>
      <c r="D105" s="53"/>
      <c r="E105" s="11"/>
      <c r="F105" s="92"/>
      <c r="G105" s="97"/>
      <c r="H105" s="93"/>
      <c r="I105" s="54"/>
      <c r="J105" s="55" t="s">
        <v>97</v>
      </c>
      <c r="K105" s="53"/>
      <c r="L105" s="53" t="str">
        <f t="shared" si="4"/>
        <v/>
      </c>
      <c r="M105" s="11"/>
      <c r="N105" s="11"/>
      <c r="O105" s="11"/>
      <c r="P105" s="11"/>
      <c r="Q105" s="11"/>
      <c r="R105" s="11"/>
      <c r="S105" s="11"/>
      <c r="T105" s="11"/>
      <c r="U105" s="11"/>
      <c r="V105" s="53"/>
      <c r="W105" s="35" t="str">
        <f t="shared" si="2"/>
        <v>OK</v>
      </c>
      <c r="X105" s="38" t="str">
        <f t="shared" si="5"/>
        <v/>
      </c>
      <c r="Y105" s="3"/>
      <c r="Z105" s="3"/>
    </row>
    <row r="106" spans="1:26" ht="15.75" customHeight="1" outlineLevel="1" x14ac:dyDescent="0.3">
      <c r="A106" s="3"/>
      <c r="B106" s="9"/>
      <c r="C106" s="53"/>
      <c r="D106" s="53"/>
      <c r="E106" s="11"/>
      <c r="F106" s="92"/>
      <c r="G106" s="98"/>
      <c r="H106" s="93"/>
      <c r="I106" s="54"/>
      <c r="J106" s="55" t="s">
        <v>97</v>
      </c>
      <c r="K106" s="53"/>
      <c r="L106" s="53" t="str">
        <f t="shared" si="4"/>
        <v/>
      </c>
      <c r="M106" s="11"/>
      <c r="N106" s="11"/>
      <c r="O106" s="11"/>
      <c r="P106" s="11"/>
      <c r="Q106" s="11"/>
      <c r="R106" s="11"/>
      <c r="S106" s="11"/>
      <c r="T106" s="11"/>
      <c r="U106" s="11"/>
      <c r="V106" s="53"/>
      <c r="W106" s="35" t="str">
        <f t="shared" si="2"/>
        <v>OK</v>
      </c>
      <c r="X106" s="38" t="str">
        <f t="shared" si="5"/>
        <v/>
      </c>
      <c r="Y106" s="3"/>
      <c r="Z106" s="3"/>
    </row>
    <row r="107" spans="1:26" ht="15.75" customHeight="1" outlineLevel="1" x14ac:dyDescent="0.3">
      <c r="A107" s="3"/>
      <c r="B107" s="9"/>
      <c r="C107" s="53"/>
      <c r="D107" s="53"/>
      <c r="E107" s="11"/>
      <c r="F107" s="92"/>
      <c r="G107" s="98"/>
      <c r="H107" s="93"/>
      <c r="I107" s="54"/>
      <c r="J107" s="55" t="s">
        <v>97</v>
      </c>
      <c r="K107" s="53"/>
      <c r="L107" s="53" t="str">
        <f t="shared" si="4"/>
        <v/>
      </c>
      <c r="M107" s="11"/>
      <c r="N107" s="11"/>
      <c r="O107" s="11"/>
      <c r="P107" s="11"/>
      <c r="Q107" s="11"/>
      <c r="R107" s="11"/>
      <c r="S107" s="11"/>
      <c r="T107" s="11"/>
      <c r="U107" s="11"/>
      <c r="V107" s="53"/>
      <c r="W107" s="35" t="str">
        <f t="shared" si="2"/>
        <v>OK</v>
      </c>
      <c r="X107" s="38" t="str">
        <f t="shared" si="5"/>
        <v/>
      </c>
      <c r="Y107" s="3"/>
      <c r="Z107" s="3"/>
    </row>
    <row r="108" spans="1:26" ht="15.75" customHeight="1" outlineLevel="1" x14ac:dyDescent="0.3">
      <c r="A108" s="3"/>
      <c r="B108" s="9"/>
      <c r="C108" s="53"/>
      <c r="D108" s="53"/>
      <c r="E108" s="11"/>
      <c r="F108" s="92"/>
      <c r="G108" s="98"/>
      <c r="H108" s="93"/>
      <c r="I108" s="54"/>
      <c r="J108" s="55" t="s">
        <v>97</v>
      </c>
      <c r="K108" s="53"/>
      <c r="L108" s="53" t="str">
        <f t="shared" si="4"/>
        <v/>
      </c>
      <c r="M108" s="11"/>
      <c r="N108" s="11"/>
      <c r="O108" s="11"/>
      <c r="P108" s="11"/>
      <c r="Q108" s="11"/>
      <c r="R108" s="11"/>
      <c r="S108" s="11"/>
      <c r="T108" s="11"/>
      <c r="U108" s="11"/>
      <c r="V108" s="53"/>
      <c r="W108" s="35" t="str">
        <f t="shared" si="2"/>
        <v>OK</v>
      </c>
      <c r="X108" s="38" t="str">
        <f t="shared" si="5"/>
        <v/>
      </c>
      <c r="Y108" s="3"/>
      <c r="Z108" s="3"/>
    </row>
    <row r="109" spans="1:26" ht="15.75" customHeight="1" outlineLevel="1" x14ac:dyDescent="0.3">
      <c r="A109" s="3"/>
      <c r="B109" s="9"/>
      <c r="C109" s="53"/>
      <c r="D109" s="53"/>
      <c r="E109" s="11"/>
      <c r="F109" s="92"/>
      <c r="G109" s="98"/>
      <c r="H109" s="93"/>
      <c r="I109" s="54"/>
      <c r="J109" s="55" t="s">
        <v>97</v>
      </c>
      <c r="K109" s="53"/>
      <c r="L109" s="53" t="str">
        <f t="shared" si="4"/>
        <v/>
      </c>
      <c r="M109" s="11"/>
      <c r="N109" s="11"/>
      <c r="O109" s="11"/>
      <c r="P109" s="11"/>
      <c r="Q109" s="11"/>
      <c r="R109" s="11"/>
      <c r="S109" s="11"/>
      <c r="T109" s="11"/>
      <c r="U109" s="11"/>
      <c r="V109" s="53"/>
      <c r="W109" s="35" t="str">
        <f t="shared" si="2"/>
        <v>OK</v>
      </c>
      <c r="X109" s="38" t="str">
        <f t="shared" si="5"/>
        <v/>
      </c>
      <c r="Y109" s="3"/>
      <c r="Z109" s="3"/>
    </row>
    <row r="110" spans="1:26" ht="15.75" customHeight="1" outlineLevel="1" x14ac:dyDescent="0.3">
      <c r="A110" s="3"/>
      <c r="B110" s="9"/>
      <c r="C110" s="53"/>
      <c r="D110" s="53"/>
      <c r="E110" s="11"/>
      <c r="F110" s="92"/>
      <c r="G110" s="98"/>
      <c r="H110" s="93"/>
      <c r="I110" s="54"/>
      <c r="J110" s="55" t="s">
        <v>97</v>
      </c>
      <c r="K110" s="53"/>
      <c r="L110" s="53" t="str">
        <f t="shared" si="4"/>
        <v/>
      </c>
      <c r="M110" s="11"/>
      <c r="N110" s="11"/>
      <c r="O110" s="11"/>
      <c r="P110" s="11"/>
      <c r="Q110" s="11"/>
      <c r="R110" s="11"/>
      <c r="S110" s="11"/>
      <c r="T110" s="11"/>
      <c r="U110" s="11"/>
      <c r="V110" s="53"/>
      <c r="W110" s="35" t="str">
        <f t="shared" si="2"/>
        <v>OK</v>
      </c>
      <c r="X110" s="38" t="str">
        <f t="shared" si="5"/>
        <v/>
      </c>
      <c r="Y110" s="3"/>
      <c r="Z110" s="3"/>
    </row>
    <row r="111" spans="1:26" ht="15.75" customHeight="1" outlineLevel="1" x14ac:dyDescent="0.3">
      <c r="A111" s="3"/>
      <c r="B111" s="99"/>
      <c r="C111" s="53"/>
      <c r="D111" s="53"/>
      <c r="E111" s="11"/>
      <c r="F111" s="92"/>
      <c r="G111" s="98"/>
      <c r="H111" s="93"/>
      <c r="I111" s="54"/>
      <c r="J111" s="55" t="s">
        <v>97</v>
      </c>
      <c r="K111" s="53"/>
      <c r="L111" s="53" t="str">
        <f t="shared" si="4"/>
        <v/>
      </c>
      <c r="M111" s="11"/>
      <c r="N111" s="11"/>
      <c r="O111" s="11"/>
      <c r="P111" s="11"/>
      <c r="Q111" s="11"/>
      <c r="R111" s="11"/>
      <c r="S111" s="11"/>
      <c r="T111" s="11"/>
      <c r="U111" s="11"/>
      <c r="V111" s="53"/>
      <c r="W111" s="35" t="str">
        <f t="shared" si="2"/>
        <v>OK</v>
      </c>
      <c r="X111" s="38" t="str">
        <f t="shared" si="5"/>
        <v/>
      </c>
      <c r="Y111" s="3"/>
      <c r="Z111" s="3"/>
    </row>
    <row r="112" spans="1:26" ht="15.75" customHeight="1" outlineLevel="1" x14ac:dyDescent="0.3">
      <c r="A112" s="3"/>
      <c r="B112" s="9"/>
      <c r="C112" s="53"/>
      <c r="D112" s="53"/>
      <c r="E112" s="11"/>
      <c r="F112" s="11"/>
      <c r="G112" s="100"/>
      <c r="H112" s="54"/>
      <c r="I112" s="54"/>
      <c r="J112" s="55" t="s">
        <v>97</v>
      </c>
      <c r="K112" s="53"/>
      <c r="L112" s="53" t="str">
        <f t="shared" si="4"/>
        <v/>
      </c>
      <c r="M112" s="11"/>
      <c r="N112" s="11"/>
      <c r="O112" s="11"/>
      <c r="P112" s="11"/>
      <c r="Q112" s="11"/>
      <c r="R112" s="11"/>
      <c r="S112" s="11"/>
      <c r="T112" s="11"/>
      <c r="U112" s="11"/>
      <c r="V112" s="53"/>
      <c r="W112" s="35" t="str">
        <f t="shared" si="2"/>
        <v>OK</v>
      </c>
      <c r="X112" s="38" t="str">
        <f t="shared" si="5"/>
        <v/>
      </c>
      <c r="Y112" s="3"/>
      <c r="Z112" s="3"/>
    </row>
    <row r="113" spans="1:26" ht="15.75" customHeight="1" outlineLevel="1" x14ac:dyDescent="0.3">
      <c r="A113" s="3"/>
      <c r="B113" s="9"/>
      <c r="C113" s="53"/>
      <c r="D113" s="53"/>
      <c r="E113" s="11"/>
      <c r="F113" s="11"/>
      <c r="G113" s="58"/>
      <c r="H113" s="54"/>
      <c r="I113" s="54"/>
      <c r="J113" s="55" t="s">
        <v>97</v>
      </c>
      <c r="K113" s="53"/>
      <c r="L113" s="53" t="str">
        <f t="shared" si="4"/>
        <v/>
      </c>
      <c r="M113" s="11"/>
      <c r="N113" s="11"/>
      <c r="O113" s="11"/>
      <c r="P113" s="11"/>
      <c r="Q113" s="11"/>
      <c r="R113" s="11"/>
      <c r="S113" s="11"/>
      <c r="T113" s="11"/>
      <c r="U113" s="11"/>
      <c r="V113" s="53"/>
      <c r="W113" s="35" t="str">
        <f t="shared" si="2"/>
        <v>OK</v>
      </c>
      <c r="X113" s="38" t="str">
        <f t="shared" si="5"/>
        <v/>
      </c>
      <c r="Y113" s="3"/>
      <c r="Z113" s="3"/>
    </row>
    <row r="114" spans="1:26" ht="15.75" customHeight="1" outlineLevel="1" x14ac:dyDescent="0.3">
      <c r="A114" s="3"/>
      <c r="B114" s="9"/>
      <c r="C114" s="53"/>
      <c r="D114" s="53"/>
      <c r="E114" s="11"/>
      <c r="F114" s="11"/>
      <c r="G114" s="58"/>
      <c r="H114" s="54"/>
      <c r="I114" s="54"/>
      <c r="J114" s="55" t="s">
        <v>97</v>
      </c>
      <c r="K114" s="53"/>
      <c r="L114" s="53" t="str">
        <f t="shared" si="4"/>
        <v/>
      </c>
      <c r="M114" s="11"/>
      <c r="N114" s="11"/>
      <c r="O114" s="11"/>
      <c r="P114" s="11"/>
      <c r="Q114" s="11"/>
      <c r="R114" s="11"/>
      <c r="S114" s="11"/>
      <c r="T114" s="11"/>
      <c r="U114" s="11"/>
      <c r="V114" s="53"/>
      <c r="W114" s="35" t="str">
        <f t="shared" si="2"/>
        <v>OK</v>
      </c>
      <c r="X114" s="38" t="str">
        <f t="shared" si="5"/>
        <v/>
      </c>
      <c r="Y114" s="3"/>
      <c r="Z114" s="3"/>
    </row>
    <row r="115" spans="1:26" ht="15.75" customHeight="1" outlineLevel="1" x14ac:dyDescent="0.3">
      <c r="A115" s="3"/>
      <c r="B115" s="9"/>
      <c r="C115" s="53"/>
      <c r="D115" s="53"/>
      <c r="E115" s="11"/>
      <c r="F115" s="11"/>
      <c r="G115" s="58"/>
      <c r="H115" s="54"/>
      <c r="I115" s="54"/>
      <c r="J115" s="55" t="s">
        <v>97</v>
      </c>
      <c r="K115" s="53"/>
      <c r="L115" s="53" t="str">
        <f t="shared" si="4"/>
        <v/>
      </c>
      <c r="M115" s="11"/>
      <c r="N115" s="11"/>
      <c r="O115" s="11"/>
      <c r="P115" s="11"/>
      <c r="Q115" s="11"/>
      <c r="R115" s="11"/>
      <c r="S115" s="11"/>
      <c r="T115" s="11"/>
      <c r="U115" s="11"/>
      <c r="V115" s="53"/>
      <c r="W115" s="35" t="str">
        <f t="shared" si="2"/>
        <v>OK</v>
      </c>
      <c r="X115" s="38" t="str">
        <f t="shared" si="5"/>
        <v/>
      </c>
      <c r="Y115" s="3"/>
      <c r="Z115" s="3"/>
    </row>
    <row r="116" spans="1:26" ht="15.75" customHeight="1" outlineLevel="1" x14ac:dyDescent="0.3">
      <c r="A116" s="3"/>
      <c r="B116" s="9"/>
      <c r="C116" s="53"/>
      <c r="D116" s="53"/>
      <c r="E116" s="11"/>
      <c r="F116" s="11"/>
      <c r="G116" s="58"/>
      <c r="H116" s="54"/>
      <c r="I116" s="54"/>
      <c r="J116" s="55" t="s">
        <v>97</v>
      </c>
      <c r="K116" s="53"/>
      <c r="L116" s="53" t="str">
        <f t="shared" si="4"/>
        <v/>
      </c>
      <c r="M116" s="11"/>
      <c r="N116" s="11"/>
      <c r="O116" s="11"/>
      <c r="P116" s="11"/>
      <c r="Q116" s="11"/>
      <c r="R116" s="11"/>
      <c r="S116" s="11"/>
      <c r="T116" s="11"/>
      <c r="U116" s="11"/>
      <c r="V116" s="53"/>
      <c r="W116" s="35" t="str">
        <f t="shared" si="2"/>
        <v>OK</v>
      </c>
      <c r="X116" s="38" t="str">
        <f t="shared" si="5"/>
        <v/>
      </c>
      <c r="Y116" s="3"/>
      <c r="Z116" s="3"/>
    </row>
    <row r="117" spans="1:26" ht="15.75" customHeight="1" outlineLevel="1" x14ac:dyDescent="0.3">
      <c r="A117" s="3"/>
      <c r="B117" s="9"/>
      <c r="C117" s="53"/>
      <c r="D117" s="53"/>
      <c r="E117" s="11"/>
      <c r="F117" s="11"/>
      <c r="G117" s="58"/>
      <c r="H117" s="54"/>
      <c r="I117" s="54"/>
      <c r="J117" s="55" t="s">
        <v>97</v>
      </c>
      <c r="K117" s="53"/>
      <c r="L117" s="53" t="str">
        <f t="shared" si="4"/>
        <v/>
      </c>
      <c r="M117" s="11"/>
      <c r="N117" s="11"/>
      <c r="O117" s="11"/>
      <c r="P117" s="11"/>
      <c r="Q117" s="11"/>
      <c r="R117" s="11"/>
      <c r="S117" s="11"/>
      <c r="T117" s="11"/>
      <c r="U117" s="11"/>
      <c r="V117" s="53"/>
      <c r="W117" s="35" t="str">
        <f t="shared" si="2"/>
        <v>OK</v>
      </c>
      <c r="X117" s="38" t="str">
        <f t="shared" si="5"/>
        <v/>
      </c>
      <c r="Y117" s="3"/>
      <c r="Z117" s="3"/>
    </row>
    <row r="118" spans="1:26" ht="15.75" customHeight="1" outlineLevel="1" x14ac:dyDescent="0.3">
      <c r="A118" s="3"/>
      <c r="B118" s="9"/>
      <c r="C118" s="53"/>
      <c r="D118" s="53"/>
      <c r="E118" s="11"/>
      <c r="F118" s="11"/>
      <c r="G118" s="58"/>
      <c r="H118" s="54"/>
      <c r="I118" s="54"/>
      <c r="J118" s="55" t="s">
        <v>97</v>
      </c>
      <c r="K118" s="53"/>
      <c r="L118" s="53" t="str">
        <f t="shared" si="4"/>
        <v/>
      </c>
      <c r="M118" s="11"/>
      <c r="N118" s="11"/>
      <c r="O118" s="11"/>
      <c r="P118" s="11"/>
      <c r="Q118" s="11"/>
      <c r="R118" s="11"/>
      <c r="S118" s="11"/>
      <c r="T118" s="11"/>
      <c r="U118" s="11"/>
      <c r="V118" s="53"/>
      <c r="W118" s="35" t="str">
        <f t="shared" si="2"/>
        <v>OK</v>
      </c>
      <c r="X118" s="38" t="str">
        <f t="shared" si="5"/>
        <v/>
      </c>
      <c r="Y118" s="3"/>
      <c r="Z118" s="3"/>
    </row>
    <row r="119" spans="1:26" ht="15.75" customHeight="1" outlineLevel="1" x14ac:dyDescent="0.3">
      <c r="A119" s="3"/>
      <c r="B119" s="9"/>
      <c r="C119" s="53"/>
      <c r="D119" s="53"/>
      <c r="E119" s="11"/>
      <c r="F119" s="11"/>
      <c r="G119" s="58"/>
      <c r="H119" s="54"/>
      <c r="I119" s="54"/>
      <c r="J119" s="55" t="s">
        <v>97</v>
      </c>
      <c r="K119" s="53"/>
      <c r="L119" s="53" t="str">
        <f t="shared" si="4"/>
        <v/>
      </c>
      <c r="M119" s="11"/>
      <c r="N119" s="11"/>
      <c r="O119" s="11"/>
      <c r="P119" s="11"/>
      <c r="Q119" s="11"/>
      <c r="R119" s="11"/>
      <c r="S119" s="11"/>
      <c r="T119" s="11"/>
      <c r="U119" s="11"/>
      <c r="V119" s="53"/>
      <c r="W119" s="35" t="str">
        <f t="shared" si="2"/>
        <v>OK</v>
      </c>
      <c r="X119" s="38" t="str">
        <f t="shared" si="5"/>
        <v/>
      </c>
      <c r="Y119" s="3"/>
      <c r="Z119" s="3"/>
    </row>
    <row r="120" spans="1:26" ht="15.75" customHeight="1" outlineLevel="1" x14ac:dyDescent="0.3">
      <c r="A120" s="3"/>
      <c r="B120" s="9"/>
      <c r="C120" s="53"/>
      <c r="D120" s="53"/>
      <c r="E120" s="11"/>
      <c r="F120" s="11"/>
      <c r="G120" s="58"/>
      <c r="H120" s="54"/>
      <c r="I120" s="54"/>
      <c r="J120" s="55"/>
      <c r="K120" s="53"/>
      <c r="L120" s="53" t="str">
        <f t="shared" si="4"/>
        <v/>
      </c>
      <c r="M120" s="11"/>
      <c r="N120" s="11"/>
      <c r="O120" s="11"/>
      <c r="P120" s="11"/>
      <c r="Q120" s="11"/>
      <c r="R120" s="11"/>
      <c r="S120" s="11"/>
      <c r="T120" s="11"/>
      <c r="U120" s="11"/>
      <c r="V120" s="53"/>
      <c r="W120" s="35" t="str">
        <f t="shared" si="2"/>
        <v>OK</v>
      </c>
      <c r="X120" s="38" t="str">
        <f t="shared" si="5"/>
        <v/>
      </c>
      <c r="Y120" s="3"/>
      <c r="Z120" s="3"/>
    </row>
    <row r="121" spans="1:26" ht="15.75" customHeight="1" outlineLevel="1" x14ac:dyDescent="0.3">
      <c r="A121" s="3"/>
      <c r="B121" s="9"/>
      <c r="C121" s="53"/>
      <c r="D121" s="53"/>
      <c r="E121" s="11"/>
      <c r="F121" s="11"/>
      <c r="G121" s="58"/>
      <c r="H121" s="54"/>
      <c r="I121" s="54"/>
      <c r="J121" s="55"/>
      <c r="K121" s="53"/>
      <c r="L121" s="53" t="str">
        <f t="shared" si="4"/>
        <v/>
      </c>
      <c r="M121" s="11"/>
      <c r="N121" s="11"/>
      <c r="O121" s="11"/>
      <c r="P121" s="11"/>
      <c r="Q121" s="11"/>
      <c r="R121" s="11"/>
      <c r="S121" s="11"/>
      <c r="T121" s="11"/>
      <c r="U121" s="11"/>
      <c r="V121" s="53"/>
      <c r="W121" s="35" t="str">
        <f t="shared" si="2"/>
        <v>OK</v>
      </c>
      <c r="X121" s="38" t="str">
        <f t="shared" si="5"/>
        <v/>
      </c>
      <c r="Y121" s="3"/>
      <c r="Z121" s="3"/>
    </row>
    <row r="122" spans="1:26" ht="15.75" customHeight="1" outlineLevel="1" x14ac:dyDescent="0.3">
      <c r="A122" s="3"/>
      <c r="B122" s="9"/>
      <c r="C122" s="53"/>
      <c r="D122" s="53"/>
      <c r="E122" s="11"/>
      <c r="F122" s="11"/>
      <c r="G122" s="58"/>
      <c r="H122" s="54"/>
      <c r="I122" s="54"/>
      <c r="J122" s="55"/>
      <c r="K122" s="53"/>
      <c r="L122" s="53" t="str">
        <f t="shared" si="4"/>
        <v/>
      </c>
      <c r="M122" s="11"/>
      <c r="N122" s="11"/>
      <c r="O122" s="11"/>
      <c r="P122" s="11"/>
      <c r="Q122" s="11"/>
      <c r="R122" s="11"/>
      <c r="S122" s="11"/>
      <c r="T122" s="11"/>
      <c r="U122" s="11"/>
      <c r="V122" s="53"/>
      <c r="W122" s="35" t="str">
        <f t="shared" si="2"/>
        <v>OK</v>
      </c>
      <c r="X122" s="38" t="str">
        <f t="shared" si="5"/>
        <v/>
      </c>
      <c r="Y122" s="3"/>
      <c r="Z122" s="3"/>
    </row>
    <row r="123" spans="1:26" ht="15.75" customHeight="1" outlineLevel="1" x14ac:dyDescent="0.3">
      <c r="A123" s="3"/>
      <c r="B123" s="9"/>
      <c r="C123" s="53"/>
      <c r="D123" s="53"/>
      <c r="E123" s="11"/>
      <c r="F123" s="11"/>
      <c r="G123" s="58"/>
      <c r="H123" s="54"/>
      <c r="I123" s="54"/>
      <c r="J123" s="55"/>
      <c r="K123" s="53"/>
      <c r="L123" s="53" t="str">
        <f t="shared" si="4"/>
        <v/>
      </c>
      <c r="M123" s="11"/>
      <c r="N123" s="11"/>
      <c r="O123" s="11"/>
      <c r="P123" s="11"/>
      <c r="Q123" s="11"/>
      <c r="R123" s="11"/>
      <c r="S123" s="11"/>
      <c r="T123" s="11"/>
      <c r="U123" s="11"/>
      <c r="V123" s="53"/>
      <c r="W123" s="35" t="str">
        <f t="shared" si="2"/>
        <v>OK</v>
      </c>
      <c r="X123" s="38" t="str">
        <f t="shared" si="5"/>
        <v/>
      </c>
      <c r="Y123" s="3"/>
      <c r="Z123" s="3"/>
    </row>
    <row r="124" spans="1:26" ht="15.75" customHeight="1" outlineLevel="1" x14ac:dyDescent="0.3">
      <c r="A124" s="3"/>
      <c r="B124" s="9"/>
      <c r="C124" s="53"/>
      <c r="D124" s="53"/>
      <c r="E124" s="11"/>
      <c r="F124" s="11"/>
      <c r="G124" s="58"/>
      <c r="H124" s="54"/>
      <c r="I124" s="54"/>
      <c r="J124" s="55"/>
      <c r="K124" s="53"/>
      <c r="L124" s="53" t="str">
        <f t="shared" si="4"/>
        <v/>
      </c>
      <c r="M124" s="11"/>
      <c r="N124" s="11"/>
      <c r="O124" s="11"/>
      <c r="P124" s="11"/>
      <c r="Q124" s="11"/>
      <c r="R124" s="11"/>
      <c r="S124" s="11"/>
      <c r="T124" s="11"/>
      <c r="U124" s="11"/>
      <c r="V124" s="53"/>
      <c r="W124" s="35" t="str">
        <f t="shared" si="2"/>
        <v>OK</v>
      </c>
      <c r="X124" s="38" t="str">
        <f t="shared" si="5"/>
        <v/>
      </c>
      <c r="Y124" s="3"/>
      <c r="Z124" s="3"/>
    </row>
    <row r="125" spans="1:26" ht="15.75" customHeight="1" outlineLevel="1" x14ac:dyDescent="0.3">
      <c r="A125" s="3"/>
      <c r="B125" s="9"/>
      <c r="C125" s="53"/>
      <c r="D125" s="53"/>
      <c r="E125" s="11"/>
      <c r="F125" s="11"/>
      <c r="G125" s="58"/>
      <c r="H125" s="54"/>
      <c r="I125" s="54"/>
      <c r="J125" s="55"/>
      <c r="K125" s="53"/>
      <c r="L125" s="53" t="str">
        <f t="shared" si="4"/>
        <v/>
      </c>
      <c r="M125" s="11"/>
      <c r="N125" s="11"/>
      <c r="O125" s="11"/>
      <c r="P125" s="11"/>
      <c r="Q125" s="11"/>
      <c r="R125" s="11"/>
      <c r="S125" s="11"/>
      <c r="T125" s="11"/>
      <c r="U125" s="11"/>
      <c r="V125" s="53"/>
      <c r="W125" s="35" t="str">
        <f t="shared" si="2"/>
        <v>OK</v>
      </c>
      <c r="X125" s="38" t="str">
        <f t="shared" si="5"/>
        <v/>
      </c>
      <c r="Y125" s="3"/>
      <c r="Z125" s="3"/>
    </row>
    <row r="126" spans="1:26" ht="15.75" customHeight="1" outlineLevel="1" x14ac:dyDescent="0.3">
      <c r="A126" s="3"/>
      <c r="B126" s="9"/>
      <c r="C126" s="53"/>
      <c r="D126" s="53"/>
      <c r="E126" s="11"/>
      <c r="F126" s="11"/>
      <c r="G126" s="58"/>
      <c r="H126" s="54"/>
      <c r="I126" s="54"/>
      <c r="J126" s="55"/>
      <c r="K126" s="53"/>
      <c r="L126" s="53" t="str">
        <f>IF(D126="Parcial","",IF(C126&gt;12,1,""))</f>
        <v/>
      </c>
      <c r="M126" s="11"/>
      <c r="N126" s="11"/>
      <c r="O126" s="11"/>
      <c r="P126" s="11"/>
      <c r="Q126" s="11"/>
      <c r="R126" s="11"/>
      <c r="S126" s="11"/>
      <c r="T126" s="11"/>
      <c r="U126" s="11"/>
      <c r="V126" s="53"/>
      <c r="W126" s="35" t="str">
        <f t="shared" si="2"/>
        <v>OK</v>
      </c>
      <c r="X126" s="38" t="str">
        <f t="shared" si="5"/>
        <v/>
      </c>
      <c r="Y126" s="3"/>
      <c r="Z126" s="3"/>
    </row>
    <row r="127" spans="1:26" ht="15.75" customHeight="1" x14ac:dyDescent="0.3">
      <c r="A127" s="3"/>
      <c r="B127" s="64" t="s">
        <v>63</v>
      </c>
      <c r="C127" s="47" t="s">
        <v>44</v>
      </c>
      <c r="D127" s="47" t="s">
        <v>44</v>
      </c>
      <c r="E127" s="48">
        <f t="shared" ref="E127:F127" si="23">SUM(E128,E131,,E135,E140,E144)</f>
        <v>0</v>
      </c>
      <c r="F127" s="48">
        <f t="shared" si="23"/>
        <v>25606.37</v>
      </c>
      <c r="G127" s="49" t="s">
        <v>44</v>
      </c>
      <c r="H127" s="65"/>
      <c r="I127" s="65"/>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66" t="s">
        <v>231</v>
      </c>
      <c r="C128" s="67" t="s">
        <v>44</v>
      </c>
      <c r="D128" s="67" t="s">
        <v>44</v>
      </c>
      <c r="E128" s="68">
        <f>SUM(E129:E130)</f>
        <v>0</v>
      </c>
      <c r="F128" s="68">
        <f>SUMIF(D129:D130,"OK",F129:F130)</f>
        <v>381.51</v>
      </c>
      <c r="G128" s="69" t="s">
        <v>44</v>
      </c>
      <c r="H128" s="70"/>
      <c r="I128" s="70"/>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9" t="s">
        <v>232</v>
      </c>
      <c r="C129" s="53">
        <v>29</v>
      </c>
      <c r="D129" s="53" t="s">
        <v>95</v>
      </c>
      <c r="E129" s="11">
        <v>0</v>
      </c>
      <c r="F129" s="11">
        <v>381.51</v>
      </c>
      <c r="G129" s="58"/>
      <c r="H129" s="54" t="s">
        <v>37</v>
      </c>
      <c r="I129" s="54"/>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9" t="s">
        <v>62</v>
      </c>
      <c r="C130" s="53"/>
      <c r="D130" s="53"/>
      <c r="E130" s="11">
        <v>0</v>
      </c>
      <c r="F130" s="11">
        <v>0</v>
      </c>
      <c r="G130" s="58"/>
      <c r="H130" s="54"/>
      <c r="I130" s="54"/>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66" t="s">
        <v>233</v>
      </c>
      <c r="C131" s="67" t="s">
        <v>44</v>
      </c>
      <c r="D131" s="67" t="s">
        <v>44</v>
      </c>
      <c r="E131" s="68">
        <f>SUM(E132:E134)</f>
        <v>0</v>
      </c>
      <c r="F131" s="68">
        <f>SUMIF(D132:D134,"OK",F132:F134)</f>
        <v>143</v>
      </c>
      <c r="G131" s="69" t="s">
        <v>44</v>
      </c>
      <c r="H131" s="70"/>
      <c r="I131" s="70"/>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9" t="s">
        <v>530</v>
      </c>
      <c r="C132" s="53" t="s">
        <v>531</v>
      </c>
      <c r="D132" s="53" t="s">
        <v>95</v>
      </c>
      <c r="E132" s="11">
        <v>0</v>
      </c>
      <c r="F132" s="11">
        <f>12+30+20+16+15</f>
        <v>93</v>
      </c>
      <c r="G132" s="58"/>
      <c r="H132" s="54" t="s">
        <v>39</v>
      </c>
      <c r="I132" s="54"/>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9" t="s">
        <v>532</v>
      </c>
      <c r="C133" s="53"/>
      <c r="D133" s="53"/>
      <c r="E133" s="11">
        <v>0</v>
      </c>
      <c r="F133" s="11">
        <v>0</v>
      </c>
      <c r="G133" s="61"/>
      <c r="H133" s="54"/>
      <c r="I133" s="54"/>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9" t="s">
        <v>533</v>
      </c>
      <c r="C134" s="71">
        <v>28</v>
      </c>
      <c r="D134" s="53" t="s">
        <v>95</v>
      </c>
      <c r="E134" s="11">
        <v>0</v>
      </c>
      <c r="F134" s="11">
        <f>10+5+5+5+5+5+5+5+5</f>
        <v>50</v>
      </c>
      <c r="G134" s="58"/>
      <c r="H134" s="54" t="s">
        <v>38</v>
      </c>
      <c r="I134" s="54"/>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66" t="s">
        <v>65</v>
      </c>
      <c r="C135" s="67" t="s">
        <v>44</v>
      </c>
      <c r="D135" s="67" t="s">
        <v>44</v>
      </c>
      <c r="E135" s="68">
        <f>SUM(E136:E139)</f>
        <v>0</v>
      </c>
      <c r="F135" s="68">
        <f>SUMIF(D136:D139,"OK",F136:F139)</f>
        <v>24756.86</v>
      </c>
      <c r="G135" s="69" t="s">
        <v>44</v>
      </c>
      <c r="H135" s="70"/>
      <c r="I135" s="70"/>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534</v>
      </c>
      <c r="C136" s="53" t="s">
        <v>535</v>
      </c>
      <c r="D136" s="53" t="s">
        <v>95</v>
      </c>
      <c r="E136" s="11">
        <v>0</v>
      </c>
      <c r="F136" s="11">
        <f>17611.72</f>
        <v>17611.72</v>
      </c>
      <c r="G136" s="61"/>
      <c r="H136" s="54" t="s">
        <v>38</v>
      </c>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9" t="s">
        <v>534</v>
      </c>
      <c r="C137" s="53">
        <v>25</v>
      </c>
      <c r="D137" s="53" t="s">
        <v>95</v>
      </c>
      <c r="E137" s="11">
        <v>0</v>
      </c>
      <c r="F137" s="11">
        <v>88</v>
      </c>
      <c r="G137" s="61"/>
      <c r="H137" s="54" t="s">
        <v>39</v>
      </c>
      <c r="I137" s="54"/>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9" t="s">
        <v>536</v>
      </c>
      <c r="C138" s="53" t="s">
        <v>535</v>
      </c>
      <c r="D138" s="53" t="s">
        <v>95</v>
      </c>
      <c r="E138" s="11">
        <v>0</v>
      </c>
      <c r="F138" s="11">
        <f>24756.86-F136-F139-F137</f>
        <v>5423.1399999999994</v>
      </c>
      <c r="G138" s="60"/>
      <c r="H138" s="54" t="s">
        <v>36</v>
      </c>
      <c r="I138" s="54"/>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9" t="s">
        <v>64</v>
      </c>
      <c r="C139" s="53" t="s">
        <v>537</v>
      </c>
      <c r="D139" s="53" t="s">
        <v>95</v>
      </c>
      <c r="E139" s="11">
        <v>0</v>
      </c>
      <c r="F139" s="11">
        <f>1670-30-20-16+30</f>
        <v>1634</v>
      </c>
      <c r="G139" s="60"/>
      <c r="H139" s="54" t="s">
        <v>39</v>
      </c>
      <c r="I139" s="54"/>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66" t="s">
        <v>538</v>
      </c>
      <c r="C140" s="67" t="s">
        <v>44</v>
      </c>
      <c r="D140" s="67" t="s">
        <v>44</v>
      </c>
      <c r="E140" s="68">
        <f>SUM(E141:E143)</f>
        <v>0</v>
      </c>
      <c r="F140" s="68">
        <f>SUMIF(D141:D143,"OK",F141:F143)</f>
        <v>325</v>
      </c>
      <c r="G140" s="69" t="s">
        <v>44</v>
      </c>
      <c r="H140" s="70"/>
      <c r="I140" s="70"/>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232</v>
      </c>
      <c r="C141" s="53" t="s">
        <v>539</v>
      </c>
      <c r="D141" s="53" t="s">
        <v>95</v>
      </c>
      <c r="E141" s="11">
        <v>0</v>
      </c>
      <c r="F141" s="11">
        <f>65+130+65+65</f>
        <v>325</v>
      </c>
      <c r="G141" s="61" t="s">
        <v>540</v>
      </c>
      <c r="H141" s="54" t="s">
        <v>38</v>
      </c>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64</v>
      </c>
      <c r="C142" s="53"/>
      <c r="D142" s="53"/>
      <c r="E142" s="11">
        <v>0</v>
      </c>
      <c r="F142" s="11">
        <v>0</v>
      </c>
      <c r="G142" s="61"/>
      <c r="H142" s="54"/>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62</v>
      </c>
      <c r="C143" s="53"/>
      <c r="D143" s="53"/>
      <c r="E143" s="11">
        <v>0</v>
      </c>
      <c r="F143" s="11">
        <v>0</v>
      </c>
      <c r="G143" s="61"/>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66" t="s">
        <v>239</v>
      </c>
      <c r="C144" s="67" t="s">
        <v>44</v>
      </c>
      <c r="D144" s="67" t="s">
        <v>44</v>
      </c>
      <c r="E144" s="68">
        <f>SUM(E145:E147)</f>
        <v>0</v>
      </c>
      <c r="F144" s="68">
        <f>SUMIF(D145:D147,"OK",F145:F147)</f>
        <v>0</v>
      </c>
      <c r="G144" s="69" t="s">
        <v>44</v>
      </c>
      <c r="H144" s="70"/>
      <c r="I144" s="70"/>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9" t="s">
        <v>232</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t="15.75" hidden="1" customHeight="1" outlineLevel="1" x14ac:dyDescent="0.3">
      <c r="A146" s="3"/>
      <c r="B146" s="9" t="s">
        <v>64</v>
      </c>
      <c r="C146" s="53"/>
      <c r="D146" s="53"/>
      <c r="E146" s="11">
        <v>0</v>
      </c>
      <c r="F146" s="11">
        <v>0</v>
      </c>
      <c r="G146" s="58"/>
      <c r="H146" s="54"/>
      <c r="I146" s="54"/>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62</v>
      </c>
      <c r="C147" s="53"/>
      <c r="D147" s="53"/>
      <c r="E147" s="11">
        <v>0</v>
      </c>
      <c r="F147" s="11">
        <v>0</v>
      </c>
      <c r="G147" s="58"/>
      <c r="H147" s="54"/>
      <c r="I147" s="54"/>
      <c r="J147" s="3"/>
      <c r="K147" s="3"/>
      <c r="L147" s="3"/>
      <c r="M147" s="3"/>
      <c r="N147" s="3"/>
      <c r="O147" s="3"/>
      <c r="P147" s="3"/>
      <c r="Q147" s="3"/>
      <c r="R147" s="3"/>
      <c r="S147" s="3"/>
      <c r="T147" s="3"/>
      <c r="U147" s="3"/>
      <c r="V147" s="3"/>
      <c r="W147" s="35"/>
      <c r="X147" s="32"/>
      <c r="Y147" s="3"/>
      <c r="Z147" s="3"/>
    </row>
    <row r="148" spans="1:26" ht="15.75" customHeight="1" collapsed="1" x14ac:dyDescent="0.3">
      <c r="A148" s="3"/>
      <c r="B148" s="64" t="s">
        <v>240</v>
      </c>
      <c r="C148" s="47" t="s">
        <v>44</v>
      </c>
      <c r="D148" s="47" t="s">
        <v>44</v>
      </c>
      <c r="E148" s="48">
        <f t="shared" ref="E148:F148" si="24">SUM(E149,E154,E159,E163)</f>
        <v>0</v>
      </c>
      <c r="F148" s="48">
        <f t="shared" si="24"/>
        <v>3429.29</v>
      </c>
      <c r="G148" s="49" t="s">
        <v>44</v>
      </c>
      <c r="H148" s="65"/>
      <c r="I148" s="65"/>
      <c r="J148" s="3"/>
      <c r="K148" s="3"/>
      <c r="L148" s="3"/>
      <c r="M148" s="3"/>
      <c r="N148" s="3"/>
      <c r="O148" s="3"/>
      <c r="P148" s="3"/>
      <c r="Q148" s="3"/>
      <c r="R148" s="3"/>
      <c r="S148" s="3"/>
      <c r="T148" s="3"/>
      <c r="U148" s="3"/>
      <c r="V148" s="3"/>
      <c r="W148" s="35"/>
      <c r="X148" s="32"/>
      <c r="Y148" s="3"/>
      <c r="Z148" s="3"/>
    </row>
    <row r="149" spans="1:26" ht="15.75" hidden="1" customHeight="1" outlineLevel="1" x14ac:dyDescent="0.3">
      <c r="A149" s="3"/>
      <c r="B149" s="66" t="s">
        <v>241</v>
      </c>
      <c r="C149" s="67" t="s">
        <v>44</v>
      </c>
      <c r="D149" s="67" t="s">
        <v>44</v>
      </c>
      <c r="E149" s="68">
        <f>SUM(E150:E153)</f>
        <v>0</v>
      </c>
      <c r="F149" s="68">
        <f>SUMIF(D150:D153,"OK",F150:F153)</f>
        <v>1132.29</v>
      </c>
      <c r="G149" s="69" t="s">
        <v>44</v>
      </c>
      <c r="H149" s="70"/>
      <c r="I149" s="70"/>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9" t="s">
        <v>242</v>
      </c>
      <c r="C150" s="53">
        <v>4</v>
      </c>
      <c r="D150" s="53" t="s">
        <v>95</v>
      </c>
      <c r="E150" s="11">
        <v>0</v>
      </c>
      <c r="F150" s="11">
        <f>30+10+3+10+50+2.91+15+10+50+10+30+50+20+15+20+50+20+60+10+20+30+10+20+40+60</f>
        <v>645.91</v>
      </c>
      <c r="G150" s="58"/>
      <c r="H150" s="54" t="s">
        <v>37</v>
      </c>
      <c r="I150" s="54"/>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243</v>
      </c>
      <c r="C151" s="53">
        <v>4</v>
      </c>
      <c r="D151" s="53" t="s">
        <v>95</v>
      </c>
      <c r="E151" s="11">
        <v>0</v>
      </c>
      <c r="F151" s="11">
        <v>114</v>
      </c>
      <c r="G151" s="58"/>
      <c r="H151" s="54" t="s">
        <v>36</v>
      </c>
      <c r="I151" s="54"/>
      <c r="J151" s="3"/>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244</v>
      </c>
      <c r="C152" s="53">
        <v>18</v>
      </c>
      <c r="D152" s="53" t="s">
        <v>95</v>
      </c>
      <c r="E152" s="11">
        <v>0</v>
      </c>
      <c r="F152" s="11">
        <f>24.38+10+10+3+10+30+20+20+30+10+15+50+5+100</f>
        <v>337.38</v>
      </c>
      <c r="G152" s="58"/>
      <c r="H152" s="54" t="s">
        <v>37</v>
      </c>
      <c r="I152" s="54"/>
      <c r="J152" s="3"/>
      <c r="K152" s="3"/>
      <c r="L152" s="3"/>
      <c r="M152" s="3"/>
      <c r="N152" s="3"/>
      <c r="O152" s="3"/>
      <c r="P152" s="3"/>
      <c r="Q152" s="3"/>
      <c r="R152" s="3"/>
      <c r="S152" s="3"/>
      <c r="T152" s="3"/>
      <c r="U152" s="3"/>
      <c r="V152" s="3"/>
      <c r="W152" s="35"/>
      <c r="X152" s="32"/>
      <c r="Y152" s="3"/>
      <c r="Z152" s="3"/>
    </row>
    <row r="153" spans="1:26" ht="15.75" hidden="1" customHeight="1" outlineLevel="1" x14ac:dyDescent="0.3">
      <c r="A153" s="3"/>
      <c r="B153" s="9" t="s">
        <v>245</v>
      </c>
      <c r="C153" s="53">
        <v>18</v>
      </c>
      <c r="D153" s="53" t="s">
        <v>95</v>
      </c>
      <c r="E153" s="11">
        <v>0</v>
      </c>
      <c r="F153" s="11">
        <v>35</v>
      </c>
      <c r="G153" s="58"/>
      <c r="H153" s="54" t="s">
        <v>36</v>
      </c>
      <c r="I153" s="54"/>
      <c r="J153" s="3"/>
      <c r="K153" s="3"/>
      <c r="L153" s="3"/>
      <c r="M153" s="3"/>
      <c r="N153" s="3"/>
      <c r="O153" s="3"/>
      <c r="P153" s="3"/>
      <c r="Q153" s="3"/>
      <c r="R153" s="3"/>
      <c r="S153" s="3"/>
      <c r="T153" s="3"/>
      <c r="U153" s="3"/>
      <c r="V153" s="3"/>
      <c r="W153" s="35"/>
      <c r="X153" s="32"/>
      <c r="Y153" s="3"/>
      <c r="Z153" s="3"/>
    </row>
    <row r="154" spans="1:26" ht="15.75" hidden="1" customHeight="1" outlineLevel="1" x14ac:dyDescent="0.3">
      <c r="A154" s="3"/>
      <c r="B154" s="66" t="s">
        <v>246</v>
      </c>
      <c r="C154" s="67" t="s">
        <v>44</v>
      </c>
      <c r="D154" s="67" t="s">
        <v>44</v>
      </c>
      <c r="E154" s="68">
        <f>SUM(E155:E158)</f>
        <v>0</v>
      </c>
      <c r="F154" s="68">
        <f>SUMIF(D155:D158,"OK",F155:F158)</f>
        <v>828</v>
      </c>
      <c r="G154" s="69" t="s">
        <v>44</v>
      </c>
      <c r="H154" s="70"/>
      <c r="I154" s="70"/>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9" t="s">
        <v>242</v>
      </c>
      <c r="C155" s="53">
        <v>4</v>
      </c>
      <c r="D155" s="53" t="s">
        <v>95</v>
      </c>
      <c r="E155" s="11">
        <v>0</v>
      </c>
      <c r="F155" s="11">
        <f>30+10+20+30+10+10+20+20+10+30+10+10+30+10+20+20+10+10+30+20+10+10</f>
        <v>380</v>
      </c>
      <c r="G155" s="60"/>
      <c r="H155" s="54" t="s">
        <v>37</v>
      </c>
      <c r="I155" s="54"/>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243</v>
      </c>
      <c r="C156" s="53">
        <v>4</v>
      </c>
      <c r="D156" s="53" t="s">
        <v>95</v>
      </c>
      <c r="E156" s="11">
        <v>0</v>
      </c>
      <c r="F156" s="11">
        <v>20</v>
      </c>
      <c r="G156" s="58"/>
      <c r="H156" s="54" t="s">
        <v>36</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244</v>
      </c>
      <c r="C157" s="53">
        <v>18</v>
      </c>
      <c r="D157" s="53" t="s">
        <v>95</v>
      </c>
      <c r="E157" s="11">
        <v>0</v>
      </c>
      <c r="F157" s="11">
        <f>40+10+30+10+40+10+30+20+10+20+18+20+40+10+20+20+20+40</f>
        <v>408</v>
      </c>
      <c r="G157" s="58"/>
      <c r="H157" s="54" t="s">
        <v>37</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245</v>
      </c>
      <c r="C158" s="53">
        <v>18</v>
      </c>
      <c r="D158" s="53" t="s">
        <v>95</v>
      </c>
      <c r="E158" s="11">
        <v>0</v>
      </c>
      <c r="F158" s="11">
        <v>20</v>
      </c>
      <c r="G158" s="58"/>
      <c r="H158" s="54" t="s">
        <v>36</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66" t="s">
        <v>247</v>
      </c>
      <c r="C159" s="67" t="s">
        <v>44</v>
      </c>
      <c r="D159" s="67" t="s">
        <v>44</v>
      </c>
      <c r="E159" s="68">
        <f>SUM(E160:E162)</f>
        <v>0</v>
      </c>
      <c r="F159" s="68">
        <f>SUMIF(D160:D162,"OK",F160:F162)</f>
        <v>0</v>
      </c>
      <c r="G159" s="69" t="s">
        <v>44</v>
      </c>
      <c r="H159" s="70"/>
      <c r="I159" s="70"/>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9" t="s">
        <v>43</v>
      </c>
      <c r="C160" s="71"/>
      <c r="D160" s="53"/>
      <c r="E160" s="11">
        <v>0</v>
      </c>
      <c r="F160" s="11">
        <v>0</v>
      </c>
      <c r="G160" s="60"/>
      <c r="H160" s="54"/>
      <c r="I160" s="54"/>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43</v>
      </c>
      <c r="C161" s="71"/>
      <c r="D161" s="53"/>
      <c r="E161" s="11">
        <v>0</v>
      </c>
      <c r="F161" s="11">
        <v>0</v>
      </c>
      <c r="G161" s="61"/>
      <c r="H161" s="54"/>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43</v>
      </c>
      <c r="C162" s="53"/>
      <c r="D162" s="53"/>
      <c r="E162" s="11">
        <v>0</v>
      </c>
      <c r="F162" s="11">
        <v>0</v>
      </c>
      <c r="G162" s="58"/>
      <c r="H162" s="54"/>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66" t="s">
        <v>62</v>
      </c>
      <c r="C163" s="67" t="s">
        <v>44</v>
      </c>
      <c r="D163" s="67" t="s">
        <v>44</v>
      </c>
      <c r="E163" s="68">
        <f>SUM(E164:E166)</f>
        <v>0</v>
      </c>
      <c r="F163" s="68">
        <f>SUMIF(D164:D167,"OK",F164:F167)</f>
        <v>1469</v>
      </c>
      <c r="G163" s="69" t="s">
        <v>44</v>
      </c>
      <c r="H163" s="70"/>
      <c r="I163" s="70"/>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9" t="s">
        <v>541</v>
      </c>
      <c r="C164" s="71" t="s">
        <v>542</v>
      </c>
      <c r="D164" s="53" t="s">
        <v>95</v>
      </c>
      <c r="E164" s="11">
        <v>0</v>
      </c>
      <c r="F164" s="11">
        <f>650+650</f>
        <v>1300</v>
      </c>
      <c r="G164" s="61" t="s">
        <v>543</v>
      </c>
      <c r="H164" s="54" t="s">
        <v>37</v>
      </c>
      <c r="I164" s="54"/>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9" t="s">
        <v>544</v>
      </c>
      <c r="C165" s="53">
        <v>3</v>
      </c>
      <c r="D165" s="53" t="s">
        <v>95</v>
      </c>
      <c r="E165" s="11">
        <v>0</v>
      </c>
      <c r="F165" s="11">
        <v>95</v>
      </c>
      <c r="G165" s="60" t="s">
        <v>545</v>
      </c>
      <c r="H165" s="54" t="s">
        <v>37</v>
      </c>
      <c r="I165" s="54"/>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546</v>
      </c>
      <c r="C166" s="53">
        <v>4</v>
      </c>
      <c r="D166" s="53" t="s">
        <v>95</v>
      </c>
      <c r="E166" s="11">
        <v>0</v>
      </c>
      <c r="F166" s="11">
        <f>12+20+12</f>
        <v>44</v>
      </c>
      <c r="G166" s="58"/>
      <c r="H166" s="54" t="s">
        <v>37</v>
      </c>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546</v>
      </c>
      <c r="C167" s="53" t="s">
        <v>547</v>
      </c>
      <c r="D167" s="53" t="s">
        <v>95</v>
      </c>
      <c r="E167" s="11">
        <v>0</v>
      </c>
      <c r="F167" s="11">
        <f>10+20</f>
        <v>30</v>
      </c>
      <c r="G167" s="58"/>
      <c r="H167" s="54" t="s">
        <v>38</v>
      </c>
      <c r="I167" s="54"/>
      <c r="J167" s="3"/>
      <c r="K167" s="3"/>
      <c r="L167" s="3"/>
      <c r="M167" s="3"/>
      <c r="N167" s="3"/>
      <c r="O167" s="3"/>
      <c r="P167" s="3"/>
      <c r="Q167" s="3"/>
      <c r="R167" s="3"/>
      <c r="S167" s="3"/>
      <c r="T167" s="3"/>
      <c r="U167" s="3"/>
      <c r="V167" s="3"/>
      <c r="W167" s="35"/>
      <c r="X167" s="32"/>
      <c r="Y167" s="3"/>
      <c r="Z167" s="3"/>
    </row>
    <row r="168" spans="1:26" ht="15.75" customHeight="1" collapsed="1" x14ac:dyDescent="0.3">
      <c r="A168" s="3"/>
      <c r="B168" s="64" t="s">
        <v>64</v>
      </c>
      <c r="C168" s="47" t="s">
        <v>44</v>
      </c>
      <c r="D168" s="47" t="s">
        <v>44</v>
      </c>
      <c r="E168" s="48">
        <f>SUM(E169:E171)</f>
        <v>0</v>
      </c>
      <c r="F168" s="48">
        <f>SUMIF(D169:D171,"OK",F169:F171)</f>
        <v>6864.9400000000005</v>
      </c>
      <c r="G168" s="49" t="s">
        <v>44</v>
      </c>
      <c r="H168" s="65"/>
      <c r="I168" s="65"/>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9" t="s">
        <v>548</v>
      </c>
      <c r="C169" s="53" t="s">
        <v>549</v>
      </c>
      <c r="D169" s="53" t="s">
        <v>95</v>
      </c>
      <c r="E169" s="11">
        <v>0</v>
      </c>
      <c r="F169" s="11">
        <f>5000+1000</f>
        <v>6000</v>
      </c>
      <c r="G169" s="61" t="s">
        <v>550</v>
      </c>
      <c r="H169" s="54" t="s">
        <v>37</v>
      </c>
      <c r="I169" s="54"/>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551</v>
      </c>
      <c r="C170" s="53">
        <v>30</v>
      </c>
      <c r="D170" s="53" t="s">
        <v>95</v>
      </c>
      <c r="E170" s="11">
        <v>0</v>
      </c>
      <c r="F170" s="11">
        <v>864.94000000000051</v>
      </c>
      <c r="G170" s="61"/>
      <c r="H170" s="54" t="s">
        <v>36</v>
      </c>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259</v>
      </c>
      <c r="C171" s="53"/>
      <c r="D171" s="53"/>
      <c r="E171" s="11">
        <v>0</v>
      </c>
      <c r="F171" s="11">
        <v>0</v>
      </c>
      <c r="G171" s="61"/>
      <c r="H171" s="54"/>
      <c r="I171" s="54"/>
      <c r="J171" s="3"/>
      <c r="K171" s="3"/>
      <c r="L171" s="3"/>
      <c r="M171" s="3"/>
      <c r="N171" s="3"/>
      <c r="O171" s="3"/>
      <c r="P171" s="3"/>
      <c r="Q171" s="3"/>
      <c r="R171" s="3"/>
      <c r="S171" s="3"/>
      <c r="T171" s="3"/>
      <c r="U171" s="3"/>
      <c r="V171" s="3"/>
      <c r="W171" s="35"/>
      <c r="X171" s="32"/>
      <c r="Y171" s="3"/>
      <c r="Z171" s="3"/>
    </row>
    <row r="172" spans="1:26" ht="15.75" customHeight="1" collapsed="1" x14ac:dyDescent="0.3">
      <c r="A172" s="3"/>
      <c r="B172" s="64" t="s">
        <v>260</v>
      </c>
      <c r="C172" s="47" t="s">
        <v>44</v>
      </c>
      <c r="D172" s="47" t="s">
        <v>44</v>
      </c>
      <c r="E172" s="48">
        <f>SUM(E173:E179)</f>
        <v>0</v>
      </c>
      <c r="F172" s="48">
        <f>SUMIF(D173:D179,"OK",F173:F179)</f>
        <v>8.41</v>
      </c>
      <c r="G172" s="49" t="s">
        <v>44</v>
      </c>
      <c r="H172" s="65"/>
      <c r="I172" s="65"/>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261</v>
      </c>
      <c r="C173" s="53"/>
      <c r="D173" s="53"/>
      <c r="E173" s="11">
        <v>0</v>
      </c>
      <c r="F173" s="11">
        <v>0</v>
      </c>
      <c r="G173" s="58"/>
      <c r="H173" s="54" t="s">
        <v>37</v>
      </c>
      <c r="I173" s="54"/>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262</v>
      </c>
      <c r="C174" s="53">
        <v>2</v>
      </c>
      <c r="D174" s="53" t="s">
        <v>95</v>
      </c>
      <c r="E174" s="11">
        <v>0</v>
      </c>
      <c r="F174" s="11">
        <f>8.41</f>
        <v>8.41</v>
      </c>
      <c r="G174" s="60"/>
      <c r="H174" s="54" t="s">
        <v>38</v>
      </c>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264</v>
      </c>
      <c r="C175" s="53"/>
      <c r="D175" s="53"/>
      <c r="E175" s="11">
        <v>0</v>
      </c>
      <c r="F175" s="11">
        <v>0</v>
      </c>
      <c r="G175" s="58"/>
      <c r="H175" s="54" t="s">
        <v>235</v>
      </c>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265</v>
      </c>
      <c r="C176" s="53"/>
      <c r="D176" s="53"/>
      <c r="E176" s="11">
        <v>0</v>
      </c>
      <c r="F176" s="11">
        <v>0</v>
      </c>
      <c r="G176" s="58"/>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552</v>
      </c>
      <c r="C177" s="53"/>
      <c r="D177" s="53"/>
      <c r="E177" s="11">
        <v>0</v>
      </c>
      <c r="F177" s="11">
        <v>0</v>
      </c>
      <c r="G177" s="58"/>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268</v>
      </c>
      <c r="C178" s="53"/>
      <c r="D178" s="53"/>
      <c r="E178" s="11">
        <v>0</v>
      </c>
      <c r="F178" s="11">
        <v>0</v>
      </c>
      <c r="G178" s="58"/>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269</v>
      </c>
      <c r="C179" s="53"/>
      <c r="D179" s="53"/>
      <c r="E179" s="11">
        <v>0</v>
      </c>
      <c r="F179" s="11">
        <v>0</v>
      </c>
      <c r="G179" s="58"/>
      <c r="H179" s="54"/>
      <c r="I179" s="54"/>
      <c r="J179" s="3"/>
      <c r="K179" s="3"/>
      <c r="L179" s="3"/>
      <c r="M179" s="3"/>
      <c r="N179" s="3"/>
      <c r="O179" s="3"/>
      <c r="P179" s="3"/>
      <c r="Q179" s="3"/>
      <c r="R179" s="3"/>
      <c r="S179" s="3"/>
      <c r="T179" s="3"/>
      <c r="U179" s="3"/>
      <c r="V179" s="3"/>
      <c r="W179" s="35"/>
      <c r="X179" s="32"/>
      <c r="Y179" s="3"/>
      <c r="Z179" s="3"/>
    </row>
    <row r="180" spans="1:26" ht="15.75" customHeight="1" collapsed="1" x14ac:dyDescent="0.3">
      <c r="A180" s="3"/>
      <c r="B180" s="3"/>
      <c r="C180" s="28"/>
      <c r="D180" s="28"/>
      <c r="E180" s="28"/>
      <c r="F180" s="28"/>
      <c r="G180" s="28"/>
      <c r="H180" s="28"/>
      <c r="I180" s="28"/>
      <c r="J180" s="28"/>
      <c r="K180" s="28"/>
      <c r="L180" s="28"/>
      <c r="M180" s="28"/>
      <c r="N180" s="28"/>
      <c r="O180" s="28"/>
      <c r="P180" s="28"/>
      <c r="Q180" s="28"/>
      <c r="R180" s="28"/>
      <c r="S180" s="28"/>
      <c r="T180" s="28"/>
      <c r="U180" s="28"/>
      <c r="V180" s="28"/>
      <c r="W180" s="35"/>
      <c r="X180" s="32"/>
    </row>
    <row r="181" spans="1:26" ht="15.75" customHeight="1" x14ac:dyDescent="0.3">
      <c r="A181" s="3"/>
      <c r="B181" s="3"/>
      <c r="C181" s="28"/>
      <c r="D181" s="28"/>
      <c r="E181" s="28"/>
      <c r="F181" s="101"/>
      <c r="G181" s="28"/>
      <c r="H181" s="28"/>
      <c r="I181" s="28"/>
      <c r="J181" s="28"/>
      <c r="K181" s="28"/>
      <c r="L181" s="28"/>
      <c r="M181" s="28"/>
      <c r="N181" s="28"/>
      <c r="O181" s="28"/>
      <c r="P181" s="28"/>
      <c r="Q181" s="28"/>
      <c r="R181" s="28"/>
      <c r="S181" s="28"/>
      <c r="T181" s="28"/>
      <c r="U181" s="28"/>
      <c r="V181" s="28"/>
      <c r="W181" s="35"/>
      <c r="X181" s="32"/>
    </row>
    <row r="182" spans="1:26" ht="15.75" customHeight="1" x14ac:dyDescent="0.3">
      <c r="A182" s="3"/>
      <c r="B182" s="3"/>
      <c r="C182" s="28"/>
      <c r="D182" s="28"/>
      <c r="E182" s="28"/>
      <c r="F182" s="28"/>
      <c r="G182" s="28"/>
      <c r="H182" s="28"/>
      <c r="I182" s="28"/>
      <c r="J182" s="28"/>
      <c r="K182" s="28"/>
      <c r="L182" s="28"/>
      <c r="M182" s="28"/>
      <c r="N182" s="28"/>
      <c r="O182" s="28"/>
      <c r="P182" s="28"/>
      <c r="Q182" s="28"/>
      <c r="R182" s="28"/>
      <c r="S182" s="28"/>
      <c r="T182" s="28"/>
      <c r="U182" s="28"/>
      <c r="V182" s="28"/>
      <c r="W182" s="35"/>
      <c r="X182" s="32"/>
    </row>
    <row r="183" spans="1:26" ht="15.75" customHeight="1" x14ac:dyDescent="0.3">
      <c r="A183" s="3"/>
      <c r="B183" s="3"/>
      <c r="C183" s="28"/>
      <c r="D183" s="28"/>
      <c r="E183" s="28"/>
      <c r="F183" s="28"/>
      <c r="G183" s="28"/>
      <c r="H183" s="28"/>
      <c r="I183" s="28"/>
      <c r="J183" s="28"/>
      <c r="K183" s="28"/>
      <c r="L183" s="28"/>
      <c r="M183" s="28"/>
      <c r="N183" s="28"/>
      <c r="O183" s="28"/>
      <c r="P183" s="28"/>
      <c r="Q183" s="28"/>
      <c r="R183" s="28"/>
      <c r="S183" s="28"/>
      <c r="T183" s="28"/>
      <c r="U183" s="28"/>
      <c r="V183" s="28"/>
      <c r="W183" s="35"/>
      <c r="X183" s="32"/>
    </row>
    <row r="184" spans="1:26" ht="15.75" customHeight="1" x14ac:dyDescent="0.3">
      <c r="A184" s="3"/>
      <c r="B184" s="3"/>
      <c r="C184" s="28"/>
      <c r="D184" s="28"/>
      <c r="E184" s="28"/>
      <c r="F184" s="28"/>
      <c r="G184" s="28"/>
      <c r="H184" s="28"/>
      <c r="I184" s="28"/>
      <c r="J184" s="28"/>
      <c r="K184" s="28"/>
      <c r="L184" s="28"/>
      <c r="M184" s="28"/>
      <c r="N184" s="28"/>
      <c r="O184" s="28"/>
      <c r="P184" s="28"/>
      <c r="Q184" s="28"/>
      <c r="R184" s="28"/>
      <c r="S184" s="28"/>
      <c r="T184" s="28"/>
      <c r="U184" s="28"/>
      <c r="V184" s="28"/>
      <c r="W184" s="35"/>
      <c r="X184" s="32"/>
    </row>
    <row r="185" spans="1:26" ht="15.75" customHeight="1" x14ac:dyDescent="0.3">
      <c r="A185" s="3"/>
      <c r="B185" s="3"/>
      <c r="C185" s="28"/>
      <c r="D185" s="28"/>
      <c r="E185" s="28"/>
      <c r="F185" s="28"/>
      <c r="G185" s="28"/>
      <c r="H185" s="28"/>
      <c r="I185" s="28"/>
      <c r="J185" s="28"/>
      <c r="K185" s="28"/>
      <c r="L185" s="28"/>
      <c r="M185" s="28"/>
      <c r="N185" s="28"/>
      <c r="O185" s="28"/>
      <c r="P185" s="28"/>
      <c r="Q185" s="28"/>
      <c r="R185" s="28"/>
      <c r="S185" s="28"/>
      <c r="T185" s="28"/>
      <c r="U185" s="28"/>
      <c r="V185" s="28"/>
      <c r="W185" s="35"/>
      <c r="X185" s="32"/>
    </row>
    <row r="186" spans="1:26" ht="15.75" customHeight="1" x14ac:dyDescent="0.3">
      <c r="A186" s="3"/>
      <c r="B186" s="3"/>
      <c r="C186" s="28"/>
      <c r="D186" s="28"/>
      <c r="E186" s="28"/>
      <c r="F186" s="28"/>
      <c r="G186" s="28"/>
      <c r="H186" s="28"/>
      <c r="I186" s="28"/>
      <c r="J186" s="28"/>
      <c r="K186" s="28"/>
      <c r="L186" s="28"/>
      <c r="M186" s="28"/>
      <c r="N186" s="28"/>
      <c r="O186" s="28"/>
      <c r="P186" s="28"/>
      <c r="Q186" s="28"/>
      <c r="R186" s="28"/>
      <c r="S186" s="28"/>
      <c r="T186" s="28"/>
      <c r="U186" s="28"/>
      <c r="V186" s="28"/>
      <c r="W186" s="35"/>
      <c r="X186" s="32"/>
    </row>
    <row r="187" spans="1:26" ht="15.75" customHeight="1" x14ac:dyDescent="0.3">
      <c r="A187" s="3"/>
      <c r="B187" s="3"/>
      <c r="C187" s="28"/>
      <c r="D187" s="28"/>
      <c r="E187" s="28"/>
      <c r="F187" s="28"/>
      <c r="G187" s="28"/>
      <c r="H187" s="28"/>
      <c r="I187" s="28"/>
      <c r="J187" s="28"/>
      <c r="K187" s="28"/>
      <c r="L187" s="28"/>
      <c r="M187" s="28"/>
      <c r="N187" s="28"/>
      <c r="O187" s="28"/>
      <c r="P187" s="28"/>
      <c r="Q187" s="28"/>
      <c r="R187" s="28"/>
      <c r="S187" s="28"/>
      <c r="T187" s="28"/>
      <c r="U187" s="28"/>
      <c r="V187" s="28"/>
      <c r="W187" s="35"/>
      <c r="X187" s="32"/>
    </row>
    <row r="188" spans="1:26" ht="15.75" customHeight="1" x14ac:dyDescent="0.3">
      <c r="A188" s="3"/>
      <c r="B188" s="3"/>
      <c r="C188" s="28"/>
      <c r="D188" s="28"/>
      <c r="E188" s="28"/>
      <c r="F188" s="28"/>
      <c r="G188" s="28"/>
      <c r="H188" s="28"/>
      <c r="I188" s="28"/>
      <c r="J188" s="28"/>
      <c r="K188" s="28"/>
      <c r="L188" s="28"/>
      <c r="M188" s="28"/>
      <c r="N188" s="28"/>
      <c r="O188" s="28"/>
      <c r="P188" s="28"/>
      <c r="Q188" s="28"/>
      <c r="R188" s="28"/>
      <c r="S188" s="28"/>
      <c r="T188" s="28"/>
      <c r="U188" s="28"/>
      <c r="V188" s="28"/>
      <c r="W188" s="35"/>
      <c r="X188" s="32"/>
    </row>
    <row r="189" spans="1:26" ht="15.75" customHeight="1" x14ac:dyDescent="0.3">
      <c r="A189" s="3"/>
      <c r="B189" s="3"/>
      <c r="C189" s="28"/>
      <c r="D189" s="28"/>
      <c r="E189" s="28"/>
      <c r="F189" s="28"/>
      <c r="G189" s="28"/>
      <c r="H189" s="28"/>
      <c r="I189" s="28"/>
      <c r="J189" s="28"/>
      <c r="K189" s="28"/>
      <c r="L189" s="28"/>
      <c r="M189" s="28"/>
      <c r="N189" s="28"/>
      <c r="O189" s="28"/>
      <c r="P189" s="28"/>
      <c r="Q189" s="28"/>
      <c r="R189" s="28"/>
      <c r="S189" s="28"/>
      <c r="T189" s="28"/>
      <c r="U189" s="28"/>
      <c r="V189" s="28"/>
      <c r="W189" s="35"/>
      <c r="X189" s="32"/>
    </row>
    <row r="190" spans="1:26" ht="15.75" customHeight="1" x14ac:dyDescent="0.3">
      <c r="A190" s="3"/>
      <c r="B190" s="3"/>
      <c r="C190" s="28"/>
      <c r="D190" s="28"/>
      <c r="E190" s="28"/>
      <c r="F190" s="28"/>
      <c r="G190" s="28"/>
      <c r="H190" s="28"/>
      <c r="I190" s="28"/>
      <c r="J190" s="28"/>
      <c r="K190" s="28"/>
      <c r="L190" s="28"/>
      <c r="M190" s="28"/>
      <c r="N190" s="28"/>
      <c r="O190" s="28"/>
      <c r="P190" s="28"/>
      <c r="Q190" s="28"/>
      <c r="R190" s="28"/>
      <c r="S190" s="28"/>
      <c r="T190" s="28"/>
      <c r="U190" s="28"/>
      <c r="V190" s="28"/>
      <c r="W190" s="35"/>
      <c r="X190" s="32"/>
    </row>
    <row r="191" spans="1:26" ht="15.75" customHeight="1" x14ac:dyDescent="0.3">
      <c r="A191" s="3"/>
      <c r="B191" s="3"/>
      <c r="C191" s="28"/>
      <c r="D191" s="28"/>
      <c r="E191" s="28"/>
      <c r="F191" s="28"/>
      <c r="G191" s="28"/>
      <c r="H191" s="28"/>
      <c r="I191" s="28"/>
      <c r="J191" s="28"/>
      <c r="K191" s="28"/>
      <c r="L191" s="28"/>
      <c r="M191" s="28"/>
      <c r="N191" s="28"/>
      <c r="O191" s="28"/>
      <c r="P191" s="28"/>
      <c r="Q191" s="28"/>
      <c r="R191" s="28"/>
      <c r="S191" s="28"/>
      <c r="T191" s="28"/>
      <c r="U191" s="28"/>
      <c r="V191" s="28"/>
      <c r="W191" s="35"/>
      <c r="X191" s="32"/>
    </row>
    <row r="192" spans="1:26" ht="15.75" customHeight="1" x14ac:dyDescent="0.3">
      <c r="A192" s="3"/>
      <c r="B192" s="3"/>
      <c r="C192" s="28"/>
      <c r="D192" s="28"/>
      <c r="E192" s="28"/>
      <c r="F192" s="28"/>
      <c r="G192" s="28"/>
      <c r="H192" s="28"/>
      <c r="I192" s="28"/>
      <c r="J192" s="28"/>
      <c r="K192" s="28"/>
      <c r="L192" s="28"/>
      <c r="M192" s="28"/>
      <c r="N192" s="28"/>
      <c r="O192" s="28"/>
      <c r="P192" s="28"/>
      <c r="Q192" s="28"/>
      <c r="R192" s="28"/>
      <c r="S192" s="28"/>
      <c r="T192" s="28"/>
      <c r="U192" s="28"/>
      <c r="V192" s="28"/>
      <c r="W192" s="35"/>
      <c r="X192" s="32"/>
    </row>
    <row r="193" spans="1:24" ht="15.75" customHeight="1" x14ac:dyDescent="0.3">
      <c r="A193" s="3"/>
      <c r="B193" s="3"/>
      <c r="C193" s="28"/>
      <c r="D193" s="28"/>
      <c r="E193" s="28"/>
      <c r="F193" s="28"/>
      <c r="G193" s="28"/>
      <c r="H193" s="28"/>
      <c r="I193" s="28"/>
      <c r="J193" s="28"/>
      <c r="K193" s="28"/>
      <c r="L193" s="28"/>
      <c r="M193" s="28"/>
      <c r="N193" s="28"/>
      <c r="O193" s="28"/>
      <c r="P193" s="28"/>
      <c r="Q193" s="28"/>
      <c r="R193" s="28"/>
      <c r="S193" s="28"/>
      <c r="T193" s="28"/>
      <c r="U193" s="28"/>
      <c r="V193" s="28"/>
      <c r="W193" s="35"/>
      <c r="X193" s="32"/>
    </row>
    <row r="194" spans="1:24" ht="15.75" customHeight="1" x14ac:dyDescent="0.3">
      <c r="A194" s="3"/>
      <c r="B194" s="3"/>
      <c r="C194" s="28"/>
      <c r="D194" s="28"/>
      <c r="E194" s="28"/>
      <c r="F194" s="28"/>
      <c r="G194" s="28"/>
      <c r="H194" s="28"/>
      <c r="I194" s="28"/>
      <c r="J194" s="28"/>
      <c r="K194" s="28"/>
      <c r="L194" s="28"/>
      <c r="M194" s="28"/>
      <c r="N194" s="28"/>
      <c r="O194" s="28"/>
      <c r="P194" s="28"/>
      <c r="Q194" s="28"/>
      <c r="R194" s="28"/>
      <c r="S194" s="28"/>
      <c r="T194" s="28"/>
      <c r="U194" s="28"/>
      <c r="V194" s="28"/>
      <c r="W194" s="35"/>
      <c r="X194" s="32"/>
    </row>
    <row r="195" spans="1:24" ht="15.75" customHeight="1" x14ac:dyDescent="0.3">
      <c r="A195" s="3"/>
      <c r="B195" s="3"/>
      <c r="C195" s="28"/>
      <c r="D195" s="28"/>
      <c r="E195" s="28"/>
      <c r="F195" s="28"/>
      <c r="G195" s="28"/>
      <c r="H195" s="28"/>
      <c r="I195" s="28"/>
      <c r="J195" s="28"/>
      <c r="K195" s="28"/>
      <c r="L195" s="28"/>
      <c r="M195" s="28"/>
      <c r="N195" s="28"/>
      <c r="O195" s="28"/>
      <c r="P195" s="28"/>
      <c r="Q195" s="28"/>
      <c r="R195" s="28"/>
      <c r="S195" s="28"/>
      <c r="T195" s="28"/>
      <c r="U195" s="28"/>
      <c r="V195" s="28"/>
      <c r="W195" s="35"/>
      <c r="X195" s="32"/>
    </row>
    <row r="196" spans="1:24" ht="15.75" customHeight="1" x14ac:dyDescent="0.3">
      <c r="A196" s="3"/>
      <c r="B196" s="3"/>
      <c r="C196" s="28"/>
      <c r="D196" s="28"/>
      <c r="E196" s="28"/>
      <c r="F196" s="28"/>
      <c r="G196" s="28"/>
      <c r="H196" s="28"/>
      <c r="I196" s="28"/>
      <c r="J196" s="28"/>
      <c r="K196" s="28"/>
      <c r="L196" s="28"/>
      <c r="M196" s="28"/>
      <c r="N196" s="28"/>
      <c r="O196" s="28"/>
      <c r="P196" s="28"/>
      <c r="Q196" s="28"/>
      <c r="R196" s="28"/>
      <c r="S196" s="28"/>
      <c r="T196" s="28"/>
      <c r="U196" s="28"/>
      <c r="V196" s="28"/>
      <c r="W196" s="35"/>
      <c r="X196" s="32"/>
    </row>
    <row r="197" spans="1:24" ht="15.75" customHeight="1" x14ac:dyDescent="0.3">
      <c r="A197" s="3"/>
      <c r="B197" s="3"/>
      <c r="C197" s="28"/>
      <c r="D197" s="28"/>
      <c r="E197" s="28"/>
      <c r="F197" s="28"/>
      <c r="G197" s="28"/>
      <c r="H197" s="28"/>
      <c r="I197" s="28"/>
      <c r="J197" s="28"/>
      <c r="K197" s="28"/>
      <c r="L197" s="28"/>
      <c r="M197" s="28"/>
      <c r="N197" s="28"/>
      <c r="O197" s="28"/>
      <c r="P197" s="28"/>
      <c r="Q197" s="28"/>
      <c r="R197" s="28"/>
      <c r="S197" s="28"/>
      <c r="T197" s="28"/>
      <c r="U197" s="28"/>
      <c r="V197" s="28"/>
      <c r="W197" s="35"/>
      <c r="X197" s="32"/>
    </row>
    <row r="198" spans="1:24" ht="15.75" customHeight="1" x14ac:dyDescent="0.3">
      <c r="A198" s="3"/>
      <c r="B198" s="3"/>
      <c r="C198" s="28"/>
      <c r="D198" s="28"/>
      <c r="E198" s="28"/>
      <c r="F198" s="28"/>
      <c r="G198" s="28"/>
      <c r="H198" s="28"/>
      <c r="I198" s="28"/>
      <c r="J198" s="28"/>
      <c r="K198" s="28"/>
      <c r="L198" s="28"/>
      <c r="M198" s="28"/>
      <c r="N198" s="28"/>
      <c r="O198" s="28"/>
      <c r="P198" s="28"/>
      <c r="Q198" s="28"/>
      <c r="R198" s="28"/>
      <c r="S198" s="28"/>
      <c r="T198" s="28"/>
      <c r="U198" s="28"/>
      <c r="V198" s="28"/>
      <c r="W198" s="35"/>
      <c r="X198" s="32"/>
    </row>
    <row r="199" spans="1:24" ht="15.75" customHeight="1" x14ac:dyDescent="0.3">
      <c r="A199" s="3"/>
      <c r="B199" s="3"/>
      <c r="C199" s="28"/>
      <c r="D199" s="28"/>
      <c r="E199" s="28"/>
      <c r="F199" s="28"/>
      <c r="G199" s="28"/>
      <c r="H199" s="28"/>
      <c r="I199" s="28"/>
      <c r="J199" s="28"/>
      <c r="K199" s="28"/>
      <c r="L199" s="28"/>
      <c r="M199" s="28"/>
      <c r="N199" s="28"/>
      <c r="O199" s="28"/>
      <c r="P199" s="28"/>
      <c r="Q199" s="28"/>
      <c r="R199" s="28"/>
      <c r="S199" s="28"/>
      <c r="T199" s="28"/>
      <c r="U199" s="28"/>
      <c r="V199" s="28"/>
      <c r="W199" s="35"/>
      <c r="X199" s="32"/>
    </row>
    <row r="200" spans="1:24" ht="15.75" customHeight="1" x14ac:dyDescent="0.3">
      <c r="A200" s="3"/>
      <c r="B200" s="3"/>
      <c r="C200" s="28"/>
      <c r="D200" s="28"/>
      <c r="E200" s="28"/>
      <c r="F200" s="28"/>
      <c r="G200" s="28"/>
      <c r="H200" s="28"/>
      <c r="I200" s="28"/>
      <c r="J200" s="28"/>
      <c r="K200" s="28"/>
      <c r="L200" s="28"/>
      <c r="M200" s="28"/>
      <c r="N200" s="28"/>
      <c r="O200" s="28"/>
      <c r="P200" s="28"/>
      <c r="Q200" s="28"/>
      <c r="R200" s="28"/>
      <c r="S200" s="28"/>
      <c r="T200" s="28"/>
      <c r="U200" s="28"/>
      <c r="V200" s="28"/>
      <c r="W200" s="35"/>
      <c r="X200" s="32"/>
    </row>
    <row r="201" spans="1:24" ht="15.75" customHeight="1" x14ac:dyDescent="0.3">
      <c r="A201" s="3"/>
      <c r="B201" s="3"/>
      <c r="C201" s="28"/>
      <c r="D201" s="28"/>
      <c r="E201" s="28"/>
      <c r="F201" s="28"/>
      <c r="G201" s="28"/>
      <c r="H201" s="28"/>
      <c r="I201" s="28"/>
      <c r="J201" s="28"/>
      <c r="K201" s="28"/>
      <c r="L201" s="28"/>
      <c r="M201" s="28"/>
      <c r="N201" s="28"/>
      <c r="O201" s="28"/>
      <c r="P201" s="28"/>
      <c r="Q201" s="28"/>
      <c r="R201" s="28"/>
      <c r="S201" s="28"/>
      <c r="T201" s="28"/>
      <c r="U201" s="28"/>
      <c r="V201" s="28"/>
      <c r="W201" s="35"/>
      <c r="X201" s="32"/>
    </row>
    <row r="202" spans="1:24" ht="15.75" customHeight="1" x14ac:dyDescent="0.3">
      <c r="A202" s="3"/>
      <c r="B202" s="3"/>
      <c r="C202" s="28"/>
      <c r="D202" s="28"/>
      <c r="E202" s="28"/>
      <c r="F202" s="28"/>
      <c r="G202" s="28"/>
      <c r="H202" s="28"/>
      <c r="I202" s="28"/>
      <c r="J202" s="28"/>
      <c r="K202" s="28"/>
      <c r="L202" s="28"/>
      <c r="M202" s="28"/>
      <c r="N202" s="28"/>
      <c r="O202" s="28"/>
      <c r="P202" s="28"/>
      <c r="Q202" s="28"/>
      <c r="R202" s="28"/>
      <c r="S202" s="28"/>
      <c r="T202" s="28"/>
      <c r="U202" s="28"/>
      <c r="V202" s="28"/>
      <c r="W202" s="35"/>
      <c r="X202" s="32"/>
    </row>
    <row r="203" spans="1:24" ht="15.75" customHeight="1" x14ac:dyDescent="0.3">
      <c r="A203" s="3"/>
      <c r="B203" s="3"/>
      <c r="C203" s="28"/>
      <c r="D203" s="28"/>
      <c r="E203" s="28"/>
      <c r="F203" s="28"/>
      <c r="G203" s="28"/>
      <c r="H203" s="28"/>
      <c r="I203" s="28"/>
      <c r="J203" s="28"/>
      <c r="K203" s="28"/>
      <c r="L203" s="28"/>
      <c r="M203" s="28"/>
      <c r="N203" s="28"/>
      <c r="O203" s="28"/>
      <c r="P203" s="28"/>
      <c r="Q203" s="28"/>
      <c r="R203" s="28"/>
      <c r="S203" s="28"/>
      <c r="T203" s="28"/>
      <c r="U203" s="28"/>
      <c r="V203" s="28"/>
      <c r="W203" s="35"/>
      <c r="X203" s="32"/>
    </row>
    <row r="204" spans="1:24" ht="15.75" customHeight="1" x14ac:dyDescent="0.3">
      <c r="A204" s="3"/>
      <c r="B204" s="3"/>
      <c r="C204" s="28"/>
      <c r="D204" s="28"/>
      <c r="E204" s="28"/>
      <c r="F204" s="28"/>
      <c r="G204" s="28"/>
      <c r="H204" s="28"/>
      <c r="I204" s="28"/>
      <c r="J204" s="28"/>
      <c r="K204" s="28"/>
      <c r="L204" s="28"/>
      <c r="M204" s="28"/>
      <c r="N204" s="28"/>
      <c r="O204" s="28"/>
      <c r="P204" s="28"/>
      <c r="Q204" s="28"/>
      <c r="R204" s="28"/>
      <c r="S204" s="28"/>
      <c r="T204" s="28"/>
      <c r="U204" s="28"/>
      <c r="V204" s="28"/>
      <c r="W204" s="35"/>
      <c r="X204" s="32"/>
    </row>
    <row r="205" spans="1:24" ht="15.75" customHeight="1" x14ac:dyDescent="0.3">
      <c r="A205" s="3"/>
      <c r="B205" s="3"/>
      <c r="C205" s="28"/>
      <c r="D205" s="28"/>
      <c r="E205" s="28"/>
      <c r="F205" s="28"/>
      <c r="G205" s="28"/>
      <c r="H205" s="28"/>
      <c r="I205" s="28"/>
      <c r="J205" s="28"/>
      <c r="K205" s="28"/>
      <c r="L205" s="28"/>
      <c r="M205" s="28"/>
      <c r="N205" s="28"/>
      <c r="O205" s="28"/>
      <c r="P205" s="28"/>
      <c r="Q205" s="28"/>
      <c r="R205" s="28"/>
      <c r="S205" s="28"/>
      <c r="T205" s="28"/>
      <c r="U205" s="28"/>
      <c r="V205" s="28"/>
      <c r="W205" s="35"/>
      <c r="X205" s="32"/>
    </row>
    <row r="206" spans="1:24" ht="15.75" customHeight="1" x14ac:dyDescent="0.3">
      <c r="A206" s="3"/>
      <c r="B206" s="3"/>
      <c r="C206" s="28"/>
      <c r="D206" s="28"/>
      <c r="E206" s="28"/>
      <c r="F206" s="28"/>
      <c r="G206" s="28"/>
      <c r="H206" s="28"/>
      <c r="I206" s="28"/>
      <c r="J206" s="28"/>
      <c r="K206" s="28"/>
      <c r="L206" s="28"/>
      <c r="M206" s="28"/>
      <c r="N206" s="28"/>
      <c r="O206" s="28"/>
      <c r="P206" s="28"/>
      <c r="Q206" s="28"/>
      <c r="R206" s="28"/>
      <c r="S206" s="28"/>
      <c r="T206" s="28"/>
      <c r="U206" s="28"/>
      <c r="V206" s="28"/>
      <c r="W206" s="35"/>
      <c r="X206" s="32"/>
    </row>
    <row r="207" spans="1:24" ht="15.75" customHeight="1" x14ac:dyDescent="0.3">
      <c r="A207" s="3"/>
      <c r="B207" s="3"/>
      <c r="C207" s="28"/>
      <c r="D207" s="28"/>
      <c r="E207" s="28"/>
      <c r="F207" s="28"/>
      <c r="G207" s="28"/>
      <c r="H207" s="28"/>
      <c r="I207" s="28"/>
      <c r="J207" s="28"/>
      <c r="K207" s="28"/>
      <c r="L207" s="28"/>
      <c r="M207" s="28"/>
      <c r="N207" s="28"/>
      <c r="O207" s="28"/>
      <c r="P207" s="28"/>
      <c r="Q207" s="28"/>
      <c r="R207" s="28"/>
      <c r="S207" s="28"/>
      <c r="T207" s="28"/>
      <c r="U207" s="28"/>
      <c r="V207" s="28"/>
      <c r="W207" s="35"/>
      <c r="X207" s="32"/>
    </row>
    <row r="208" spans="1:24" ht="15.75" customHeight="1" x14ac:dyDescent="0.3">
      <c r="A208" s="3"/>
      <c r="B208" s="3"/>
      <c r="C208" s="28"/>
      <c r="D208" s="28"/>
      <c r="E208" s="28"/>
      <c r="F208" s="28"/>
      <c r="G208" s="28"/>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28"/>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28"/>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28"/>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28"/>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28"/>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28"/>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28"/>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28"/>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28"/>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28"/>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28"/>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28"/>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28"/>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28"/>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28"/>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28"/>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28"/>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28"/>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28"/>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28"/>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28"/>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28"/>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28"/>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28"/>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28"/>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28"/>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28"/>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28"/>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28"/>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28"/>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28"/>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28"/>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28"/>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28"/>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28"/>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28"/>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28"/>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28"/>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28"/>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28"/>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28"/>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28"/>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28"/>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28"/>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28"/>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28"/>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28"/>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28"/>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28"/>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28"/>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28"/>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28"/>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28"/>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28"/>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28"/>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28"/>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28"/>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28"/>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28"/>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28"/>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28"/>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28"/>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28"/>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28"/>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28"/>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28"/>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28"/>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28"/>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28"/>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28"/>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28"/>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28"/>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28"/>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28"/>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28"/>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28"/>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28"/>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28"/>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28"/>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28"/>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28"/>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28"/>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28"/>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28"/>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28"/>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28"/>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28"/>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28"/>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28"/>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28"/>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28"/>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28"/>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28"/>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28"/>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28"/>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28"/>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28"/>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28"/>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28"/>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28"/>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28"/>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28"/>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28"/>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28"/>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28"/>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28"/>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28"/>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28"/>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28"/>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28"/>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28"/>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28"/>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28"/>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28"/>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28"/>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28"/>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28"/>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28"/>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28"/>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28"/>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28"/>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28"/>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28"/>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28"/>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28"/>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28"/>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28"/>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28"/>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28"/>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28"/>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28"/>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28"/>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28"/>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28"/>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28"/>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28"/>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28"/>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28"/>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28"/>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28"/>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28"/>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28"/>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28"/>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28"/>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28"/>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28"/>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28"/>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28"/>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28"/>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28"/>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28"/>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28"/>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28"/>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28"/>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28"/>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28"/>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28"/>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28"/>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28"/>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28"/>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28"/>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28"/>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28"/>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28"/>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28"/>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28"/>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28"/>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28"/>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28"/>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28"/>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28"/>
      <c r="H379" s="28"/>
      <c r="I379" s="28"/>
      <c r="J379" s="28"/>
      <c r="K379" s="28"/>
      <c r="L379" s="28"/>
      <c r="M379" s="28"/>
      <c r="N379" s="28"/>
      <c r="O379" s="28"/>
      <c r="P379" s="28"/>
      <c r="Q379" s="28"/>
      <c r="R379" s="28"/>
      <c r="S379" s="28"/>
      <c r="T379" s="28"/>
      <c r="U379" s="28"/>
      <c r="V379" s="28"/>
      <c r="W379" s="35"/>
      <c r="X379" s="32"/>
    </row>
    <row r="380" spans="1:24" ht="15.75" customHeight="1" x14ac:dyDescent="0.3"/>
    <row r="381" spans="1:24" ht="15.75" customHeight="1" x14ac:dyDescent="0.3"/>
    <row r="382" spans="1:24" ht="15.75" customHeight="1" x14ac:dyDescent="0.3"/>
    <row r="383" spans="1:24" ht="15.75" customHeight="1" x14ac:dyDescent="0.3"/>
    <row r="384" spans="1:2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79" xr:uid="{00000000-0009-0000-0000-000007000000}"/>
  <mergeCells count="35">
    <mergeCell ref="G89:G90"/>
    <mergeCell ref="G92:G93"/>
    <mergeCell ref="G100:G101"/>
    <mergeCell ref="G50:G51"/>
    <mergeCell ref="G52:G53"/>
    <mergeCell ref="G55:G56"/>
    <mergeCell ref="G58:G59"/>
    <mergeCell ref="G62:G63"/>
    <mergeCell ref="G68:G69"/>
    <mergeCell ref="G73:G74"/>
    <mergeCell ref="G48:G49"/>
    <mergeCell ref="G79:G80"/>
    <mergeCell ref="G81:G82"/>
    <mergeCell ref="G83:G84"/>
    <mergeCell ref="G86:G87"/>
    <mergeCell ref="G33:G34"/>
    <mergeCell ref="G37:G38"/>
    <mergeCell ref="G39:G42"/>
    <mergeCell ref="G44:G45"/>
    <mergeCell ref="G46:G47"/>
    <mergeCell ref="G21:G22"/>
    <mergeCell ref="G23:G24"/>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6">
    <cfRule type="cellIs" dxfId="31" priority="1" operator="equal">
      <formula>"Diferente"</formula>
    </cfRule>
    <cfRule type="cellIs" dxfId="30" priority="2" operator="equal">
      <formula>"OK"</formula>
    </cfRule>
  </conditionalFormatting>
  <dataValidations count="1">
    <dataValidation type="list" allowBlank="1" showErrorMessage="1" sqref="D7:D126 D129:D130 D132:D134 D136:D139 D141:D143 D145:D147 D150:D153 D155:D158 D160:D162 D164:D167 D169:D171 D173:D179" xr:uid="{00000000-0002-0000-07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'Plano de contas DG'!$C$5:$C$38</xm:f>
          </x14:formula1>
          <xm:sqref>I6:I179</xm:sqref>
        </x14:dataValidation>
        <x14:dataValidation type="list" allowBlank="1" showErrorMessage="1" xr:uid="{00000000-0002-0000-0700-000001000000}">
          <x14:formula1>
            <xm:f>Caixa!$B$5:$B$8</xm:f>
          </x14:formula1>
          <xm:sqref>H7:H126 H129:H130 H132:H134 H136:H139 H141:H143 H145:H147 H150:H153 H155:H158 H160:H162 H164:H167 H169:H171 H173:H179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SUBTOTAL(9,E16,E63,E38,E135,E160,E166,E93,E6,E34,E222,E271,E172,E182,E192,E202,E212,E108)</f>
        <v>0</v>
      </c>
      <c r="F4" s="18">
        <f>SUBTOTAL(9,F16,F63,F38,F125,F135,F160,F166,F93,F6,F34,F222,F271,F172,F182,F192,F202,F212,F108)</f>
        <v>57344.600000000006</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2182.8699999999994</v>
      </c>
      <c r="G6" s="78"/>
      <c r="H6" s="78"/>
      <c r="I6" s="79"/>
      <c r="J6" s="78"/>
      <c r="K6" s="28"/>
      <c r="L6" s="28"/>
      <c r="M6" s="28"/>
      <c r="N6" s="28"/>
      <c r="O6" s="28"/>
      <c r="P6" s="28"/>
      <c r="Q6" s="28"/>
      <c r="R6" s="28"/>
      <c r="S6" s="28"/>
      <c r="T6" s="28"/>
      <c r="U6" s="3"/>
      <c r="W6" s="3"/>
      <c r="X6" s="3"/>
      <c r="Y6" s="3"/>
      <c r="Z6" s="3"/>
    </row>
    <row r="7" spans="1:26" ht="36" hidden="1" outlineLevel="1" x14ac:dyDescent="0.3">
      <c r="A7" s="3"/>
      <c r="B7" s="9" t="s">
        <v>274</v>
      </c>
      <c r="C7" s="71">
        <v>1</v>
      </c>
      <c r="D7" s="53" t="s">
        <v>95</v>
      </c>
      <c r="E7" s="11">
        <v>0</v>
      </c>
      <c r="F7" s="11">
        <v>709.82</v>
      </c>
      <c r="G7" s="80" t="s">
        <v>553</v>
      </c>
      <c r="H7" s="56" t="s">
        <v>37</v>
      </c>
      <c r="I7" s="102" t="s">
        <v>554</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56"/>
      <c r="H8" s="56"/>
      <c r="I8" s="80"/>
      <c r="J8" s="56"/>
      <c r="K8" s="28"/>
      <c r="L8" s="28"/>
      <c r="M8" s="28"/>
      <c r="N8" s="28"/>
      <c r="O8" s="28"/>
      <c r="P8" s="28"/>
      <c r="Q8" s="28"/>
      <c r="R8" s="28"/>
      <c r="S8" s="28"/>
      <c r="T8" s="28"/>
      <c r="U8" s="3"/>
      <c r="W8" s="3"/>
      <c r="X8" s="3"/>
      <c r="Y8" s="3"/>
      <c r="Z8" s="3"/>
    </row>
    <row r="9" spans="1:26" ht="14.4" hidden="1" outlineLevel="1" x14ac:dyDescent="0.3">
      <c r="A9" s="3"/>
      <c r="B9" s="9" t="s">
        <v>281</v>
      </c>
      <c r="C9" s="53">
        <v>3</v>
      </c>
      <c r="D9" s="53" t="s">
        <v>95</v>
      </c>
      <c r="E9" s="11">
        <v>0</v>
      </c>
      <c r="F9" s="11">
        <v>1026.95</v>
      </c>
      <c r="G9" s="56" t="s">
        <v>555</v>
      </c>
      <c r="H9" s="56" t="s">
        <v>37</v>
      </c>
      <c r="I9" s="102" t="s">
        <v>556</v>
      </c>
      <c r="J9" s="56"/>
      <c r="K9" s="28"/>
      <c r="L9" s="28"/>
      <c r="M9" s="28"/>
      <c r="N9" s="28"/>
      <c r="O9" s="28"/>
      <c r="P9" s="28"/>
      <c r="Q9" s="28"/>
      <c r="R9" s="28"/>
      <c r="S9" s="28"/>
      <c r="T9" s="28"/>
      <c r="U9" s="3"/>
      <c r="W9" s="3"/>
      <c r="X9" s="3"/>
      <c r="Y9" s="3"/>
      <c r="Z9" s="3"/>
    </row>
    <row r="10" spans="1:26" ht="14.4" hidden="1" outlineLevel="1" x14ac:dyDescent="0.3">
      <c r="A10" s="3"/>
      <c r="B10" s="9" t="s">
        <v>282</v>
      </c>
      <c r="C10" s="71">
        <v>15</v>
      </c>
      <c r="D10" s="53" t="s">
        <v>95</v>
      </c>
      <c r="E10" s="11">
        <v>0</v>
      </c>
      <c r="F10" s="11">
        <v>286.14</v>
      </c>
      <c r="G10" s="80"/>
      <c r="H10" s="56" t="s">
        <v>37</v>
      </c>
      <c r="I10" s="102" t="s">
        <v>557</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71">
        <v>15</v>
      </c>
      <c r="D11" s="53" t="s">
        <v>95</v>
      </c>
      <c r="E11" s="11">
        <v>0</v>
      </c>
      <c r="F11" s="11">
        <v>40.119999999999997</v>
      </c>
      <c r="G11" s="80"/>
      <c r="H11" s="56" t="s">
        <v>37</v>
      </c>
      <c r="I11" s="102" t="s">
        <v>558</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71">
        <v>15</v>
      </c>
      <c r="D12" s="53" t="s">
        <v>95</v>
      </c>
      <c r="E12" s="11">
        <v>0</v>
      </c>
      <c r="F12" s="11">
        <v>64.849999999999994</v>
      </c>
      <c r="G12" s="80"/>
      <c r="H12" s="56" t="s">
        <v>37</v>
      </c>
      <c r="I12" s="102" t="s">
        <v>559</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71"/>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v>6</v>
      </c>
      <c r="D14" s="53" t="s">
        <v>95</v>
      </c>
      <c r="E14" s="11">
        <v>0</v>
      </c>
      <c r="F14" s="11">
        <v>54.99</v>
      </c>
      <c r="G14" s="56"/>
      <c r="H14" s="56" t="s">
        <v>37</v>
      </c>
      <c r="I14" s="102" t="s">
        <v>561</v>
      </c>
      <c r="J14" s="56"/>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56"/>
      <c r="H15" s="56"/>
      <c r="I15" s="80"/>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7731.6100000000006</v>
      </c>
      <c r="G16" s="78"/>
      <c r="H16" s="78"/>
      <c r="I16" s="79"/>
      <c r="J16" s="78"/>
      <c r="K16" s="28"/>
      <c r="L16" s="28"/>
      <c r="M16" s="28"/>
      <c r="N16" s="28"/>
      <c r="O16" s="28"/>
      <c r="P16" s="28"/>
      <c r="Q16" s="28"/>
      <c r="R16" s="28"/>
      <c r="S16" s="28"/>
      <c r="T16" s="28"/>
      <c r="U16" s="3"/>
    </row>
    <row r="17" spans="1:22" ht="14.4" hidden="1" outlineLevel="1" x14ac:dyDescent="0.3">
      <c r="A17" s="3"/>
      <c r="B17" s="9" t="s">
        <v>562</v>
      </c>
      <c r="C17" s="53">
        <v>29</v>
      </c>
      <c r="D17" s="53" t="s">
        <v>95</v>
      </c>
      <c r="E17" s="11">
        <v>0</v>
      </c>
      <c r="F17" s="11">
        <v>1409.24</v>
      </c>
      <c r="G17" s="242"/>
      <c r="H17" s="56" t="s">
        <v>37</v>
      </c>
      <c r="I17" s="239" t="s">
        <v>563</v>
      </c>
      <c r="J17" s="56"/>
      <c r="K17" s="28"/>
      <c r="L17" s="28"/>
      <c r="M17" s="28"/>
      <c r="N17" s="28"/>
      <c r="O17" s="28"/>
      <c r="P17" s="28"/>
      <c r="Q17" s="28"/>
      <c r="R17" s="28"/>
      <c r="S17" s="28"/>
      <c r="T17" s="28"/>
      <c r="U17" s="3"/>
    </row>
    <row r="18" spans="1:22" ht="14.4" hidden="1" outlineLevel="1" x14ac:dyDescent="0.3">
      <c r="A18" s="3"/>
      <c r="B18" s="9" t="s">
        <v>564</v>
      </c>
      <c r="C18" s="53">
        <v>29</v>
      </c>
      <c r="D18" s="53" t="s">
        <v>95</v>
      </c>
      <c r="E18" s="11">
        <v>0</v>
      </c>
      <c r="F18" s="11">
        <v>802.62</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29</v>
      </c>
      <c r="D19" s="53" t="s">
        <v>95</v>
      </c>
      <c r="E19" s="11">
        <v>0</v>
      </c>
      <c r="F19" s="11">
        <v>98</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29</v>
      </c>
      <c r="D20" s="53" t="s">
        <v>95</v>
      </c>
      <c r="E20" s="11">
        <v>0</v>
      </c>
      <c r="F20" s="11">
        <v>98</v>
      </c>
      <c r="G20" s="213"/>
      <c r="H20" s="56" t="s">
        <v>37</v>
      </c>
      <c r="I20" s="213"/>
      <c r="J20" s="56"/>
      <c r="K20" s="28"/>
      <c r="L20" s="28"/>
      <c r="M20" s="28"/>
      <c r="N20" s="28"/>
      <c r="O20" s="28"/>
      <c r="P20" s="28"/>
      <c r="Q20" s="28"/>
      <c r="R20" s="28"/>
      <c r="S20" s="28"/>
      <c r="T20" s="28"/>
      <c r="U20" s="3"/>
    </row>
    <row r="21" spans="1:22" ht="15.75" hidden="1" customHeight="1" outlineLevel="1" x14ac:dyDescent="0.3">
      <c r="A21" s="3"/>
      <c r="B21" s="9" t="s">
        <v>567</v>
      </c>
      <c r="C21" s="53">
        <v>29</v>
      </c>
      <c r="D21" s="53" t="s">
        <v>95</v>
      </c>
      <c r="E21" s="11">
        <v>0</v>
      </c>
      <c r="F21" s="11">
        <v>384</v>
      </c>
      <c r="G21" s="214"/>
      <c r="H21" s="56" t="s">
        <v>37</v>
      </c>
      <c r="I21" s="214"/>
      <c r="J21" s="56"/>
      <c r="K21" s="28"/>
      <c r="L21" s="28"/>
      <c r="M21" s="28"/>
      <c r="N21" s="28"/>
      <c r="O21" s="28"/>
      <c r="P21" s="28"/>
      <c r="Q21" s="28"/>
      <c r="R21" s="28"/>
      <c r="S21" s="28"/>
      <c r="T21" s="28"/>
      <c r="U21" s="3"/>
    </row>
    <row r="22" spans="1:22" ht="15.75" hidden="1" customHeight="1" outlineLevel="1" x14ac:dyDescent="0.3">
      <c r="A22" s="3"/>
      <c r="B22" s="9" t="s">
        <v>568</v>
      </c>
      <c r="C22" s="53">
        <v>20</v>
      </c>
      <c r="D22" s="53" t="s">
        <v>95</v>
      </c>
      <c r="E22" s="11">
        <v>0</v>
      </c>
      <c r="F22" s="11">
        <f>(310.65/95)*98</f>
        <v>320.45999999999998</v>
      </c>
      <c r="G22" s="242" t="s">
        <v>569</v>
      </c>
      <c r="H22" s="56" t="s">
        <v>37</v>
      </c>
      <c r="I22" s="239" t="s">
        <v>570</v>
      </c>
      <c r="J22" s="56"/>
      <c r="K22" s="28"/>
      <c r="L22" s="28"/>
      <c r="M22" s="28"/>
      <c r="N22" s="28"/>
      <c r="O22" s="28"/>
      <c r="P22" s="28"/>
      <c r="Q22" s="28"/>
      <c r="R22" s="28"/>
      <c r="S22" s="28"/>
      <c r="T22" s="28"/>
      <c r="U22" s="3"/>
      <c r="V22" s="14"/>
    </row>
    <row r="23" spans="1:22" ht="15.75" hidden="1" customHeight="1" outlineLevel="1" x14ac:dyDescent="0.3">
      <c r="A23" s="3"/>
      <c r="B23" s="9" t="s">
        <v>571</v>
      </c>
      <c r="C23" s="53">
        <v>20</v>
      </c>
      <c r="D23" s="53" t="s">
        <v>95</v>
      </c>
      <c r="E23" s="11">
        <v>0</v>
      </c>
      <c r="F23" s="11">
        <f>(356.25/95)*98</f>
        <v>367.5</v>
      </c>
      <c r="G23" s="213"/>
      <c r="H23" s="56" t="s">
        <v>37</v>
      </c>
      <c r="I23" s="213"/>
      <c r="J23" s="56"/>
      <c r="K23" s="28"/>
      <c r="L23" s="28"/>
      <c r="M23" s="28"/>
      <c r="N23" s="28"/>
      <c r="O23" s="28"/>
      <c r="P23" s="28"/>
      <c r="Q23" s="28"/>
      <c r="R23" s="28"/>
      <c r="S23" s="28"/>
      <c r="T23" s="28"/>
      <c r="U23" s="3"/>
      <c r="V23" s="14"/>
    </row>
    <row r="24" spans="1:22" ht="15.75" hidden="1" customHeight="1" outlineLevel="1" x14ac:dyDescent="0.3">
      <c r="A24" s="3"/>
      <c r="B24" s="9" t="s">
        <v>572</v>
      </c>
      <c r="C24" s="53">
        <v>20</v>
      </c>
      <c r="D24" s="53" t="s">
        <v>95</v>
      </c>
      <c r="E24" s="11">
        <v>0</v>
      </c>
      <c r="F24" s="11">
        <f>(441.75/95)*98</f>
        <v>455.70000000000005</v>
      </c>
      <c r="G24" s="213"/>
      <c r="H24" s="56" t="s">
        <v>37</v>
      </c>
      <c r="I24" s="213"/>
      <c r="J24" s="56"/>
      <c r="K24" s="28"/>
      <c r="L24" s="28"/>
      <c r="M24" s="28"/>
      <c r="N24" s="28"/>
      <c r="O24" s="28"/>
      <c r="P24" s="28"/>
      <c r="Q24" s="28"/>
      <c r="R24" s="28"/>
      <c r="S24" s="28"/>
      <c r="T24" s="28"/>
      <c r="U24" s="3"/>
      <c r="V24" s="14"/>
    </row>
    <row r="25" spans="1:22" ht="15.75" hidden="1" customHeight="1" outlineLevel="1" x14ac:dyDescent="0.3">
      <c r="A25" s="3"/>
      <c r="B25" s="9" t="s">
        <v>573</v>
      </c>
      <c r="C25" s="53">
        <v>20</v>
      </c>
      <c r="D25" s="53" t="s">
        <v>95</v>
      </c>
      <c r="E25" s="11">
        <v>0</v>
      </c>
      <c r="F25" s="11">
        <f>(31.35/95)*98</f>
        <v>32.340000000000003</v>
      </c>
      <c r="G25" s="213"/>
      <c r="H25" s="56" t="s">
        <v>37</v>
      </c>
      <c r="I25" s="213"/>
      <c r="J25" s="56"/>
      <c r="K25" s="28"/>
      <c r="L25" s="28"/>
      <c r="M25" s="28"/>
      <c r="N25" s="28"/>
      <c r="O25" s="28"/>
      <c r="P25" s="28"/>
      <c r="Q25" s="28"/>
      <c r="R25" s="28"/>
      <c r="S25" s="28"/>
      <c r="T25" s="28"/>
      <c r="U25" s="3"/>
      <c r="V25" s="14"/>
    </row>
    <row r="26" spans="1:22" ht="15.75" hidden="1" customHeight="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5.75" hidden="1" customHeight="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5.75" hidden="1" customHeight="1" outlineLevel="1" x14ac:dyDescent="0.3">
      <c r="A28" s="3"/>
      <c r="B28" s="9" t="s">
        <v>576</v>
      </c>
      <c r="C28" s="53"/>
      <c r="D28" s="53"/>
      <c r="E28" s="11">
        <v>0</v>
      </c>
      <c r="F28" s="11">
        <v>0</v>
      </c>
      <c r="G28" s="214"/>
      <c r="H28" s="56"/>
      <c r="I28" s="214"/>
      <c r="J28" s="56"/>
      <c r="K28" s="28"/>
      <c r="L28" s="28"/>
      <c r="M28" s="28"/>
      <c r="N28" s="28"/>
      <c r="O28" s="28"/>
      <c r="P28" s="28"/>
      <c r="Q28" s="28"/>
      <c r="R28" s="28"/>
      <c r="S28" s="28"/>
      <c r="T28" s="28"/>
      <c r="U28" s="3"/>
      <c r="V28" s="14"/>
    </row>
    <row r="29" spans="1:22" ht="15.75" hidden="1" customHeight="1" outlineLevel="1" x14ac:dyDescent="0.3">
      <c r="A29" s="3"/>
      <c r="B29" s="9" t="s">
        <v>293</v>
      </c>
      <c r="C29" s="53">
        <v>15</v>
      </c>
      <c r="D29" s="53" t="s">
        <v>95</v>
      </c>
      <c r="E29" s="11">
        <v>0</v>
      </c>
      <c r="F29" s="11">
        <v>117</v>
      </c>
      <c r="G29" s="56"/>
      <c r="H29" s="56" t="s">
        <v>37</v>
      </c>
      <c r="I29" s="102" t="s">
        <v>577</v>
      </c>
      <c r="J29" s="56"/>
      <c r="K29" s="28"/>
      <c r="L29" s="28"/>
      <c r="M29" s="28"/>
      <c r="N29" s="28"/>
      <c r="O29" s="28"/>
      <c r="P29" s="28"/>
      <c r="Q29" s="28"/>
      <c r="R29" s="28"/>
      <c r="S29" s="28"/>
      <c r="T29" s="28"/>
      <c r="U29" s="3"/>
      <c r="V29" s="14"/>
    </row>
    <row r="30" spans="1:22" ht="15.75" hidden="1" customHeight="1" outlineLevel="1" x14ac:dyDescent="0.3">
      <c r="A30" s="3"/>
      <c r="B30" s="9" t="s">
        <v>295</v>
      </c>
      <c r="C30" s="53">
        <v>3</v>
      </c>
      <c r="D30" s="53" t="s">
        <v>95</v>
      </c>
      <c r="E30" s="11">
        <v>0</v>
      </c>
      <c r="F30" s="11">
        <f>2343.27-80</f>
        <v>2263.27</v>
      </c>
      <c r="G30" s="80" t="s">
        <v>578</v>
      </c>
      <c r="H30" s="56" t="s">
        <v>37</v>
      </c>
      <c r="I30" s="102" t="s">
        <v>579</v>
      </c>
      <c r="J30" s="56"/>
      <c r="K30" s="28"/>
      <c r="L30" s="28"/>
      <c r="M30" s="28"/>
      <c r="N30" s="28"/>
      <c r="O30" s="28"/>
      <c r="P30" s="28"/>
      <c r="Q30" s="28"/>
      <c r="R30" s="28"/>
      <c r="S30" s="28"/>
      <c r="T30" s="28"/>
      <c r="U30" s="3"/>
    </row>
    <row r="31" spans="1:22" ht="15.75" hidden="1" customHeight="1" outlineLevel="1" x14ac:dyDescent="0.3">
      <c r="A31" s="3"/>
      <c r="B31" s="9" t="s">
        <v>580</v>
      </c>
      <c r="C31" s="53"/>
      <c r="D31" s="53"/>
      <c r="E31" s="11">
        <v>0</v>
      </c>
      <c r="F31" s="11">
        <v>0</v>
      </c>
      <c r="G31" s="56"/>
      <c r="H31" s="56"/>
      <c r="I31" s="80"/>
      <c r="J31" s="56"/>
      <c r="K31" s="28"/>
      <c r="L31" s="28"/>
      <c r="M31" s="28"/>
      <c r="N31" s="28"/>
      <c r="O31" s="28"/>
      <c r="P31" s="28"/>
      <c r="Q31" s="28"/>
      <c r="R31" s="28"/>
      <c r="S31" s="28"/>
      <c r="T31" s="28"/>
      <c r="U31" s="3"/>
    </row>
    <row r="32" spans="1:22" ht="15.75" hidden="1" customHeight="1" outlineLevel="1" x14ac:dyDescent="0.3">
      <c r="A32" s="3"/>
      <c r="B32" s="9" t="s">
        <v>295</v>
      </c>
      <c r="C32" s="53">
        <v>31</v>
      </c>
      <c r="D32" s="53" t="s">
        <v>95</v>
      </c>
      <c r="E32" s="11">
        <v>0</v>
      </c>
      <c r="F32" s="11">
        <v>1383.48</v>
      </c>
      <c r="G32" s="80" t="s">
        <v>581</v>
      </c>
      <c r="H32" s="56" t="s">
        <v>37</v>
      </c>
      <c r="I32" s="102" t="s">
        <v>582</v>
      </c>
      <c r="J32" s="56"/>
      <c r="K32" s="28"/>
      <c r="L32" s="28"/>
      <c r="M32" s="28"/>
      <c r="N32" s="28"/>
      <c r="O32" s="28"/>
      <c r="P32" s="28"/>
      <c r="Q32" s="28"/>
      <c r="R32" s="28"/>
      <c r="S32" s="28"/>
      <c r="T32" s="28"/>
      <c r="U32" s="3"/>
    </row>
    <row r="33" spans="1:26" ht="15.75" hidden="1" customHeight="1"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15.75" customHeight="1" collapsed="1" x14ac:dyDescent="0.3">
      <c r="A34" s="3"/>
      <c r="B34" s="75" t="s">
        <v>301</v>
      </c>
      <c r="C34" s="76" t="s">
        <v>44</v>
      </c>
      <c r="D34" s="76" t="s">
        <v>44</v>
      </c>
      <c r="E34" s="77">
        <f>SUM(E35:E37)</f>
        <v>0</v>
      </c>
      <c r="F34" s="77">
        <f>SUMIF(D35:D37,"OK",F35:F37)</f>
        <v>1.89</v>
      </c>
      <c r="G34" s="78"/>
      <c r="H34" s="78"/>
      <c r="I34" s="79"/>
      <c r="J34" s="78"/>
      <c r="K34" s="28"/>
      <c r="L34" s="28"/>
      <c r="M34" s="28"/>
      <c r="N34" s="28"/>
      <c r="O34" s="28"/>
      <c r="P34" s="28"/>
      <c r="Q34" s="28"/>
      <c r="R34" s="28"/>
      <c r="S34" s="28"/>
      <c r="T34" s="28"/>
      <c r="U34" s="3"/>
      <c r="W34" s="3"/>
      <c r="X34" s="3"/>
      <c r="Y34" s="3"/>
      <c r="Z34" s="3"/>
    </row>
    <row r="35" spans="1:26" ht="15.75" hidden="1" customHeight="1" outlineLevel="1" x14ac:dyDescent="0.3">
      <c r="A35" s="3"/>
      <c r="B35" s="9" t="s">
        <v>584</v>
      </c>
      <c r="C35" s="53">
        <v>2</v>
      </c>
      <c r="D35" s="53" t="s">
        <v>95</v>
      </c>
      <c r="E35" s="11">
        <v>0</v>
      </c>
      <c r="F35" s="11">
        <v>1.89</v>
      </c>
      <c r="G35" s="56"/>
      <c r="H35" s="56" t="s">
        <v>38</v>
      </c>
      <c r="I35" s="102" t="s">
        <v>585</v>
      </c>
      <c r="J35" s="56"/>
      <c r="K35" s="28"/>
      <c r="L35" s="28"/>
      <c r="M35" s="28"/>
      <c r="N35" s="28"/>
      <c r="O35" s="28"/>
      <c r="P35" s="28"/>
      <c r="Q35" s="28"/>
      <c r="R35" s="28"/>
      <c r="S35" s="28"/>
      <c r="T35" s="28"/>
      <c r="U35" s="3"/>
      <c r="W35" s="3"/>
      <c r="X35" s="3"/>
      <c r="Y35" s="3"/>
      <c r="Z35" s="3"/>
    </row>
    <row r="36" spans="1:26" ht="15.75" hidden="1" customHeight="1" outlineLevel="1" x14ac:dyDescent="0.3">
      <c r="A36" s="3"/>
      <c r="B36" s="9" t="s">
        <v>586</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5.75" hidden="1" customHeight="1" outlineLevel="1" x14ac:dyDescent="0.3">
      <c r="A37" s="3"/>
      <c r="B37" s="9" t="s">
        <v>306</v>
      </c>
      <c r="C37" s="53"/>
      <c r="D37" s="53"/>
      <c r="E37" s="11">
        <v>0</v>
      </c>
      <c r="F37" s="11">
        <v>0</v>
      </c>
      <c r="G37" s="56"/>
      <c r="H37" s="56"/>
      <c r="I37" s="80"/>
      <c r="J37" s="56"/>
      <c r="K37" s="28"/>
      <c r="L37" s="28"/>
      <c r="M37" s="28"/>
      <c r="N37" s="28"/>
      <c r="O37" s="28"/>
      <c r="P37" s="28"/>
      <c r="Q37" s="28"/>
      <c r="R37" s="28"/>
      <c r="S37" s="28"/>
      <c r="T37" s="28"/>
      <c r="U37" s="3"/>
      <c r="W37" s="3"/>
      <c r="X37" s="3"/>
      <c r="Y37" s="3"/>
      <c r="Z37" s="3"/>
    </row>
    <row r="38" spans="1:26" ht="15.75" customHeight="1" collapsed="1" x14ac:dyDescent="0.3">
      <c r="A38" s="3"/>
      <c r="B38" s="75" t="s">
        <v>307</v>
      </c>
      <c r="C38" s="76" t="s">
        <v>44</v>
      </c>
      <c r="D38" s="76" t="s">
        <v>44</v>
      </c>
      <c r="E38" s="77">
        <f>SUM(E39:E62)</f>
        <v>0</v>
      </c>
      <c r="F38" s="77">
        <f>SUMIF(D39:D62,"OK",F39:F62)</f>
        <v>4886.5</v>
      </c>
      <c r="G38" s="78"/>
      <c r="H38" s="78"/>
      <c r="I38" s="79"/>
      <c r="J38" s="78"/>
      <c r="K38" s="28"/>
      <c r="L38" s="28"/>
      <c r="M38" s="28"/>
      <c r="N38" s="28"/>
      <c r="O38" s="28"/>
      <c r="P38" s="28"/>
      <c r="Q38" s="28"/>
      <c r="R38" s="28"/>
      <c r="S38" s="28"/>
      <c r="T38" s="28"/>
      <c r="U38" s="3"/>
      <c r="W38" s="3"/>
      <c r="X38" s="3"/>
      <c r="Y38" s="3"/>
      <c r="Z38" s="3"/>
    </row>
    <row r="39" spans="1:26" ht="15.75" hidden="1" customHeight="1" outlineLevel="1" x14ac:dyDescent="0.3">
      <c r="A39" s="3"/>
      <c r="B39" s="9" t="s">
        <v>308</v>
      </c>
      <c r="C39" s="53">
        <v>31</v>
      </c>
      <c r="D39" s="53" t="s">
        <v>95</v>
      </c>
      <c r="E39" s="11">
        <v>0</v>
      </c>
      <c r="F39" s="11">
        <v>795.7</v>
      </c>
      <c r="G39" s="56"/>
      <c r="H39" s="56" t="s">
        <v>37</v>
      </c>
      <c r="I39" s="102" t="s">
        <v>587</v>
      </c>
      <c r="J39" s="56"/>
      <c r="K39" s="28"/>
      <c r="L39" s="28"/>
      <c r="M39" s="28"/>
      <c r="N39" s="28"/>
      <c r="O39" s="28"/>
      <c r="P39" s="28"/>
      <c r="Q39" s="28"/>
      <c r="R39" s="28"/>
      <c r="S39" s="28"/>
      <c r="T39" s="28"/>
      <c r="U39" s="3"/>
      <c r="W39" s="3"/>
      <c r="X39" s="3"/>
      <c r="Y39" s="3"/>
      <c r="Z39" s="3"/>
    </row>
    <row r="40" spans="1:26" ht="15.75" hidden="1" customHeight="1" outlineLevel="1" x14ac:dyDescent="0.3">
      <c r="A40" s="3"/>
      <c r="B40" s="9" t="s">
        <v>588</v>
      </c>
      <c r="C40" s="53">
        <v>5</v>
      </c>
      <c r="D40" s="53" t="s">
        <v>95</v>
      </c>
      <c r="E40" s="11">
        <v>0</v>
      </c>
      <c r="F40" s="11">
        <v>650</v>
      </c>
      <c r="G40" s="56"/>
      <c r="H40" s="56" t="s">
        <v>37</v>
      </c>
      <c r="I40" s="102" t="s">
        <v>589</v>
      </c>
      <c r="J40" s="56"/>
      <c r="K40" s="28"/>
      <c r="L40" s="28"/>
      <c r="M40" s="28"/>
      <c r="N40" s="28"/>
      <c r="O40" s="28"/>
      <c r="P40" s="28"/>
      <c r="Q40" s="28"/>
      <c r="R40" s="28"/>
      <c r="S40" s="28"/>
      <c r="T40" s="28"/>
      <c r="U40" s="3"/>
      <c r="W40" s="3"/>
      <c r="X40" s="3"/>
      <c r="Y40" s="3"/>
      <c r="Z40" s="3"/>
    </row>
    <row r="41" spans="1:26" ht="15.75" hidden="1" customHeight="1" outlineLevel="1" x14ac:dyDescent="0.3">
      <c r="A41" s="3"/>
      <c r="B41" s="9" t="s">
        <v>590</v>
      </c>
      <c r="C41" s="53">
        <v>19</v>
      </c>
      <c r="D41" s="53" t="s">
        <v>95</v>
      </c>
      <c r="E41" s="11">
        <v>0</v>
      </c>
      <c r="F41" s="11">
        <v>650</v>
      </c>
      <c r="G41" s="56"/>
      <c r="H41" s="56" t="s">
        <v>37</v>
      </c>
      <c r="I41" s="102" t="s">
        <v>591</v>
      </c>
      <c r="J41" s="56"/>
      <c r="K41" s="28"/>
      <c r="L41" s="28"/>
      <c r="M41" s="28"/>
      <c r="N41" s="28"/>
      <c r="O41" s="28"/>
      <c r="P41" s="28"/>
      <c r="Q41" s="28"/>
      <c r="R41" s="28"/>
      <c r="S41" s="28"/>
      <c r="T41" s="28"/>
      <c r="U41" s="3"/>
      <c r="W41" s="3"/>
      <c r="X41" s="3"/>
      <c r="Y41" s="3"/>
      <c r="Z41" s="3"/>
    </row>
    <row r="42" spans="1:26" ht="15.75" hidden="1" customHeight="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5.75" hidden="1" customHeight="1" outlineLevel="1" x14ac:dyDescent="0.3">
      <c r="A43" s="3"/>
      <c r="B43" s="9" t="s">
        <v>315</v>
      </c>
      <c r="C43" s="53">
        <v>14</v>
      </c>
      <c r="D43" s="53" t="s">
        <v>95</v>
      </c>
      <c r="E43" s="11">
        <v>0</v>
      </c>
      <c r="F43" s="11">
        <v>84.9</v>
      </c>
      <c r="G43" s="56"/>
      <c r="H43" s="56" t="s">
        <v>37</v>
      </c>
      <c r="I43" s="102" t="s">
        <v>592</v>
      </c>
      <c r="J43" s="56"/>
      <c r="K43" s="28"/>
      <c r="L43" s="28"/>
      <c r="M43" s="28"/>
      <c r="N43" s="28"/>
      <c r="O43" s="28"/>
      <c r="P43" s="28"/>
      <c r="Q43" s="28"/>
      <c r="R43" s="28"/>
      <c r="S43" s="28"/>
      <c r="T43" s="28"/>
      <c r="U43" s="3"/>
      <c r="W43" s="3"/>
      <c r="X43" s="3"/>
      <c r="Y43" s="3"/>
      <c r="Z43" s="3"/>
    </row>
    <row r="44" spans="1:26" ht="15.75" hidden="1" customHeight="1" outlineLevel="1" x14ac:dyDescent="0.3">
      <c r="A44" s="3"/>
      <c r="B44" s="9" t="s">
        <v>593</v>
      </c>
      <c r="C44" s="71">
        <v>23</v>
      </c>
      <c r="D44" s="53" t="s">
        <v>95</v>
      </c>
      <c r="E44" s="11">
        <v>0</v>
      </c>
      <c r="F44" s="11">
        <v>518</v>
      </c>
      <c r="G44" s="80" t="s">
        <v>594</v>
      </c>
      <c r="H44" s="56" t="s">
        <v>37</v>
      </c>
      <c r="I44" s="102" t="s">
        <v>595</v>
      </c>
      <c r="J44" s="56"/>
      <c r="K44" s="28"/>
      <c r="L44" s="28"/>
      <c r="M44" s="28"/>
      <c r="N44" s="28"/>
      <c r="O44" s="28"/>
      <c r="P44" s="28"/>
      <c r="Q44" s="28"/>
      <c r="R44" s="28"/>
      <c r="S44" s="28"/>
      <c r="T44" s="28"/>
      <c r="U44" s="3"/>
      <c r="W44" s="3"/>
      <c r="X44" s="3"/>
      <c r="Y44" s="3"/>
      <c r="Z44" s="3"/>
    </row>
    <row r="45" spans="1:26" ht="15.75" hidden="1" customHeight="1" outlineLevel="1" x14ac:dyDescent="0.3">
      <c r="A45" s="3"/>
      <c r="B45" s="9" t="s">
        <v>596</v>
      </c>
      <c r="C45" s="71">
        <v>23</v>
      </c>
      <c r="D45" s="53" t="s">
        <v>95</v>
      </c>
      <c r="E45" s="11">
        <v>0</v>
      </c>
      <c r="F45" s="11">
        <v>212.9</v>
      </c>
      <c r="G45" s="80" t="s">
        <v>597</v>
      </c>
      <c r="H45" s="56" t="s">
        <v>37</v>
      </c>
      <c r="I45" s="102" t="s">
        <v>598</v>
      </c>
      <c r="J45" s="56"/>
      <c r="K45" s="28"/>
      <c r="L45" s="28"/>
      <c r="M45" s="28"/>
      <c r="N45" s="28"/>
      <c r="O45" s="28"/>
      <c r="P45" s="28"/>
      <c r="Q45" s="28"/>
      <c r="R45" s="28"/>
      <c r="S45" s="28"/>
      <c r="T45" s="28"/>
      <c r="U45" s="3"/>
      <c r="W45" s="3"/>
      <c r="X45" s="3"/>
      <c r="Y45" s="3"/>
      <c r="Z45" s="3"/>
    </row>
    <row r="46" spans="1:26" ht="15.75" hidden="1" customHeight="1" outlineLevel="1" x14ac:dyDescent="0.3">
      <c r="A46" s="3"/>
      <c r="B46" s="9" t="s">
        <v>541</v>
      </c>
      <c r="C46" s="53">
        <v>14</v>
      </c>
      <c r="D46" s="53" t="s">
        <v>95</v>
      </c>
      <c r="E46" s="11">
        <v>0</v>
      </c>
      <c r="F46" s="11">
        <v>1625</v>
      </c>
      <c r="G46" s="56" t="s">
        <v>599</v>
      </c>
      <c r="H46" s="56" t="s">
        <v>37</v>
      </c>
      <c r="I46" s="102" t="s">
        <v>600</v>
      </c>
      <c r="J46" s="56"/>
      <c r="K46" s="28"/>
      <c r="L46" s="28"/>
      <c r="M46" s="28"/>
      <c r="N46" s="28"/>
      <c r="O46" s="28"/>
      <c r="P46" s="28"/>
      <c r="Q46" s="28"/>
      <c r="R46" s="28"/>
      <c r="S46" s="28"/>
      <c r="T46" s="28"/>
      <c r="U46" s="3"/>
      <c r="W46" s="3"/>
      <c r="X46" s="3"/>
      <c r="Y46" s="3"/>
      <c r="Z46" s="3"/>
    </row>
    <row r="47" spans="1:26" ht="15.75" hidden="1" customHeight="1" outlineLevel="1" x14ac:dyDescent="0.3">
      <c r="A47" s="3"/>
      <c r="B47" s="9" t="s">
        <v>601</v>
      </c>
      <c r="C47" s="71">
        <v>15</v>
      </c>
      <c r="D47" s="53" t="s">
        <v>95</v>
      </c>
      <c r="E47" s="11">
        <v>0</v>
      </c>
      <c r="F47" s="11">
        <v>350</v>
      </c>
      <c r="G47" s="80"/>
      <c r="H47" s="56" t="s">
        <v>37</v>
      </c>
      <c r="I47" s="102" t="s">
        <v>602</v>
      </c>
      <c r="J47" s="56"/>
      <c r="K47" s="28"/>
      <c r="L47" s="28"/>
      <c r="M47" s="28"/>
      <c r="N47" s="28"/>
      <c r="O47" s="28"/>
      <c r="P47" s="28"/>
      <c r="Q47" s="28"/>
      <c r="R47" s="28"/>
      <c r="S47" s="28"/>
      <c r="T47" s="28"/>
      <c r="U47" s="3"/>
      <c r="W47" s="3"/>
      <c r="X47" s="3"/>
      <c r="Y47" s="3"/>
      <c r="Z47" s="3"/>
    </row>
    <row r="48" spans="1:26" ht="15.75" hidden="1" customHeight="1" outlineLevel="1" x14ac:dyDescent="0.3">
      <c r="A48" s="3"/>
      <c r="B48" s="9" t="s">
        <v>51</v>
      </c>
      <c r="C48" s="71"/>
      <c r="D48" s="53"/>
      <c r="E48" s="11">
        <v>0</v>
      </c>
      <c r="F48" s="11">
        <v>0</v>
      </c>
      <c r="G48" s="80"/>
      <c r="H48" s="56"/>
      <c r="I48" s="102"/>
      <c r="J48" s="56"/>
      <c r="K48" s="28"/>
      <c r="L48" s="28"/>
      <c r="M48" s="28"/>
      <c r="N48" s="28"/>
      <c r="O48" s="28"/>
      <c r="P48" s="28"/>
      <c r="Q48" s="28"/>
      <c r="R48" s="28"/>
      <c r="S48" s="28"/>
      <c r="T48" s="28"/>
      <c r="U48" s="3"/>
      <c r="W48" s="3"/>
      <c r="X48" s="3"/>
      <c r="Y48" s="3"/>
      <c r="Z48" s="3"/>
    </row>
    <row r="49" spans="1:26" ht="15.75" hidden="1" customHeight="1" outlineLevel="1" x14ac:dyDescent="0.3">
      <c r="A49" s="3"/>
      <c r="B49" s="9" t="s">
        <v>51</v>
      </c>
      <c r="C49" s="71"/>
      <c r="D49" s="53"/>
      <c r="E49" s="11">
        <v>0</v>
      </c>
      <c r="F49" s="11">
        <v>0</v>
      </c>
      <c r="G49" s="80"/>
      <c r="H49" s="56"/>
      <c r="I49" s="102"/>
      <c r="J49" s="56"/>
      <c r="K49" s="28"/>
      <c r="L49" s="28"/>
      <c r="M49" s="28"/>
      <c r="N49" s="28"/>
      <c r="O49" s="28"/>
      <c r="P49" s="28"/>
      <c r="Q49" s="28"/>
      <c r="R49" s="28"/>
      <c r="S49" s="28"/>
      <c r="T49" s="28"/>
      <c r="U49" s="3"/>
      <c r="W49" s="3"/>
      <c r="X49" s="3"/>
      <c r="Y49" s="3"/>
      <c r="Z49" s="3"/>
    </row>
    <row r="50" spans="1:26" ht="15.75" hidden="1" customHeight="1" outlineLevel="1" x14ac:dyDescent="0.3">
      <c r="A50" s="3"/>
      <c r="B50" s="9" t="s">
        <v>51</v>
      </c>
      <c r="C50" s="53"/>
      <c r="D50" s="53"/>
      <c r="E50" s="11">
        <v>0</v>
      </c>
      <c r="F50" s="11">
        <v>0</v>
      </c>
      <c r="G50" s="56"/>
      <c r="H50" s="56"/>
      <c r="I50" s="102"/>
      <c r="J50" s="56"/>
      <c r="K50" s="28"/>
      <c r="L50" s="28"/>
      <c r="M50" s="28"/>
      <c r="N50" s="28"/>
      <c r="O50" s="28"/>
      <c r="P50" s="28"/>
      <c r="Q50" s="28"/>
      <c r="R50" s="28"/>
      <c r="S50" s="28"/>
      <c r="T50" s="28"/>
      <c r="U50" s="3"/>
      <c r="W50" s="3"/>
      <c r="X50" s="3"/>
      <c r="Y50" s="3"/>
      <c r="Z50" s="3"/>
    </row>
    <row r="51" spans="1:26" ht="15.75" hidden="1" customHeight="1" outlineLevel="1" x14ac:dyDescent="0.3">
      <c r="A51" s="3"/>
      <c r="B51" s="9" t="s">
        <v>51</v>
      </c>
      <c r="C51" s="53"/>
      <c r="D51" s="53"/>
      <c r="E51" s="11">
        <v>0</v>
      </c>
      <c r="F51" s="11">
        <v>0</v>
      </c>
      <c r="G51" s="56"/>
      <c r="H51" s="56"/>
      <c r="I51" s="102"/>
      <c r="J51" s="56"/>
      <c r="K51" s="28"/>
      <c r="L51" s="28"/>
      <c r="M51" s="28"/>
      <c r="N51" s="28"/>
      <c r="O51" s="28"/>
      <c r="P51" s="28"/>
      <c r="Q51" s="28"/>
      <c r="R51" s="28"/>
      <c r="S51" s="28"/>
      <c r="T51" s="28"/>
      <c r="U51" s="3"/>
      <c r="W51" s="3"/>
      <c r="X51" s="3"/>
      <c r="Y51" s="3"/>
      <c r="Z51" s="3"/>
    </row>
    <row r="52" spans="1:26" ht="15.75" hidden="1" customHeight="1" outlineLevel="1" x14ac:dyDescent="0.3">
      <c r="A52" s="3"/>
      <c r="B52" s="9" t="s">
        <v>51</v>
      </c>
      <c r="C52" s="53"/>
      <c r="D52" s="53"/>
      <c r="E52" s="11">
        <v>0</v>
      </c>
      <c r="F52" s="11">
        <v>0</v>
      </c>
      <c r="G52" s="56"/>
      <c r="H52" s="56"/>
      <c r="I52" s="102"/>
      <c r="J52" s="56"/>
      <c r="K52" s="28"/>
      <c r="L52" s="28"/>
      <c r="M52" s="28"/>
      <c r="N52" s="28"/>
      <c r="O52" s="28"/>
      <c r="P52" s="28"/>
      <c r="Q52" s="28"/>
      <c r="R52" s="28"/>
      <c r="S52" s="28"/>
      <c r="T52" s="28"/>
      <c r="U52" s="3"/>
      <c r="W52" s="3"/>
      <c r="X52" s="3"/>
      <c r="Y52" s="3"/>
      <c r="Z52" s="3"/>
    </row>
    <row r="53" spans="1:26" ht="15.75" hidden="1" customHeight="1"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5.75" hidden="1" customHeight="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5.75" hidden="1" customHeight="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5.75" hidden="1" customHeight="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5.75" hidden="1" customHeight="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5.75" hidden="1" customHeight="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5.75" hidden="1" customHeight="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5.75" hidden="1" customHeight="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5.75" hidden="1" customHeight="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5.75" hidden="1" customHeight="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15.75" customHeight="1" collapsed="1" x14ac:dyDescent="0.3">
      <c r="A63" s="3"/>
      <c r="B63" s="75" t="s">
        <v>330</v>
      </c>
      <c r="C63" s="76" t="s">
        <v>44</v>
      </c>
      <c r="D63" s="76" t="s">
        <v>44</v>
      </c>
      <c r="E63" s="77">
        <f>SUM(E64:E92)</f>
        <v>0</v>
      </c>
      <c r="F63" s="77">
        <f>SUMIF(D64:D92,"OK",F64:F92)</f>
        <v>2783.7400000000002</v>
      </c>
      <c r="G63" s="78"/>
      <c r="H63" s="78"/>
      <c r="I63" s="79"/>
      <c r="J63" s="78"/>
      <c r="K63" s="28"/>
      <c r="L63" s="28"/>
      <c r="M63" s="28"/>
      <c r="N63" s="28"/>
      <c r="O63" s="28"/>
      <c r="P63" s="28"/>
      <c r="Q63" s="28"/>
      <c r="R63" s="28"/>
      <c r="S63" s="28"/>
      <c r="T63" s="28"/>
      <c r="U63" s="3"/>
    </row>
    <row r="64" spans="1:26" ht="15.75" hidden="1" customHeight="1" outlineLevel="1" x14ac:dyDescent="0.3">
      <c r="A64" s="3"/>
      <c r="B64" s="9" t="s">
        <v>603</v>
      </c>
      <c r="C64" s="71">
        <v>6</v>
      </c>
      <c r="D64" s="53" t="s">
        <v>95</v>
      </c>
      <c r="E64" s="11">
        <v>0</v>
      </c>
      <c r="F64" s="11">
        <v>161.38999999999999</v>
      </c>
      <c r="G64" s="80"/>
      <c r="H64" s="56" t="s">
        <v>37</v>
      </c>
      <c r="I64" s="102" t="s">
        <v>604</v>
      </c>
      <c r="J64" s="80"/>
      <c r="K64" s="28"/>
      <c r="L64" s="28"/>
      <c r="M64" s="28"/>
      <c r="N64" s="28"/>
      <c r="O64" s="28"/>
      <c r="P64" s="28"/>
      <c r="Q64" s="28"/>
      <c r="R64" s="28"/>
      <c r="S64" s="28"/>
      <c r="T64" s="28"/>
      <c r="U64" s="3"/>
      <c r="V64" s="14"/>
    </row>
    <row r="65" spans="1:22" ht="15.75" hidden="1" customHeight="1" outlineLevel="1" x14ac:dyDescent="0.3">
      <c r="A65" s="3"/>
      <c r="B65" s="9" t="s">
        <v>603</v>
      </c>
      <c r="C65" s="71">
        <v>6</v>
      </c>
      <c r="D65" s="53" t="s">
        <v>95</v>
      </c>
      <c r="E65" s="11">
        <v>0</v>
      </c>
      <c r="F65" s="11">
        <v>31.8</v>
      </c>
      <c r="G65" s="80"/>
      <c r="H65" s="56" t="s">
        <v>37</v>
      </c>
      <c r="I65" s="102" t="s">
        <v>605</v>
      </c>
      <c r="J65" s="80"/>
      <c r="K65" s="28"/>
      <c r="L65" s="28"/>
      <c r="M65" s="28"/>
      <c r="N65" s="28"/>
      <c r="O65" s="28"/>
      <c r="P65" s="28"/>
      <c r="Q65" s="28"/>
      <c r="R65" s="28"/>
      <c r="S65" s="28"/>
      <c r="T65" s="28"/>
      <c r="U65" s="3"/>
      <c r="V65" s="14"/>
    </row>
    <row r="66" spans="1:22" ht="15.75" hidden="1" customHeight="1" outlineLevel="1" x14ac:dyDescent="0.3">
      <c r="A66" s="3"/>
      <c r="B66" s="9" t="s">
        <v>603</v>
      </c>
      <c r="C66" s="71">
        <v>7</v>
      </c>
      <c r="D66" s="53" t="s">
        <v>95</v>
      </c>
      <c r="E66" s="11">
        <v>0</v>
      </c>
      <c r="F66" s="11">
        <v>45</v>
      </c>
      <c r="G66" s="80" t="s">
        <v>606</v>
      </c>
      <c r="H66" s="56" t="s">
        <v>37</v>
      </c>
      <c r="I66" s="102" t="s">
        <v>607</v>
      </c>
      <c r="J66" s="80"/>
      <c r="K66" s="28"/>
      <c r="L66" s="28"/>
      <c r="M66" s="28"/>
      <c r="N66" s="28"/>
      <c r="O66" s="28"/>
      <c r="P66" s="28"/>
      <c r="Q66" s="28"/>
      <c r="R66" s="28"/>
      <c r="S66" s="28"/>
      <c r="T66" s="28"/>
      <c r="U66" s="3"/>
      <c r="V66" s="14"/>
    </row>
    <row r="67" spans="1:22" ht="15.75" hidden="1" customHeight="1" outlineLevel="1" x14ac:dyDescent="0.3">
      <c r="A67" s="3"/>
      <c r="B67" s="9" t="s">
        <v>603</v>
      </c>
      <c r="C67" s="71">
        <v>7</v>
      </c>
      <c r="D67" s="53" t="s">
        <v>95</v>
      </c>
      <c r="E67" s="11">
        <v>0</v>
      </c>
      <c r="F67" s="11">
        <v>86.71</v>
      </c>
      <c r="G67" s="80"/>
      <c r="H67" s="56" t="s">
        <v>37</v>
      </c>
      <c r="I67" s="102" t="s">
        <v>608</v>
      </c>
      <c r="J67" s="80"/>
      <c r="K67" s="28"/>
      <c r="L67" s="28"/>
      <c r="M67" s="28"/>
      <c r="N67" s="28"/>
      <c r="O67" s="28"/>
      <c r="P67" s="28"/>
      <c r="Q67" s="28"/>
      <c r="R67" s="28"/>
      <c r="S67" s="28"/>
      <c r="T67" s="28"/>
      <c r="U67" s="3"/>
      <c r="V67" s="14"/>
    </row>
    <row r="68" spans="1:22" ht="15.75" hidden="1" customHeight="1" outlineLevel="1" x14ac:dyDescent="0.3">
      <c r="A68" s="3"/>
      <c r="B68" s="9" t="s">
        <v>603</v>
      </c>
      <c r="C68" s="71">
        <v>8</v>
      </c>
      <c r="D68" s="53" t="s">
        <v>95</v>
      </c>
      <c r="E68" s="11">
        <v>0</v>
      </c>
      <c r="F68" s="11">
        <v>80.489999999999995</v>
      </c>
      <c r="G68" s="80"/>
      <c r="H68" s="56" t="s">
        <v>37</v>
      </c>
      <c r="I68" s="102" t="s">
        <v>609</v>
      </c>
      <c r="J68" s="80"/>
      <c r="K68" s="28"/>
      <c r="L68" s="28"/>
      <c r="M68" s="28"/>
      <c r="N68" s="28"/>
      <c r="O68" s="28"/>
      <c r="P68" s="28"/>
      <c r="Q68" s="28"/>
      <c r="R68" s="28"/>
      <c r="S68" s="28"/>
      <c r="T68" s="28"/>
      <c r="U68" s="3"/>
      <c r="V68" s="14"/>
    </row>
    <row r="69" spans="1:22" ht="15.75" hidden="1" customHeight="1" outlineLevel="1" x14ac:dyDescent="0.3">
      <c r="A69" s="3"/>
      <c r="B69" s="9" t="s">
        <v>603</v>
      </c>
      <c r="C69" s="71">
        <v>8</v>
      </c>
      <c r="D69" s="53" t="s">
        <v>95</v>
      </c>
      <c r="E69" s="11">
        <v>0</v>
      </c>
      <c r="F69" s="11">
        <v>67.959999999999994</v>
      </c>
      <c r="G69" s="80"/>
      <c r="H69" s="56" t="s">
        <v>37</v>
      </c>
      <c r="I69" s="102" t="s">
        <v>610</v>
      </c>
      <c r="J69" s="80"/>
      <c r="K69" s="28"/>
      <c r="L69" s="28"/>
      <c r="M69" s="28"/>
      <c r="N69" s="28"/>
      <c r="O69" s="28"/>
      <c r="P69" s="28"/>
      <c r="Q69" s="28"/>
      <c r="R69" s="28"/>
      <c r="S69" s="28"/>
      <c r="T69" s="28"/>
      <c r="U69" s="3"/>
      <c r="V69" s="14"/>
    </row>
    <row r="70" spans="1:22" ht="15.75" hidden="1" customHeight="1" outlineLevel="1" x14ac:dyDescent="0.3">
      <c r="A70" s="3"/>
      <c r="B70" s="9" t="s">
        <v>603</v>
      </c>
      <c r="C70" s="71">
        <v>8</v>
      </c>
      <c r="D70" s="53" t="s">
        <v>95</v>
      </c>
      <c r="E70" s="11">
        <v>0</v>
      </c>
      <c r="F70" s="11">
        <v>279.75</v>
      </c>
      <c r="G70" s="80"/>
      <c r="H70" s="56" t="s">
        <v>37</v>
      </c>
      <c r="I70" s="102" t="s">
        <v>611</v>
      </c>
      <c r="J70" s="80"/>
      <c r="K70" s="28"/>
      <c r="L70" s="28"/>
      <c r="M70" s="28"/>
      <c r="N70" s="28"/>
      <c r="O70" s="28"/>
      <c r="P70" s="28"/>
      <c r="Q70" s="28"/>
      <c r="R70" s="28"/>
      <c r="S70" s="28"/>
      <c r="T70" s="28"/>
      <c r="U70" s="3"/>
      <c r="V70" s="14"/>
    </row>
    <row r="71" spans="1:22" ht="15.75" hidden="1" customHeight="1" outlineLevel="1" x14ac:dyDescent="0.3">
      <c r="A71" s="3"/>
      <c r="B71" s="9" t="s">
        <v>603</v>
      </c>
      <c r="C71" s="71">
        <v>8</v>
      </c>
      <c r="D71" s="53" t="s">
        <v>95</v>
      </c>
      <c r="E71" s="11">
        <v>0</v>
      </c>
      <c r="F71" s="11">
        <v>95</v>
      </c>
      <c r="G71" s="80"/>
      <c r="H71" s="56" t="s">
        <v>37</v>
      </c>
      <c r="I71" s="102" t="s">
        <v>612</v>
      </c>
      <c r="J71" s="80"/>
      <c r="K71" s="28"/>
      <c r="L71" s="28"/>
      <c r="M71" s="28"/>
      <c r="N71" s="28"/>
      <c r="O71" s="28"/>
      <c r="P71" s="28"/>
      <c r="Q71" s="28"/>
      <c r="R71" s="28"/>
      <c r="S71" s="28"/>
      <c r="T71" s="28"/>
      <c r="U71" s="3"/>
      <c r="V71" s="14"/>
    </row>
    <row r="72" spans="1:22" ht="15.75" hidden="1" customHeight="1" outlineLevel="1" x14ac:dyDescent="0.3">
      <c r="A72" s="3"/>
      <c r="B72" s="9" t="s">
        <v>613</v>
      </c>
      <c r="C72" s="71">
        <v>17</v>
      </c>
      <c r="D72" s="53" t="s">
        <v>95</v>
      </c>
      <c r="E72" s="11">
        <v>0</v>
      </c>
      <c r="F72" s="11">
        <v>57</v>
      </c>
      <c r="G72" s="80" t="s">
        <v>614</v>
      </c>
      <c r="H72" s="56" t="s">
        <v>37</v>
      </c>
      <c r="I72" s="102" t="s">
        <v>615</v>
      </c>
      <c r="J72" s="80"/>
      <c r="K72" s="28"/>
      <c r="L72" s="28"/>
      <c r="M72" s="28"/>
      <c r="N72" s="28"/>
      <c r="O72" s="28"/>
      <c r="P72" s="28"/>
      <c r="Q72" s="28"/>
      <c r="R72" s="28"/>
      <c r="S72" s="28"/>
      <c r="T72" s="28"/>
      <c r="U72" s="3"/>
      <c r="V72" s="14"/>
    </row>
    <row r="73" spans="1:22" ht="15.75" hidden="1" customHeight="1" outlineLevel="1" x14ac:dyDescent="0.3">
      <c r="A73" s="3"/>
      <c r="B73" s="9" t="s">
        <v>613</v>
      </c>
      <c r="C73" s="71">
        <v>18</v>
      </c>
      <c r="D73" s="53" t="s">
        <v>95</v>
      </c>
      <c r="E73" s="11">
        <v>0</v>
      </c>
      <c r="F73" s="11">
        <v>102</v>
      </c>
      <c r="G73" s="80"/>
      <c r="H73" s="56" t="s">
        <v>37</v>
      </c>
      <c r="I73" s="102" t="s">
        <v>616</v>
      </c>
      <c r="J73" s="80"/>
      <c r="K73" s="28"/>
      <c r="L73" s="28"/>
      <c r="M73" s="28"/>
      <c r="N73" s="28"/>
      <c r="O73" s="28"/>
      <c r="P73" s="28"/>
      <c r="Q73" s="28"/>
      <c r="R73" s="28"/>
      <c r="S73" s="28"/>
      <c r="T73" s="28"/>
      <c r="U73" s="3"/>
      <c r="V73" s="14"/>
    </row>
    <row r="74" spans="1:22" ht="15.75" hidden="1" customHeight="1" outlineLevel="1" x14ac:dyDescent="0.3">
      <c r="A74" s="3"/>
      <c r="B74" s="9" t="s">
        <v>613</v>
      </c>
      <c r="C74" s="71">
        <v>19</v>
      </c>
      <c r="D74" s="53" t="s">
        <v>95</v>
      </c>
      <c r="E74" s="11">
        <v>0</v>
      </c>
      <c r="F74" s="11">
        <v>209.47</v>
      </c>
      <c r="G74" s="80" t="s">
        <v>617</v>
      </c>
      <c r="H74" s="56" t="s">
        <v>37</v>
      </c>
      <c r="I74" s="102" t="s">
        <v>618</v>
      </c>
      <c r="J74" s="80"/>
      <c r="K74" s="28"/>
      <c r="L74" s="28"/>
      <c r="M74" s="28"/>
      <c r="N74" s="28"/>
      <c r="O74" s="28"/>
      <c r="P74" s="28"/>
      <c r="Q74" s="28"/>
      <c r="R74" s="28"/>
      <c r="S74" s="28"/>
      <c r="T74" s="28"/>
      <c r="U74" s="3"/>
      <c r="V74" s="14"/>
    </row>
    <row r="75" spans="1:22" ht="15.75" hidden="1" customHeight="1" outlineLevel="1" x14ac:dyDescent="0.3">
      <c r="A75" s="3"/>
      <c r="B75" s="9" t="s">
        <v>613</v>
      </c>
      <c r="C75" s="71">
        <v>19</v>
      </c>
      <c r="D75" s="53" t="s">
        <v>95</v>
      </c>
      <c r="E75" s="11">
        <v>0</v>
      </c>
      <c r="F75" s="11">
        <v>50</v>
      </c>
      <c r="G75" s="80" t="s">
        <v>617</v>
      </c>
      <c r="H75" s="56" t="s">
        <v>37</v>
      </c>
      <c r="I75" s="102" t="s">
        <v>619</v>
      </c>
      <c r="J75" s="80"/>
      <c r="K75" s="28"/>
      <c r="L75" s="28"/>
      <c r="M75" s="28"/>
      <c r="N75" s="28"/>
      <c r="O75" s="28"/>
      <c r="P75" s="28"/>
      <c r="Q75" s="28"/>
      <c r="R75" s="28"/>
      <c r="S75" s="28"/>
      <c r="T75" s="28"/>
      <c r="U75" s="3"/>
      <c r="V75" s="14"/>
    </row>
    <row r="76" spans="1:22" ht="15.75" hidden="1" customHeight="1" outlineLevel="1" x14ac:dyDescent="0.3">
      <c r="A76" s="3"/>
      <c r="B76" s="9" t="s">
        <v>620</v>
      </c>
      <c r="C76" s="71">
        <v>19</v>
      </c>
      <c r="D76" s="53" t="s">
        <v>95</v>
      </c>
      <c r="E76" s="11">
        <v>0</v>
      </c>
      <c r="F76" s="11">
        <v>574.95000000000005</v>
      </c>
      <c r="G76" s="80" t="s">
        <v>617</v>
      </c>
      <c r="H76" s="56" t="s">
        <v>37</v>
      </c>
      <c r="I76" s="102" t="s">
        <v>621</v>
      </c>
      <c r="J76" s="80"/>
      <c r="K76" s="28"/>
      <c r="L76" s="28"/>
      <c r="M76" s="28"/>
      <c r="N76" s="28"/>
      <c r="O76" s="28"/>
      <c r="P76" s="28"/>
      <c r="Q76" s="28"/>
      <c r="R76" s="28"/>
      <c r="S76" s="28"/>
      <c r="T76" s="28"/>
      <c r="U76" s="3"/>
      <c r="V76" s="14"/>
    </row>
    <row r="77" spans="1:22" ht="15.75" hidden="1" customHeight="1" outlineLevel="1" x14ac:dyDescent="0.3">
      <c r="A77" s="3"/>
      <c r="B77" s="9" t="s">
        <v>613</v>
      </c>
      <c r="C77" s="71">
        <v>19</v>
      </c>
      <c r="D77" s="53" t="s">
        <v>95</v>
      </c>
      <c r="E77" s="11">
        <v>0</v>
      </c>
      <c r="F77" s="11">
        <v>45</v>
      </c>
      <c r="G77" s="80" t="s">
        <v>606</v>
      </c>
      <c r="H77" s="56" t="s">
        <v>37</v>
      </c>
      <c r="I77" s="102" t="s">
        <v>607</v>
      </c>
      <c r="J77" s="80"/>
      <c r="K77" s="28"/>
      <c r="L77" s="28"/>
      <c r="M77" s="28"/>
      <c r="N77" s="28"/>
      <c r="O77" s="28"/>
      <c r="P77" s="28"/>
      <c r="Q77" s="28"/>
      <c r="R77" s="28"/>
      <c r="S77" s="28"/>
      <c r="T77" s="28"/>
      <c r="U77" s="3"/>
      <c r="V77" s="14"/>
    </row>
    <row r="78" spans="1:22" ht="15.75" hidden="1" customHeight="1" outlineLevel="1" x14ac:dyDescent="0.3">
      <c r="A78" s="3"/>
      <c r="B78" s="9" t="s">
        <v>613</v>
      </c>
      <c r="C78" s="71"/>
      <c r="D78" s="53"/>
      <c r="E78" s="11">
        <v>0</v>
      </c>
      <c r="F78" s="11">
        <v>0</v>
      </c>
      <c r="G78" s="80"/>
      <c r="H78" s="56"/>
      <c r="I78" s="102"/>
      <c r="J78" s="80"/>
      <c r="K78" s="28"/>
      <c r="L78" s="28"/>
      <c r="M78" s="28"/>
      <c r="N78" s="28"/>
      <c r="O78" s="28"/>
      <c r="P78" s="28"/>
      <c r="Q78" s="28"/>
      <c r="R78" s="28"/>
      <c r="S78" s="28"/>
      <c r="T78" s="28"/>
      <c r="U78" s="3"/>
      <c r="V78" s="14"/>
    </row>
    <row r="79" spans="1:22" ht="15.75" hidden="1" customHeight="1" outlineLevel="1" x14ac:dyDescent="0.3">
      <c r="A79" s="3"/>
      <c r="B79" s="9" t="s">
        <v>613</v>
      </c>
      <c r="C79" s="71"/>
      <c r="D79" s="53"/>
      <c r="E79" s="11">
        <v>0</v>
      </c>
      <c r="F79" s="11">
        <v>0</v>
      </c>
      <c r="G79" s="80"/>
      <c r="H79" s="56"/>
      <c r="I79" s="102"/>
      <c r="J79" s="80"/>
      <c r="K79" s="28"/>
      <c r="L79" s="28"/>
      <c r="M79" s="28"/>
      <c r="N79" s="28"/>
      <c r="O79" s="28"/>
      <c r="P79" s="28"/>
      <c r="Q79" s="28"/>
      <c r="R79" s="28"/>
      <c r="S79" s="28"/>
      <c r="T79" s="28"/>
      <c r="U79" s="3"/>
      <c r="V79" s="14"/>
    </row>
    <row r="80" spans="1:22" ht="15.75" hidden="1" customHeight="1" outlineLevel="1" x14ac:dyDescent="0.3">
      <c r="A80" s="3"/>
      <c r="B80" s="9" t="s">
        <v>331</v>
      </c>
      <c r="C80" s="71">
        <v>6</v>
      </c>
      <c r="D80" s="53" t="s">
        <v>95</v>
      </c>
      <c r="E80" s="11">
        <v>0</v>
      </c>
      <c r="F80" s="11">
        <v>29.97</v>
      </c>
      <c r="G80" s="80"/>
      <c r="H80" s="56" t="s">
        <v>37</v>
      </c>
      <c r="I80" s="102" t="s">
        <v>622</v>
      </c>
      <c r="J80" s="80"/>
      <c r="K80" s="28"/>
      <c r="L80" s="28"/>
      <c r="M80" s="28"/>
      <c r="N80" s="28"/>
      <c r="O80" s="28"/>
      <c r="P80" s="28"/>
      <c r="Q80" s="28"/>
      <c r="R80" s="28"/>
      <c r="S80" s="28"/>
      <c r="T80" s="28"/>
      <c r="U80" s="3"/>
      <c r="V80" s="14"/>
    </row>
    <row r="81" spans="1:26" ht="15.75" hidden="1" customHeight="1" outlineLevel="1" x14ac:dyDescent="0.3">
      <c r="A81" s="3"/>
      <c r="B81" s="9" t="s">
        <v>331</v>
      </c>
      <c r="C81" s="71">
        <v>8</v>
      </c>
      <c r="D81" s="53" t="s">
        <v>95</v>
      </c>
      <c r="E81" s="11">
        <v>0</v>
      </c>
      <c r="F81" s="11">
        <v>59.8</v>
      </c>
      <c r="G81" s="80"/>
      <c r="H81" s="56" t="s">
        <v>37</v>
      </c>
      <c r="I81" s="102" t="s">
        <v>623</v>
      </c>
      <c r="J81" s="80"/>
      <c r="K81" s="28"/>
      <c r="L81" s="28"/>
      <c r="M81" s="28"/>
      <c r="N81" s="28"/>
      <c r="O81" s="28"/>
      <c r="P81" s="28"/>
      <c r="Q81" s="28"/>
      <c r="R81" s="28"/>
      <c r="S81" s="28"/>
      <c r="T81" s="28"/>
      <c r="U81" s="3"/>
      <c r="V81" s="14"/>
    </row>
    <row r="82" spans="1:26" ht="15.75" hidden="1" customHeight="1" outlineLevel="1" x14ac:dyDescent="0.3">
      <c r="A82" s="3"/>
      <c r="B82" s="9" t="s">
        <v>331</v>
      </c>
      <c r="C82" s="71">
        <v>18</v>
      </c>
      <c r="D82" s="53" t="s">
        <v>95</v>
      </c>
      <c r="E82" s="11">
        <v>0</v>
      </c>
      <c r="F82" s="11">
        <v>34</v>
      </c>
      <c r="G82" s="80"/>
      <c r="H82" s="56" t="s">
        <v>37</v>
      </c>
      <c r="I82" s="102" t="s">
        <v>624</v>
      </c>
      <c r="J82" s="80"/>
      <c r="K82" s="28"/>
      <c r="L82" s="28"/>
      <c r="M82" s="28"/>
      <c r="N82" s="28"/>
      <c r="O82" s="28"/>
      <c r="P82" s="28"/>
      <c r="Q82" s="28"/>
      <c r="R82" s="28"/>
      <c r="S82" s="28"/>
      <c r="T82" s="28"/>
      <c r="U82" s="3"/>
      <c r="V82" s="14"/>
    </row>
    <row r="83" spans="1:26" ht="15.75" hidden="1" customHeight="1" outlineLevel="1" x14ac:dyDescent="0.3">
      <c r="A83" s="3"/>
      <c r="B83" s="9" t="s">
        <v>331</v>
      </c>
      <c r="C83" s="71">
        <v>18</v>
      </c>
      <c r="D83" s="53" t="s">
        <v>95</v>
      </c>
      <c r="E83" s="11">
        <v>0</v>
      </c>
      <c r="F83" s="11">
        <v>44.5</v>
      </c>
      <c r="G83" s="80"/>
      <c r="H83" s="56" t="s">
        <v>37</v>
      </c>
      <c r="I83" s="102" t="s">
        <v>625</v>
      </c>
      <c r="J83" s="80"/>
      <c r="K83" s="28"/>
      <c r="L83" s="28"/>
      <c r="M83" s="28"/>
      <c r="N83" s="28"/>
      <c r="O83" s="28"/>
      <c r="P83" s="28"/>
      <c r="Q83" s="28"/>
      <c r="R83" s="28"/>
      <c r="S83" s="28"/>
      <c r="T83" s="28"/>
      <c r="U83" s="3"/>
      <c r="V83" s="14"/>
    </row>
    <row r="84" spans="1:26" ht="15.75" hidden="1" customHeight="1" outlineLevel="1" x14ac:dyDescent="0.3">
      <c r="A84" s="3"/>
      <c r="B84" s="9" t="s">
        <v>331</v>
      </c>
      <c r="C84" s="71">
        <v>30</v>
      </c>
      <c r="D84" s="53" t="s">
        <v>95</v>
      </c>
      <c r="E84" s="11">
        <v>0</v>
      </c>
      <c r="F84" s="11">
        <v>253.53</v>
      </c>
      <c r="G84" s="80"/>
      <c r="H84" s="56" t="s">
        <v>37</v>
      </c>
      <c r="I84" s="102" t="s">
        <v>626</v>
      </c>
      <c r="J84" s="80"/>
      <c r="K84" s="28"/>
      <c r="L84" s="28"/>
      <c r="M84" s="28"/>
      <c r="N84" s="28"/>
      <c r="O84" s="28"/>
      <c r="P84" s="28"/>
      <c r="Q84" s="28"/>
      <c r="R84" s="28"/>
      <c r="S84" s="28"/>
      <c r="T84" s="28"/>
      <c r="U84" s="3"/>
      <c r="V84" s="14"/>
    </row>
    <row r="85" spans="1:26" ht="15.75" hidden="1" customHeight="1" outlineLevel="1" x14ac:dyDescent="0.3">
      <c r="A85" s="3"/>
      <c r="B85" s="9" t="s">
        <v>335</v>
      </c>
      <c r="C85" s="53">
        <v>15</v>
      </c>
      <c r="D85" s="53" t="s">
        <v>95</v>
      </c>
      <c r="E85" s="11">
        <v>0</v>
      </c>
      <c r="F85" s="11">
        <v>176</v>
      </c>
      <c r="G85" s="56"/>
      <c r="H85" s="56" t="s">
        <v>37</v>
      </c>
      <c r="I85" s="102" t="s">
        <v>627</v>
      </c>
      <c r="J85" s="56"/>
      <c r="K85" s="28"/>
      <c r="L85" s="28"/>
      <c r="M85" s="28"/>
      <c r="N85" s="28"/>
      <c r="O85" s="28"/>
      <c r="P85" s="28"/>
      <c r="Q85" s="28"/>
      <c r="R85" s="28"/>
      <c r="S85" s="28"/>
      <c r="T85" s="28"/>
      <c r="U85" s="3"/>
    </row>
    <row r="86" spans="1:26" ht="15.75" hidden="1" customHeight="1" outlineLevel="1" x14ac:dyDescent="0.3">
      <c r="A86" s="3"/>
      <c r="B86" s="9" t="s">
        <v>335</v>
      </c>
      <c r="C86" s="53"/>
      <c r="D86" s="53"/>
      <c r="E86" s="11">
        <v>0</v>
      </c>
      <c r="F86" s="11">
        <v>0</v>
      </c>
      <c r="G86" s="56"/>
      <c r="H86" s="56"/>
      <c r="I86" s="102"/>
      <c r="J86" s="56"/>
      <c r="K86" s="28"/>
      <c r="L86" s="28"/>
      <c r="M86" s="28"/>
      <c r="N86" s="28"/>
      <c r="O86" s="28"/>
      <c r="P86" s="28"/>
      <c r="Q86" s="28"/>
      <c r="R86" s="28"/>
      <c r="S86" s="28"/>
      <c r="T86" s="28"/>
      <c r="U86" s="3"/>
    </row>
    <row r="87" spans="1:26" ht="15.75" hidden="1" customHeight="1" outlineLevel="1" x14ac:dyDescent="0.3">
      <c r="A87" s="3"/>
      <c r="B87" s="9" t="s">
        <v>628</v>
      </c>
      <c r="C87" s="71">
        <v>8</v>
      </c>
      <c r="D87" s="53" t="s">
        <v>95</v>
      </c>
      <c r="E87" s="11">
        <v>0</v>
      </c>
      <c r="F87" s="11">
        <v>266.42</v>
      </c>
      <c r="G87" s="80"/>
      <c r="H87" s="56" t="s">
        <v>37</v>
      </c>
      <c r="I87" s="102" t="s">
        <v>629</v>
      </c>
      <c r="J87" s="80"/>
      <c r="K87" s="28"/>
      <c r="L87" s="28"/>
      <c r="M87" s="28"/>
      <c r="N87" s="28"/>
      <c r="O87" s="28"/>
      <c r="P87" s="28"/>
      <c r="Q87" s="28"/>
      <c r="R87" s="28"/>
      <c r="S87" s="28"/>
      <c r="T87" s="28"/>
      <c r="U87" s="3"/>
    </row>
    <row r="88" spans="1:26" ht="15.75" hidden="1" customHeight="1" outlineLevel="1" x14ac:dyDescent="0.3">
      <c r="A88" s="3"/>
      <c r="B88" s="9" t="s">
        <v>630</v>
      </c>
      <c r="C88" s="71">
        <v>19</v>
      </c>
      <c r="D88" s="53" t="s">
        <v>95</v>
      </c>
      <c r="E88" s="11">
        <v>0</v>
      </c>
      <c r="F88" s="11">
        <v>33</v>
      </c>
      <c r="G88" s="80" t="s">
        <v>617</v>
      </c>
      <c r="H88" s="56" t="s">
        <v>37</v>
      </c>
      <c r="I88" s="102" t="s">
        <v>631</v>
      </c>
      <c r="J88" s="80"/>
      <c r="K88" s="28"/>
      <c r="L88" s="28"/>
      <c r="M88" s="28"/>
      <c r="N88" s="28"/>
      <c r="O88" s="28"/>
      <c r="P88" s="28"/>
      <c r="Q88" s="28"/>
      <c r="R88" s="28"/>
      <c r="S88" s="28"/>
      <c r="T88" s="28"/>
      <c r="U88" s="3"/>
    </row>
    <row r="89" spans="1:26" ht="15.75" hidden="1" customHeight="1" outlineLevel="1" x14ac:dyDescent="0.3">
      <c r="A89" s="3"/>
      <c r="B89" s="9" t="s">
        <v>630</v>
      </c>
      <c r="C89" s="71"/>
      <c r="D89" s="53"/>
      <c r="E89" s="11">
        <v>0</v>
      </c>
      <c r="F89" s="11">
        <v>0</v>
      </c>
      <c r="G89" s="80"/>
      <c r="H89" s="56"/>
      <c r="I89" s="102"/>
      <c r="J89" s="80"/>
      <c r="K89" s="28"/>
      <c r="L89" s="28"/>
      <c r="M89" s="28"/>
      <c r="N89" s="28"/>
      <c r="O89" s="28"/>
      <c r="P89" s="28"/>
      <c r="Q89" s="28"/>
      <c r="R89" s="28"/>
      <c r="S89" s="28"/>
      <c r="T89" s="28"/>
      <c r="U89" s="3"/>
    </row>
    <row r="90" spans="1:26" ht="15.75" hidden="1" customHeight="1" outlineLevel="1" x14ac:dyDescent="0.3">
      <c r="A90" s="3"/>
      <c r="B90" s="9" t="s">
        <v>630</v>
      </c>
      <c r="C90" s="71"/>
      <c r="D90" s="53"/>
      <c r="E90" s="11">
        <v>0</v>
      </c>
      <c r="F90" s="11">
        <v>0</v>
      </c>
      <c r="G90" s="80"/>
      <c r="H90" s="56"/>
      <c r="I90" s="102"/>
      <c r="J90" s="80"/>
      <c r="K90" s="28"/>
      <c r="L90" s="28"/>
      <c r="M90" s="28"/>
      <c r="N90" s="28"/>
      <c r="O90" s="28"/>
      <c r="P90" s="28"/>
      <c r="Q90" s="28"/>
      <c r="R90" s="28"/>
      <c r="S90" s="28"/>
      <c r="T90" s="28"/>
      <c r="U90" s="3"/>
    </row>
    <row r="91" spans="1:26" ht="15.75" hidden="1" customHeight="1" outlineLevel="1" x14ac:dyDescent="0.3">
      <c r="A91" s="3"/>
      <c r="B91" s="9" t="s">
        <v>632</v>
      </c>
      <c r="C91" s="71"/>
      <c r="D91" s="53"/>
      <c r="E91" s="11">
        <v>0</v>
      </c>
      <c r="F91" s="11">
        <v>0</v>
      </c>
      <c r="G91" s="80"/>
      <c r="H91" s="56"/>
      <c r="I91" s="102"/>
      <c r="J91" s="56"/>
      <c r="K91" s="28"/>
      <c r="L91" s="28"/>
      <c r="M91" s="28"/>
      <c r="N91" s="28"/>
      <c r="O91" s="28"/>
      <c r="P91" s="28"/>
      <c r="Q91" s="28"/>
      <c r="R91" s="28"/>
      <c r="S91" s="28"/>
      <c r="T91" s="28"/>
      <c r="U91" s="3"/>
      <c r="W91" s="3"/>
      <c r="X91" s="3"/>
      <c r="Y91" s="3"/>
      <c r="Z91" s="3"/>
    </row>
    <row r="92" spans="1:26" ht="15.75" hidden="1" customHeight="1" outlineLevel="1" x14ac:dyDescent="0.3">
      <c r="A92" s="3"/>
      <c r="B92" s="9" t="s">
        <v>632</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5.75" customHeight="1" collapsed="1" x14ac:dyDescent="0.3">
      <c r="A93" s="3"/>
      <c r="B93" s="75" t="s">
        <v>349</v>
      </c>
      <c r="C93" s="76" t="s">
        <v>44</v>
      </c>
      <c r="D93" s="76" t="s">
        <v>44</v>
      </c>
      <c r="E93" s="77">
        <f t="shared" ref="E93:F93" si="0">SUM(E94,E100,E104)</f>
        <v>0</v>
      </c>
      <c r="F93" s="77">
        <f t="shared" si="0"/>
        <v>0</v>
      </c>
      <c r="G93" s="78"/>
      <c r="H93" s="78"/>
      <c r="I93" s="79"/>
      <c r="J93" s="78"/>
      <c r="K93" s="28"/>
      <c r="L93" s="28"/>
      <c r="M93" s="28"/>
      <c r="N93" s="28"/>
      <c r="O93" s="28"/>
      <c r="P93" s="28"/>
      <c r="Q93" s="28"/>
      <c r="R93" s="28"/>
      <c r="S93" s="28"/>
      <c r="T93" s="28"/>
      <c r="U93" s="3"/>
      <c r="W93" s="3"/>
      <c r="X93" s="3"/>
      <c r="Y93" s="3"/>
      <c r="Z93" s="3"/>
    </row>
    <row r="94" spans="1:26" ht="15.75" hidden="1" customHeight="1" outlineLevel="1" x14ac:dyDescent="0.3">
      <c r="A94" s="3"/>
      <c r="B94" s="82" t="s">
        <v>350</v>
      </c>
      <c r="C94" s="83"/>
      <c r="D94" s="83"/>
      <c r="E94" s="84">
        <f>SUM(E95:E99)</f>
        <v>0</v>
      </c>
      <c r="F94" s="84">
        <f>SUMIF(D95:D99,"OK",F95:F99)</f>
        <v>0</v>
      </c>
      <c r="G94" s="85"/>
      <c r="H94" s="85"/>
      <c r="I94" s="86"/>
      <c r="J94" s="85"/>
      <c r="K94" s="28"/>
      <c r="L94" s="28"/>
      <c r="M94" s="28"/>
      <c r="N94" s="28"/>
      <c r="O94" s="28"/>
      <c r="P94" s="28"/>
      <c r="Q94" s="28"/>
      <c r="R94" s="28"/>
      <c r="S94" s="28"/>
      <c r="T94" s="28"/>
      <c r="U94" s="3"/>
      <c r="W94" s="3"/>
      <c r="X94" s="3"/>
      <c r="Y94" s="3"/>
      <c r="Z94" s="3"/>
    </row>
    <row r="95" spans="1:26" ht="15.75" hidden="1" customHeight="1" outlineLevel="1" x14ac:dyDescent="0.3">
      <c r="A95" s="3"/>
      <c r="B95" s="9" t="s">
        <v>331</v>
      </c>
      <c r="C95" s="53"/>
      <c r="D95" s="53"/>
      <c r="E95" s="11">
        <v>0</v>
      </c>
      <c r="F95" s="11">
        <v>0</v>
      </c>
      <c r="G95" s="56"/>
      <c r="H95" s="56"/>
      <c r="I95" s="80"/>
      <c r="J95" s="56"/>
      <c r="K95" s="28"/>
      <c r="L95" s="28"/>
      <c r="M95" s="28"/>
      <c r="N95" s="28"/>
      <c r="O95" s="28"/>
      <c r="P95" s="28"/>
      <c r="Q95" s="28"/>
      <c r="R95" s="28"/>
      <c r="S95" s="28"/>
      <c r="T95" s="28"/>
      <c r="U95" s="3"/>
      <c r="W95" s="3"/>
      <c r="X95" s="3"/>
      <c r="Y95" s="3"/>
      <c r="Z95" s="3"/>
    </row>
    <row r="96" spans="1:26" ht="15.75" hidden="1" customHeight="1" outlineLevel="1" x14ac:dyDescent="0.3">
      <c r="A96" s="3"/>
      <c r="B96" s="9" t="s">
        <v>335</v>
      </c>
      <c r="C96" s="53"/>
      <c r="D96" s="53"/>
      <c r="E96" s="11">
        <v>0</v>
      </c>
      <c r="F96" s="11">
        <v>0</v>
      </c>
      <c r="G96" s="56"/>
      <c r="H96" s="56"/>
      <c r="I96" s="80"/>
      <c r="J96" s="56"/>
      <c r="K96" s="28"/>
      <c r="L96" s="28"/>
      <c r="M96" s="28"/>
      <c r="N96" s="28"/>
      <c r="O96" s="28"/>
      <c r="P96" s="28"/>
      <c r="Q96" s="28"/>
      <c r="R96" s="28"/>
      <c r="S96" s="28"/>
      <c r="T96" s="28"/>
      <c r="U96" s="3"/>
      <c r="W96" s="3"/>
      <c r="X96" s="3"/>
      <c r="Y96" s="3"/>
      <c r="Z96" s="3"/>
    </row>
    <row r="97" spans="1:26" ht="15.75" hidden="1" customHeight="1" outlineLevel="1" x14ac:dyDescent="0.3">
      <c r="A97" s="3"/>
      <c r="B97" s="9" t="s">
        <v>351</v>
      </c>
      <c r="C97" s="53"/>
      <c r="D97" s="53"/>
      <c r="E97" s="11">
        <v>0</v>
      </c>
      <c r="F97" s="11">
        <v>0</v>
      </c>
      <c r="G97" s="56"/>
      <c r="H97" s="56"/>
      <c r="I97" s="80"/>
      <c r="J97" s="56"/>
      <c r="K97" s="28"/>
      <c r="L97" s="28"/>
      <c r="M97" s="28"/>
      <c r="N97" s="28"/>
      <c r="O97" s="28"/>
      <c r="P97" s="28"/>
      <c r="Q97" s="28"/>
      <c r="R97" s="28"/>
      <c r="S97" s="28"/>
      <c r="T97" s="28"/>
      <c r="U97" s="3"/>
      <c r="W97" s="3"/>
      <c r="X97" s="3"/>
      <c r="Y97" s="3"/>
      <c r="Z97" s="3"/>
    </row>
    <row r="98" spans="1:26" ht="15.75" hidden="1" customHeight="1" outlineLevel="1" x14ac:dyDescent="0.3">
      <c r="A98" s="3"/>
      <c r="B98" s="9" t="s">
        <v>352</v>
      </c>
      <c r="C98" s="53"/>
      <c r="D98" s="53"/>
      <c r="E98" s="11">
        <v>0</v>
      </c>
      <c r="F98" s="11">
        <v>0</v>
      </c>
      <c r="G98" s="56"/>
      <c r="H98" s="56"/>
      <c r="I98" s="80"/>
      <c r="J98" s="56"/>
      <c r="K98" s="28"/>
      <c r="L98" s="28"/>
      <c r="M98" s="28"/>
      <c r="N98" s="28"/>
      <c r="O98" s="28"/>
      <c r="P98" s="28"/>
      <c r="Q98" s="28"/>
      <c r="R98" s="28"/>
      <c r="S98" s="28"/>
      <c r="T98" s="28"/>
      <c r="U98" s="3"/>
      <c r="W98" s="3"/>
      <c r="X98" s="3"/>
      <c r="Y98" s="3"/>
      <c r="Z98" s="3"/>
    </row>
    <row r="99" spans="1:26" ht="15.75" hidden="1" customHeight="1" outlineLevel="1" x14ac:dyDescent="0.3">
      <c r="A99" s="3"/>
      <c r="B99" s="9" t="s">
        <v>346</v>
      </c>
      <c r="C99" s="53"/>
      <c r="D99" s="53"/>
      <c r="E99" s="11">
        <v>0</v>
      </c>
      <c r="F99" s="11">
        <v>0</v>
      </c>
      <c r="G99" s="56"/>
      <c r="H99" s="56"/>
      <c r="I99" s="80"/>
      <c r="J99" s="56"/>
      <c r="K99" s="28"/>
      <c r="L99" s="28"/>
      <c r="M99" s="28"/>
      <c r="N99" s="28"/>
      <c r="O99" s="28"/>
      <c r="P99" s="28"/>
      <c r="Q99" s="28"/>
      <c r="R99" s="28"/>
      <c r="S99" s="28"/>
      <c r="T99" s="28"/>
      <c r="U99" s="3"/>
      <c r="W99" s="3"/>
      <c r="X99" s="3"/>
      <c r="Y99" s="3"/>
      <c r="Z99" s="3"/>
    </row>
    <row r="100" spans="1:26" ht="15.75" hidden="1" customHeight="1" outlineLevel="1" x14ac:dyDescent="0.3">
      <c r="A100" s="3"/>
      <c r="B100" s="82" t="s">
        <v>353</v>
      </c>
      <c r="C100" s="83"/>
      <c r="D100" s="83"/>
      <c r="E100" s="84">
        <f>SUM(E101:E103)</f>
        <v>0</v>
      </c>
      <c r="F100" s="84">
        <f>SUMIF(D101:D103,"OK",F101:F103)</f>
        <v>0</v>
      </c>
      <c r="G100" s="85"/>
      <c r="H100" s="85"/>
      <c r="I100" s="86"/>
      <c r="J100" s="85"/>
      <c r="K100" s="28"/>
      <c r="L100" s="28"/>
      <c r="M100" s="28"/>
      <c r="N100" s="28"/>
      <c r="O100" s="28"/>
      <c r="P100" s="28"/>
      <c r="Q100" s="28"/>
      <c r="R100" s="28"/>
      <c r="S100" s="28"/>
      <c r="T100" s="28"/>
      <c r="U100" s="3"/>
      <c r="W100" s="3"/>
      <c r="X100" s="3"/>
      <c r="Y100" s="3"/>
      <c r="Z100" s="3"/>
    </row>
    <row r="101" spans="1:26" ht="15.75" hidden="1" customHeight="1" outlineLevel="1" x14ac:dyDescent="0.3">
      <c r="A101" s="3"/>
      <c r="B101" s="9" t="s">
        <v>354</v>
      </c>
      <c r="C101" s="53"/>
      <c r="D101" s="53"/>
      <c r="E101" s="11">
        <v>0</v>
      </c>
      <c r="F101" s="11">
        <v>0</v>
      </c>
      <c r="G101" s="56"/>
      <c r="H101" s="56"/>
      <c r="I101" s="80"/>
      <c r="J101" s="56"/>
      <c r="K101" s="28"/>
      <c r="L101" s="28"/>
      <c r="M101" s="28"/>
      <c r="N101" s="28"/>
      <c r="O101" s="28"/>
      <c r="P101" s="28"/>
      <c r="Q101" s="28"/>
      <c r="R101" s="28"/>
      <c r="S101" s="28"/>
      <c r="T101" s="28"/>
      <c r="U101" s="3"/>
      <c r="W101" s="3"/>
      <c r="X101" s="3"/>
      <c r="Y101" s="3"/>
      <c r="Z101" s="3"/>
    </row>
    <row r="102" spans="1:26" ht="15.75" hidden="1" customHeight="1" outlineLevel="1" x14ac:dyDescent="0.3">
      <c r="A102" s="3"/>
      <c r="B102" s="9" t="s">
        <v>355</v>
      </c>
      <c r="C102" s="53"/>
      <c r="D102" s="53"/>
      <c r="E102" s="11">
        <v>0</v>
      </c>
      <c r="F102" s="11">
        <v>0</v>
      </c>
      <c r="G102" s="56"/>
      <c r="H102" s="56"/>
      <c r="I102" s="80"/>
      <c r="J102" s="56"/>
      <c r="K102" s="28"/>
      <c r="L102" s="28"/>
      <c r="M102" s="28"/>
      <c r="N102" s="28"/>
      <c r="O102" s="28"/>
      <c r="P102" s="28"/>
      <c r="Q102" s="28"/>
      <c r="R102" s="28"/>
      <c r="S102" s="28"/>
      <c r="T102" s="28"/>
      <c r="U102" s="3"/>
      <c r="W102" s="3"/>
      <c r="X102" s="3"/>
      <c r="Y102" s="3"/>
      <c r="Z102" s="3"/>
    </row>
    <row r="103" spans="1:26" ht="15.75" hidden="1" customHeight="1" outlineLevel="1" x14ac:dyDescent="0.3">
      <c r="A103" s="3"/>
      <c r="B103" s="9" t="s">
        <v>356</v>
      </c>
      <c r="C103" s="53"/>
      <c r="D103" s="53"/>
      <c r="E103" s="11">
        <v>0</v>
      </c>
      <c r="F103" s="11">
        <v>0</v>
      </c>
      <c r="G103" s="56"/>
      <c r="H103" s="56"/>
      <c r="I103" s="80"/>
      <c r="J103" s="56"/>
      <c r="K103" s="28"/>
      <c r="L103" s="28"/>
      <c r="M103" s="28"/>
      <c r="N103" s="28"/>
      <c r="O103" s="28"/>
      <c r="P103" s="28"/>
      <c r="Q103" s="28"/>
      <c r="R103" s="28"/>
      <c r="S103" s="28"/>
      <c r="T103" s="28"/>
      <c r="U103" s="3"/>
      <c r="W103" s="3"/>
      <c r="X103" s="3"/>
      <c r="Y103" s="3"/>
      <c r="Z103" s="3"/>
    </row>
    <row r="104" spans="1:26" ht="15.75" hidden="1" customHeight="1" outlineLevel="1" x14ac:dyDescent="0.3">
      <c r="A104" s="3"/>
      <c r="B104" s="82" t="s">
        <v>357</v>
      </c>
      <c r="C104" s="83"/>
      <c r="D104" s="83"/>
      <c r="E104" s="84">
        <f>SUM(E105:E107)</f>
        <v>0</v>
      </c>
      <c r="F104" s="84">
        <f>SUMIF(D105:D107,"OK",F105:F107)</f>
        <v>0</v>
      </c>
      <c r="G104" s="85"/>
      <c r="H104" s="85"/>
      <c r="I104" s="86"/>
      <c r="J104" s="85"/>
      <c r="K104" s="28"/>
      <c r="L104" s="28"/>
      <c r="M104" s="28"/>
      <c r="N104" s="28"/>
      <c r="O104" s="28"/>
      <c r="P104" s="28"/>
      <c r="Q104" s="28"/>
      <c r="R104" s="28"/>
      <c r="S104" s="28"/>
      <c r="T104" s="28"/>
      <c r="U104" s="3"/>
      <c r="W104" s="3"/>
      <c r="X104" s="3"/>
      <c r="Y104" s="3"/>
      <c r="Z104" s="3"/>
    </row>
    <row r="105" spans="1:26" ht="15.75" hidden="1" customHeight="1" outlineLevel="1" x14ac:dyDescent="0.3">
      <c r="A105" s="3"/>
      <c r="B105" s="9" t="s">
        <v>354</v>
      </c>
      <c r="C105" s="53"/>
      <c r="D105" s="53"/>
      <c r="E105" s="11">
        <v>0</v>
      </c>
      <c r="F105" s="11">
        <v>0</v>
      </c>
      <c r="G105" s="56"/>
      <c r="H105" s="56"/>
      <c r="I105" s="80"/>
      <c r="J105" s="56"/>
      <c r="K105" s="28"/>
      <c r="L105" s="28"/>
      <c r="M105" s="28"/>
      <c r="N105" s="28"/>
      <c r="O105" s="28"/>
      <c r="P105" s="28"/>
      <c r="Q105" s="28"/>
      <c r="R105" s="28"/>
      <c r="S105" s="28"/>
      <c r="T105" s="28"/>
      <c r="U105" s="3"/>
      <c r="W105" s="3"/>
      <c r="X105" s="3"/>
      <c r="Y105" s="3"/>
      <c r="Z105" s="3"/>
    </row>
    <row r="106" spans="1:26" ht="15.75" hidden="1" customHeight="1" outlineLevel="1" x14ac:dyDescent="0.3">
      <c r="A106" s="3"/>
      <c r="B106" s="9" t="s">
        <v>355</v>
      </c>
      <c r="C106" s="53"/>
      <c r="D106" s="53"/>
      <c r="E106" s="11">
        <v>0</v>
      </c>
      <c r="F106" s="11">
        <v>0</v>
      </c>
      <c r="G106" s="56"/>
      <c r="H106" s="56"/>
      <c r="I106" s="80"/>
      <c r="J106" s="56"/>
      <c r="K106" s="28"/>
      <c r="L106" s="28"/>
      <c r="M106" s="28"/>
      <c r="N106" s="28"/>
      <c r="O106" s="28"/>
      <c r="P106" s="28"/>
      <c r="Q106" s="28"/>
      <c r="R106" s="28"/>
      <c r="S106" s="28"/>
      <c r="T106" s="28"/>
      <c r="U106" s="3"/>
      <c r="W106" s="3"/>
      <c r="X106" s="3"/>
      <c r="Y106" s="3"/>
      <c r="Z106" s="3"/>
    </row>
    <row r="107" spans="1:26" ht="15.75" hidden="1" customHeight="1" outlineLevel="1" x14ac:dyDescent="0.3">
      <c r="A107" s="3"/>
      <c r="B107" s="9" t="s">
        <v>356</v>
      </c>
      <c r="C107" s="53"/>
      <c r="D107" s="53"/>
      <c r="E107" s="11">
        <v>0</v>
      </c>
      <c r="F107" s="11">
        <v>0</v>
      </c>
      <c r="G107" s="56"/>
      <c r="H107" s="56"/>
      <c r="I107" s="80"/>
      <c r="J107" s="56"/>
      <c r="K107" s="28"/>
      <c r="L107" s="28"/>
      <c r="M107" s="28"/>
      <c r="N107" s="28"/>
      <c r="O107" s="28"/>
      <c r="P107" s="28"/>
      <c r="Q107" s="28"/>
      <c r="R107" s="28"/>
      <c r="S107" s="28"/>
      <c r="T107" s="28"/>
      <c r="U107" s="3"/>
      <c r="W107" s="3"/>
      <c r="X107" s="3"/>
      <c r="Y107" s="3"/>
      <c r="Z107" s="3"/>
    </row>
    <row r="108" spans="1:26" ht="15.75" customHeight="1" collapsed="1" x14ac:dyDescent="0.3">
      <c r="A108" s="3"/>
      <c r="B108" s="75" t="s">
        <v>358</v>
      </c>
      <c r="C108" s="76" t="s">
        <v>44</v>
      </c>
      <c r="D108" s="76" t="s">
        <v>44</v>
      </c>
      <c r="E108" s="77">
        <f t="shared" ref="E108:F108" si="1">SUM(E109,E115)</f>
        <v>0</v>
      </c>
      <c r="F108" s="77">
        <f t="shared" si="1"/>
        <v>1203.73</v>
      </c>
      <c r="G108" s="78"/>
      <c r="H108" s="78"/>
      <c r="I108" s="79"/>
      <c r="J108" s="78"/>
      <c r="K108" s="28"/>
      <c r="L108" s="28"/>
      <c r="M108" s="28"/>
      <c r="N108" s="28"/>
      <c r="O108" s="28"/>
      <c r="P108" s="28"/>
      <c r="Q108" s="28"/>
      <c r="R108" s="28"/>
      <c r="S108" s="28"/>
      <c r="T108" s="28"/>
      <c r="U108" s="3"/>
      <c r="W108" s="3"/>
      <c r="X108" s="3"/>
      <c r="Y108" s="3"/>
      <c r="Z108" s="3"/>
    </row>
    <row r="109" spans="1:26" ht="15.75" hidden="1" customHeight="1" outlineLevel="1" x14ac:dyDescent="0.3">
      <c r="A109" s="3"/>
      <c r="B109" s="82" t="s">
        <v>359</v>
      </c>
      <c r="C109" s="83"/>
      <c r="D109" s="83"/>
      <c r="E109" s="84">
        <f>SUM(E110:E114)</f>
        <v>0</v>
      </c>
      <c r="F109" s="84">
        <f>SUMIF(D110:D114,"OK",F110:F114)</f>
        <v>0</v>
      </c>
      <c r="G109" s="85"/>
      <c r="H109" s="85"/>
      <c r="I109" s="86"/>
      <c r="J109" s="85"/>
      <c r="K109" s="28"/>
      <c r="L109" s="28"/>
      <c r="M109" s="28"/>
      <c r="N109" s="28"/>
      <c r="O109" s="28"/>
      <c r="P109" s="28"/>
      <c r="Q109" s="28"/>
      <c r="R109" s="28"/>
      <c r="S109" s="28"/>
      <c r="T109" s="28"/>
      <c r="U109" s="3"/>
      <c r="W109" s="3"/>
      <c r="X109" s="3"/>
      <c r="Y109" s="3"/>
      <c r="Z109" s="3"/>
    </row>
    <row r="110" spans="1:26" ht="15.75" hidden="1" customHeight="1" outlineLevel="1" x14ac:dyDescent="0.3">
      <c r="A110" s="3"/>
      <c r="B110" s="9" t="s">
        <v>338</v>
      </c>
      <c r="C110" s="53"/>
      <c r="D110" s="53"/>
      <c r="E110" s="11">
        <v>0</v>
      </c>
      <c r="F110" s="11">
        <v>0</v>
      </c>
      <c r="G110" s="56"/>
      <c r="H110" s="56"/>
      <c r="I110" s="80"/>
      <c r="J110" s="56"/>
      <c r="K110" s="28"/>
      <c r="L110" s="28"/>
      <c r="M110" s="28"/>
      <c r="N110" s="28"/>
      <c r="O110" s="28"/>
      <c r="P110" s="28"/>
      <c r="Q110" s="28"/>
      <c r="R110" s="28"/>
      <c r="S110" s="28"/>
      <c r="T110" s="28"/>
      <c r="U110" s="3"/>
      <c r="W110" s="3"/>
      <c r="X110" s="3"/>
      <c r="Y110" s="3"/>
      <c r="Z110" s="3"/>
    </row>
    <row r="111" spans="1:26" ht="15.75" hidden="1" customHeight="1" outlineLevel="1" x14ac:dyDescent="0.3">
      <c r="A111" s="3"/>
      <c r="B111" s="9" t="s">
        <v>360</v>
      </c>
      <c r="C111" s="53"/>
      <c r="D111" s="53"/>
      <c r="E111" s="11">
        <v>0</v>
      </c>
      <c r="F111" s="11">
        <v>0</v>
      </c>
      <c r="G111" s="56"/>
      <c r="H111" s="56"/>
      <c r="I111" s="80"/>
      <c r="J111" s="56"/>
      <c r="K111" s="28"/>
      <c r="L111" s="28"/>
      <c r="M111" s="28"/>
      <c r="N111" s="28"/>
      <c r="O111" s="28"/>
      <c r="P111" s="28"/>
      <c r="Q111" s="28"/>
      <c r="R111" s="28"/>
      <c r="S111" s="28"/>
      <c r="T111" s="28"/>
      <c r="U111" s="3"/>
      <c r="W111" s="3"/>
      <c r="X111" s="3"/>
      <c r="Y111" s="3"/>
      <c r="Z111" s="3"/>
    </row>
    <row r="112" spans="1:26" ht="15.75" hidden="1" customHeight="1" outlineLevel="1" x14ac:dyDescent="0.3">
      <c r="A112" s="3"/>
      <c r="B112" s="9" t="s">
        <v>354</v>
      </c>
      <c r="C112" s="53"/>
      <c r="D112" s="53"/>
      <c r="E112" s="11">
        <v>0</v>
      </c>
      <c r="F112" s="11">
        <v>0</v>
      </c>
      <c r="G112" s="56"/>
      <c r="H112" s="56"/>
      <c r="I112" s="80"/>
      <c r="J112" s="56"/>
      <c r="K112" s="28"/>
      <c r="L112" s="28"/>
      <c r="M112" s="28"/>
      <c r="N112" s="28"/>
      <c r="O112" s="28"/>
      <c r="P112" s="28"/>
      <c r="Q112" s="28"/>
      <c r="R112" s="28"/>
      <c r="S112" s="28"/>
      <c r="T112" s="28"/>
      <c r="U112" s="3"/>
      <c r="W112" s="3"/>
      <c r="X112" s="3"/>
      <c r="Y112" s="3"/>
      <c r="Z112" s="3"/>
    </row>
    <row r="113" spans="1:26" ht="15.75" hidden="1" customHeight="1" outlineLevel="1" x14ac:dyDescent="0.3">
      <c r="A113" s="3"/>
      <c r="B113" s="9" t="s">
        <v>355</v>
      </c>
      <c r="C113" s="53"/>
      <c r="D113" s="53"/>
      <c r="E113" s="11">
        <v>0</v>
      </c>
      <c r="F113" s="11">
        <v>0</v>
      </c>
      <c r="G113" s="56"/>
      <c r="H113" s="56"/>
      <c r="I113" s="80"/>
      <c r="J113" s="56"/>
      <c r="K113" s="28"/>
      <c r="L113" s="28"/>
      <c r="M113" s="28"/>
      <c r="N113" s="28"/>
      <c r="O113" s="28"/>
      <c r="P113" s="28"/>
      <c r="Q113" s="28"/>
      <c r="R113" s="28"/>
      <c r="S113" s="28"/>
      <c r="T113" s="28"/>
      <c r="U113" s="3"/>
      <c r="W113" s="3"/>
      <c r="X113" s="3"/>
      <c r="Y113" s="3"/>
      <c r="Z113" s="3"/>
    </row>
    <row r="114" spans="1:26" ht="15.75" hidden="1" customHeight="1" outlineLevel="1" x14ac:dyDescent="0.3">
      <c r="A114" s="3"/>
      <c r="B114" s="9" t="s">
        <v>356</v>
      </c>
      <c r="C114" s="53"/>
      <c r="D114" s="53"/>
      <c r="E114" s="11">
        <v>0</v>
      </c>
      <c r="F114" s="11">
        <v>0</v>
      </c>
      <c r="G114" s="56"/>
      <c r="H114" s="56"/>
      <c r="I114" s="80"/>
      <c r="J114" s="56"/>
      <c r="K114" s="28"/>
      <c r="L114" s="28"/>
      <c r="M114" s="28"/>
      <c r="N114" s="28"/>
      <c r="O114" s="28"/>
      <c r="P114" s="28"/>
      <c r="Q114" s="28"/>
      <c r="R114" s="28"/>
      <c r="S114" s="28"/>
      <c r="T114" s="28"/>
      <c r="U114" s="3"/>
      <c r="W114" s="3"/>
      <c r="X114" s="3"/>
      <c r="Y114" s="3"/>
      <c r="Z114" s="3"/>
    </row>
    <row r="115" spans="1:26" ht="15.75" hidden="1" customHeight="1" outlineLevel="1" x14ac:dyDescent="0.3">
      <c r="A115" s="3"/>
      <c r="B115" s="82" t="s">
        <v>633</v>
      </c>
      <c r="C115" s="83"/>
      <c r="D115" s="83"/>
      <c r="E115" s="84">
        <f>SUM(E116:E124)</f>
        <v>0</v>
      </c>
      <c r="F115" s="84">
        <f>SUMIF(D116:D124,"OK",F116:F124)</f>
        <v>1203.73</v>
      </c>
      <c r="G115" s="85"/>
      <c r="H115" s="85"/>
      <c r="I115" s="86"/>
      <c r="J115" s="85"/>
      <c r="K115" s="28"/>
      <c r="L115" s="28"/>
      <c r="M115" s="28"/>
      <c r="N115" s="28"/>
      <c r="O115" s="28"/>
      <c r="P115" s="28"/>
      <c r="Q115" s="28"/>
      <c r="R115" s="28"/>
      <c r="S115" s="28"/>
      <c r="T115" s="28"/>
      <c r="U115" s="3"/>
      <c r="W115" s="3"/>
      <c r="X115" s="3"/>
      <c r="Y115" s="3"/>
      <c r="Z115" s="3"/>
    </row>
    <row r="116" spans="1:26" ht="15.75" hidden="1" customHeight="1" outlineLevel="1" x14ac:dyDescent="0.3">
      <c r="A116" s="3"/>
      <c r="B116" s="9" t="s">
        <v>634</v>
      </c>
      <c r="C116" s="53">
        <v>1</v>
      </c>
      <c r="D116" s="53" t="s">
        <v>95</v>
      </c>
      <c r="E116" s="11">
        <v>0</v>
      </c>
      <c r="F116" s="11">
        <v>800</v>
      </c>
      <c r="G116" s="80"/>
      <c r="H116" s="56" t="s">
        <v>37</v>
      </c>
      <c r="I116" s="102" t="s">
        <v>635</v>
      </c>
      <c r="J116" s="56"/>
      <c r="K116" s="28"/>
      <c r="L116" s="28"/>
      <c r="M116" s="28"/>
      <c r="N116" s="28"/>
      <c r="O116" s="28"/>
      <c r="P116" s="28"/>
      <c r="Q116" s="28"/>
      <c r="R116" s="28"/>
      <c r="S116" s="28"/>
      <c r="T116" s="28"/>
      <c r="U116" s="3"/>
      <c r="W116" s="3"/>
      <c r="X116" s="3"/>
      <c r="Y116" s="3"/>
      <c r="Z116" s="3"/>
    </row>
    <row r="117" spans="1:26" ht="15.75" hidden="1" customHeight="1" outlineLevel="1" x14ac:dyDescent="0.3">
      <c r="A117" s="3"/>
      <c r="B117" s="9" t="s">
        <v>636</v>
      </c>
      <c r="C117" s="53">
        <v>6</v>
      </c>
      <c r="D117" s="53" t="s">
        <v>95</v>
      </c>
      <c r="E117" s="11">
        <v>0</v>
      </c>
      <c r="F117" s="11">
        <v>100.29</v>
      </c>
      <c r="G117" s="80"/>
      <c r="H117" s="56" t="s">
        <v>37</v>
      </c>
      <c r="I117" s="102" t="s">
        <v>637</v>
      </c>
      <c r="J117" s="56"/>
      <c r="K117" s="28"/>
      <c r="L117" s="28"/>
      <c r="M117" s="28"/>
      <c r="N117" s="28"/>
      <c r="O117" s="28"/>
      <c r="P117" s="28"/>
      <c r="Q117" s="28"/>
      <c r="R117" s="28"/>
      <c r="S117" s="28"/>
      <c r="T117" s="28"/>
      <c r="U117" s="3"/>
      <c r="W117" s="3"/>
      <c r="X117" s="3"/>
      <c r="Y117" s="3"/>
      <c r="Z117" s="3"/>
    </row>
    <row r="118" spans="1:26" ht="15.75" hidden="1" customHeight="1" outlineLevel="1" x14ac:dyDescent="0.3">
      <c r="A118" s="3"/>
      <c r="B118" s="9" t="s">
        <v>636</v>
      </c>
      <c r="C118" s="53">
        <v>6</v>
      </c>
      <c r="D118" s="53" t="s">
        <v>95</v>
      </c>
      <c r="E118" s="11">
        <v>0</v>
      </c>
      <c r="F118" s="11">
        <v>91.48</v>
      </c>
      <c r="G118" s="56"/>
      <c r="H118" s="56" t="s">
        <v>37</v>
      </c>
      <c r="I118" s="102" t="s">
        <v>638</v>
      </c>
      <c r="J118" s="56"/>
      <c r="K118" s="28"/>
      <c r="L118" s="28"/>
      <c r="M118" s="28"/>
      <c r="N118" s="28"/>
      <c r="O118" s="28"/>
      <c r="P118" s="28"/>
      <c r="Q118" s="28"/>
      <c r="R118" s="28"/>
      <c r="S118" s="28"/>
      <c r="T118" s="28"/>
      <c r="U118" s="3"/>
      <c r="W118" s="3"/>
      <c r="X118" s="3"/>
      <c r="Y118" s="3"/>
      <c r="Z118" s="3"/>
    </row>
    <row r="119" spans="1:26" ht="15.75" hidden="1" customHeight="1" outlineLevel="1" x14ac:dyDescent="0.3">
      <c r="A119" s="3"/>
      <c r="B119" s="9" t="s">
        <v>636</v>
      </c>
      <c r="C119" s="53">
        <v>7</v>
      </c>
      <c r="D119" s="53" t="s">
        <v>95</v>
      </c>
      <c r="E119" s="11">
        <v>0</v>
      </c>
      <c r="F119" s="11">
        <v>45</v>
      </c>
      <c r="G119" s="56" t="s">
        <v>606</v>
      </c>
      <c r="H119" s="56" t="s">
        <v>37</v>
      </c>
      <c r="I119" s="102" t="s">
        <v>607</v>
      </c>
      <c r="J119" s="56"/>
      <c r="K119" s="28"/>
      <c r="L119" s="28"/>
      <c r="M119" s="28"/>
      <c r="N119" s="28"/>
      <c r="O119" s="28"/>
      <c r="P119" s="28"/>
      <c r="Q119" s="28"/>
      <c r="R119" s="28"/>
      <c r="S119" s="28"/>
      <c r="T119" s="28"/>
      <c r="U119" s="3"/>
      <c r="W119" s="3"/>
      <c r="X119" s="3"/>
      <c r="Y119" s="3"/>
      <c r="Z119" s="3"/>
    </row>
    <row r="120" spans="1:26" ht="15.75" hidden="1" customHeight="1" outlineLevel="1" x14ac:dyDescent="0.3">
      <c r="A120" s="3"/>
      <c r="B120" s="9" t="s">
        <v>636</v>
      </c>
      <c r="C120" s="53">
        <v>8</v>
      </c>
      <c r="D120" s="53" t="s">
        <v>95</v>
      </c>
      <c r="E120" s="11">
        <v>0</v>
      </c>
      <c r="F120" s="11">
        <v>166.96</v>
      </c>
      <c r="G120" s="56"/>
      <c r="H120" s="56" t="s">
        <v>37</v>
      </c>
      <c r="I120" s="102" t="s">
        <v>639</v>
      </c>
      <c r="J120" s="56"/>
      <c r="K120" s="28"/>
      <c r="L120" s="28"/>
      <c r="M120" s="28"/>
      <c r="N120" s="28"/>
      <c r="O120" s="28"/>
      <c r="P120" s="28"/>
      <c r="Q120" s="28"/>
      <c r="R120" s="28"/>
      <c r="S120" s="28"/>
      <c r="T120" s="28"/>
      <c r="U120" s="3"/>
      <c r="W120" s="3"/>
      <c r="X120" s="3"/>
      <c r="Y120" s="3"/>
      <c r="Z120" s="3"/>
    </row>
    <row r="121" spans="1:26" ht="15.75" hidden="1" customHeight="1" outlineLevel="1" x14ac:dyDescent="0.3">
      <c r="A121" s="3"/>
      <c r="B121" s="9" t="s">
        <v>329</v>
      </c>
      <c r="C121" s="53"/>
      <c r="D121" s="53"/>
      <c r="E121" s="11">
        <v>0</v>
      </c>
      <c r="F121" s="11">
        <v>0</v>
      </c>
      <c r="G121" s="56"/>
      <c r="H121" s="56"/>
      <c r="I121" s="80"/>
      <c r="J121" s="56"/>
      <c r="K121" s="28"/>
      <c r="L121" s="28"/>
      <c r="M121" s="28"/>
      <c r="N121" s="28"/>
      <c r="O121" s="28"/>
      <c r="P121" s="28"/>
      <c r="Q121" s="28"/>
      <c r="R121" s="28"/>
      <c r="S121" s="28"/>
      <c r="T121" s="28"/>
      <c r="U121" s="3"/>
      <c r="W121" s="3"/>
      <c r="X121" s="3"/>
      <c r="Y121" s="3"/>
      <c r="Z121" s="3"/>
    </row>
    <row r="122" spans="1:26" ht="15.75" hidden="1" customHeight="1" outlineLevel="1" x14ac:dyDescent="0.3">
      <c r="A122" s="3"/>
      <c r="B122" s="9" t="s">
        <v>371</v>
      </c>
      <c r="C122" s="53"/>
      <c r="D122" s="53"/>
      <c r="E122" s="11">
        <v>0</v>
      </c>
      <c r="F122" s="11">
        <v>0</v>
      </c>
      <c r="G122" s="56"/>
      <c r="H122" s="56"/>
      <c r="I122" s="80"/>
      <c r="J122" s="56"/>
      <c r="K122" s="28"/>
      <c r="L122" s="28"/>
      <c r="M122" s="28"/>
      <c r="N122" s="28"/>
      <c r="O122" s="28"/>
      <c r="P122" s="28"/>
      <c r="Q122" s="28"/>
      <c r="R122" s="28"/>
      <c r="S122" s="28"/>
      <c r="T122" s="28"/>
      <c r="U122" s="3"/>
      <c r="W122" s="3"/>
      <c r="X122" s="3"/>
      <c r="Y122" s="3"/>
      <c r="Z122" s="3"/>
    </row>
    <row r="123" spans="1:26" ht="15.75" hidden="1" customHeight="1" outlineLevel="1" x14ac:dyDescent="0.3">
      <c r="A123" s="3"/>
      <c r="B123" s="9" t="s">
        <v>372</v>
      </c>
      <c r="C123" s="53"/>
      <c r="D123" s="53"/>
      <c r="E123" s="11">
        <v>0</v>
      </c>
      <c r="F123" s="11">
        <v>0</v>
      </c>
      <c r="G123" s="56"/>
      <c r="H123" s="56"/>
      <c r="I123" s="80"/>
      <c r="J123" s="56"/>
      <c r="K123" s="28"/>
      <c r="L123" s="28"/>
      <c r="M123" s="28"/>
      <c r="N123" s="28"/>
      <c r="O123" s="28"/>
      <c r="P123" s="28"/>
      <c r="Q123" s="28"/>
      <c r="R123" s="28"/>
      <c r="S123" s="28"/>
      <c r="T123" s="28"/>
      <c r="U123" s="3"/>
      <c r="W123" s="3"/>
      <c r="X123" s="3"/>
      <c r="Y123" s="3"/>
      <c r="Z123" s="3"/>
    </row>
    <row r="124" spans="1:26" ht="15.75" hidden="1" customHeight="1" outlineLevel="1" x14ac:dyDescent="0.3">
      <c r="A124" s="3"/>
      <c r="B124" s="9" t="s">
        <v>373</v>
      </c>
      <c r="C124" s="53"/>
      <c r="D124" s="53"/>
      <c r="E124" s="11">
        <v>0</v>
      </c>
      <c r="F124" s="11">
        <v>0</v>
      </c>
      <c r="G124" s="56"/>
      <c r="H124" s="56"/>
      <c r="I124" s="80"/>
      <c r="J124" s="56"/>
      <c r="K124" s="28"/>
      <c r="L124" s="28"/>
      <c r="M124" s="28"/>
      <c r="N124" s="28"/>
      <c r="O124" s="28"/>
      <c r="P124" s="28"/>
      <c r="Q124" s="28"/>
      <c r="R124" s="28"/>
      <c r="S124" s="28"/>
      <c r="T124" s="28"/>
      <c r="U124" s="3"/>
      <c r="W124" s="3"/>
      <c r="X124" s="3"/>
      <c r="Y124" s="3"/>
      <c r="Z124" s="3"/>
    </row>
    <row r="125" spans="1:26" ht="15.75" customHeight="1" collapsed="1" x14ac:dyDescent="0.3">
      <c r="A125" s="3"/>
      <c r="B125" s="75" t="s">
        <v>88</v>
      </c>
      <c r="C125" s="76" t="s">
        <v>44</v>
      </c>
      <c r="D125" s="76" t="s">
        <v>44</v>
      </c>
      <c r="E125" s="77">
        <f>SUM(E126:E134)</f>
        <v>0</v>
      </c>
      <c r="F125" s="77">
        <f>SUMIF(D126:D134,"OK",F126:F134)</f>
        <v>0</v>
      </c>
      <c r="G125" s="78"/>
      <c r="H125" s="78"/>
      <c r="I125" s="79"/>
      <c r="J125" s="78"/>
      <c r="K125" s="28"/>
      <c r="L125" s="28"/>
      <c r="M125" s="28"/>
      <c r="N125" s="28"/>
      <c r="O125" s="28"/>
      <c r="P125" s="28"/>
      <c r="Q125" s="28"/>
      <c r="R125" s="28"/>
      <c r="S125" s="28"/>
      <c r="T125" s="28"/>
      <c r="U125" s="3"/>
      <c r="W125" s="3"/>
      <c r="X125" s="3"/>
      <c r="Y125" s="3"/>
      <c r="Z125" s="3"/>
    </row>
    <row r="126" spans="1:26" ht="15.75" hidden="1" customHeight="1" outlineLevel="1" x14ac:dyDescent="0.3">
      <c r="A126" s="3"/>
      <c r="B126" s="9" t="s">
        <v>640</v>
      </c>
      <c r="C126" s="71"/>
      <c r="D126" s="53"/>
      <c r="E126" s="11">
        <v>0</v>
      </c>
      <c r="F126" s="11">
        <v>0</v>
      </c>
      <c r="G126" s="80"/>
      <c r="H126" s="56"/>
      <c r="I126" s="102"/>
      <c r="J126" s="80"/>
      <c r="K126" s="28"/>
      <c r="L126" s="28"/>
      <c r="M126" s="28"/>
      <c r="N126" s="28"/>
      <c r="O126" s="28"/>
      <c r="P126" s="28"/>
      <c r="Q126" s="28"/>
      <c r="R126" s="28"/>
      <c r="S126" s="28"/>
      <c r="T126" s="28"/>
      <c r="U126" s="3"/>
      <c r="W126" s="3"/>
      <c r="X126" s="3"/>
      <c r="Y126" s="3"/>
      <c r="Z126" s="3"/>
    </row>
    <row r="127" spans="1:26" ht="15.75" hidden="1" customHeight="1" outlineLevel="1" x14ac:dyDescent="0.3">
      <c r="A127" s="3"/>
      <c r="B127" s="9" t="s">
        <v>640</v>
      </c>
      <c r="C127" s="53"/>
      <c r="D127" s="53"/>
      <c r="E127" s="11">
        <v>0</v>
      </c>
      <c r="F127" s="11">
        <v>0</v>
      </c>
      <c r="G127" s="80"/>
      <c r="H127" s="56"/>
      <c r="I127" s="102"/>
      <c r="J127" s="56"/>
      <c r="K127" s="28"/>
      <c r="L127" s="28"/>
      <c r="M127" s="28"/>
      <c r="N127" s="28"/>
      <c r="O127" s="28"/>
      <c r="P127" s="28"/>
      <c r="Q127" s="28"/>
      <c r="R127" s="28"/>
      <c r="S127" s="28"/>
      <c r="T127" s="28"/>
      <c r="U127" s="3"/>
      <c r="W127" s="3"/>
      <c r="X127" s="3"/>
      <c r="Y127" s="3"/>
      <c r="Z127" s="3"/>
    </row>
    <row r="128" spans="1:26" ht="15.75" hidden="1" customHeight="1" outlineLevel="1" x14ac:dyDescent="0.3">
      <c r="A128" s="3"/>
      <c r="B128" s="9" t="s">
        <v>356</v>
      </c>
      <c r="C128" s="53"/>
      <c r="D128" s="53"/>
      <c r="E128" s="11">
        <v>0</v>
      </c>
      <c r="F128" s="11">
        <v>0</v>
      </c>
      <c r="G128" s="56"/>
      <c r="H128" s="56"/>
      <c r="I128" s="80"/>
      <c r="J128" s="56"/>
      <c r="K128" s="28"/>
      <c r="L128" s="28"/>
      <c r="M128" s="28"/>
      <c r="N128" s="28"/>
      <c r="O128" s="28"/>
      <c r="P128" s="28"/>
      <c r="Q128" s="28"/>
      <c r="R128" s="28"/>
      <c r="S128" s="28"/>
      <c r="T128" s="28"/>
      <c r="U128" s="3"/>
      <c r="W128" s="3"/>
      <c r="X128" s="3"/>
      <c r="Y128" s="3"/>
      <c r="Z128" s="3"/>
    </row>
    <row r="129" spans="1:26" ht="15.75" hidden="1" customHeight="1" outlineLevel="1" x14ac:dyDescent="0.3">
      <c r="A129" s="3"/>
      <c r="B129" s="9" t="s">
        <v>370</v>
      </c>
      <c r="C129" s="53"/>
      <c r="D129" s="53"/>
      <c r="E129" s="11">
        <v>0</v>
      </c>
      <c r="F129" s="11">
        <v>0</v>
      </c>
      <c r="G129" s="56"/>
      <c r="H129" s="56"/>
      <c r="I129" s="80"/>
      <c r="J129" s="56"/>
      <c r="K129" s="28"/>
      <c r="L129" s="28"/>
      <c r="M129" s="28"/>
      <c r="N129" s="28"/>
      <c r="O129" s="28"/>
      <c r="P129" s="28"/>
      <c r="Q129" s="28"/>
      <c r="R129" s="28"/>
      <c r="S129" s="28"/>
      <c r="T129" s="28"/>
      <c r="U129" s="3"/>
      <c r="W129" s="3"/>
      <c r="X129" s="3"/>
      <c r="Y129" s="3"/>
      <c r="Z129" s="3"/>
    </row>
    <row r="130" spans="1:26" ht="15.75" hidden="1" customHeight="1" outlineLevel="1" x14ac:dyDescent="0.3">
      <c r="A130" s="3"/>
      <c r="B130" s="9" t="s">
        <v>328</v>
      </c>
      <c r="C130" s="53"/>
      <c r="D130" s="53"/>
      <c r="E130" s="11">
        <v>0</v>
      </c>
      <c r="F130" s="11">
        <v>0</v>
      </c>
      <c r="G130" s="56"/>
      <c r="H130" s="56"/>
      <c r="I130" s="80"/>
      <c r="J130" s="56"/>
      <c r="K130" s="28"/>
      <c r="L130" s="28"/>
      <c r="M130" s="28"/>
      <c r="N130" s="28"/>
      <c r="O130" s="28"/>
      <c r="P130" s="28"/>
      <c r="Q130" s="28"/>
      <c r="R130" s="28"/>
      <c r="S130" s="28"/>
      <c r="T130" s="28"/>
      <c r="U130" s="3"/>
      <c r="W130" s="3"/>
      <c r="X130" s="3"/>
      <c r="Y130" s="3"/>
      <c r="Z130" s="3"/>
    </row>
    <row r="131" spans="1:26" ht="15.75" hidden="1" customHeight="1" outlineLevel="1" x14ac:dyDescent="0.3">
      <c r="A131" s="3"/>
      <c r="B131" s="9" t="s">
        <v>329</v>
      </c>
      <c r="C131" s="53"/>
      <c r="D131" s="53"/>
      <c r="E131" s="11">
        <v>0</v>
      </c>
      <c r="F131" s="11">
        <v>0</v>
      </c>
      <c r="G131" s="56"/>
      <c r="H131" s="56"/>
      <c r="I131" s="80"/>
      <c r="J131" s="56"/>
      <c r="K131" s="28"/>
      <c r="L131" s="28"/>
      <c r="M131" s="28"/>
      <c r="N131" s="28"/>
      <c r="O131" s="28"/>
      <c r="P131" s="28"/>
      <c r="Q131" s="28"/>
      <c r="R131" s="28"/>
      <c r="S131" s="28"/>
      <c r="T131" s="28"/>
      <c r="U131" s="3"/>
      <c r="W131" s="3"/>
      <c r="X131" s="3"/>
      <c r="Y131" s="3"/>
      <c r="Z131" s="3"/>
    </row>
    <row r="132" spans="1:26" ht="15.75" hidden="1" customHeight="1" outlineLevel="1" x14ac:dyDescent="0.3">
      <c r="A132" s="3"/>
      <c r="B132" s="9" t="s">
        <v>371</v>
      </c>
      <c r="C132" s="53"/>
      <c r="D132" s="53"/>
      <c r="E132" s="11">
        <v>0</v>
      </c>
      <c r="F132" s="11">
        <v>0</v>
      </c>
      <c r="G132" s="56"/>
      <c r="H132" s="56"/>
      <c r="I132" s="80"/>
      <c r="J132" s="56"/>
      <c r="K132" s="28"/>
      <c r="L132" s="28"/>
      <c r="M132" s="28"/>
      <c r="N132" s="28"/>
      <c r="O132" s="28"/>
      <c r="P132" s="28"/>
      <c r="Q132" s="28"/>
      <c r="R132" s="28"/>
      <c r="S132" s="28"/>
      <c r="T132" s="28"/>
      <c r="U132" s="3"/>
      <c r="W132" s="3"/>
      <c r="X132" s="3"/>
      <c r="Y132" s="3"/>
      <c r="Z132" s="3"/>
    </row>
    <row r="133" spans="1:26" ht="15.75" hidden="1" customHeight="1" outlineLevel="1" x14ac:dyDescent="0.3">
      <c r="A133" s="3"/>
      <c r="B133" s="9" t="s">
        <v>372</v>
      </c>
      <c r="C133" s="53"/>
      <c r="D133" s="53"/>
      <c r="E133" s="11">
        <v>0</v>
      </c>
      <c r="F133" s="11">
        <v>0</v>
      </c>
      <c r="G133" s="56"/>
      <c r="H133" s="56"/>
      <c r="I133" s="80"/>
      <c r="J133" s="56"/>
      <c r="K133" s="28"/>
      <c r="L133" s="28"/>
      <c r="M133" s="28"/>
      <c r="N133" s="28"/>
      <c r="O133" s="28"/>
      <c r="P133" s="28"/>
      <c r="Q133" s="28"/>
      <c r="R133" s="28"/>
      <c r="S133" s="28"/>
      <c r="T133" s="28"/>
      <c r="U133" s="3"/>
      <c r="W133" s="3"/>
      <c r="X133" s="3"/>
      <c r="Y133" s="3"/>
      <c r="Z133" s="3"/>
    </row>
    <row r="134" spans="1:26" ht="15.75" hidden="1" customHeight="1" outlineLevel="1" x14ac:dyDescent="0.3">
      <c r="A134" s="3"/>
      <c r="B134" s="9" t="s">
        <v>373</v>
      </c>
      <c r="C134" s="53"/>
      <c r="D134" s="53"/>
      <c r="E134" s="11">
        <v>0</v>
      </c>
      <c r="F134" s="11">
        <v>0</v>
      </c>
      <c r="G134" s="56"/>
      <c r="H134" s="56"/>
      <c r="I134" s="80"/>
      <c r="J134" s="56"/>
      <c r="K134" s="28"/>
      <c r="L134" s="28"/>
      <c r="M134" s="28"/>
      <c r="N134" s="28"/>
      <c r="O134" s="28"/>
      <c r="P134" s="28"/>
      <c r="Q134" s="28"/>
      <c r="R134" s="28"/>
      <c r="S134" s="28"/>
      <c r="T134" s="28"/>
      <c r="U134" s="3"/>
      <c r="W134" s="3"/>
      <c r="X134" s="3"/>
      <c r="Y134" s="3"/>
      <c r="Z134" s="3"/>
    </row>
    <row r="135" spans="1:26" ht="15.75" customHeight="1" collapsed="1" x14ac:dyDescent="0.3">
      <c r="A135" s="3"/>
      <c r="B135" s="75" t="s">
        <v>89</v>
      </c>
      <c r="C135" s="76" t="s">
        <v>44</v>
      </c>
      <c r="D135" s="76" t="s">
        <v>44</v>
      </c>
      <c r="E135" s="77">
        <f t="shared" ref="E135:F135" si="2">SUM(E136,E142,E148,E154)</f>
        <v>0</v>
      </c>
      <c r="F135" s="77">
        <f t="shared" si="2"/>
        <v>18774.73</v>
      </c>
      <c r="G135" s="78"/>
      <c r="H135" s="78"/>
      <c r="I135" s="79"/>
      <c r="J135" s="78"/>
      <c r="K135" s="28"/>
      <c r="L135" s="28"/>
      <c r="M135" s="28"/>
      <c r="N135" s="28"/>
      <c r="O135" s="28"/>
      <c r="P135" s="28"/>
      <c r="Q135" s="28"/>
      <c r="R135" s="28"/>
      <c r="S135" s="28"/>
      <c r="T135" s="28"/>
      <c r="U135" s="3"/>
      <c r="W135" s="3"/>
      <c r="X135" s="3"/>
      <c r="Y135" s="3"/>
      <c r="Z135" s="3"/>
    </row>
    <row r="136" spans="1:26" ht="15.75" hidden="1" customHeight="1" outlineLevel="1" x14ac:dyDescent="0.3">
      <c r="A136" s="3"/>
      <c r="B136" s="82" t="s">
        <v>381</v>
      </c>
      <c r="C136" s="83"/>
      <c r="D136" s="83"/>
      <c r="E136" s="84">
        <f>SUM(E137:E141)</f>
        <v>0</v>
      </c>
      <c r="F136" s="84">
        <f>SUMIF(D137:D141,"OK",F137:F141)</f>
        <v>18774.73</v>
      </c>
      <c r="G136" s="85"/>
      <c r="H136" s="85"/>
      <c r="I136" s="86"/>
      <c r="J136" s="85"/>
      <c r="K136" s="28"/>
      <c r="L136" s="28"/>
      <c r="M136" s="28"/>
      <c r="N136" s="28"/>
      <c r="O136" s="28"/>
      <c r="P136" s="28"/>
      <c r="Q136" s="28"/>
      <c r="R136" s="28"/>
      <c r="S136" s="28"/>
      <c r="T136" s="28"/>
      <c r="U136" s="3"/>
      <c r="W136" s="3"/>
      <c r="X136" s="3"/>
      <c r="Y136" s="3"/>
      <c r="Z136" s="3"/>
    </row>
    <row r="137" spans="1:26" ht="15.75" hidden="1" customHeight="1" outlineLevel="1" x14ac:dyDescent="0.3">
      <c r="A137" s="3"/>
      <c r="B137" s="9" t="s">
        <v>641</v>
      </c>
      <c r="C137" s="53" t="s">
        <v>642</v>
      </c>
      <c r="D137" s="53" t="s">
        <v>95</v>
      </c>
      <c r="E137" s="11">
        <v>0</v>
      </c>
      <c r="F137" s="11">
        <f>11898.68+300+1320</f>
        <v>13518.68</v>
      </c>
      <c r="G137" s="56"/>
      <c r="H137" s="56" t="s">
        <v>37</v>
      </c>
      <c r="I137" s="102" t="s">
        <v>643</v>
      </c>
      <c r="J137" s="56"/>
      <c r="K137" s="28"/>
      <c r="L137" s="28"/>
      <c r="M137" s="28"/>
      <c r="N137" s="28"/>
      <c r="O137" s="28"/>
      <c r="P137" s="28"/>
      <c r="Q137" s="28"/>
      <c r="R137" s="28"/>
      <c r="S137" s="28"/>
      <c r="T137" s="28"/>
      <c r="U137" s="3"/>
      <c r="W137" s="3"/>
      <c r="X137" s="3"/>
      <c r="Y137" s="3"/>
      <c r="Z137" s="3"/>
    </row>
    <row r="138" spans="1:26" ht="15.75" hidden="1" customHeight="1" outlineLevel="1" x14ac:dyDescent="0.3">
      <c r="A138" s="3"/>
      <c r="B138" s="9" t="s">
        <v>641</v>
      </c>
      <c r="C138" s="53" t="s">
        <v>642</v>
      </c>
      <c r="D138" s="53" t="s">
        <v>95</v>
      </c>
      <c r="E138" s="11">
        <v>0</v>
      </c>
      <c r="F138" s="11">
        <f>1564.8+3691.25</f>
        <v>5256.05</v>
      </c>
      <c r="G138" s="56"/>
      <c r="H138" s="56" t="s">
        <v>38</v>
      </c>
      <c r="I138" s="102" t="s">
        <v>643</v>
      </c>
      <c r="J138" s="56"/>
      <c r="K138" s="28"/>
      <c r="L138" s="28"/>
      <c r="M138" s="28"/>
      <c r="N138" s="28"/>
      <c r="O138" s="28"/>
      <c r="P138" s="28"/>
      <c r="Q138" s="28"/>
      <c r="R138" s="28"/>
      <c r="S138" s="28"/>
      <c r="T138" s="28"/>
      <c r="U138" s="3"/>
      <c r="W138" s="3"/>
      <c r="X138" s="3"/>
      <c r="Y138" s="3"/>
      <c r="Z138" s="3"/>
    </row>
    <row r="139" spans="1:26" ht="15.75" hidden="1" customHeight="1" outlineLevel="1" x14ac:dyDescent="0.3">
      <c r="A139" s="3"/>
      <c r="B139" s="9" t="s">
        <v>356</v>
      </c>
      <c r="C139" s="53"/>
      <c r="D139" s="53"/>
      <c r="E139" s="11">
        <v>0</v>
      </c>
      <c r="F139" s="11">
        <v>0</v>
      </c>
      <c r="G139" s="56"/>
      <c r="H139" s="56"/>
      <c r="I139" s="80"/>
      <c r="J139" s="56"/>
      <c r="K139" s="28"/>
      <c r="L139" s="28"/>
      <c r="M139" s="28"/>
      <c r="N139" s="28"/>
      <c r="O139" s="28"/>
      <c r="P139" s="28"/>
      <c r="Q139" s="28"/>
      <c r="R139" s="28"/>
      <c r="S139" s="28"/>
      <c r="T139" s="28"/>
      <c r="U139" s="3"/>
      <c r="W139" s="3"/>
      <c r="X139" s="3"/>
      <c r="Y139" s="3"/>
      <c r="Z139" s="3"/>
    </row>
    <row r="140" spans="1:26" ht="15.75" hidden="1" customHeight="1" outlineLevel="1" x14ac:dyDescent="0.3">
      <c r="A140" s="3"/>
      <c r="B140" s="9" t="s">
        <v>370</v>
      </c>
      <c r="C140" s="53"/>
      <c r="D140" s="53"/>
      <c r="E140" s="11">
        <v>0</v>
      </c>
      <c r="F140" s="11">
        <v>0</v>
      </c>
      <c r="G140" s="56"/>
      <c r="H140" s="56"/>
      <c r="I140" s="80"/>
      <c r="J140" s="56"/>
      <c r="K140" s="28"/>
      <c r="L140" s="28"/>
      <c r="M140" s="28"/>
      <c r="N140" s="28"/>
      <c r="O140" s="28"/>
      <c r="P140" s="28"/>
      <c r="Q140" s="28"/>
      <c r="R140" s="28"/>
      <c r="S140" s="28"/>
      <c r="T140" s="28"/>
      <c r="U140" s="3"/>
      <c r="W140" s="3"/>
      <c r="X140" s="3"/>
      <c r="Y140" s="3"/>
      <c r="Z140" s="3"/>
    </row>
    <row r="141" spans="1:26" ht="15.75" hidden="1" customHeight="1" outlineLevel="1" x14ac:dyDescent="0.3">
      <c r="A141" s="3"/>
      <c r="B141" s="9" t="s">
        <v>328</v>
      </c>
      <c r="C141" s="53"/>
      <c r="D141" s="53"/>
      <c r="E141" s="11">
        <v>0</v>
      </c>
      <c r="F141" s="11">
        <v>0</v>
      </c>
      <c r="G141" s="56"/>
      <c r="H141" s="56"/>
      <c r="I141" s="80"/>
      <c r="J141" s="56"/>
      <c r="K141" s="28"/>
      <c r="L141" s="28"/>
      <c r="M141" s="28"/>
      <c r="N141" s="28"/>
      <c r="O141" s="28"/>
      <c r="P141" s="28"/>
      <c r="Q141" s="28"/>
      <c r="R141" s="28"/>
      <c r="S141" s="28"/>
      <c r="T141" s="28"/>
      <c r="U141" s="3"/>
      <c r="W141" s="3"/>
      <c r="X141" s="3"/>
      <c r="Y141" s="3"/>
      <c r="Z141" s="3"/>
    </row>
    <row r="142" spans="1:26" ht="15.75" hidden="1" customHeight="1" outlineLevel="1" x14ac:dyDescent="0.3">
      <c r="A142" s="3"/>
      <c r="B142" s="82" t="s">
        <v>644</v>
      </c>
      <c r="C142" s="83"/>
      <c r="D142" s="83"/>
      <c r="E142" s="84">
        <f>SUM(E143:E147)</f>
        <v>0</v>
      </c>
      <c r="F142" s="84">
        <f>SUMIF(D143:D147,"OK",F143:F147)</f>
        <v>0</v>
      </c>
      <c r="G142" s="85"/>
      <c r="H142" s="85"/>
      <c r="I142" s="86"/>
      <c r="J142" s="85"/>
      <c r="K142" s="28"/>
      <c r="L142" s="28"/>
      <c r="M142" s="28"/>
      <c r="N142" s="28"/>
      <c r="O142" s="28"/>
      <c r="P142" s="28"/>
      <c r="Q142" s="28"/>
      <c r="R142" s="28"/>
      <c r="S142" s="28"/>
      <c r="T142" s="28"/>
      <c r="U142" s="3"/>
      <c r="W142" s="3"/>
      <c r="X142" s="3"/>
      <c r="Y142" s="3"/>
      <c r="Z142" s="3"/>
    </row>
    <row r="143" spans="1:26" ht="15.75" hidden="1" customHeight="1" outlineLevel="1" x14ac:dyDescent="0.3">
      <c r="A143" s="3"/>
      <c r="B143" s="9" t="s">
        <v>354</v>
      </c>
      <c r="C143" s="53"/>
      <c r="D143" s="53"/>
      <c r="E143" s="11">
        <v>0</v>
      </c>
      <c r="F143" s="11">
        <v>0</v>
      </c>
      <c r="G143" s="56"/>
      <c r="H143" s="56"/>
      <c r="I143" s="80"/>
      <c r="J143" s="56"/>
      <c r="K143" s="28"/>
      <c r="L143" s="28"/>
      <c r="M143" s="28"/>
      <c r="N143" s="28"/>
      <c r="O143" s="28"/>
      <c r="P143" s="28"/>
      <c r="Q143" s="28"/>
      <c r="R143" s="28"/>
      <c r="S143" s="28"/>
      <c r="T143" s="28"/>
      <c r="U143" s="3"/>
      <c r="W143" s="3"/>
      <c r="X143" s="3"/>
      <c r="Y143" s="3"/>
      <c r="Z143" s="3"/>
    </row>
    <row r="144" spans="1:26" ht="15.75" hidden="1" customHeight="1" outlineLevel="1" x14ac:dyDescent="0.3">
      <c r="A144" s="3"/>
      <c r="B144" s="9" t="s">
        <v>355</v>
      </c>
      <c r="C144" s="53"/>
      <c r="D144" s="53"/>
      <c r="E144" s="11">
        <v>0</v>
      </c>
      <c r="F144" s="11">
        <v>0</v>
      </c>
      <c r="G144" s="56"/>
      <c r="H144" s="56"/>
      <c r="I144" s="80"/>
      <c r="J144" s="56"/>
      <c r="K144" s="28"/>
      <c r="L144" s="28"/>
      <c r="M144" s="28"/>
      <c r="N144" s="28"/>
      <c r="O144" s="28"/>
      <c r="P144" s="28"/>
      <c r="Q144" s="28"/>
      <c r="R144" s="28"/>
      <c r="S144" s="28"/>
      <c r="T144" s="28"/>
      <c r="U144" s="3"/>
      <c r="W144" s="3"/>
      <c r="X144" s="3"/>
      <c r="Y144" s="3"/>
      <c r="Z144" s="3"/>
    </row>
    <row r="145" spans="1:26" ht="15.75" hidden="1" customHeight="1" outlineLevel="1" x14ac:dyDescent="0.3">
      <c r="A145" s="3"/>
      <c r="B145" s="9" t="s">
        <v>356</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15.75" hidden="1" customHeight="1" outlineLevel="1" x14ac:dyDescent="0.3">
      <c r="A146" s="3"/>
      <c r="B146" s="9" t="s">
        <v>370</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15.75" hidden="1" customHeight="1" outlineLevel="1" x14ac:dyDescent="0.3">
      <c r="A147" s="3"/>
      <c r="B147" s="9" t="s">
        <v>328</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5.75" hidden="1" customHeight="1" outlineLevel="1" x14ac:dyDescent="0.3">
      <c r="A148" s="3"/>
      <c r="B148" s="82" t="s">
        <v>382</v>
      </c>
      <c r="C148" s="83"/>
      <c r="D148" s="83"/>
      <c r="E148" s="84">
        <f>SUM(E149:E153)</f>
        <v>0</v>
      </c>
      <c r="F148" s="84">
        <f>SUMIF(D149:D153,"OK",F149:F153)</f>
        <v>0</v>
      </c>
      <c r="G148" s="85"/>
      <c r="H148" s="85"/>
      <c r="I148" s="86"/>
      <c r="J148" s="85"/>
      <c r="K148" s="28"/>
      <c r="L148" s="28"/>
      <c r="M148" s="28"/>
      <c r="N148" s="28"/>
      <c r="O148" s="28"/>
      <c r="P148" s="28"/>
      <c r="Q148" s="28"/>
      <c r="R148" s="28"/>
      <c r="S148" s="28"/>
      <c r="T148" s="28"/>
      <c r="U148" s="3"/>
      <c r="W148" s="3"/>
      <c r="X148" s="3"/>
      <c r="Y148" s="3"/>
      <c r="Z148" s="3"/>
    </row>
    <row r="149" spans="1:26" ht="15.75" hidden="1" customHeight="1" outlineLevel="1" x14ac:dyDescent="0.3">
      <c r="A149" s="3"/>
      <c r="B149" s="9" t="s">
        <v>354</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15.75" hidden="1" customHeight="1" outlineLevel="1" x14ac:dyDescent="0.3">
      <c r="A150" s="3"/>
      <c r="B150" s="9" t="s">
        <v>355</v>
      </c>
      <c r="C150" s="53"/>
      <c r="D150" s="53"/>
      <c r="E150" s="11">
        <v>0</v>
      </c>
      <c r="F150" s="11">
        <v>0</v>
      </c>
      <c r="G150" s="56"/>
      <c r="H150" s="56"/>
      <c r="I150" s="80"/>
      <c r="J150" s="56"/>
      <c r="K150" s="28"/>
      <c r="L150" s="28"/>
      <c r="M150" s="28"/>
      <c r="N150" s="28"/>
      <c r="O150" s="28"/>
      <c r="P150" s="28"/>
      <c r="Q150" s="28"/>
      <c r="R150" s="28"/>
      <c r="S150" s="28"/>
      <c r="T150" s="28"/>
      <c r="U150" s="3"/>
      <c r="W150" s="3"/>
      <c r="X150" s="3"/>
      <c r="Y150" s="3"/>
      <c r="Z150" s="3"/>
    </row>
    <row r="151" spans="1:26" ht="15.75" hidden="1" customHeight="1" outlineLevel="1" x14ac:dyDescent="0.3">
      <c r="A151" s="3"/>
      <c r="B151" s="9" t="s">
        <v>356</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15.75" hidden="1" customHeight="1" outlineLevel="1" x14ac:dyDescent="0.3">
      <c r="A152" s="3"/>
      <c r="B152" s="9" t="s">
        <v>370</v>
      </c>
      <c r="C152" s="53"/>
      <c r="D152" s="53"/>
      <c r="E152" s="11">
        <v>0</v>
      </c>
      <c r="F152" s="11">
        <v>0</v>
      </c>
      <c r="G152" s="56"/>
      <c r="H152" s="56"/>
      <c r="I152" s="80"/>
      <c r="J152" s="56"/>
      <c r="K152" s="28"/>
      <c r="L152" s="28"/>
      <c r="M152" s="28"/>
      <c r="N152" s="28"/>
      <c r="O152" s="28"/>
      <c r="P152" s="28"/>
      <c r="Q152" s="28"/>
      <c r="R152" s="28"/>
      <c r="S152" s="28"/>
      <c r="T152" s="28"/>
      <c r="U152" s="3"/>
      <c r="W152" s="3"/>
      <c r="X152" s="3"/>
      <c r="Y152" s="3"/>
      <c r="Z152" s="3"/>
    </row>
    <row r="153" spans="1:26" ht="15.75" hidden="1" customHeight="1" outlineLevel="1" x14ac:dyDescent="0.3">
      <c r="A153" s="3"/>
      <c r="B153" s="9" t="s">
        <v>328</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15.75" hidden="1" customHeight="1" outlineLevel="1" x14ac:dyDescent="0.3">
      <c r="A154" s="3"/>
      <c r="B154" s="82" t="s">
        <v>383</v>
      </c>
      <c r="C154" s="83"/>
      <c r="D154" s="83"/>
      <c r="E154" s="84">
        <f>SUM(E155:E159)</f>
        <v>0</v>
      </c>
      <c r="F154" s="84">
        <f>SUMIF(D155:D159,"OK",F155:F159)</f>
        <v>0</v>
      </c>
      <c r="G154" s="85"/>
      <c r="H154" s="85"/>
      <c r="I154" s="86"/>
      <c r="J154" s="85"/>
      <c r="K154" s="28"/>
      <c r="L154" s="28"/>
      <c r="M154" s="28"/>
      <c r="N154" s="28"/>
      <c r="O154" s="28"/>
      <c r="P154" s="28"/>
      <c r="Q154" s="28"/>
      <c r="R154" s="28"/>
      <c r="S154" s="28"/>
      <c r="T154" s="28"/>
      <c r="U154" s="3"/>
      <c r="W154" s="3"/>
      <c r="X154" s="3"/>
      <c r="Y154" s="3"/>
      <c r="Z154" s="3"/>
    </row>
    <row r="155" spans="1:26" ht="15.75" hidden="1" customHeight="1" outlineLevel="1" x14ac:dyDescent="0.3">
      <c r="A155" s="3"/>
      <c r="B155" s="9" t="s">
        <v>354</v>
      </c>
      <c r="C155" s="53"/>
      <c r="D155" s="53"/>
      <c r="E155" s="11">
        <v>0</v>
      </c>
      <c r="F155" s="11">
        <v>0</v>
      </c>
      <c r="G155" s="56"/>
      <c r="H155" s="56"/>
      <c r="I155" s="80"/>
      <c r="J155" s="56"/>
      <c r="K155" s="28"/>
      <c r="L155" s="28"/>
      <c r="M155" s="28"/>
      <c r="N155" s="28"/>
      <c r="O155" s="28"/>
      <c r="P155" s="28"/>
      <c r="Q155" s="28"/>
      <c r="R155" s="28"/>
      <c r="S155" s="28"/>
      <c r="T155" s="28"/>
      <c r="U155" s="3"/>
      <c r="W155" s="3"/>
      <c r="X155" s="3"/>
      <c r="Y155" s="3"/>
      <c r="Z155" s="3"/>
    </row>
    <row r="156" spans="1:26" ht="15.75" hidden="1" customHeight="1" outlineLevel="1" x14ac:dyDescent="0.3">
      <c r="A156" s="3"/>
      <c r="B156" s="9" t="s">
        <v>355</v>
      </c>
      <c r="C156" s="53"/>
      <c r="D156" s="53"/>
      <c r="E156" s="11">
        <v>0</v>
      </c>
      <c r="F156" s="11">
        <v>0</v>
      </c>
      <c r="G156" s="56"/>
      <c r="H156" s="56"/>
      <c r="I156" s="80"/>
      <c r="J156" s="56"/>
      <c r="K156" s="28"/>
      <c r="L156" s="28"/>
      <c r="M156" s="28"/>
      <c r="N156" s="28"/>
      <c r="O156" s="28"/>
      <c r="P156" s="28"/>
      <c r="Q156" s="28"/>
      <c r="R156" s="28"/>
      <c r="S156" s="28"/>
      <c r="T156" s="28"/>
      <c r="U156" s="3"/>
      <c r="W156" s="3"/>
      <c r="X156" s="3"/>
      <c r="Y156" s="3"/>
      <c r="Z156" s="3"/>
    </row>
    <row r="157" spans="1:26" ht="15.75" hidden="1" customHeight="1" outlineLevel="1" x14ac:dyDescent="0.3">
      <c r="A157" s="3"/>
      <c r="B157" s="9" t="s">
        <v>356</v>
      </c>
      <c r="C157" s="53"/>
      <c r="D157" s="53"/>
      <c r="E157" s="11">
        <v>0</v>
      </c>
      <c r="F157" s="11">
        <v>0</v>
      </c>
      <c r="G157" s="56"/>
      <c r="H157" s="56"/>
      <c r="I157" s="80"/>
      <c r="J157" s="56"/>
      <c r="K157" s="28"/>
      <c r="L157" s="28"/>
      <c r="M157" s="28"/>
      <c r="N157" s="28"/>
      <c r="O157" s="28"/>
      <c r="P157" s="28"/>
      <c r="Q157" s="28"/>
      <c r="R157" s="28"/>
      <c r="S157" s="28"/>
      <c r="T157" s="28"/>
      <c r="U157" s="3"/>
      <c r="W157" s="3"/>
      <c r="X157" s="3"/>
      <c r="Y157" s="3"/>
      <c r="Z157" s="3"/>
    </row>
    <row r="158" spans="1:26" ht="15.75" hidden="1" customHeight="1" outlineLevel="1" x14ac:dyDescent="0.3">
      <c r="A158" s="3"/>
      <c r="B158" s="9" t="s">
        <v>370</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5.75" hidden="1" customHeight="1" outlineLevel="1" x14ac:dyDescent="0.3">
      <c r="A159" s="3"/>
      <c r="B159" s="9" t="s">
        <v>328</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5.75" customHeight="1" collapsed="1" x14ac:dyDescent="0.3">
      <c r="A160" s="3"/>
      <c r="B160" s="75" t="s">
        <v>384</v>
      </c>
      <c r="C160" s="76" t="s">
        <v>44</v>
      </c>
      <c r="D160" s="76" t="s">
        <v>44</v>
      </c>
      <c r="E160" s="77">
        <f>SUM(E161:E165)</f>
        <v>0</v>
      </c>
      <c r="F160" s="77">
        <f>SUMIF(D161:D165,"OK",F161:F165)</f>
        <v>0</v>
      </c>
      <c r="G160" s="78"/>
      <c r="H160" s="78"/>
      <c r="I160" s="79"/>
      <c r="J160" s="78"/>
      <c r="K160" s="28"/>
      <c r="L160" s="28"/>
      <c r="M160" s="28"/>
      <c r="N160" s="28"/>
      <c r="O160" s="28"/>
      <c r="P160" s="28"/>
      <c r="Q160" s="28"/>
      <c r="R160" s="28"/>
      <c r="S160" s="28"/>
      <c r="T160" s="28"/>
      <c r="U160" s="3"/>
      <c r="W160" s="3"/>
      <c r="X160" s="3"/>
      <c r="Y160" s="3"/>
      <c r="Z160" s="3"/>
    </row>
    <row r="161" spans="1:26" ht="15.75" hidden="1" customHeight="1" outlineLevel="1" x14ac:dyDescent="0.3">
      <c r="A161" s="3"/>
      <c r="B161" s="9" t="s">
        <v>354</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ht="15.75" hidden="1" customHeight="1" outlineLevel="1" x14ac:dyDescent="0.3">
      <c r="A162" s="3"/>
      <c r="B162" s="9" t="s">
        <v>355</v>
      </c>
      <c r="C162" s="53"/>
      <c r="D162" s="53"/>
      <c r="E162" s="11">
        <v>0</v>
      </c>
      <c r="F162" s="11">
        <v>0</v>
      </c>
      <c r="G162" s="56"/>
      <c r="H162" s="56"/>
      <c r="I162" s="80"/>
      <c r="J162" s="56"/>
      <c r="K162" s="28"/>
      <c r="L162" s="28"/>
      <c r="M162" s="28"/>
      <c r="N162" s="28"/>
      <c r="O162" s="28"/>
      <c r="P162" s="28"/>
      <c r="Q162" s="28"/>
      <c r="R162" s="28"/>
      <c r="S162" s="28"/>
      <c r="T162" s="28"/>
      <c r="U162" s="3"/>
      <c r="W162" s="3"/>
      <c r="X162" s="3"/>
      <c r="Y162" s="3"/>
      <c r="Z162" s="3"/>
    </row>
    <row r="163" spans="1:26" ht="15.75" hidden="1" customHeight="1" outlineLevel="1" x14ac:dyDescent="0.3">
      <c r="A163" s="3"/>
      <c r="B163" s="9" t="s">
        <v>356</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5.75" hidden="1" customHeight="1" outlineLevel="1" x14ac:dyDescent="0.3">
      <c r="A164" s="3"/>
      <c r="B164" s="9" t="s">
        <v>370</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5.75" hidden="1" customHeight="1" outlineLevel="1" x14ac:dyDescent="0.3">
      <c r="A165" s="3"/>
      <c r="B165" s="9" t="s">
        <v>328</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5.75" customHeight="1" collapsed="1" x14ac:dyDescent="0.3">
      <c r="A166" s="3"/>
      <c r="B166" s="75" t="s">
        <v>385</v>
      </c>
      <c r="C166" s="76" t="s">
        <v>44</v>
      </c>
      <c r="D166" s="76" t="s">
        <v>44</v>
      </c>
      <c r="E166" s="77">
        <f>SUM(E167:E171)</f>
        <v>0</v>
      </c>
      <c r="F166" s="77">
        <f>SUMIF(D167:D171,"OK",F167:F171)</f>
        <v>0</v>
      </c>
      <c r="G166" s="78"/>
      <c r="H166" s="78"/>
      <c r="I166" s="79"/>
      <c r="J166" s="78"/>
      <c r="K166" s="28"/>
      <c r="L166" s="28"/>
      <c r="M166" s="28"/>
      <c r="N166" s="28"/>
      <c r="O166" s="28"/>
      <c r="P166" s="28"/>
      <c r="Q166" s="28"/>
      <c r="R166" s="28"/>
      <c r="S166" s="28"/>
      <c r="T166" s="28"/>
      <c r="U166" s="3"/>
      <c r="W166" s="3"/>
      <c r="X166" s="3"/>
      <c r="Y166" s="3"/>
      <c r="Z166" s="3"/>
    </row>
    <row r="167" spans="1:26" ht="15.75" hidden="1" customHeight="1" outlineLevel="1" x14ac:dyDescent="0.3">
      <c r="A167" s="3"/>
      <c r="B167" s="9" t="s">
        <v>386</v>
      </c>
      <c r="C167" s="71"/>
      <c r="D167" s="53"/>
      <c r="E167" s="11">
        <v>0</v>
      </c>
      <c r="F167" s="11">
        <v>0</v>
      </c>
      <c r="G167" s="80"/>
      <c r="H167" s="56"/>
      <c r="I167" s="102"/>
      <c r="J167" s="56"/>
      <c r="K167" s="28"/>
      <c r="L167" s="28"/>
      <c r="M167" s="28"/>
      <c r="N167" s="28"/>
      <c r="O167" s="28"/>
      <c r="P167" s="28"/>
      <c r="Q167" s="28"/>
      <c r="R167" s="28"/>
      <c r="S167" s="28"/>
      <c r="T167" s="28"/>
      <c r="U167" s="3"/>
      <c r="W167" s="3"/>
      <c r="X167" s="3"/>
      <c r="Y167" s="3"/>
      <c r="Z167" s="3"/>
    </row>
    <row r="168" spans="1:26" ht="15.75" hidden="1" customHeight="1" outlineLevel="1" x14ac:dyDescent="0.3">
      <c r="A168" s="3"/>
      <c r="B168" s="9" t="s">
        <v>355</v>
      </c>
      <c r="C168" s="53"/>
      <c r="D168" s="53"/>
      <c r="E168" s="11">
        <v>0</v>
      </c>
      <c r="F168" s="11">
        <v>0</v>
      </c>
      <c r="G168" s="80"/>
      <c r="H168" s="56"/>
      <c r="I168" s="80"/>
      <c r="J168" s="80"/>
      <c r="K168" s="28"/>
      <c r="L168" s="28"/>
      <c r="M168" s="28"/>
      <c r="N168" s="28"/>
      <c r="O168" s="28"/>
      <c r="P168" s="28"/>
      <c r="Q168" s="28"/>
      <c r="R168" s="28"/>
      <c r="S168" s="28"/>
      <c r="T168" s="28"/>
      <c r="U168" s="3"/>
      <c r="W168" s="3"/>
      <c r="X168" s="3"/>
      <c r="Y168" s="3"/>
      <c r="Z168" s="3"/>
    </row>
    <row r="169" spans="1:26" ht="15.75" hidden="1" customHeight="1" outlineLevel="1" x14ac:dyDescent="0.3">
      <c r="A169" s="3"/>
      <c r="B169" s="9" t="s">
        <v>356</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5.75" hidden="1" customHeight="1" outlineLevel="1" x14ac:dyDescent="0.3">
      <c r="A170" s="3"/>
      <c r="B170" s="9" t="s">
        <v>370</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5.75" hidden="1" customHeight="1" outlineLevel="1" x14ac:dyDescent="0.3">
      <c r="A171" s="3"/>
      <c r="B171" s="9" t="s">
        <v>328</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5.75" customHeight="1" collapsed="1" x14ac:dyDescent="0.3">
      <c r="A172" s="3"/>
      <c r="B172" s="75" t="s">
        <v>395</v>
      </c>
      <c r="C172" s="76" t="s">
        <v>44</v>
      </c>
      <c r="D172" s="76" t="s">
        <v>44</v>
      </c>
      <c r="E172" s="77">
        <f>SUM(E173:E181)</f>
        <v>0</v>
      </c>
      <c r="F172" s="77">
        <f>SUMIF(D173:D181,"OK",F173:F181)</f>
        <v>0</v>
      </c>
      <c r="G172" s="78"/>
      <c r="H172" s="78"/>
      <c r="I172" s="79"/>
      <c r="J172" s="78"/>
      <c r="K172" s="28"/>
      <c r="L172" s="28"/>
      <c r="M172" s="28"/>
      <c r="N172" s="28"/>
      <c r="O172" s="28"/>
      <c r="P172" s="28"/>
      <c r="Q172" s="28"/>
      <c r="R172" s="28"/>
      <c r="S172" s="28"/>
      <c r="T172" s="28"/>
      <c r="U172" s="3"/>
      <c r="W172" s="3"/>
      <c r="X172" s="3"/>
      <c r="Y172" s="3"/>
      <c r="Z172" s="3"/>
    </row>
    <row r="173" spans="1:26" ht="15.75" hidden="1" customHeight="1" outlineLevel="1" x14ac:dyDescent="0.3">
      <c r="A173" s="3"/>
      <c r="B173" s="9" t="s">
        <v>645</v>
      </c>
      <c r="C173" s="53"/>
      <c r="D173" s="53"/>
      <c r="E173" s="11">
        <v>0</v>
      </c>
      <c r="F173" s="11">
        <v>0</v>
      </c>
      <c r="G173" s="56"/>
      <c r="H173" s="56"/>
      <c r="I173" s="102"/>
      <c r="J173" s="56"/>
      <c r="K173" s="28"/>
      <c r="L173" s="28"/>
      <c r="M173" s="28"/>
      <c r="N173" s="28"/>
      <c r="O173" s="28"/>
      <c r="P173" s="28"/>
      <c r="Q173" s="28"/>
      <c r="R173" s="28"/>
      <c r="S173" s="28"/>
      <c r="T173" s="28"/>
      <c r="U173" s="3"/>
      <c r="W173" s="3"/>
      <c r="X173" s="3"/>
      <c r="Y173" s="3"/>
      <c r="Z173" s="3"/>
    </row>
    <row r="174" spans="1:26" ht="15.75" hidden="1" customHeight="1" outlineLevel="1" x14ac:dyDescent="0.3">
      <c r="A174" s="3"/>
      <c r="B174" s="9" t="s">
        <v>646</v>
      </c>
      <c r="C174" s="53"/>
      <c r="D174" s="53"/>
      <c r="E174" s="11">
        <v>0</v>
      </c>
      <c r="F174" s="11">
        <v>0</v>
      </c>
      <c r="G174" s="56"/>
      <c r="H174" s="56"/>
      <c r="I174" s="102"/>
      <c r="J174" s="56"/>
      <c r="K174" s="28"/>
      <c r="L174" s="28"/>
      <c r="M174" s="28"/>
      <c r="N174" s="28"/>
      <c r="O174" s="28"/>
      <c r="P174" s="28"/>
      <c r="Q174" s="28"/>
      <c r="R174" s="28"/>
      <c r="S174" s="28"/>
      <c r="T174" s="28"/>
      <c r="U174" s="3"/>
      <c r="W174" s="3"/>
      <c r="X174" s="3"/>
      <c r="Y174" s="3"/>
      <c r="Z174" s="3"/>
    </row>
    <row r="175" spans="1:26" ht="15.75" hidden="1" customHeight="1" outlineLevel="1" x14ac:dyDescent="0.3">
      <c r="A175" s="3"/>
      <c r="B175" s="9" t="s">
        <v>356</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5.75" hidden="1" customHeight="1" outlineLevel="1" x14ac:dyDescent="0.3">
      <c r="A176" s="3"/>
      <c r="B176" s="9" t="s">
        <v>370</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15.75" hidden="1" customHeight="1" outlineLevel="1" x14ac:dyDescent="0.3">
      <c r="A177" s="3"/>
      <c r="B177" s="9" t="s">
        <v>328</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5.75" hidden="1" customHeight="1" outlineLevel="1" x14ac:dyDescent="0.3">
      <c r="A178" s="3"/>
      <c r="B178" s="9" t="s">
        <v>329</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5.75" hidden="1" customHeight="1" outlineLevel="1" x14ac:dyDescent="0.3">
      <c r="A179" s="3"/>
      <c r="B179" s="9" t="s">
        <v>371</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5.75" hidden="1" customHeight="1" outlineLevel="1" x14ac:dyDescent="0.3">
      <c r="A180" s="3"/>
      <c r="B180" s="9" t="s">
        <v>372</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15.75" hidden="1" customHeight="1" outlineLevel="1" x14ac:dyDescent="0.3">
      <c r="A181" s="3"/>
      <c r="B181" s="9" t="s">
        <v>373</v>
      </c>
      <c r="C181" s="53"/>
      <c r="D181" s="53"/>
      <c r="E181" s="11">
        <v>0</v>
      </c>
      <c r="F181" s="11">
        <v>0</v>
      </c>
      <c r="G181" s="56"/>
      <c r="H181" s="56"/>
      <c r="I181" s="80"/>
      <c r="J181" s="56"/>
      <c r="K181" s="28"/>
      <c r="L181" s="28"/>
      <c r="M181" s="28"/>
      <c r="N181" s="28"/>
      <c r="O181" s="28"/>
      <c r="P181" s="28"/>
      <c r="Q181" s="28"/>
      <c r="R181" s="28"/>
      <c r="S181" s="28"/>
      <c r="T181" s="28"/>
      <c r="U181" s="3"/>
      <c r="W181" s="3"/>
      <c r="X181" s="3"/>
      <c r="Y181" s="3"/>
      <c r="Z181" s="3"/>
    </row>
    <row r="182" spans="1:26" ht="15.75" customHeight="1" collapsed="1" x14ac:dyDescent="0.3">
      <c r="A182" s="3"/>
      <c r="B182" s="75" t="s">
        <v>402</v>
      </c>
      <c r="C182" s="76" t="s">
        <v>44</v>
      </c>
      <c r="D182" s="76" t="s">
        <v>44</v>
      </c>
      <c r="E182" s="77">
        <f>SUM(E183:E191)</f>
        <v>0</v>
      </c>
      <c r="F182" s="77">
        <f>SUMIF(D183:D191,"OK",F183:F191)</f>
        <v>0</v>
      </c>
      <c r="G182" s="78"/>
      <c r="H182" s="78"/>
      <c r="I182" s="79"/>
      <c r="J182" s="78"/>
      <c r="K182" s="28"/>
      <c r="L182" s="28"/>
      <c r="M182" s="28"/>
      <c r="N182" s="28"/>
      <c r="O182" s="28"/>
      <c r="P182" s="28"/>
      <c r="Q182" s="28"/>
      <c r="R182" s="28"/>
      <c r="S182" s="28"/>
      <c r="T182" s="28"/>
      <c r="U182" s="3"/>
      <c r="W182" s="3"/>
      <c r="X182" s="3"/>
      <c r="Y182" s="3"/>
      <c r="Z182" s="3"/>
    </row>
    <row r="183" spans="1:26" ht="15.75" hidden="1" customHeight="1" outlineLevel="1" x14ac:dyDescent="0.3">
      <c r="A183" s="3"/>
      <c r="B183" s="9" t="s">
        <v>354</v>
      </c>
      <c r="C183" s="53"/>
      <c r="D183" s="53"/>
      <c r="E183" s="11">
        <v>0</v>
      </c>
      <c r="F183" s="11">
        <v>0</v>
      </c>
      <c r="G183" s="56"/>
      <c r="H183" s="56"/>
      <c r="I183" s="80"/>
      <c r="J183" s="56"/>
      <c r="K183" s="28"/>
      <c r="L183" s="28"/>
      <c r="M183" s="28"/>
      <c r="N183" s="28"/>
      <c r="O183" s="28"/>
      <c r="P183" s="28"/>
      <c r="Q183" s="28"/>
      <c r="R183" s="28"/>
      <c r="S183" s="28"/>
      <c r="T183" s="28"/>
      <c r="U183" s="3"/>
      <c r="W183" s="3"/>
      <c r="X183" s="3"/>
      <c r="Y183" s="3"/>
      <c r="Z183" s="3"/>
    </row>
    <row r="184" spans="1:26" ht="15.75" hidden="1" customHeight="1" outlineLevel="1" x14ac:dyDescent="0.3">
      <c r="A184" s="3"/>
      <c r="B184" s="9" t="s">
        <v>355</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15.75" hidden="1" customHeight="1" outlineLevel="1" x14ac:dyDescent="0.3">
      <c r="A185" s="3"/>
      <c r="B185" s="9" t="s">
        <v>356</v>
      </c>
      <c r="C185" s="53"/>
      <c r="D185" s="53"/>
      <c r="E185" s="11">
        <v>0</v>
      </c>
      <c r="F185" s="11">
        <v>0</v>
      </c>
      <c r="G185" s="56"/>
      <c r="H185" s="56"/>
      <c r="I185" s="80"/>
      <c r="J185" s="56"/>
      <c r="K185" s="28"/>
      <c r="L185" s="28"/>
      <c r="M185" s="28"/>
      <c r="N185" s="28"/>
      <c r="O185" s="28"/>
      <c r="P185" s="28"/>
      <c r="Q185" s="28"/>
      <c r="R185" s="28"/>
      <c r="S185" s="28"/>
      <c r="T185" s="28"/>
      <c r="U185" s="3"/>
      <c r="W185" s="3"/>
      <c r="X185" s="3"/>
      <c r="Y185" s="3"/>
      <c r="Z185" s="3"/>
    </row>
    <row r="186" spans="1:26" ht="15.75" hidden="1" customHeight="1" outlineLevel="1" x14ac:dyDescent="0.3">
      <c r="A186" s="3"/>
      <c r="B186" s="9" t="s">
        <v>370</v>
      </c>
      <c r="C186" s="53"/>
      <c r="D186" s="53"/>
      <c r="E186" s="11">
        <v>0</v>
      </c>
      <c r="F186" s="11">
        <v>0</v>
      </c>
      <c r="G186" s="56"/>
      <c r="H186" s="56"/>
      <c r="I186" s="80"/>
      <c r="J186" s="56"/>
      <c r="K186" s="28"/>
      <c r="L186" s="28"/>
      <c r="M186" s="28"/>
      <c r="N186" s="28"/>
      <c r="O186" s="28"/>
      <c r="P186" s="28"/>
      <c r="Q186" s="28"/>
      <c r="R186" s="28"/>
      <c r="S186" s="28"/>
      <c r="T186" s="28"/>
      <c r="U186" s="3"/>
      <c r="W186" s="3"/>
      <c r="X186" s="3"/>
      <c r="Y186" s="3"/>
      <c r="Z186" s="3"/>
    </row>
    <row r="187" spans="1:26" ht="15.75" hidden="1" customHeight="1" outlineLevel="1" x14ac:dyDescent="0.3">
      <c r="A187" s="3"/>
      <c r="B187" s="9" t="s">
        <v>328</v>
      </c>
      <c r="C187" s="53"/>
      <c r="D187" s="53"/>
      <c r="E187" s="11">
        <v>0</v>
      </c>
      <c r="F187" s="11">
        <v>0</v>
      </c>
      <c r="G187" s="56"/>
      <c r="H187" s="56"/>
      <c r="I187" s="80"/>
      <c r="J187" s="56"/>
      <c r="K187" s="28"/>
      <c r="L187" s="28"/>
      <c r="M187" s="28"/>
      <c r="N187" s="28"/>
      <c r="O187" s="28"/>
      <c r="P187" s="28"/>
      <c r="Q187" s="28"/>
      <c r="R187" s="28"/>
      <c r="S187" s="28"/>
      <c r="T187" s="28"/>
      <c r="U187" s="3"/>
      <c r="W187" s="3"/>
      <c r="X187" s="3"/>
      <c r="Y187" s="3"/>
      <c r="Z187" s="3"/>
    </row>
    <row r="188" spans="1:26" ht="15.75" hidden="1" customHeight="1" outlineLevel="1" x14ac:dyDescent="0.3">
      <c r="A188" s="3"/>
      <c r="B188" s="9" t="s">
        <v>329</v>
      </c>
      <c r="C188" s="53"/>
      <c r="D188" s="53"/>
      <c r="E188" s="11">
        <v>0</v>
      </c>
      <c r="F188" s="11">
        <v>0</v>
      </c>
      <c r="G188" s="56"/>
      <c r="H188" s="56"/>
      <c r="I188" s="80"/>
      <c r="J188" s="56"/>
      <c r="K188" s="28"/>
      <c r="L188" s="28"/>
      <c r="M188" s="28"/>
      <c r="N188" s="28"/>
      <c r="O188" s="28"/>
      <c r="P188" s="28"/>
      <c r="Q188" s="28"/>
      <c r="R188" s="28"/>
      <c r="S188" s="28"/>
      <c r="T188" s="28"/>
      <c r="U188" s="3"/>
      <c r="W188" s="3"/>
      <c r="X188" s="3"/>
      <c r="Y188" s="3"/>
      <c r="Z188" s="3"/>
    </row>
    <row r="189" spans="1:26" ht="15.75" hidden="1" customHeight="1" outlineLevel="1" x14ac:dyDescent="0.3">
      <c r="A189" s="3"/>
      <c r="B189" s="9" t="s">
        <v>371</v>
      </c>
      <c r="C189" s="53"/>
      <c r="D189" s="53"/>
      <c r="E189" s="11">
        <v>0</v>
      </c>
      <c r="F189" s="11">
        <v>0</v>
      </c>
      <c r="G189" s="56"/>
      <c r="H189" s="56"/>
      <c r="I189" s="80"/>
      <c r="J189" s="56"/>
      <c r="K189" s="28"/>
      <c r="L189" s="28"/>
      <c r="M189" s="28"/>
      <c r="N189" s="28"/>
      <c r="O189" s="28"/>
      <c r="P189" s="28"/>
      <c r="Q189" s="28"/>
      <c r="R189" s="28"/>
      <c r="S189" s="28"/>
      <c r="T189" s="28"/>
      <c r="U189" s="3"/>
      <c r="W189" s="3"/>
      <c r="X189" s="3"/>
      <c r="Y189" s="3"/>
      <c r="Z189" s="3"/>
    </row>
    <row r="190" spans="1:26" ht="15.75" hidden="1" customHeight="1" outlineLevel="1" x14ac:dyDescent="0.3">
      <c r="A190" s="3"/>
      <c r="B190" s="9" t="s">
        <v>372</v>
      </c>
      <c r="C190" s="53"/>
      <c r="D190" s="53"/>
      <c r="E190" s="11">
        <v>0</v>
      </c>
      <c r="F190" s="11">
        <v>0</v>
      </c>
      <c r="G190" s="56"/>
      <c r="H190" s="56"/>
      <c r="I190" s="80"/>
      <c r="J190" s="56"/>
      <c r="K190" s="28"/>
      <c r="L190" s="28"/>
      <c r="M190" s="28"/>
      <c r="N190" s="28"/>
      <c r="O190" s="28"/>
      <c r="P190" s="28"/>
      <c r="Q190" s="28"/>
      <c r="R190" s="28"/>
      <c r="S190" s="28"/>
      <c r="T190" s="28"/>
      <c r="U190" s="3"/>
      <c r="W190" s="3"/>
      <c r="X190" s="3"/>
      <c r="Y190" s="3"/>
      <c r="Z190" s="3"/>
    </row>
    <row r="191" spans="1:26" ht="15.75" hidden="1" customHeight="1" outlineLevel="1" x14ac:dyDescent="0.3">
      <c r="A191" s="3"/>
      <c r="B191" s="9" t="s">
        <v>373</v>
      </c>
      <c r="C191" s="53"/>
      <c r="D191" s="53"/>
      <c r="E191" s="11">
        <v>0</v>
      </c>
      <c r="F191" s="11">
        <v>0</v>
      </c>
      <c r="G191" s="56"/>
      <c r="H191" s="56"/>
      <c r="I191" s="80"/>
      <c r="J191" s="56"/>
      <c r="K191" s="28"/>
      <c r="L191" s="28"/>
      <c r="M191" s="28"/>
      <c r="N191" s="28"/>
      <c r="O191" s="28"/>
      <c r="P191" s="28"/>
      <c r="Q191" s="28"/>
      <c r="R191" s="28"/>
      <c r="S191" s="28"/>
      <c r="T191" s="28"/>
      <c r="U191" s="3"/>
      <c r="W191" s="3"/>
      <c r="X191" s="3"/>
      <c r="Y191" s="3"/>
      <c r="Z191" s="3"/>
    </row>
    <row r="192" spans="1:26" ht="15.75" customHeight="1" collapsed="1" x14ac:dyDescent="0.3">
      <c r="A192" s="3"/>
      <c r="B192" s="75" t="s">
        <v>403</v>
      </c>
      <c r="C192" s="76" t="s">
        <v>44</v>
      </c>
      <c r="D192" s="76" t="s">
        <v>44</v>
      </c>
      <c r="E192" s="77">
        <f>SUM(E193:E201)</f>
        <v>0</v>
      </c>
      <c r="F192" s="77">
        <f>SUMIF(D193:D201,"OK",F193:F201)</f>
        <v>357</v>
      </c>
      <c r="G192" s="78"/>
      <c r="H192" s="78"/>
      <c r="I192" s="79"/>
      <c r="J192" s="78"/>
      <c r="K192" s="28"/>
      <c r="L192" s="28"/>
      <c r="M192" s="28"/>
      <c r="N192" s="28"/>
      <c r="O192" s="28"/>
      <c r="P192" s="28"/>
      <c r="Q192" s="28"/>
      <c r="R192" s="28"/>
      <c r="S192" s="28"/>
      <c r="T192" s="28"/>
      <c r="U192" s="3"/>
      <c r="W192" s="3"/>
      <c r="X192" s="3"/>
      <c r="Y192" s="3"/>
      <c r="Z192" s="3"/>
    </row>
    <row r="193" spans="1:26" ht="15.75" hidden="1" customHeight="1" outlineLevel="1" x14ac:dyDescent="0.3">
      <c r="A193" s="3"/>
      <c r="B193" s="9" t="s">
        <v>647</v>
      </c>
      <c r="C193" s="53">
        <v>27</v>
      </c>
      <c r="D193" s="53" t="s">
        <v>95</v>
      </c>
      <c r="E193" s="11">
        <v>0</v>
      </c>
      <c r="F193" s="11">
        <v>357</v>
      </c>
      <c r="G193" s="56"/>
      <c r="H193" s="56" t="s">
        <v>37</v>
      </c>
      <c r="I193" s="102" t="s">
        <v>648</v>
      </c>
      <c r="J193" s="56"/>
      <c r="K193" s="28"/>
      <c r="L193" s="28"/>
      <c r="M193" s="28"/>
      <c r="N193" s="28"/>
      <c r="O193" s="28"/>
      <c r="P193" s="28"/>
      <c r="Q193" s="28"/>
      <c r="R193" s="28"/>
      <c r="S193" s="28"/>
      <c r="T193" s="28"/>
      <c r="U193" s="3"/>
      <c r="W193" s="3"/>
      <c r="X193" s="3"/>
      <c r="Y193" s="3"/>
      <c r="Z193" s="3"/>
    </row>
    <row r="194" spans="1:26" ht="15.75" hidden="1" customHeight="1" outlineLevel="1" x14ac:dyDescent="0.3">
      <c r="A194" s="3"/>
      <c r="B194" s="9" t="s">
        <v>355</v>
      </c>
      <c r="C194" s="53"/>
      <c r="D194" s="53"/>
      <c r="E194" s="11">
        <v>0</v>
      </c>
      <c r="F194" s="11">
        <v>0</v>
      </c>
      <c r="G194" s="56"/>
      <c r="H194" s="56"/>
      <c r="I194" s="80"/>
      <c r="J194" s="56"/>
      <c r="K194" s="28"/>
      <c r="L194" s="28"/>
      <c r="M194" s="28"/>
      <c r="N194" s="28"/>
      <c r="O194" s="28"/>
      <c r="P194" s="28"/>
      <c r="Q194" s="28"/>
      <c r="R194" s="28"/>
      <c r="S194" s="28"/>
      <c r="T194" s="28"/>
      <c r="U194" s="3"/>
      <c r="W194" s="3"/>
      <c r="X194" s="3"/>
      <c r="Y194" s="3"/>
      <c r="Z194" s="3"/>
    </row>
    <row r="195" spans="1:26" ht="15.75" hidden="1" customHeight="1" outlineLevel="1" x14ac:dyDescent="0.3">
      <c r="A195" s="3"/>
      <c r="B195" s="9" t="s">
        <v>356</v>
      </c>
      <c r="C195" s="53"/>
      <c r="D195" s="53"/>
      <c r="E195" s="11">
        <v>0</v>
      </c>
      <c r="F195" s="11">
        <v>0</v>
      </c>
      <c r="G195" s="56"/>
      <c r="H195" s="56"/>
      <c r="I195" s="80"/>
      <c r="J195" s="56"/>
      <c r="K195" s="28"/>
      <c r="L195" s="28"/>
      <c r="M195" s="28"/>
      <c r="N195" s="28"/>
      <c r="O195" s="28"/>
      <c r="P195" s="28"/>
      <c r="Q195" s="28"/>
      <c r="R195" s="28"/>
      <c r="S195" s="28"/>
      <c r="T195" s="28"/>
      <c r="U195" s="3"/>
      <c r="W195" s="3"/>
      <c r="X195" s="3"/>
      <c r="Y195" s="3"/>
      <c r="Z195" s="3"/>
    </row>
    <row r="196" spans="1:26" ht="15.75" hidden="1" customHeight="1" outlineLevel="1" x14ac:dyDescent="0.3">
      <c r="A196" s="3"/>
      <c r="B196" s="9" t="s">
        <v>370</v>
      </c>
      <c r="C196" s="53"/>
      <c r="D196" s="53"/>
      <c r="E196" s="11">
        <v>0</v>
      </c>
      <c r="F196" s="11">
        <v>0</v>
      </c>
      <c r="G196" s="56"/>
      <c r="H196" s="56"/>
      <c r="I196" s="80"/>
      <c r="J196" s="56"/>
      <c r="K196" s="28"/>
      <c r="L196" s="28"/>
      <c r="M196" s="28"/>
      <c r="N196" s="28"/>
      <c r="O196" s="28"/>
      <c r="P196" s="28"/>
      <c r="Q196" s="28"/>
      <c r="R196" s="28"/>
      <c r="S196" s="28"/>
      <c r="T196" s="28"/>
      <c r="U196" s="3"/>
      <c r="W196" s="3"/>
      <c r="X196" s="3"/>
      <c r="Y196" s="3"/>
      <c r="Z196" s="3"/>
    </row>
    <row r="197" spans="1:26" ht="15.75" hidden="1" customHeight="1" outlineLevel="1" x14ac:dyDescent="0.3">
      <c r="A197" s="3"/>
      <c r="B197" s="9" t="s">
        <v>328</v>
      </c>
      <c r="C197" s="53"/>
      <c r="D197" s="53"/>
      <c r="E197" s="11">
        <v>0</v>
      </c>
      <c r="F197" s="11">
        <v>0</v>
      </c>
      <c r="G197" s="56"/>
      <c r="H197" s="56"/>
      <c r="I197" s="80"/>
      <c r="J197" s="56"/>
      <c r="K197" s="28"/>
      <c r="L197" s="28"/>
      <c r="M197" s="28"/>
      <c r="N197" s="28"/>
      <c r="O197" s="28"/>
      <c r="P197" s="28"/>
      <c r="Q197" s="28"/>
      <c r="R197" s="28"/>
      <c r="S197" s="28"/>
      <c r="T197" s="28"/>
      <c r="U197" s="3"/>
      <c r="W197" s="3"/>
      <c r="X197" s="3"/>
      <c r="Y197" s="3"/>
      <c r="Z197" s="3"/>
    </row>
    <row r="198" spans="1:26" ht="15.75" hidden="1" customHeight="1" outlineLevel="1" x14ac:dyDescent="0.3">
      <c r="A198" s="3"/>
      <c r="B198" s="9" t="s">
        <v>329</v>
      </c>
      <c r="C198" s="53"/>
      <c r="D198" s="53"/>
      <c r="E198" s="11">
        <v>0</v>
      </c>
      <c r="F198" s="11">
        <v>0</v>
      </c>
      <c r="G198" s="56"/>
      <c r="H198" s="56"/>
      <c r="I198" s="80"/>
      <c r="J198" s="56"/>
      <c r="K198" s="28"/>
      <c r="L198" s="28"/>
      <c r="M198" s="28"/>
      <c r="N198" s="28"/>
      <c r="O198" s="28"/>
      <c r="P198" s="28"/>
      <c r="Q198" s="28"/>
      <c r="R198" s="28"/>
      <c r="S198" s="28"/>
      <c r="T198" s="28"/>
      <c r="U198" s="3"/>
      <c r="W198" s="3"/>
      <c r="X198" s="3"/>
      <c r="Y198" s="3"/>
      <c r="Z198" s="3"/>
    </row>
    <row r="199" spans="1:26" ht="15.75" hidden="1" customHeight="1" outlineLevel="1" x14ac:dyDescent="0.3">
      <c r="A199" s="3"/>
      <c r="B199" s="9" t="s">
        <v>371</v>
      </c>
      <c r="C199" s="53"/>
      <c r="D199" s="53"/>
      <c r="E199" s="11">
        <v>0</v>
      </c>
      <c r="F199" s="11">
        <v>0</v>
      </c>
      <c r="G199" s="56"/>
      <c r="H199" s="56"/>
      <c r="I199" s="80"/>
      <c r="J199" s="56"/>
      <c r="K199" s="28"/>
      <c r="L199" s="28"/>
      <c r="M199" s="28"/>
      <c r="N199" s="28"/>
      <c r="O199" s="28"/>
      <c r="P199" s="28"/>
      <c r="Q199" s="28"/>
      <c r="R199" s="28"/>
      <c r="S199" s="28"/>
      <c r="T199" s="28"/>
      <c r="U199" s="3"/>
      <c r="W199" s="3"/>
      <c r="X199" s="3"/>
      <c r="Y199" s="3"/>
      <c r="Z199" s="3"/>
    </row>
    <row r="200" spans="1:26" ht="15.75" hidden="1" customHeight="1" outlineLevel="1" x14ac:dyDescent="0.3">
      <c r="A200" s="3"/>
      <c r="B200" s="9" t="s">
        <v>372</v>
      </c>
      <c r="C200" s="53"/>
      <c r="D200" s="53"/>
      <c r="E200" s="11">
        <v>0</v>
      </c>
      <c r="F200" s="11">
        <v>0</v>
      </c>
      <c r="G200" s="56"/>
      <c r="H200" s="56"/>
      <c r="I200" s="80"/>
      <c r="J200" s="56"/>
      <c r="K200" s="28"/>
      <c r="L200" s="28"/>
      <c r="M200" s="28"/>
      <c r="N200" s="28"/>
      <c r="O200" s="28"/>
      <c r="P200" s="28"/>
      <c r="Q200" s="28"/>
      <c r="R200" s="28"/>
      <c r="S200" s="28"/>
      <c r="T200" s="28"/>
      <c r="U200" s="3"/>
      <c r="W200" s="3"/>
      <c r="X200" s="3"/>
      <c r="Y200" s="3"/>
      <c r="Z200" s="3"/>
    </row>
    <row r="201" spans="1:26" ht="15.75" hidden="1" customHeight="1" outlineLevel="1" x14ac:dyDescent="0.3">
      <c r="A201" s="3"/>
      <c r="B201" s="9" t="s">
        <v>373</v>
      </c>
      <c r="C201" s="53"/>
      <c r="D201" s="53"/>
      <c r="E201" s="11">
        <v>0</v>
      </c>
      <c r="F201" s="11">
        <v>0</v>
      </c>
      <c r="G201" s="56"/>
      <c r="H201" s="56"/>
      <c r="I201" s="80"/>
      <c r="J201" s="56"/>
      <c r="K201" s="28"/>
      <c r="L201" s="28"/>
      <c r="M201" s="28"/>
      <c r="N201" s="28"/>
      <c r="O201" s="28"/>
      <c r="P201" s="28"/>
      <c r="Q201" s="28"/>
      <c r="R201" s="28"/>
      <c r="S201" s="28"/>
      <c r="T201" s="28"/>
      <c r="U201" s="3"/>
      <c r="W201" s="3"/>
      <c r="X201" s="3"/>
      <c r="Y201" s="3"/>
      <c r="Z201" s="3"/>
    </row>
    <row r="202" spans="1:26" ht="15.75" customHeight="1" collapsed="1" x14ac:dyDescent="0.3">
      <c r="A202" s="3"/>
      <c r="B202" s="75" t="s">
        <v>404</v>
      </c>
      <c r="C202" s="76" t="s">
        <v>44</v>
      </c>
      <c r="D202" s="76" t="s">
        <v>44</v>
      </c>
      <c r="E202" s="77">
        <f>SUM(E203:E211)</f>
        <v>0</v>
      </c>
      <c r="F202" s="77">
        <f>SUMIF(D203:D211,"OK",F203:F211)</f>
        <v>160</v>
      </c>
      <c r="G202" s="78"/>
      <c r="H202" s="78"/>
      <c r="I202" s="79"/>
      <c r="J202" s="78"/>
      <c r="K202" s="28"/>
      <c r="L202" s="28"/>
      <c r="M202" s="28"/>
      <c r="N202" s="28"/>
      <c r="O202" s="28"/>
      <c r="P202" s="28"/>
      <c r="Q202" s="28"/>
      <c r="R202" s="28"/>
      <c r="S202" s="28"/>
      <c r="T202" s="28"/>
      <c r="U202" s="3"/>
      <c r="W202" s="3"/>
      <c r="X202" s="3"/>
      <c r="Y202" s="3"/>
      <c r="Z202" s="3"/>
    </row>
    <row r="203" spans="1:26" ht="15.75" hidden="1" customHeight="1" outlineLevel="1" x14ac:dyDescent="0.3">
      <c r="A203" s="3"/>
      <c r="B203" s="9" t="s">
        <v>649</v>
      </c>
      <c r="C203" s="53">
        <v>3</v>
      </c>
      <c r="D203" s="53" t="s">
        <v>95</v>
      </c>
      <c r="E203" s="11">
        <v>0</v>
      </c>
      <c r="F203" s="11">
        <v>80</v>
      </c>
      <c r="G203" s="80"/>
      <c r="H203" s="56" t="s">
        <v>37</v>
      </c>
      <c r="I203" s="102" t="s">
        <v>579</v>
      </c>
      <c r="J203" s="56"/>
      <c r="K203" s="28"/>
      <c r="L203" s="28"/>
      <c r="M203" s="28"/>
      <c r="N203" s="28"/>
      <c r="O203" s="28"/>
      <c r="P203" s="28"/>
      <c r="Q203" s="28"/>
      <c r="R203" s="28"/>
      <c r="S203" s="28"/>
      <c r="T203" s="28"/>
      <c r="U203" s="3"/>
      <c r="W203" s="3"/>
      <c r="X203" s="3"/>
      <c r="Y203" s="3"/>
      <c r="Z203" s="3"/>
    </row>
    <row r="204" spans="1:26" ht="15.75" hidden="1" customHeight="1" outlineLevel="1" x14ac:dyDescent="0.3">
      <c r="A204" s="3"/>
      <c r="B204" s="9" t="s">
        <v>649</v>
      </c>
      <c r="C204" s="53">
        <v>31</v>
      </c>
      <c r="D204" s="53" t="s">
        <v>95</v>
      </c>
      <c r="E204" s="11">
        <v>0</v>
      </c>
      <c r="F204" s="11">
        <v>80</v>
      </c>
      <c r="G204" s="80"/>
      <c r="H204" s="56" t="s">
        <v>37</v>
      </c>
      <c r="I204" s="102" t="s">
        <v>582</v>
      </c>
      <c r="J204" s="56"/>
      <c r="K204" s="28"/>
      <c r="L204" s="28"/>
      <c r="M204" s="28"/>
      <c r="N204" s="28"/>
      <c r="O204" s="28"/>
      <c r="P204" s="28"/>
      <c r="Q204" s="28"/>
      <c r="R204" s="28"/>
      <c r="S204" s="28"/>
      <c r="T204" s="28"/>
      <c r="U204" s="3"/>
      <c r="W204" s="3"/>
      <c r="X204" s="3"/>
      <c r="Y204" s="3"/>
      <c r="Z204" s="3"/>
    </row>
    <row r="205" spans="1:26" ht="15.75" hidden="1" customHeight="1" outlineLevel="1" x14ac:dyDescent="0.3">
      <c r="A205" s="3"/>
      <c r="B205" s="9" t="s">
        <v>356</v>
      </c>
      <c r="C205" s="53"/>
      <c r="D205" s="53"/>
      <c r="E205" s="11">
        <v>0</v>
      </c>
      <c r="F205" s="11">
        <v>0</v>
      </c>
      <c r="G205" s="56"/>
      <c r="H205" s="56"/>
      <c r="I205" s="80"/>
      <c r="J205" s="56"/>
      <c r="K205" s="28"/>
      <c r="L205" s="28"/>
      <c r="M205" s="28"/>
      <c r="N205" s="28"/>
      <c r="O205" s="28"/>
      <c r="P205" s="28"/>
      <c r="Q205" s="28"/>
      <c r="R205" s="28"/>
      <c r="S205" s="28"/>
      <c r="T205" s="28"/>
      <c r="U205" s="3"/>
      <c r="W205" s="3"/>
      <c r="X205" s="3"/>
      <c r="Y205" s="3"/>
      <c r="Z205" s="3"/>
    </row>
    <row r="206" spans="1:26" ht="15.75" hidden="1" customHeight="1" outlineLevel="1" x14ac:dyDescent="0.3">
      <c r="A206" s="3"/>
      <c r="B206" s="9" t="s">
        <v>370</v>
      </c>
      <c r="C206" s="53"/>
      <c r="D206" s="53"/>
      <c r="E206" s="11">
        <v>0</v>
      </c>
      <c r="F206" s="11">
        <v>0</v>
      </c>
      <c r="G206" s="56"/>
      <c r="H206" s="56"/>
      <c r="I206" s="80"/>
      <c r="J206" s="56"/>
      <c r="K206" s="28"/>
      <c r="L206" s="28"/>
      <c r="M206" s="28"/>
      <c r="N206" s="28"/>
      <c r="O206" s="28"/>
      <c r="P206" s="28"/>
      <c r="Q206" s="28"/>
      <c r="R206" s="28"/>
      <c r="S206" s="28"/>
      <c r="T206" s="28"/>
      <c r="U206" s="3"/>
      <c r="W206" s="3"/>
      <c r="X206" s="3"/>
      <c r="Y206" s="3"/>
      <c r="Z206" s="3"/>
    </row>
    <row r="207" spans="1:26" ht="15.75" hidden="1" customHeight="1" outlineLevel="1" x14ac:dyDescent="0.3">
      <c r="A207" s="3"/>
      <c r="B207" s="9" t="s">
        <v>328</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5.75" hidden="1" customHeight="1" outlineLevel="1" x14ac:dyDescent="0.3">
      <c r="A208" s="3"/>
      <c r="B208" s="9" t="s">
        <v>329</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5.75" hidden="1" customHeight="1" outlineLevel="1" x14ac:dyDescent="0.3">
      <c r="A209" s="3"/>
      <c r="B209" s="9" t="s">
        <v>371</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5.75" hidden="1" customHeight="1" outlineLevel="1" x14ac:dyDescent="0.3">
      <c r="A210" s="3"/>
      <c r="B210" s="9" t="s">
        <v>372</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5.75" hidden="1" customHeight="1" outlineLevel="1" x14ac:dyDescent="0.3">
      <c r="A211" s="3"/>
      <c r="B211" s="9" t="s">
        <v>373</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15.75" customHeight="1" collapsed="1" x14ac:dyDescent="0.3">
      <c r="A212" s="3"/>
      <c r="B212" s="75" t="s">
        <v>406</v>
      </c>
      <c r="C212" s="76" t="s">
        <v>44</v>
      </c>
      <c r="D212" s="76" t="s">
        <v>44</v>
      </c>
      <c r="E212" s="77">
        <f>SUM(E213:E221)</f>
        <v>0</v>
      </c>
      <c r="F212" s="77">
        <f>SUMIF(D213:D221,"OK",F213:F221)</f>
        <v>0</v>
      </c>
      <c r="G212" s="78"/>
      <c r="H212" s="78"/>
      <c r="I212" s="79"/>
      <c r="J212" s="78"/>
      <c r="K212" s="28"/>
      <c r="L212" s="28"/>
      <c r="M212" s="28"/>
      <c r="N212" s="28"/>
      <c r="O212" s="28"/>
      <c r="P212" s="28"/>
      <c r="Q212" s="28"/>
      <c r="R212" s="28"/>
      <c r="S212" s="28"/>
      <c r="T212" s="28"/>
      <c r="U212" s="3"/>
      <c r="W212" s="3"/>
      <c r="X212" s="3"/>
      <c r="Y212" s="3"/>
      <c r="Z212" s="3"/>
    </row>
    <row r="213" spans="1:26" ht="15.75" hidden="1" customHeight="1" outlineLevel="1" x14ac:dyDescent="0.3">
      <c r="A213" s="3"/>
      <c r="B213" s="9" t="s">
        <v>354</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5.75" hidden="1" customHeight="1" outlineLevel="1" x14ac:dyDescent="0.3">
      <c r="A214" s="3"/>
      <c r="B214" s="9" t="s">
        <v>355</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5.75" hidden="1" customHeight="1" outlineLevel="1" x14ac:dyDescent="0.3">
      <c r="A215" s="3"/>
      <c r="B215" s="9" t="s">
        <v>356</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5.75" hidden="1" customHeight="1" outlineLevel="1" x14ac:dyDescent="0.3">
      <c r="A216" s="3"/>
      <c r="B216" s="9" t="s">
        <v>370</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15.75" hidden="1" customHeight="1" outlineLevel="1" x14ac:dyDescent="0.3">
      <c r="A217" s="3"/>
      <c r="B217" s="9" t="s">
        <v>328</v>
      </c>
      <c r="C217" s="53"/>
      <c r="D217" s="53"/>
      <c r="E217" s="11">
        <v>0</v>
      </c>
      <c r="F217" s="11">
        <v>0</v>
      </c>
      <c r="G217" s="56"/>
      <c r="H217" s="56"/>
      <c r="I217" s="80"/>
      <c r="J217" s="56"/>
      <c r="K217" s="28"/>
      <c r="L217" s="28"/>
      <c r="M217" s="28"/>
      <c r="N217" s="28"/>
      <c r="O217" s="28"/>
      <c r="P217" s="28"/>
      <c r="Q217" s="28"/>
      <c r="R217" s="28"/>
      <c r="S217" s="28"/>
      <c r="T217" s="28"/>
      <c r="U217" s="3"/>
      <c r="W217" s="3"/>
      <c r="X217" s="3"/>
      <c r="Y217" s="3"/>
      <c r="Z217" s="3"/>
    </row>
    <row r="218" spans="1:26" ht="15.75" hidden="1" customHeight="1" outlineLevel="1" x14ac:dyDescent="0.3">
      <c r="A218" s="3"/>
      <c r="B218" s="9" t="s">
        <v>329</v>
      </c>
      <c r="C218" s="53"/>
      <c r="D218" s="53"/>
      <c r="E218" s="11">
        <v>0</v>
      </c>
      <c r="F218" s="11">
        <v>0</v>
      </c>
      <c r="G218" s="56"/>
      <c r="H218" s="56"/>
      <c r="I218" s="80"/>
      <c r="J218" s="56"/>
      <c r="K218" s="28"/>
      <c r="L218" s="28"/>
      <c r="M218" s="28"/>
      <c r="N218" s="28"/>
      <c r="O218" s="28"/>
      <c r="P218" s="28"/>
      <c r="Q218" s="28"/>
      <c r="R218" s="28"/>
      <c r="S218" s="28"/>
      <c r="T218" s="28"/>
      <c r="U218" s="3"/>
      <c r="W218" s="3"/>
      <c r="X218" s="3"/>
      <c r="Y218" s="3"/>
      <c r="Z218" s="3"/>
    </row>
    <row r="219" spans="1:26" ht="15.75" hidden="1" customHeight="1" outlineLevel="1" x14ac:dyDescent="0.3">
      <c r="A219" s="3"/>
      <c r="B219" s="9" t="s">
        <v>371</v>
      </c>
      <c r="C219" s="53"/>
      <c r="D219" s="53"/>
      <c r="E219" s="11">
        <v>0</v>
      </c>
      <c r="F219" s="11">
        <v>0</v>
      </c>
      <c r="G219" s="56"/>
      <c r="H219" s="56"/>
      <c r="I219" s="80"/>
      <c r="J219" s="56"/>
      <c r="K219" s="28"/>
      <c r="L219" s="28"/>
      <c r="M219" s="28"/>
      <c r="N219" s="28"/>
      <c r="O219" s="28"/>
      <c r="P219" s="28"/>
      <c r="Q219" s="28"/>
      <c r="R219" s="28"/>
      <c r="S219" s="28"/>
      <c r="T219" s="28"/>
      <c r="U219" s="3"/>
      <c r="W219" s="3"/>
      <c r="X219" s="3"/>
      <c r="Y219" s="3"/>
      <c r="Z219" s="3"/>
    </row>
    <row r="220" spans="1:26" ht="15.75" hidden="1" customHeight="1" outlineLevel="1" x14ac:dyDescent="0.3">
      <c r="A220" s="3"/>
      <c r="B220" s="9" t="s">
        <v>372</v>
      </c>
      <c r="C220" s="53"/>
      <c r="D220" s="53"/>
      <c r="E220" s="11">
        <v>0</v>
      </c>
      <c r="F220" s="11">
        <v>0</v>
      </c>
      <c r="G220" s="56"/>
      <c r="H220" s="56"/>
      <c r="I220" s="80"/>
      <c r="J220" s="56"/>
      <c r="K220" s="28"/>
      <c r="L220" s="28"/>
      <c r="M220" s="28"/>
      <c r="N220" s="28"/>
      <c r="O220" s="28"/>
      <c r="P220" s="28"/>
      <c r="Q220" s="28"/>
      <c r="R220" s="28"/>
      <c r="S220" s="28"/>
      <c r="T220" s="28"/>
      <c r="U220" s="3"/>
      <c r="W220" s="3"/>
      <c r="X220" s="3"/>
      <c r="Y220" s="3"/>
      <c r="Z220" s="3"/>
    </row>
    <row r="221" spans="1:26" ht="15.75" hidden="1" customHeight="1" outlineLevel="1" x14ac:dyDescent="0.3">
      <c r="A221" s="3"/>
      <c r="B221" s="9" t="s">
        <v>373</v>
      </c>
      <c r="C221" s="53"/>
      <c r="D221" s="53"/>
      <c r="E221" s="11">
        <v>0</v>
      </c>
      <c r="F221" s="11">
        <v>0</v>
      </c>
      <c r="G221" s="56"/>
      <c r="H221" s="56"/>
      <c r="I221" s="80"/>
      <c r="J221" s="56"/>
      <c r="K221" s="28"/>
      <c r="L221" s="28"/>
      <c r="M221" s="28"/>
      <c r="N221" s="28"/>
      <c r="O221" s="28"/>
      <c r="P221" s="28"/>
      <c r="Q221" s="28"/>
      <c r="R221" s="28"/>
      <c r="S221" s="28"/>
      <c r="T221" s="28"/>
      <c r="U221" s="3"/>
      <c r="W221" s="3"/>
      <c r="X221" s="3"/>
      <c r="Y221" s="3"/>
      <c r="Z221" s="3"/>
    </row>
    <row r="222" spans="1:26" ht="15.75" customHeight="1" collapsed="1" x14ac:dyDescent="0.3">
      <c r="A222" s="3"/>
      <c r="B222" s="75" t="s">
        <v>409</v>
      </c>
      <c r="C222" s="76" t="s">
        <v>44</v>
      </c>
      <c r="D222" s="76" t="s">
        <v>44</v>
      </c>
      <c r="E222" s="77">
        <f t="shared" ref="E222:F222" si="3">SUM(E223,E233,E243,E261)</f>
        <v>0</v>
      </c>
      <c r="F222" s="77">
        <f t="shared" si="3"/>
        <v>18906.02</v>
      </c>
      <c r="G222" s="78"/>
      <c r="H222" s="78"/>
      <c r="I222" s="79"/>
      <c r="J222" s="78"/>
      <c r="K222" s="28"/>
      <c r="L222" s="28"/>
      <c r="M222" s="28"/>
      <c r="N222" s="28"/>
      <c r="O222" s="28"/>
      <c r="P222" s="28"/>
      <c r="Q222" s="28"/>
      <c r="R222" s="28"/>
      <c r="S222" s="28"/>
      <c r="T222" s="28"/>
      <c r="U222" s="3"/>
      <c r="W222" s="3"/>
      <c r="X222" s="3"/>
      <c r="Y222" s="3"/>
      <c r="Z222" s="3"/>
    </row>
    <row r="223" spans="1:26" ht="15.75" hidden="1" customHeight="1" outlineLevel="1" x14ac:dyDescent="0.3">
      <c r="A223" s="3"/>
      <c r="B223" s="82" t="s">
        <v>233</v>
      </c>
      <c r="C223" s="83"/>
      <c r="D223" s="83"/>
      <c r="E223" s="84">
        <f>SUM(E224:E232)</f>
        <v>0</v>
      </c>
      <c r="F223" s="84">
        <f>SUMIF(D224:D232,"OK",F224:F232)</f>
        <v>880</v>
      </c>
      <c r="G223" s="85"/>
      <c r="H223" s="85"/>
      <c r="I223" s="86"/>
      <c r="J223" s="85"/>
      <c r="K223" s="28"/>
      <c r="L223" s="28"/>
      <c r="M223" s="28"/>
      <c r="N223" s="28"/>
      <c r="O223" s="28"/>
      <c r="P223" s="28"/>
      <c r="Q223" s="28"/>
      <c r="R223" s="28"/>
      <c r="S223" s="28"/>
      <c r="T223" s="28"/>
      <c r="U223" s="3"/>
      <c r="W223" s="3"/>
      <c r="X223" s="3"/>
      <c r="Y223" s="3"/>
      <c r="Z223" s="3"/>
    </row>
    <row r="224" spans="1:26" ht="15.75" hidden="1" customHeight="1" outlineLevel="1" x14ac:dyDescent="0.3">
      <c r="A224" s="3"/>
      <c r="B224" s="9" t="s">
        <v>650</v>
      </c>
      <c r="C224" s="53">
        <v>17</v>
      </c>
      <c r="D224" s="53" t="s">
        <v>95</v>
      </c>
      <c r="E224" s="11">
        <v>0</v>
      </c>
      <c r="F224" s="11">
        <v>880</v>
      </c>
      <c r="G224" s="56"/>
      <c r="H224" s="56" t="s">
        <v>37</v>
      </c>
      <c r="I224" s="102" t="s">
        <v>651</v>
      </c>
      <c r="J224" s="56"/>
      <c r="K224" s="28"/>
      <c r="L224" s="28"/>
      <c r="M224" s="28"/>
      <c r="N224" s="28"/>
      <c r="O224" s="28"/>
      <c r="P224" s="28"/>
      <c r="Q224" s="28"/>
      <c r="R224" s="28"/>
      <c r="S224" s="28"/>
      <c r="T224" s="28"/>
      <c r="U224" s="3"/>
      <c r="W224" s="3"/>
      <c r="X224" s="3"/>
      <c r="Y224" s="3"/>
      <c r="Z224" s="3"/>
    </row>
    <row r="225" spans="1:26" ht="15.75" hidden="1" customHeight="1" outlineLevel="1" x14ac:dyDescent="0.3">
      <c r="A225" s="3"/>
      <c r="B225" s="9" t="s">
        <v>355</v>
      </c>
      <c r="C225" s="53"/>
      <c r="D225" s="53"/>
      <c r="E225" s="11">
        <v>0</v>
      </c>
      <c r="F225" s="11">
        <v>0</v>
      </c>
      <c r="G225" s="56"/>
      <c r="H225" s="56"/>
      <c r="I225" s="80"/>
      <c r="J225" s="56"/>
      <c r="K225" s="28"/>
      <c r="L225" s="28"/>
      <c r="M225" s="28"/>
      <c r="N225" s="28"/>
      <c r="O225" s="28"/>
      <c r="P225" s="28"/>
      <c r="Q225" s="28"/>
      <c r="R225" s="28"/>
      <c r="S225" s="28"/>
      <c r="T225" s="28"/>
      <c r="U225" s="3"/>
      <c r="W225" s="3"/>
      <c r="X225" s="3"/>
      <c r="Y225" s="3"/>
      <c r="Z225" s="3"/>
    </row>
    <row r="226" spans="1:26" ht="15.75" hidden="1" customHeight="1" outlineLevel="1" x14ac:dyDescent="0.3">
      <c r="A226" s="3"/>
      <c r="B226" s="9" t="s">
        <v>356</v>
      </c>
      <c r="C226" s="53"/>
      <c r="D226" s="53"/>
      <c r="E226" s="11">
        <v>0</v>
      </c>
      <c r="F226" s="11">
        <v>0</v>
      </c>
      <c r="G226" s="56"/>
      <c r="H226" s="56"/>
      <c r="I226" s="80"/>
      <c r="J226" s="56"/>
      <c r="K226" s="28"/>
      <c r="L226" s="28"/>
      <c r="M226" s="28"/>
      <c r="N226" s="28"/>
      <c r="O226" s="28"/>
      <c r="P226" s="28"/>
      <c r="Q226" s="28"/>
      <c r="R226" s="28"/>
      <c r="S226" s="28"/>
      <c r="T226" s="28"/>
      <c r="U226" s="3"/>
      <c r="W226" s="3"/>
      <c r="X226" s="3"/>
      <c r="Y226" s="3"/>
      <c r="Z226" s="3"/>
    </row>
    <row r="227" spans="1:26" ht="15.75" hidden="1" customHeight="1" outlineLevel="1" x14ac:dyDescent="0.3">
      <c r="A227" s="3"/>
      <c r="B227" s="9" t="s">
        <v>370</v>
      </c>
      <c r="C227" s="53"/>
      <c r="D227" s="53"/>
      <c r="E227" s="11">
        <v>0</v>
      </c>
      <c r="F227" s="11">
        <v>0</v>
      </c>
      <c r="G227" s="56"/>
      <c r="H227" s="56"/>
      <c r="I227" s="80"/>
      <c r="J227" s="56"/>
      <c r="K227" s="28"/>
      <c r="L227" s="28"/>
      <c r="M227" s="28"/>
      <c r="N227" s="28"/>
      <c r="O227" s="28"/>
      <c r="P227" s="28"/>
      <c r="Q227" s="28"/>
      <c r="R227" s="28"/>
      <c r="S227" s="28"/>
      <c r="T227" s="28"/>
      <c r="U227" s="3"/>
      <c r="W227" s="3"/>
      <c r="X227" s="3"/>
      <c r="Y227" s="3"/>
      <c r="Z227" s="3"/>
    </row>
    <row r="228" spans="1:26" ht="15.75" hidden="1" customHeight="1" outlineLevel="1" x14ac:dyDescent="0.3">
      <c r="A228" s="3"/>
      <c r="B228" s="9" t="s">
        <v>328</v>
      </c>
      <c r="C228" s="53"/>
      <c r="D228" s="53"/>
      <c r="E228" s="11">
        <v>0</v>
      </c>
      <c r="F228" s="11">
        <v>0</v>
      </c>
      <c r="G228" s="56"/>
      <c r="H228" s="56"/>
      <c r="I228" s="80"/>
      <c r="J228" s="56"/>
      <c r="K228" s="28"/>
      <c r="L228" s="28"/>
      <c r="M228" s="28"/>
      <c r="N228" s="28"/>
      <c r="O228" s="28"/>
      <c r="P228" s="28"/>
      <c r="Q228" s="28"/>
      <c r="R228" s="28"/>
      <c r="S228" s="28"/>
      <c r="T228" s="28"/>
      <c r="U228" s="3"/>
      <c r="W228" s="3"/>
      <c r="X228" s="3"/>
      <c r="Y228" s="3"/>
      <c r="Z228" s="3"/>
    </row>
    <row r="229" spans="1:26" ht="15.75" hidden="1" customHeight="1" outlineLevel="1" x14ac:dyDescent="0.3">
      <c r="A229" s="3"/>
      <c r="B229" s="9" t="s">
        <v>329</v>
      </c>
      <c r="C229" s="53"/>
      <c r="D229" s="53"/>
      <c r="E229" s="11">
        <v>0</v>
      </c>
      <c r="F229" s="11">
        <v>0</v>
      </c>
      <c r="G229" s="56"/>
      <c r="H229" s="56"/>
      <c r="I229" s="80"/>
      <c r="J229" s="56"/>
      <c r="K229" s="28"/>
      <c r="L229" s="28"/>
      <c r="M229" s="28"/>
      <c r="N229" s="28"/>
      <c r="O229" s="28"/>
      <c r="P229" s="28"/>
      <c r="Q229" s="28"/>
      <c r="R229" s="28"/>
      <c r="S229" s="28"/>
      <c r="T229" s="28"/>
      <c r="U229" s="3"/>
      <c r="W229" s="3"/>
      <c r="X229" s="3"/>
      <c r="Y229" s="3"/>
      <c r="Z229" s="3"/>
    </row>
    <row r="230" spans="1:26" ht="15.75" hidden="1" customHeight="1" outlineLevel="1" x14ac:dyDescent="0.3">
      <c r="A230" s="3"/>
      <c r="B230" s="9" t="s">
        <v>371</v>
      </c>
      <c r="C230" s="53"/>
      <c r="D230" s="53"/>
      <c r="E230" s="11">
        <v>0</v>
      </c>
      <c r="F230" s="11">
        <v>0</v>
      </c>
      <c r="G230" s="56"/>
      <c r="H230" s="56"/>
      <c r="I230" s="80"/>
      <c r="J230" s="56"/>
      <c r="K230" s="28"/>
      <c r="L230" s="28"/>
      <c r="M230" s="28"/>
      <c r="N230" s="28"/>
      <c r="O230" s="28"/>
      <c r="P230" s="28"/>
      <c r="Q230" s="28"/>
      <c r="R230" s="28"/>
      <c r="S230" s="28"/>
      <c r="T230" s="28"/>
      <c r="U230" s="3"/>
      <c r="W230" s="3"/>
      <c r="X230" s="3"/>
      <c r="Y230" s="3"/>
      <c r="Z230" s="3"/>
    </row>
    <row r="231" spans="1:26" ht="15.75" hidden="1" customHeight="1" outlineLevel="1" x14ac:dyDescent="0.3">
      <c r="A231" s="3"/>
      <c r="B231" s="9" t="s">
        <v>372</v>
      </c>
      <c r="C231" s="53"/>
      <c r="D231" s="53"/>
      <c r="E231" s="11">
        <v>0</v>
      </c>
      <c r="F231" s="11">
        <v>0</v>
      </c>
      <c r="G231" s="56"/>
      <c r="H231" s="56"/>
      <c r="I231" s="80"/>
      <c r="J231" s="56"/>
      <c r="K231" s="28"/>
      <c r="L231" s="28"/>
      <c r="M231" s="28"/>
      <c r="N231" s="28"/>
      <c r="O231" s="28"/>
      <c r="P231" s="28"/>
      <c r="Q231" s="28"/>
      <c r="R231" s="28"/>
      <c r="S231" s="28"/>
      <c r="T231" s="28"/>
      <c r="U231" s="3"/>
      <c r="W231" s="3"/>
      <c r="X231" s="3"/>
      <c r="Y231" s="3"/>
      <c r="Z231" s="3"/>
    </row>
    <row r="232" spans="1:26" ht="15.75" hidden="1" customHeight="1" outlineLevel="1" x14ac:dyDescent="0.3">
      <c r="A232" s="3"/>
      <c r="B232" s="9" t="s">
        <v>373</v>
      </c>
      <c r="C232" s="53"/>
      <c r="D232" s="53"/>
      <c r="E232" s="11">
        <v>0</v>
      </c>
      <c r="F232" s="11">
        <v>0</v>
      </c>
      <c r="G232" s="56"/>
      <c r="H232" s="56"/>
      <c r="I232" s="80"/>
      <c r="J232" s="56"/>
      <c r="K232" s="28"/>
      <c r="L232" s="28"/>
      <c r="M232" s="28"/>
      <c r="N232" s="28"/>
      <c r="O232" s="28"/>
      <c r="P232" s="28"/>
      <c r="Q232" s="28"/>
      <c r="R232" s="28"/>
      <c r="S232" s="28"/>
      <c r="T232" s="28"/>
      <c r="U232" s="3"/>
      <c r="W232" s="3"/>
      <c r="X232" s="3"/>
      <c r="Y232" s="3"/>
      <c r="Z232" s="3"/>
    </row>
    <row r="233" spans="1:26" ht="15.75" hidden="1" customHeight="1" outlineLevel="1" x14ac:dyDescent="0.3">
      <c r="A233" s="3"/>
      <c r="B233" s="82" t="s">
        <v>652</v>
      </c>
      <c r="C233" s="83"/>
      <c r="D233" s="83"/>
      <c r="E233" s="84">
        <f>SUM(E234:E242)</f>
        <v>0</v>
      </c>
      <c r="F233" s="84">
        <f>SUMIF(D234:D242,"OK",F234:F242)</f>
        <v>0</v>
      </c>
      <c r="G233" s="85"/>
      <c r="H233" s="85"/>
      <c r="I233" s="86"/>
      <c r="J233" s="85"/>
      <c r="K233" s="28"/>
      <c r="L233" s="28"/>
      <c r="M233" s="28"/>
      <c r="N233" s="28"/>
      <c r="O233" s="28"/>
      <c r="P233" s="28"/>
      <c r="Q233" s="28"/>
      <c r="R233" s="28"/>
      <c r="S233" s="28"/>
      <c r="T233" s="28"/>
      <c r="U233" s="3"/>
      <c r="W233" s="3"/>
      <c r="X233" s="3"/>
      <c r="Y233" s="3"/>
      <c r="Z233" s="3"/>
    </row>
    <row r="234" spans="1:26" ht="15.75" hidden="1" customHeight="1" outlineLevel="1" x14ac:dyDescent="0.3">
      <c r="A234" s="3"/>
      <c r="B234" s="9" t="s">
        <v>354</v>
      </c>
      <c r="C234" s="53"/>
      <c r="D234" s="53"/>
      <c r="E234" s="11">
        <v>0</v>
      </c>
      <c r="F234" s="11">
        <v>0</v>
      </c>
      <c r="G234" s="56"/>
      <c r="H234" s="56"/>
      <c r="I234" s="80"/>
      <c r="J234" s="56"/>
      <c r="K234" s="28"/>
      <c r="L234" s="28"/>
      <c r="M234" s="28"/>
      <c r="N234" s="28"/>
      <c r="O234" s="28"/>
      <c r="P234" s="28"/>
      <c r="Q234" s="28"/>
      <c r="R234" s="28"/>
      <c r="S234" s="28"/>
      <c r="T234" s="28"/>
      <c r="U234" s="3"/>
      <c r="W234" s="3"/>
      <c r="X234" s="3"/>
      <c r="Y234" s="3"/>
      <c r="Z234" s="3"/>
    </row>
    <row r="235" spans="1:26" ht="15.75" hidden="1" customHeight="1" outlineLevel="1" x14ac:dyDescent="0.3">
      <c r="A235" s="3"/>
      <c r="B235" s="9" t="s">
        <v>355</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15.75" hidden="1" customHeight="1" outlineLevel="1" x14ac:dyDescent="0.3">
      <c r="A236" s="3"/>
      <c r="B236" s="9" t="s">
        <v>356</v>
      </c>
      <c r="C236" s="53"/>
      <c r="D236" s="53"/>
      <c r="E236" s="11">
        <v>0</v>
      </c>
      <c r="F236" s="11">
        <v>0</v>
      </c>
      <c r="G236" s="56"/>
      <c r="H236" s="56"/>
      <c r="I236" s="80"/>
      <c r="J236" s="56"/>
      <c r="K236" s="28"/>
      <c r="L236" s="28"/>
      <c r="M236" s="28"/>
      <c r="N236" s="28"/>
      <c r="O236" s="28"/>
      <c r="P236" s="28"/>
      <c r="Q236" s="28"/>
      <c r="R236" s="28"/>
      <c r="S236" s="28"/>
      <c r="T236" s="28"/>
      <c r="U236" s="3"/>
      <c r="W236" s="3"/>
      <c r="X236" s="3"/>
      <c r="Y236" s="3"/>
      <c r="Z236" s="3"/>
    </row>
    <row r="237" spans="1:26" ht="15.75" hidden="1" customHeight="1" outlineLevel="1" x14ac:dyDescent="0.3">
      <c r="A237" s="3"/>
      <c r="B237" s="9" t="s">
        <v>370</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5.75" hidden="1" customHeight="1" outlineLevel="1" x14ac:dyDescent="0.3">
      <c r="A238" s="3"/>
      <c r="B238" s="9" t="s">
        <v>328</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5.75" hidden="1" customHeight="1" outlineLevel="1" x14ac:dyDescent="0.3">
      <c r="A239" s="3"/>
      <c r="B239" s="9" t="s">
        <v>329</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5.75" hidden="1" customHeight="1" outlineLevel="1" x14ac:dyDescent="0.3">
      <c r="A240" s="3"/>
      <c r="B240" s="9" t="s">
        <v>371</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5.75" hidden="1" customHeight="1" outlineLevel="1" x14ac:dyDescent="0.3">
      <c r="A241" s="3"/>
      <c r="B241" s="9" t="s">
        <v>372</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15.75" hidden="1" customHeight="1" outlineLevel="1" x14ac:dyDescent="0.3">
      <c r="A242" s="3"/>
      <c r="B242" s="9" t="s">
        <v>373</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5.75" hidden="1" customHeight="1" outlineLevel="1" x14ac:dyDescent="0.3">
      <c r="A243" s="3"/>
      <c r="B243" s="82" t="s">
        <v>653</v>
      </c>
      <c r="C243" s="83"/>
      <c r="D243" s="83"/>
      <c r="E243" s="84">
        <f>SUM(E244:E260)</f>
        <v>0</v>
      </c>
      <c r="F243" s="84">
        <f>SUMIF(D244:D260,"OK",F244:F260)</f>
        <v>17931.53</v>
      </c>
      <c r="G243" s="85"/>
      <c r="H243" s="85"/>
      <c r="I243" s="86"/>
      <c r="J243" s="85"/>
      <c r="K243" s="28"/>
      <c r="L243" s="28"/>
      <c r="M243" s="28"/>
      <c r="N243" s="28"/>
      <c r="O243" s="28"/>
      <c r="P243" s="28"/>
      <c r="Q243" s="28"/>
      <c r="R243" s="28"/>
      <c r="S243" s="28"/>
      <c r="T243" s="28"/>
      <c r="U243" s="3"/>
      <c r="W243" s="3"/>
      <c r="X243" s="3"/>
      <c r="Y243" s="3"/>
      <c r="Z243" s="3"/>
    </row>
    <row r="244" spans="1:26" ht="15.75" hidden="1" customHeight="1" outlineLevel="1" x14ac:dyDescent="0.3">
      <c r="A244" s="3"/>
      <c r="B244" s="9" t="s">
        <v>654</v>
      </c>
      <c r="C244" s="53">
        <v>8</v>
      </c>
      <c r="D244" s="53" t="s">
        <v>95</v>
      </c>
      <c r="E244" s="11">
        <v>0</v>
      </c>
      <c r="F244" s="11">
        <v>1200</v>
      </c>
      <c r="G244" s="56"/>
      <c r="H244" s="56" t="s">
        <v>37</v>
      </c>
      <c r="I244" s="102" t="s">
        <v>655</v>
      </c>
      <c r="J244" s="56"/>
      <c r="K244" s="28"/>
      <c r="L244" s="28"/>
      <c r="M244" s="28"/>
      <c r="N244" s="28"/>
      <c r="O244" s="28"/>
      <c r="P244" s="28"/>
      <c r="Q244" s="28"/>
      <c r="R244" s="28"/>
      <c r="S244" s="28"/>
      <c r="T244" s="28"/>
      <c r="U244" s="3"/>
      <c r="W244" s="3"/>
      <c r="X244" s="3"/>
      <c r="Y244" s="3"/>
      <c r="Z244" s="3"/>
    </row>
    <row r="245" spans="1:26" ht="15.75" hidden="1" customHeight="1" outlineLevel="1" x14ac:dyDescent="0.3">
      <c r="A245" s="3"/>
      <c r="B245" s="9" t="s">
        <v>656</v>
      </c>
      <c r="C245" s="53">
        <v>20</v>
      </c>
      <c r="D245" s="53" t="s">
        <v>95</v>
      </c>
      <c r="E245" s="11">
        <v>0</v>
      </c>
      <c r="F245" s="11">
        <v>1650</v>
      </c>
      <c r="G245" s="56"/>
      <c r="H245" s="56" t="s">
        <v>36</v>
      </c>
      <c r="I245" s="102" t="s">
        <v>657</v>
      </c>
      <c r="J245" s="56"/>
      <c r="K245" s="28"/>
      <c r="L245" s="28"/>
      <c r="M245" s="28"/>
      <c r="N245" s="28"/>
      <c r="O245" s="28"/>
      <c r="P245" s="28"/>
      <c r="Q245" s="28"/>
      <c r="R245" s="28"/>
      <c r="S245" s="28"/>
      <c r="T245" s="28"/>
      <c r="U245" s="3"/>
      <c r="W245" s="3"/>
      <c r="X245" s="3"/>
      <c r="Y245" s="3"/>
      <c r="Z245" s="3"/>
    </row>
    <row r="246" spans="1:26" ht="15.75" hidden="1" customHeight="1" outlineLevel="1" x14ac:dyDescent="0.3">
      <c r="A246" s="3"/>
      <c r="B246" s="9" t="s">
        <v>658</v>
      </c>
      <c r="C246" s="53">
        <v>25</v>
      </c>
      <c r="D246" s="53" t="s">
        <v>95</v>
      </c>
      <c r="E246" s="11">
        <v>0</v>
      </c>
      <c r="F246" s="11">
        <v>1237.5</v>
      </c>
      <c r="G246" s="56"/>
      <c r="H246" s="56" t="s">
        <v>36</v>
      </c>
      <c r="I246" s="102" t="s">
        <v>659</v>
      </c>
      <c r="J246" s="56"/>
      <c r="K246" s="28"/>
      <c r="L246" s="28"/>
      <c r="M246" s="28"/>
      <c r="N246" s="28"/>
      <c r="O246" s="28"/>
      <c r="P246" s="28"/>
      <c r="Q246" s="28"/>
      <c r="R246" s="28"/>
      <c r="S246" s="28"/>
      <c r="T246" s="28"/>
      <c r="U246" s="3"/>
      <c r="W246" s="3"/>
      <c r="X246" s="3"/>
      <c r="Y246" s="3"/>
      <c r="Z246" s="3"/>
    </row>
    <row r="247" spans="1:26" ht="15.75" hidden="1" customHeight="1" outlineLevel="1" x14ac:dyDescent="0.3">
      <c r="A247" s="3"/>
      <c r="B247" s="9" t="s">
        <v>660</v>
      </c>
      <c r="C247" s="53">
        <v>27</v>
      </c>
      <c r="D247" s="53" t="s">
        <v>95</v>
      </c>
      <c r="E247" s="11">
        <v>0</v>
      </c>
      <c r="F247" s="11">
        <v>9250</v>
      </c>
      <c r="G247" s="56" t="s">
        <v>661</v>
      </c>
      <c r="H247" s="56" t="s">
        <v>38</v>
      </c>
      <c r="I247" s="102" t="s">
        <v>662</v>
      </c>
      <c r="J247" s="56"/>
      <c r="K247" s="28"/>
      <c r="L247" s="28"/>
      <c r="M247" s="28"/>
      <c r="N247" s="28"/>
      <c r="O247" s="28"/>
      <c r="P247" s="28"/>
      <c r="Q247" s="28"/>
      <c r="R247" s="28"/>
      <c r="S247" s="28"/>
      <c r="T247" s="28"/>
      <c r="U247" s="3"/>
      <c r="W247" s="3"/>
      <c r="X247" s="3"/>
      <c r="Y247" s="3"/>
      <c r="Z247" s="3"/>
    </row>
    <row r="248" spans="1:26" ht="15.75" hidden="1" customHeight="1" outlineLevel="1" x14ac:dyDescent="0.3">
      <c r="A248" s="3"/>
      <c r="B248" s="9" t="s">
        <v>660</v>
      </c>
      <c r="C248" s="53">
        <v>20</v>
      </c>
      <c r="D248" s="53" t="s">
        <v>95</v>
      </c>
      <c r="E248" s="11">
        <v>0</v>
      </c>
      <c r="F248" s="11">
        <v>750</v>
      </c>
      <c r="G248" s="56" t="s">
        <v>663</v>
      </c>
      <c r="H248" s="56" t="s">
        <v>37</v>
      </c>
      <c r="I248" s="102" t="s">
        <v>664</v>
      </c>
      <c r="J248" s="56"/>
      <c r="K248" s="28"/>
      <c r="L248" s="28"/>
      <c r="M248" s="28"/>
      <c r="N248" s="28"/>
      <c r="O248" s="28"/>
      <c r="P248" s="28"/>
      <c r="Q248" s="28"/>
      <c r="R248" s="28"/>
      <c r="S248" s="28"/>
      <c r="T248" s="28"/>
      <c r="U248" s="3"/>
      <c r="W248" s="3"/>
      <c r="X248" s="3"/>
      <c r="Y248" s="3"/>
      <c r="Z248" s="3"/>
    </row>
    <row r="249" spans="1:26" ht="15.75" hidden="1" customHeight="1" outlineLevel="1" x14ac:dyDescent="0.3">
      <c r="A249" s="3"/>
      <c r="B249" s="9" t="s">
        <v>650</v>
      </c>
      <c r="C249" s="53">
        <v>20</v>
      </c>
      <c r="D249" s="53" t="s">
        <v>95</v>
      </c>
      <c r="E249" s="11">
        <v>0</v>
      </c>
      <c r="F249" s="11">
        <v>1620</v>
      </c>
      <c r="G249" s="56"/>
      <c r="H249" s="56" t="s">
        <v>37</v>
      </c>
      <c r="I249" s="102" t="s">
        <v>665</v>
      </c>
      <c r="J249" s="56"/>
      <c r="K249" s="28"/>
      <c r="L249" s="28"/>
      <c r="M249" s="28"/>
      <c r="N249" s="28"/>
      <c r="O249" s="28"/>
      <c r="P249" s="28"/>
      <c r="Q249" s="28"/>
      <c r="R249" s="28"/>
      <c r="S249" s="28"/>
      <c r="T249" s="28"/>
      <c r="U249" s="3"/>
      <c r="W249" s="3"/>
      <c r="X249" s="3"/>
      <c r="Y249" s="3"/>
      <c r="Z249" s="3"/>
    </row>
    <row r="250" spans="1:26" ht="15.75" hidden="1" customHeight="1" outlineLevel="1" x14ac:dyDescent="0.3">
      <c r="A250" s="3"/>
      <c r="B250" s="9" t="s">
        <v>666</v>
      </c>
      <c r="C250" s="53">
        <v>21</v>
      </c>
      <c r="D250" s="53" t="s">
        <v>95</v>
      </c>
      <c r="E250" s="11">
        <v>0</v>
      </c>
      <c r="F250" s="11">
        <v>156.38999999999999</v>
      </c>
      <c r="G250" s="56"/>
      <c r="H250" s="56" t="s">
        <v>37</v>
      </c>
      <c r="I250" s="102" t="s">
        <v>667</v>
      </c>
      <c r="J250" s="56"/>
      <c r="K250" s="28"/>
      <c r="L250" s="28"/>
      <c r="M250" s="28"/>
      <c r="N250" s="28"/>
      <c r="O250" s="28"/>
      <c r="P250" s="28"/>
      <c r="Q250" s="28"/>
      <c r="R250" s="28"/>
      <c r="S250" s="28"/>
      <c r="T250" s="28"/>
      <c r="U250" s="3"/>
      <c r="W250" s="3"/>
      <c r="X250" s="3"/>
      <c r="Y250" s="3"/>
      <c r="Z250" s="3"/>
    </row>
    <row r="251" spans="1:26" ht="15.75" hidden="1" customHeight="1" outlineLevel="1" x14ac:dyDescent="0.3">
      <c r="A251" s="3"/>
      <c r="B251" s="9" t="s">
        <v>668</v>
      </c>
      <c r="C251" s="53">
        <v>21</v>
      </c>
      <c r="D251" s="53" t="s">
        <v>95</v>
      </c>
      <c r="E251" s="11">
        <v>0</v>
      </c>
      <c r="F251" s="11">
        <v>161.5</v>
      </c>
      <c r="G251" s="56"/>
      <c r="H251" s="56" t="s">
        <v>37</v>
      </c>
      <c r="I251" s="102" t="s">
        <v>669</v>
      </c>
      <c r="J251" s="56"/>
      <c r="K251" s="28"/>
      <c r="L251" s="28"/>
      <c r="M251" s="28"/>
      <c r="N251" s="28"/>
      <c r="O251" s="28"/>
      <c r="P251" s="28"/>
      <c r="Q251" s="28"/>
      <c r="R251" s="28"/>
      <c r="S251" s="28"/>
      <c r="T251" s="28"/>
      <c r="U251" s="3"/>
      <c r="W251" s="3"/>
      <c r="X251" s="3"/>
      <c r="Y251" s="3"/>
      <c r="Z251" s="3"/>
    </row>
    <row r="252" spans="1:26" ht="15.75" hidden="1" customHeight="1" outlineLevel="1" x14ac:dyDescent="0.3">
      <c r="A252" s="3"/>
      <c r="B252" s="9" t="s">
        <v>670</v>
      </c>
      <c r="C252" s="53">
        <v>23</v>
      </c>
      <c r="D252" s="53" t="s">
        <v>95</v>
      </c>
      <c r="E252" s="11">
        <v>0</v>
      </c>
      <c r="F252" s="11">
        <v>42</v>
      </c>
      <c r="G252" s="56"/>
      <c r="H252" s="56" t="s">
        <v>37</v>
      </c>
      <c r="I252" s="102" t="s">
        <v>671</v>
      </c>
      <c r="J252" s="56"/>
      <c r="K252" s="28"/>
      <c r="L252" s="28"/>
      <c r="M252" s="28"/>
      <c r="N252" s="28"/>
      <c r="O252" s="28"/>
      <c r="P252" s="28"/>
      <c r="Q252" s="28"/>
      <c r="R252" s="28"/>
      <c r="S252" s="28"/>
      <c r="T252" s="28"/>
      <c r="U252" s="3"/>
      <c r="W252" s="3"/>
      <c r="X252" s="3"/>
      <c r="Y252" s="3"/>
      <c r="Z252" s="3"/>
    </row>
    <row r="253" spans="1:26" ht="15.75" hidden="1" customHeight="1" outlineLevel="1" x14ac:dyDescent="0.3">
      <c r="A253" s="3"/>
      <c r="B253" s="9" t="s">
        <v>672</v>
      </c>
      <c r="C253" s="53">
        <v>23</v>
      </c>
      <c r="D253" s="53" t="s">
        <v>95</v>
      </c>
      <c r="E253" s="11">
        <v>0</v>
      </c>
      <c r="F253" s="11">
        <v>285</v>
      </c>
      <c r="G253" s="56" t="s">
        <v>673</v>
      </c>
      <c r="H253" s="56" t="s">
        <v>37</v>
      </c>
      <c r="I253" s="102" t="s">
        <v>674</v>
      </c>
      <c r="J253" s="56"/>
      <c r="K253" s="28"/>
      <c r="L253" s="28"/>
      <c r="M253" s="28"/>
      <c r="N253" s="28"/>
      <c r="O253" s="28"/>
      <c r="P253" s="28"/>
      <c r="Q253" s="28"/>
      <c r="R253" s="28"/>
      <c r="S253" s="28"/>
      <c r="T253" s="28"/>
      <c r="U253" s="3"/>
      <c r="W253" s="3"/>
      <c r="X253" s="3"/>
      <c r="Y253" s="3"/>
      <c r="Z253" s="3"/>
    </row>
    <row r="254" spans="1:26" ht="15.75" hidden="1" customHeight="1" outlineLevel="1" x14ac:dyDescent="0.3">
      <c r="A254" s="3"/>
      <c r="B254" s="9" t="s">
        <v>675</v>
      </c>
      <c r="C254" s="53">
        <v>23</v>
      </c>
      <c r="D254" s="53" t="s">
        <v>95</v>
      </c>
      <c r="E254" s="11">
        <v>0</v>
      </c>
      <c r="F254" s="11">
        <v>19.8</v>
      </c>
      <c r="G254" s="56" t="s">
        <v>676</v>
      </c>
      <c r="H254" s="56" t="s">
        <v>37</v>
      </c>
      <c r="I254" s="102" t="s">
        <v>677</v>
      </c>
      <c r="J254" s="56"/>
      <c r="K254" s="28"/>
      <c r="L254" s="28"/>
      <c r="M254" s="28"/>
      <c r="N254" s="28"/>
      <c r="O254" s="28"/>
      <c r="P254" s="28"/>
      <c r="Q254" s="28"/>
      <c r="R254" s="28"/>
      <c r="S254" s="28"/>
      <c r="T254" s="28"/>
      <c r="U254" s="3"/>
      <c r="W254" s="3"/>
      <c r="X254" s="3"/>
      <c r="Y254" s="3"/>
      <c r="Z254" s="3"/>
    </row>
    <row r="255" spans="1:26" ht="15.75" hidden="1" customHeight="1" outlineLevel="1" x14ac:dyDescent="0.3">
      <c r="A255" s="3"/>
      <c r="B255" s="9" t="s">
        <v>678</v>
      </c>
      <c r="C255" s="53">
        <v>23</v>
      </c>
      <c r="D255" s="53" t="s">
        <v>95</v>
      </c>
      <c r="E255" s="11">
        <v>0</v>
      </c>
      <c r="F255" s="11">
        <v>32.97</v>
      </c>
      <c r="G255" s="56" t="s">
        <v>676</v>
      </c>
      <c r="H255" s="56" t="s">
        <v>37</v>
      </c>
      <c r="I255" s="102" t="s">
        <v>679</v>
      </c>
      <c r="J255" s="56"/>
      <c r="K255" s="28"/>
      <c r="L255" s="28"/>
      <c r="M255" s="28"/>
      <c r="N255" s="28"/>
      <c r="O255" s="28"/>
      <c r="P255" s="28"/>
      <c r="Q255" s="28"/>
      <c r="R255" s="28"/>
      <c r="S255" s="28"/>
      <c r="T255" s="28"/>
      <c r="U255" s="3"/>
      <c r="W255" s="3"/>
      <c r="X255" s="3"/>
      <c r="Y255" s="3"/>
      <c r="Z255" s="3"/>
    </row>
    <row r="256" spans="1:26" ht="15.75" hidden="1" customHeight="1" outlineLevel="1" x14ac:dyDescent="0.3">
      <c r="A256" s="3"/>
      <c r="B256" s="9" t="s">
        <v>680</v>
      </c>
      <c r="C256" s="53">
        <v>23</v>
      </c>
      <c r="D256" s="53" t="s">
        <v>95</v>
      </c>
      <c r="E256" s="11">
        <v>0</v>
      </c>
      <c r="F256" s="11">
        <v>337.67</v>
      </c>
      <c r="G256" s="56"/>
      <c r="H256" s="56" t="s">
        <v>37</v>
      </c>
      <c r="I256" s="102" t="s">
        <v>681</v>
      </c>
      <c r="J256" s="56"/>
      <c r="K256" s="28"/>
      <c r="L256" s="28"/>
      <c r="M256" s="28"/>
      <c r="N256" s="28"/>
      <c r="O256" s="28"/>
      <c r="P256" s="28"/>
      <c r="Q256" s="28"/>
      <c r="R256" s="28"/>
      <c r="S256" s="28"/>
      <c r="T256" s="28"/>
      <c r="U256" s="3"/>
      <c r="W256" s="3"/>
      <c r="X256" s="3"/>
      <c r="Y256" s="3"/>
      <c r="Z256" s="3"/>
    </row>
    <row r="257" spans="1:26" ht="15.75" hidden="1" customHeight="1" outlineLevel="1" x14ac:dyDescent="0.3">
      <c r="A257" s="3"/>
      <c r="B257" s="9" t="s">
        <v>682</v>
      </c>
      <c r="C257" s="53">
        <v>23</v>
      </c>
      <c r="D257" s="53" t="s">
        <v>95</v>
      </c>
      <c r="E257" s="11">
        <v>0</v>
      </c>
      <c r="F257" s="11">
        <v>300</v>
      </c>
      <c r="G257" s="56"/>
      <c r="H257" s="56" t="s">
        <v>37</v>
      </c>
      <c r="I257" s="102" t="s">
        <v>683</v>
      </c>
      <c r="J257" s="56"/>
      <c r="K257" s="28"/>
      <c r="L257" s="28"/>
      <c r="M257" s="28"/>
      <c r="N257" s="28"/>
      <c r="O257" s="28"/>
      <c r="P257" s="28"/>
      <c r="Q257" s="28"/>
      <c r="R257" s="28"/>
      <c r="S257" s="28"/>
      <c r="T257" s="28"/>
      <c r="U257" s="3"/>
      <c r="W257" s="3"/>
      <c r="X257" s="3"/>
      <c r="Y257" s="3"/>
      <c r="Z257" s="3"/>
    </row>
    <row r="258" spans="1:26" ht="15.75" hidden="1" customHeight="1" outlineLevel="1" x14ac:dyDescent="0.3">
      <c r="A258" s="3"/>
      <c r="B258" s="9" t="s">
        <v>684</v>
      </c>
      <c r="C258" s="53">
        <v>25</v>
      </c>
      <c r="D258" s="53" t="s">
        <v>95</v>
      </c>
      <c r="E258" s="11">
        <v>0</v>
      </c>
      <c r="F258" s="11">
        <v>84.7</v>
      </c>
      <c r="G258" s="56"/>
      <c r="H258" s="56" t="s">
        <v>37</v>
      </c>
      <c r="I258" s="102" t="s">
        <v>685</v>
      </c>
      <c r="J258" s="56"/>
      <c r="K258" s="28"/>
      <c r="L258" s="28"/>
      <c r="M258" s="28"/>
      <c r="N258" s="28"/>
      <c r="O258" s="28"/>
      <c r="P258" s="28"/>
      <c r="Q258" s="28"/>
      <c r="R258" s="28"/>
      <c r="S258" s="28"/>
      <c r="T258" s="28"/>
      <c r="U258" s="3"/>
      <c r="W258" s="3"/>
      <c r="X258" s="3"/>
      <c r="Y258" s="3"/>
      <c r="Z258" s="3"/>
    </row>
    <row r="259" spans="1:26" ht="15.75" hidden="1" customHeight="1" outlineLevel="1" x14ac:dyDescent="0.3">
      <c r="A259" s="3"/>
      <c r="B259" s="9" t="s">
        <v>684</v>
      </c>
      <c r="C259" s="53">
        <v>27</v>
      </c>
      <c r="D259" s="53" t="s">
        <v>95</v>
      </c>
      <c r="E259" s="11">
        <v>0</v>
      </c>
      <c r="F259" s="11">
        <v>24</v>
      </c>
      <c r="G259" s="56"/>
      <c r="H259" s="56" t="s">
        <v>37</v>
      </c>
      <c r="I259" s="102" t="s">
        <v>686</v>
      </c>
      <c r="J259" s="56"/>
      <c r="K259" s="28"/>
      <c r="L259" s="28"/>
      <c r="M259" s="28"/>
      <c r="N259" s="28"/>
      <c r="O259" s="28"/>
      <c r="P259" s="28"/>
      <c r="Q259" s="28"/>
      <c r="R259" s="28"/>
      <c r="S259" s="28"/>
      <c r="T259" s="28"/>
      <c r="U259" s="3"/>
      <c r="W259" s="3"/>
      <c r="X259" s="3"/>
      <c r="Y259" s="3"/>
      <c r="Z259" s="3"/>
    </row>
    <row r="260" spans="1:26" ht="15.75" hidden="1" customHeight="1" outlineLevel="1" x14ac:dyDescent="0.3">
      <c r="A260" s="3"/>
      <c r="B260" s="9" t="s">
        <v>687</v>
      </c>
      <c r="C260" s="53">
        <v>30</v>
      </c>
      <c r="D260" s="53" t="s">
        <v>95</v>
      </c>
      <c r="E260" s="11">
        <v>0</v>
      </c>
      <c r="F260" s="11">
        <v>780</v>
      </c>
      <c r="G260" s="56" t="s">
        <v>688</v>
      </c>
      <c r="H260" s="56" t="s">
        <v>36</v>
      </c>
      <c r="I260" s="102" t="s">
        <v>689</v>
      </c>
      <c r="J260" s="56"/>
      <c r="K260" s="28"/>
      <c r="L260" s="28"/>
      <c r="M260" s="28"/>
      <c r="N260" s="28"/>
      <c r="O260" s="28"/>
      <c r="P260" s="28"/>
      <c r="Q260" s="28"/>
      <c r="R260" s="28"/>
      <c r="S260" s="28"/>
      <c r="T260" s="28"/>
      <c r="U260" s="3"/>
      <c r="W260" s="3"/>
      <c r="X260" s="3"/>
      <c r="Y260" s="3"/>
      <c r="Z260" s="3"/>
    </row>
    <row r="261" spans="1:26" ht="15.75" hidden="1" customHeight="1" outlineLevel="1" x14ac:dyDescent="0.3">
      <c r="A261" s="3"/>
      <c r="B261" s="82" t="s">
        <v>690</v>
      </c>
      <c r="C261" s="83"/>
      <c r="D261" s="83"/>
      <c r="E261" s="84">
        <f>SUM(E262:E270)</f>
        <v>0</v>
      </c>
      <c r="F261" s="84">
        <f>SUMIF(D262:D270,"OK",F262:F270)</f>
        <v>94.490000000000009</v>
      </c>
      <c r="G261" s="85"/>
      <c r="H261" s="85"/>
      <c r="I261" s="86"/>
      <c r="J261" s="85"/>
      <c r="K261" s="28"/>
      <c r="L261" s="28"/>
      <c r="M261" s="28"/>
      <c r="N261" s="28"/>
      <c r="O261" s="28"/>
      <c r="P261" s="28"/>
      <c r="Q261" s="28"/>
      <c r="R261" s="28"/>
      <c r="S261" s="28"/>
      <c r="T261" s="28"/>
      <c r="U261" s="3"/>
      <c r="W261" s="3"/>
      <c r="X261" s="3"/>
      <c r="Y261" s="3"/>
      <c r="Z261" s="3"/>
    </row>
    <row r="262" spans="1:26" ht="15.75" hidden="1" customHeight="1" outlineLevel="1" x14ac:dyDescent="0.3">
      <c r="A262" s="3"/>
      <c r="B262" s="9" t="s">
        <v>691</v>
      </c>
      <c r="C262" s="53">
        <v>6</v>
      </c>
      <c r="D262" s="53" t="s">
        <v>95</v>
      </c>
      <c r="E262" s="11">
        <v>0</v>
      </c>
      <c r="F262" s="11">
        <v>49</v>
      </c>
      <c r="G262" s="56"/>
      <c r="H262" s="56" t="s">
        <v>37</v>
      </c>
      <c r="I262" s="102" t="s">
        <v>692</v>
      </c>
      <c r="J262" s="56"/>
      <c r="K262" s="28"/>
      <c r="L262" s="28"/>
      <c r="M262" s="28"/>
      <c r="N262" s="28"/>
      <c r="O262" s="28"/>
      <c r="P262" s="28"/>
      <c r="Q262" s="28"/>
      <c r="R262" s="28"/>
      <c r="S262" s="28"/>
      <c r="T262" s="28"/>
      <c r="U262" s="3"/>
      <c r="W262" s="3"/>
      <c r="X262" s="3"/>
      <c r="Y262" s="3"/>
      <c r="Z262" s="3"/>
    </row>
    <row r="263" spans="1:26" ht="15.75" hidden="1" customHeight="1" outlineLevel="1" x14ac:dyDescent="0.3">
      <c r="A263" s="3"/>
      <c r="B263" s="9" t="s">
        <v>693</v>
      </c>
      <c r="C263" s="53">
        <v>6</v>
      </c>
      <c r="D263" s="53" t="s">
        <v>95</v>
      </c>
      <c r="E263" s="11">
        <v>0</v>
      </c>
      <c r="F263" s="11">
        <v>36.9</v>
      </c>
      <c r="G263" s="56"/>
      <c r="H263" s="56" t="s">
        <v>37</v>
      </c>
      <c r="I263" s="102" t="s">
        <v>694</v>
      </c>
      <c r="J263" s="56"/>
      <c r="K263" s="28"/>
      <c r="L263" s="28"/>
      <c r="M263" s="28"/>
      <c r="N263" s="28"/>
      <c r="O263" s="28"/>
      <c r="P263" s="28"/>
      <c r="Q263" s="28"/>
      <c r="R263" s="28"/>
      <c r="S263" s="28"/>
      <c r="T263" s="28"/>
      <c r="U263" s="3"/>
      <c r="W263" s="3"/>
      <c r="X263" s="3"/>
      <c r="Y263" s="3"/>
      <c r="Z263" s="3"/>
    </row>
    <row r="264" spans="1:26" ht="15.75" hidden="1" customHeight="1" outlineLevel="1" x14ac:dyDescent="0.3">
      <c r="A264" s="3"/>
      <c r="B264" s="9" t="s">
        <v>693</v>
      </c>
      <c r="C264" s="53">
        <v>6</v>
      </c>
      <c r="D264" s="53" t="s">
        <v>95</v>
      </c>
      <c r="E264" s="11">
        <v>0</v>
      </c>
      <c r="F264" s="11">
        <v>8.59</v>
      </c>
      <c r="G264" s="56"/>
      <c r="H264" s="56" t="s">
        <v>37</v>
      </c>
      <c r="I264" s="102" t="s">
        <v>695</v>
      </c>
      <c r="J264" s="56"/>
      <c r="K264" s="28"/>
      <c r="L264" s="28"/>
      <c r="M264" s="28"/>
      <c r="N264" s="28"/>
      <c r="O264" s="28"/>
      <c r="P264" s="28"/>
      <c r="Q264" s="28"/>
      <c r="R264" s="28"/>
      <c r="S264" s="28"/>
      <c r="T264" s="28"/>
      <c r="U264" s="3"/>
      <c r="W264" s="3"/>
      <c r="X264" s="3"/>
      <c r="Y264" s="3"/>
      <c r="Z264" s="3"/>
    </row>
    <row r="265" spans="1:26" ht="15.75" hidden="1" customHeight="1" outlineLevel="1" x14ac:dyDescent="0.3">
      <c r="A265" s="3"/>
      <c r="B265" s="9" t="s">
        <v>370</v>
      </c>
      <c r="C265" s="53"/>
      <c r="D265" s="53"/>
      <c r="E265" s="11">
        <v>0</v>
      </c>
      <c r="F265" s="11">
        <v>0</v>
      </c>
      <c r="G265" s="56"/>
      <c r="H265" s="56"/>
      <c r="I265" s="80"/>
      <c r="J265" s="56"/>
      <c r="K265" s="28"/>
      <c r="L265" s="28"/>
      <c r="M265" s="28"/>
      <c r="N265" s="28"/>
      <c r="O265" s="28"/>
      <c r="P265" s="28"/>
      <c r="Q265" s="28"/>
      <c r="R265" s="28"/>
      <c r="S265" s="28"/>
      <c r="T265" s="28"/>
      <c r="U265" s="3"/>
      <c r="W265" s="3"/>
      <c r="X265" s="3"/>
      <c r="Y265" s="3"/>
      <c r="Z265" s="3"/>
    </row>
    <row r="266" spans="1:26" ht="15.75" hidden="1" customHeight="1" outlineLevel="1" x14ac:dyDescent="0.3">
      <c r="A266" s="3"/>
      <c r="B266" s="9" t="s">
        <v>328</v>
      </c>
      <c r="C266" s="53"/>
      <c r="D266" s="53"/>
      <c r="E266" s="11">
        <v>0</v>
      </c>
      <c r="F266" s="11">
        <v>0</v>
      </c>
      <c r="G266" s="56"/>
      <c r="H266" s="56"/>
      <c r="I266" s="80"/>
      <c r="J266" s="56"/>
      <c r="K266" s="28"/>
      <c r="L266" s="28"/>
      <c r="M266" s="28"/>
      <c r="N266" s="28"/>
      <c r="O266" s="28"/>
      <c r="P266" s="28"/>
      <c r="Q266" s="28"/>
      <c r="R266" s="28"/>
      <c r="S266" s="28"/>
      <c r="T266" s="28"/>
      <c r="U266" s="3"/>
      <c r="W266" s="3"/>
      <c r="X266" s="3"/>
      <c r="Y266" s="3"/>
      <c r="Z266" s="3"/>
    </row>
    <row r="267" spans="1:26" ht="15.75" hidden="1" customHeight="1" outlineLevel="1" x14ac:dyDescent="0.3">
      <c r="A267" s="3"/>
      <c r="B267" s="9" t="s">
        <v>329</v>
      </c>
      <c r="C267" s="53"/>
      <c r="D267" s="53"/>
      <c r="E267" s="11">
        <v>0</v>
      </c>
      <c r="F267" s="11">
        <v>0</v>
      </c>
      <c r="G267" s="56"/>
      <c r="H267" s="56"/>
      <c r="I267" s="80"/>
      <c r="J267" s="56"/>
      <c r="K267" s="28"/>
      <c r="L267" s="28"/>
      <c r="M267" s="28"/>
      <c r="N267" s="28"/>
      <c r="O267" s="28"/>
      <c r="P267" s="28"/>
      <c r="Q267" s="28"/>
      <c r="R267" s="28"/>
      <c r="S267" s="28"/>
      <c r="T267" s="28"/>
      <c r="U267" s="3"/>
      <c r="W267" s="3"/>
      <c r="X267" s="3"/>
      <c r="Y267" s="3"/>
      <c r="Z267" s="3"/>
    </row>
    <row r="268" spans="1:26" ht="15.75" hidden="1" customHeight="1" outlineLevel="1" x14ac:dyDescent="0.3">
      <c r="A268" s="3"/>
      <c r="B268" s="9" t="s">
        <v>371</v>
      </c>
      <c r="C268" s="53"/>
      <c r="D268" s="53"/>
      <c r="E268" s="11">
        <v>0</v>
      </c>
      <c r="F268" s="11">
        <v>0</v>
      </c>
      <c r="G268" s="56"/>
      <c r="H268" s="56"/>
      <c r="I268" s="80"/>
      <c r="J268" s="56"/>
      <c r="K268" s="28"/>
      <c r="L268" s="28"/>
      <c r="M268" s="28"/>
      <c r="N268" s="28"/>
      <c r="O268" s="28"/>
      <c r="P268" s="28"/>
      <c r="Q268" s="28"/>
      <c r="R268" s="28"/>
      <c r="S268" s="28"/>
      <c r="T268" s="28"/>
      <c r="U268" s="3"/>
      <c r="W268" s="3"/>
      <c r="X268" s="3"/>
      <c r="Y268" s="3"/>
      <c r="Z268" s="3"/>
    </row>
    <row r="269" spans="1:26" ht="15.75" hidden="1" customHeight="1" outlineLevel="1" x14ac:dyDescent="0.3">
      <c r="A269" s="3"/>
      <c r="B269" s="9" t="s">
        <v>372</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t="15.75" hidden="1" customHeight="1" outlineLevel="1" x14ac:dyDescent="0.3">
      <c r="A270" s="3"/>
      <c r="B270" s="9" t="s">
        <v>373</v>
      </c>
      <c r="C270" s="53"/>
      <c r="D270" s="53"/>
      <c r="E270" s="11">
        <v>0</v>
      </c>
      <c r="F270" s="11">
        <v>0</v>
      </c>
      <c r="G270" s="56"/>
      <c r="H270" s="56"/>
      <c r="I270" s="80"/>
      <c r="J270" s="56"/>
      <c r="K270" s="28"/>
      <c r="L270" s="28"/>
      <c r="M270" s="28"/>
      <c r="N270" s="28"/>
      <c r="O270" s="28"/>
      <c r="P270" s="28"/>
      <c r="Q270" s="28"/>
      <c r="R270" s="28"/>
      <c r="S270" s="28"/>
      <c r="T270" s="28"/>
      <c r="U270" s="3"/>
      <c r="W270" s="3"/>
      <c r="X270" s="3"/>
      <c r="Y270" s="3"/>
      <c r="Z270" s="3"/>
    </row>
    <row r="271" spans="1:26" ht="15.75" customHeight="1" collapsed="1" x14ac:dyDescent="0.3">
      <c r="A271" s="3"/>
      <c r="B271" s="75" t="s">
        <v>412</v>
      </c>
      <c r="C271" s="76" t="s">
        <v>44</v>
      </c>
      <c r="D271" s="76" t="s">
        <v>44</v>
      </c>
      <c r="E271" s="77">
        <f>SUM(E272:E282)</f>
        <v>0</v>
      </c>
      <c r="F271" s="77">
        <f>SUMIF(D272:D282,"OK",F272:F282)</f>
        <v>356.51</v>
      </c>
      <c r="G271" s="78"/>
      <c r="H271" s="78"/>
      <c r="I271" s="79"/>
      <c r="J271" s="78"/>
      <c r="K271" s="28"/>
      <c r="L271" s="28"/>
      <c r="M271" s="28"/>
      <c r="N271" s="28"/>
      <c r="O271" s="28"/>
      <c r="P271" s="28"/>
      <c r="Q271" s="28"/>
      <c r="R271" s="28"/>
      <c r="S271" s="28"/>
      <c r="T271" s="28"/>
      <c r="U271" s="3"/>
      <c r="W271" s="3"/>
      <c r="X271" s="3"/>
      <c r="Y271" s="3"/>
      <c r="Z271" s="3"/>
    </row>
    <row r="272" spans="1:26" ht="15.75" hidden="1" customHeight="1" outlineLevel="1" x14ac:dyDescent="0.3">
      <c r="A272" s="3"/>
      <c r="B272" s="9" t="s">
        <v>413</v>
      </c>
      <c r="C272" s="53"/>
      <c r="D272" s="53"/>
      <c r="E272" s="11">
        <v>0</v>
      </c>
      <c r="F272" s="11">
        <v>0</v>
      </c>
      <c r="G272" s="56"/>
      <c r="H272" s="56"/>
      <c r="I272" s="80"/>
      <c r="J272" s="56"/>
      <c r="K272" s="28"/>
      <c r="L272" s="28"/>
      <c r="M272" s="28"/>
      <c r="N272" s="28"/>
      <c r="O272" s="28"/>
      <c r="P272" s="28"/>
      <c r="Q272" s="28"/>
      <c r="R272" s="28"/>
      <c r="S272" s="28"/>
      <c r="T272" s="28"/>
      <c r="U272" s="3"/>
      <c r="W272" s="3"/>
      <c r="X272" s="3"/>
      <c r="Y272" s="3"/>
      <c r="Z272" s="3"/>
    </row>
    <row r="273" spans="1:26" ht="15.75" hidden="1" customHeight="1" outlineLevel="1" x14ac:dyDescent="0.3">
      <c r="A273" s="3"/>
      <c r="B273" s="9" t="s">
        <v>414</v>
      </c>
      <c r="C273" s="53">
        <v>29</v>
      </c>
      <c r="D273" s="53" t="s">
        <v>95</v>
      </c>
      <c r="E273" s="11">
        <v>0</v>
      </c>
      <c r="F273" s="11">
        <v>356.51</v>
      </c>
      <c r="G273" s="56"/>
      <c r="H273" s="56" t="s">
        <v>37</v>
      </c>
      <c r="I273" s="102" t="s">
        <v>696</v>
      </c>
      <c r="J273" s="56"/>
      <c r="K273" s="28"/>
      <c r="L273" s="28"/>
      <c r="M273" s="28"/>
      <c r="N273" s="28"/>
      <c r="O273" s="28"/>
      <c r="P273" s="28"/>
      <c r="Q273" s="28"/>
      <c r="R273" s="28"/>
      <c r="S273" s="28"/>
      <c r="T273" s="28"/>
      <c r="U273" s="3"/>
      <c r="W273" s="3"/>
      <c r="X273" s="3"/>
      <c r="Y273" s="3"/>
      <c r="Z273" s="3"/>
    </row>
    <row r="274" spans="1:26" ht="15.75" hidden="1" customHeight="1" outlineLevel="1" x14ac:dyDescent="0.3">
      <c r="A274" s="3"/>
      <c r="B274" s="9" t="s">
        <v>414</v>
      </c>
      <c r="C274" s="53"/>
      <c r="D274" s="53"/>
      <c r="E274" s="11">
        <v>0</v>
      </c>
      <c r="F274" s="11">
        <v>0</v>
      </c>
      <c r="G274" s="56"/>
      <c r="H274" s="56"/>
      <c r="I274" s="102"/>
      <c r="J274" s="56"/>
      <c r="K274" s="28"/>
      <c r="L274" s="28"/>
      <c r="M274" s="28"/>
      <c r="N274" s="28"/>
      <c r="O274" s="28"/>
      <c r="P274" s="28"/>
      <c r="Q274" s="28"/>
      <c r="R274" s="28"/>
      <c r="S274" s="28"/>
      <c r="T274" s="28"/>
      <c r="U274" s="3"/>
      <c r="W274" s="3"/>
      <c r="X274" s="3"/>
      <c r="Y274" s="3"/>
      <c r="Z274" s="3"/>
    </row>
    <row r="275" spans="1:26" ht="15.75" hidden="1" customHeight="1" outlineLevel="1" x14ac:dyDescent="0.3">
      <c r="A275" s="3"/>
      <c r="B275" s="9" t="s">
        <v>415</v>
      </c>
      <c r="C275" s="53"/>
      <c r="D275" s="53"/>
      <c r="E275" s="11">
        <v>0</v>
      </c>
      <c r="F275" s="11">
        <v>0</v>
      </c>
      <c r="G275" s="56"/>
      <c r="H275" s="56"/>
      <c r="I275" s="80"/>
      <c r="J275" s="56"/>
      <c r="K275" s="28"/>
      <c r="L275" s="28"/>
      <c r="M275" s="28"/>
      <c r="N275" s="28"/>
      <c r="O275" s="28"/>
      <c r="P275" s="28"/>
      <c r="Q275" s="28"/>
      <c r="R275" s="28"/>
      <c r="S275" s="28"/>
      <c r="T275" s="28"/>
      <c r="U275" s="3"/>
      <c r="W275" s="3"/>
      <c r="X275" s="3"/>
      <c r="Y275" s="3"/>
      <c r="Z275" s="3"/>
    </row>
    <row r="276" spans="1:26" ht="15.75" hidden="1" customHeight="1" outlineLevel="1" x14ac:dyDescent="0.3">
      <c r="A276" s="3"/>
      <c r="B276" s="9" t="s">
        <v>416</v>
      </c>
      <c r="C276" s="53"/>
      <c r="D276" s="53"/>
      <c r="E276" s="11">
        <v>0</v>
      </c>
      <c r="F276" s="11">
        <v>0</v>
      </c>
      <c r="G276" s="56"/>
      <c r="H276" s="56"/>
      <c r="I276" s="80"/>
      <c r="J276" s="56"/>
      <c r="K276" s="28"/>
      <c r="L276" s="28"/>
      <c r="M276" s="28"/>
      <c r="N276" s="28"/>
      <c r="O276" s="28"/>
      <c r="P276" s="28"/>
      <c r="Q276" s="28"/>
      <c r="R276" s="28"/>
      <c r="S276" s="28"/>
      <c r="T276" s="28"/>
      <c r="U276" s="3"/>
      <c r="W276" s="3"/>
      <c r="X276" s="3"/>
      <c r="Y276" s="3"/>
      <c r="Z276" s="3"/>
    </row>
    <row r="277" spans="1:26" ht="15.75" hidden="1" customHeight="1" outlineLevel="1" x14ac:dyDescent="0.3">
      <c r="A277" s="3"/>
      <c r="B277" s="9" t="s">
        <v>417</v>
      </c>
      <c r="C277" s="53"/>
      <c r="D277" s="53"/>
      <c r="E277" s="11">
        <v>0</v>
      </c>
      <c r="F277" s="11">
        <v>0</v>
      </c>
      <c r="G277" s="56"/>
      <c r="H277" s="56"/>
      <c r="I277" s="80"/>
      <c r="J277" s="56"/>
      <c r="K277" s="28"/>
      <c r="L277" s="28"/>
      <c r="M277" s="28"/>
      <c r="N277" s="28"/>
      <c r="O277" s="28"/>
      <c r="P277" s="28"/>
      <c r="Q277" s="28"/>
      <c r="R277" s="28"/>
      <c r="S277" s="28"/>
      <c r="T277" s="28"/>
      <c r="U277" s="3"/>
      <c r="W277" s="3"/>
      <c r="X277" s="3"/>
      <c r="Y277" s="3"/>
      <c r="Z277" s="3"/>
    </row>
    <row r="278" spans="1:26" ht="15.75" hidden="1" customHeight="1" outlineLevel="1" x14ac:dyDescent="0.3">
      <c r="A278" s="3"/>
      <c r="B278" s="9" t="s">
        <v>418</v>
      </c>
      <c r="C278" s="53"/>
      <c r="D278" s="53"/>
      <c r="E278" s="11">
        <v>0</v>
      </c>
      <c r="F278" s="11">
        <v>0</v>
      </c>
      <c r="G278" s="56"/>
      <c r="H278" s="56"/>
      <c r="I278" s="80"/>
      <c r="J278" s="56"/>
      <c r="K278" s="28"/>
      <c r="L278" s="28"/>
      <c r="M278" s="28"/>
      <c r="N278" s="28"/>
      <c r="O278" s="28"/>
      <c r="P278" s="28"/>
      <c r="Q278" s="28"/>
      <c r="R278" s="28"/>
      <c r="S278" s="28"/>
      <c r="T278" s="28"/>
      <c r="U278" s="3"/>
      <c r="W278" s="3"/>
      <c r="X278" s="3"/>
      <c r="Y278" s="3"/>
      <c r="Z278" s="3"/>
    </row>
    <row r="279" spans="1:26" ht="15.75" hidden="1" customHeight="1" outlineLevel="1" x14ac:dyDescent="0.3">
      <c r="A279" s="3"/>
      <c r="B279" s="9" t="s">
        <v>419</v>
      </c>
      <c r="C279" s="53"/>
      <c r="D279" s="53"/>
      <c r="E279" s="11">
        <v>0</v>
      </c>
      <c r="F279" s="11">
        <v>0</v>
      </c>
      <c r="G279" s="56"/>
      <c r="H279" s="56"/>
      <c r="I279" s="80"/>
      <c r="J279" s="56"/>
      <c r="K279" s="28"/>
      <c r="L279" s="28"/>
      <c r="M279" s="28"/>
      <c r="N279" s="28"/>
      <c r="O279" s="28"/>
      <c r="P279" s="28"/>
      <c r="Q279" s="28"/>
      <c r="R279" s="28"/>
      <c r="S279" s="28"/>
      <c r="T279" s="28"/>
      <c r="U279" s="3"/>
      <c r="W279" s="3"/>
      <c r="X279" s="3"/>
      <c r="Y279" s="3"/>
      <c r="Z279" s="3"/>
    </row>
    <row r="280" spans="1:26" ht="15.75" hidden="1" customHeight="1" outlineLevel="1" x14ac:dyDescent="0.3">
      <c r="A280" s="3"/>
      <c r="B280" s="9" t="s">
        <v>420</v>
      </c>
      <c r="C280" s="53"/>
      <c r="D280" s="53"/>
      <c r="E280" s="11">
        <v>0</v>
      </c>
      <c r="F280" s="11">
        <v>0</v>
      </c>
      <c r="G280" s="56"/>
      <c r="H280" s="56"/>
      <c r="I280" s="80"/>
      <c r="J280" s="56"/>
      <c r="K280" s="28"/>
      <c r="L280" s="28"/>
      <c r="M280" s="28"/>
      <c r="N280" s="28"/>
      <c r="O280" s="28"/>
      <c r="P280" s="28"/>
      <c r="Q280" s="28"/>
      <c r="R280" s="28"/>
      <c r="S280" s="28"/>
      <c r="T280" s="28"/>
      <c r="U280" s="3"/>
      <c r="W280" s="3"/>
      <c r="X280" s="3"/>
      <c r="Y280" s="3"/>
      <c r="Z280" s="3"/>
    </row>
    <row r="281" spans="1:26" ht="15.75" hidden="1" customHeight="1" outlineLevel="1" x14ac:dyDescent="0.3">
      <c r="A281" s="3"/>
      <c r="B281" s="9" t="s">
        <v>421</v>
      </c>
      <c r="C281" s="53"/>
      <c r="D281" s="53"/>
      <c r="E281" s="11">
        <v>0</v>
      </c>
      <c r="F281" s="11">
        <v>0</v>
      </c>
      <c r="G281" s="56"/>
      <c r="H281" s="56"/>
      <c r="I281" s="80"/>
      <c r="J281" s="56"/>
      <c r="K281" s="28"/>
      <c r="L281" s="28"/>
      <c r="M281" s="28"/>
      <c r="N281" s="28"/>
      <c r="O281" s="28"/>
      <c r="P281" s="28"/>
      <c r="Q281" s="28"/>
      <c r="R281" s="28"/>
      <c r="S281" s="28"/>
      <c r="T281" s="28"/>
      <c r="U281" s="3"/>
      <c r="W281" s="3"/>
      <c r="X281" s="3"/>
      <c r="Y281" s="3"/>
      <c r="Z281" s="3"/>
    </row>
    <row r="282" spans="1:26" ht="15.75" hidden="1" customHeight="1" outlineLevel="1" x14ac:dyDescent="0.3">
      <c r="A282" s="3"/>
      <c r="B282" s="9" t="s">
        <v>66</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ht="15.75" customHeight="1" collapsed="1" x14ac:dyDescent="0.3">
      <c r="A283" s="3"/>
      <c r="B283" s="3"/>
      <c r="C283" s="28"/>
      <c r="D283" s="28"/>
      <c r="E283" s="28"/>
      <c r="F283" s="28"/>
      <c r="G283" s="89"/>
      <c r="H283" s="89"/>
      <c r="I283" s="90"/>
      <c r="J283" s="89"/>
      <c r="K283" s="28"/>
      <c r="L283" s="28"/>
      <c r="M283" s="28"/>
      <c r="N283" s="28"/>
      <c r="O283" s="28"/>
      <c r="P283" s="28"/>
      <c r="Q283" s="28"/>
      <c r="R283" s="28"/>
      <c r="S283" s="28"/>
      <c r="T283" s="28"/>
      <c r="U283" s="3"/>
    </row>
    <row r="284" spans="1:26" ht="26.25" customHeight="1" x14ac:dyDescent="0.3">
      <c r="A284" s="3"/>
      <c r="B284" s="240" t="s">
        <v>697</v>
      </c>
      <c r="C284" s="241"/>
      <c r="D284" s="241"/>
      <c r="E284" s="241"/>
      <c r="F284" s="241"/>
      <c r="G284" s="241"/>
      <c r="H284" s="241"/>
      <c r="I284" s="241"/>
      <c r="J284" s="241"/>
      <c r="K284" s="28"/>
      <c r="L284" s="28"/>
      <c r="M284" s="28"/>
      <c r="N284" s="28"/>
      <c r="O284" s="28"/>
      <c r="P284" s="28"/>
      <c r="Q284" s="28"/>
      <c r="R284" s="28"/>
      <c r="S284" s="28"/>
      <c r="T284" s="28"/>
      <c r="U284" s="3"/>
    </row>
    <row r="285" spans="1:26" ht="15.75" customHeight="1" x14ac:dyDescent="0.3">
      <c r="A285" s="3"/>
      <c r="B285" s="241"/>
      <c r="C285" s="241"/>
      <c r="D285" s="241"/>
      <c r="E285" s="241"/>
      <c r="F285" s="241"/>
      <c r="G285" s="241"/>
      <c r="H285" s="241"/>
      <c r="I285" s="241"/>
      <c r="J285" s="241"/>
      <c r="K285" s="28"/>
      <c r="L285" s="28"/>
      <c r="M285" s="28"/>
      <c r="N285" s="28"/>
      <c r="O285" s="28"/>
      <c r="P285" s="28"/>
      <c r="Q285" s="28"/>
      <c r="R285" s="28"/>
      <c r="S285" s="28"/>
      <c r="T285" s="28"/>
      <c r="U285" s="3"/>
    </row>
    <row r="286" spans="1:26" ht="15.75" customHeight="1" x14ac:dyDescent="0.3">
      <c r="A286" s="3"/>
      <c r="B286" s="3"/>
      <c r="C286" s="28"/>
      <c r="D286" s="28"/>
      <c r="E286" s="28"/>
      <c r="F286" s="28"/>
      <c r="G286" s="89"/>
      <c r="H286" s="89"/>
      <c r="I286" s="90"/>
      <c r="J286" s="89"/>
      <c r="K286" s="28"/>
      <c r="L286" s="28"/>
      <c r="M286" s="28"/>
      <c r="N286" s="28"/>
      <c r="O286" s="28"/>
      <c r="P286" s="28"/>
      <c r="Q286" s="28"/>
      <c r="R286" s="28"/>
      <c r="S286" s="28"/>
      <c r="T286" s="28"/>
      <c r="U286" s="3"/>
    </row>
    <row r="287" spans="1:26" ht="15.75" customHeight="1" x14ac:dyDescent="0.3">
      <c r="A287" s="3"/>
      <c r="C287" s="28"/>
      <c r="D287" s="28"/>
      <c r="E287" s="28"/>
      <c r="F287" s="28"/>
      <c r="G287" s="89"/>
      <c r="H287" s="89"/>
      <c r="I287" s="90"/>
      <c r="J287" s="89"/>
      <c r="K287" s="28"/>
      <c r="L287" s="28"/>
      <c r="M287" s="28"/>
      <c r="N287" s="28"/>
      <c r="O287" s="28"/>
      <c r="P287" s="28"/>
      <c r="Q287" s="28"/>
      <c r="R287" s="28"/>
      <c r="S287" s="28"/>
      <c r="T287" s="28"/>
      <c r="U287" s="3"/>
    </row>
    <row r="288" spans="1:26" ht="15.75" customHeight="1" x14ac:dyDescent="0.3">
      <c r="A288" s="3"/>
      <c r="B288" s="3"/>
      <c r="C288" s="28"/>
      <c r="D288" s="28"/>
      <c r="E288" s="28"/>
      <c r="F288" s="28"/>
      <c r="G288" s="89"/>
      <c r="H288" s="89"/>
      <c r="I288" s="90"/>
      <c r="J288" s="89"/>
      <c r="K288" s="28"/>
      <c r="L288" s="28"/>
      <c r="M288" s="28"/>
      <c r="N288" s="28"/>
      <c r="O288" s="28"/>
      <c r="P288" s="28"/>
      <c r="Q288" s="28"/>
      <c r="R288" s="28"/>
      <c r="S288" s="28"/>
      <c r="T288" s="28"/>
      <c r="U288" s="3"/>
    </row>
    <row r="289" spans="1:21" ht="15.75" customHeight="1" x14ac:dyDescent="0.3">
      <c r="A289" s="3"/>
      <c r="B289" s="3"/>
      <c r="C289" s="28"/>
      <c r="D289" s="28"/>
      <c r="E289" s="28"/>
      <c r="F289" s="28"/>
      <c r="G289" s="89"/>
      <c r="H289" s="89"/>
      <c r="I289" s="90"/>
      <c r="J289" s="89"/>
      <c r="K289" s="28"/>
      <c r="L289" s="28"/>
      <c r="M289" s="28"/>
      <c r="N289" s="28"/>
      <c r="O289" s="28"/>
      <c r="P289" s="28"/>
      <c r="Q289" s="28"/>
      <c r="R289" s="28"/>
      <c r="S289" s="28"/>
      <c r="T289" s="28"/>
      <c r="U289" s="3"/>
    </row>
    <row r="290" spans="1:21" ht="15.75" customHeight="1" x14ac:dyDescent="0.3">
      <c r="A290" s="3"/>
      <c r="B290" s="3"/>
      <c r="C290" s="28"/>
      <c r="D290" s="28"/>
      <c r="E290" s="28"/>
      <c r="F290" s="28"/>
      <c r="G290" s="89"/>
      <c r="H290" s="89"/>
      <c r="I290" s="90"/>
      <c r="J290" s="89"/>
      <c r="K290" s="28"/>
      <c r="L290" s="28"/>
      <c r="M290" s="28"/>
      <c r="N290" s="28"/>
      <c r="O290" s="28"/>
      <c r="P290" s="28"/>
      <c r="Q290" s="28"/>
      <c r="R290" s="28"/>
      <c r="S290" s="28"/>
      <c r="T290" s="28"/>
      <c r="U290" s="3"/>
    </row>
    <row r="291" spans="1:21" ht="15.75" customHeight="1" x14ac:dyDescent="0.3">
      <c r="A291" s="3"/>
      <c r="B291" s="3"/>
      <c r="C291" s="28"/>
      <c r="D291" s="28"/>
      <c r="E291" s="28"/>
      <c r="F291" s="28"/>
      <c r="G291" s="89"/>
      <c r="H291" s="89"/>
      <c r="I291" s="90"/>
      <c r="J291" s="89"/>
      <c r="K291" s="28"/>
      <c r="L291" s="28"/>
      <c r="M291" s="28"/>
      <c r="N291" s="28"/>
      <c r="O291" s="28"/>
      <c r="P291" s="28"/>
      <c r="Q291" s="28"/>
      <c r="R291" s="28"/>
      <c r="S291" s="28"/>
      <c r="T291" s="28"/>
      <c r="U291" s="3"/>
    </row>
    <row r="292" spans="1:21" ht="15.75" customHeight="1" x14ac:dyDescent="0.3">
      <c r="A292" s="3"/>
      <c r="B292" s="3"/>
      <c r="C292" s="28"/>
      <c r="D292" s="28"/>
      <c r="E292" s="28"/>
      <c r="F292" s="28"/>
      <c r="G292" s="89"/>
      <c r="H292" s="89"/>
      <c r="I292" s="90"/>
      <c r="J292" s="89"/>
      <c r="K292" s="28"/>
      <c r="L292" s="28"/>
      <c r="M292" s="28"/>
      <c r="N292" s="28"/>
      <c r="O292" s="28"/>
      <c r="P292" s="28"/>
      <c r="Q292" s="28"/>
      <c r="R292" s="28"/>
      <c r="S292" s="28"/>
      <c r="T292" s="28"/>
      <c r="U292" s="3"/>
    </row>
    <row r="293" spans="1:21" ht="15.75" customHeight="1" x14ac:dyDescent="0.3">
      <c r="A293" s="3"/>
      <c r="B293" s="3"/>
      <c r="C293" s="28"/>
      <c r="D293" s="28"/>
      <c r="E293" s="28"/>
      <c r="F293" s="28"/>
      <c r="G293" s="89"/>
      <c r="H293" s="89"/>
      <c r="I293" s="90"/>
      <c r="J293" s="89"/>
      <c r="K293" s="28"/>
      <c r="L293" s="28"/>
      <c r="M293" s="28"/>
      <c r="N293" s="28"/>
      <c r="O293" s="28"/>
      <c r="P293" s="28"/>
      <c r="Q293" s="28"/>
      <c r="R293" s="28"/>
      <c r="S293" s="28"/>
      <c r="T293" s="28"/>
      <c r="U293" s="3"/>
    </row>
    <row r="294" spans="1:21" ht="15.75" customHeight="1" x14ac:dyDescent="0.3">
      <c r="A294" s="3"/>
      <c r="B294" s="3"/>
      <c r="C294" s="28"/>
      <c r="D294" s="28"/>
      <c r="E294" s="28"/>
      <c r="F294" s="28"/>
      <c r="G294" s="89"/>
      <c r="H294" s="89"/>
      <c r="I294" s="90"/>
      <c r="J294" s="89"/>
      <c r="K294" s="28"/>
      <c r="L294" s="28"/>
      <c r="M294" s="28"/>
      <c r="N294" s="28"/>
      <c r="O294" s="28"/>
      <c r="P294" s="28"/>
      <c r="Q294" s="28"/>
      <c r="R294" s="28"/>
      <c r="S294" s="28"/>
      <c r="T294" s="28"/>
      <c r="U294" s="3"/>
    </row>
    <row r="295" spans="1:21" ht="15.75" customHeight="1" x14ac:dyDescent="0.3">
      <c r="A295" s="3"/>
      <c r="B295" s="3"/>
      <c r="C295" s="28"/>
      <c r="D295" s="28"/>
      <c r="E295" s="28"/>
      <c r="F295" s="28"/>
      <c r="G295" s="89"/>
      <c r="H295" s="89"/>
      <c r="I295" s="90"/>
      <c r="J295" s="89"/>
      <c r="K295" s="28"/>
      <c r="L295" s="28"/>
      <c r="M295" s="28"/>
      <c r="N295" s="28"/>
      <c r="O295" s="28"/>
      <c r="P295" s="28"/>
      <c r="Q295" s="28"/>
      <c r="R295" s="28"/>
      <c r="S295" s="28"/>
      <c r="T295" s="28"/>
      <c r="U295" s="3"/>
    </row>
    <row r="296" spans="1:21" ht="15.75" customHeight="1" x14ac:dyDescent="0.3">
      <c r="A296" s="3"/>
      <c r="B296" s="3"/>
      <c r="C296" s="28"/>
      <c r="D296" s="28"/>
      <c r="E296" s="28"/>
      <c r="F296" s="28"/>
      <c r="G296" s="89"/>
      <c r="H296" s="89"/>
      <c r="I296" s="90"/>
      <c r="J296" s="89"/>
      <c r="K296" s="28"/>
      <c r="L296" s="28"/>
      <c r="M296" s="28"/>
      <c r="N296" s="28"/>
      <c r="O296" s="28"/>
      <c r="P296" s="28"/>
      <c r="Q296" s="28"/>
      <c r="R296" s="28"/>
      <c r="S296" s="28"/>
      <c r="T296" s="28"/>
      <c r="U296" s="3"/>
    </row>
    <row r="297" spans="1:21" ht="15.75" customHeight="1" x14ac:dyDescent="0.3">
      <c r="A297" s="3"/>
      <c r="B297" s="3"/>
      <c r="C297" s="28"/>
      <c r="D297" s="28"/>
      <c r="E297" s="28"/>
      <c r="F297" s="28"/>
      <c r="G297" s="89"/>
      <c r="H297" s="89"/>
      <c r="I297" s="90"/>
      <c r="J297" s="89"/>
      <c r="K297" s="28"/>
      <c r="L297" s="28"/>
      <c r="M297" s="28"/>
      <c r="N297" s="28"/>
      <c r="O297" s="28"/>
      <c r="P297" s="28"/>
      <c r="Q297" s="28"/>
      <c r="R297" s="28"/>
      <c r="S297" s="28"/>
      <c r="T297" s="28"/>
      <c r="U297" s="3"/>
    </row>
    <row r="298" spans="1:21" ht="15.75" customHeight="1" x14ac:dyDescent="0.3">
      <c r="A298" s="3"/>
      <c r="B298" s="3"/>
      <c r="C298" s="28"/>
      <c r="D298" s="28"/>
      <c r="E298" s="28"/>
      <c r="F298" s="28"/>
      <c r="G298" s="89"/>
      <c r="H298" s="89"/>
      <c r="I298" s="90"/>
      <c r="J298" s="89"/>
      <c r="K298" s="28"/>
      <c r="L298" s="28"/>
      <c r="M298" s="28"/>
      <c r="N298" s="28"/>
      <c r="O298" s="28"/>
      <c r="P298" s="28"/>
      <c r="Q298" s="28"/>
      <c r="R298" s="28"/>
      <c r="S298" s="28"/>
      <c r="T298" s="28"/>
      <c r="U298" s="3"/>
    </row>
    <row r="299" spans="1:21" ht="15.75" customHeight="1" x14ac:dyDescent="0.3">
      <c r="A299" s="3"/>
      <c r="B299" s="3"/>
      <c r="C299" s="28"/>
      <c r="D299" s="28"/>
      <c r="E299" s="28"/>
      <c r="F299" s="28"/>
      <c r="G299" s="89"/>
      <c r="H299" s="89"/>
      <c r="I299" s="90"/>
      <c r="J299" s="89"/>
      <c r="K299" s="28"/>
      <c r="L299" s="28"/>
      <c r="M299" s="28"/>
      <c r="N299" s="28"/>
      <c r="O299" s="28"/>
      <c r="P299" s="28"/>
      <c r="Q299" s="28"/>
      <c r="R299" s="28"/>
      <c r="S299" s="28"/>
      <c r="T299" s="28"/>
      <c r="U299" s="3"/>
    </row>
    <row r="300" spans="1:21" ht="15.75" customHeight="1" x14ac:dyDescent="0.3">
      <c r="A300" s="3"/>
      <c r="B300" s="3"/>
      <c r="C300" s="28"/>
      <c r="D300" s="28"/>
      <c r="E300" s="28"/>
      <c r="F300" s="28"/>
      <c r="G300" s="89"/>
      <c r="H300" s="89"/>
      <c r="I300" s="90"/>
      <c r="J300" s="89"/>
      <c r="K300" s="28"/>
      <c r="L300" s="28"/>
      <c r="M300" s="28"/>
      <c r="N300" s="28"/>
      <c r="O300" s="28"/>
      <c r="P300" s="28"/>
      <c r="Q300" s="28"/>
      <c r="R300" s="28"/>
      <c r="S300" s="28"/>
      <c r="T300" s="28"/>
      <c r="U300" s="3"/>
    </row>
    <row r="301" spans="1:21" ht="15.75" customHeight="1" x14ac:dyDescent="0.3">
      <c r="A301" s="3"/>
      <c r="B301" s="3"/>
      <c r="C301" s="28"/>
      <c r="D301" s="28"/>
      <c r="E301" s="28"/>
      <c r="F301" s="28"/>
      <c r="G301" s="89"/>
      <c r="H301" s="89"/>
      <c r="I301" s="90"/>
      <c r="J301" s="89"/>
      <c r="K301" s="28"/>
      <c r="L301" s="28"/>
      <c r="M301" s="28"/>
      <c r="N301" s="28"/>
      <c r="O301" s="28"/>
      <c r="P301" s="28"/>
      <c r="Q301" s="28"/>
      <c r="R301" s="28"/>
      <c r="S301" s="28"/>
      <c r="T301" s="28"/>
      <c r="U301" s="3"/>
    </row>
    <row r="302" spans="1:21" ht="15.75" customHeight="1" x14ac:dyDescent="0.3">
      <c r="A302" s="3"/>
      <c r="B302" s="3"/>
      <c r="C302" s="28"/>
      <c r="D302" s="28"/>
      <c r="E302" s="28"/>
      <c r="F302" s="28"/>
      <c r="G302" s="89"/>
      <c r="H302" s="89"/>
      <c r="I302" s="90"/>
      <c r="J302" s="89"/>
      <c r="K302" s="28"/>
      <c r="L302" s="28"/>
      <c r="M302" s="28"/>
      <c r="N302" s="28"/>
      <c r="O302" s="28"/>
      <c r="P302" s="28"/>
      <c r="Q302" s="28"/>
      <c r="R302" s="28"/>
      <c r="S302" s="28"/>
      <c r="T302" s="28"/>
      <c r="U302" s="3"/>
    </row>
    <row r="303" spans="1:21" ht="15.75" customHeight="1" x14ac:dyDescent="0.3">
      <c r="A303" s="3"/>
      <c r="B303" s="3"/>
      <c r="C303" s="28"/>
      <c r="D303" s="28"/>
      <c r="E303" s="28"/>
      <c r="F303" s="28"/>
      <c r="G303" s="89"/>
      <c r="H303" s="89"/>
      <c r="I303" s="90"/>
      <c r="J303" s="89"/>
      <c r="K303" s="28"/>
      <c r="L303" s="28"/>
      <c r="M303" s="28"/>
      <c r="N303" s="28"/>
      <c r="O303" s="28"/>
      <c r="P303" s="28"/>
      <c r="Q303" s="28"/>
      <c r="R303" s="28"/>
      <c r="S303" s="28"/>
      <c r="T303" s="28"/>
      <c r="U303" s="3"/>
    </row>
    <row r="304" spans="1:21" ht="15.75" customHeight="1" x14ac:dyDescent="0.3">
      <c r="A304" s="3"/>
      <c r="B304" s="3"/>
      <c r="C304" s="28"/>
      <c r="D304" s="28"/>
      <c r="E304" s="28"/>
      <c r="F304" s="28"/>
      <c r="G304" s="89"/>
      <c r="H304" s="89"/>
      <c r="I304" s="90"/>
      <c r="J304" s="89"/>
      <c r="K304" s="28"/>
      <c r="L304" s="28"/>
      <c r="M304" s="28"/>
      <c r="N304" s="28"/>
      <c r="O304" s="28"/>
      <c r="P304" s="28"/>
      <c r="Q304" s="28"/>
      <c r="R304" s="28"/>
      <c r="S304" s="28"/>
      <c r="T304" s="28"/>
      <c r="U304" s="3"/>
    </row>
    <row r="305" spans="1:21" ht="15.75" customHeight="1" x14ac:dyDescent="0.3">
      <c r="A305" s="3"/>
      <c r="B305" s="3"/>
      <c r="C305" s="28"/>
      <c r="D305" s="28"/>
      <c r="E305" s="28"/>
      <c r="F305" s="28"/>
      <c r="G305" s="89"/>
      <c r="H305" s="89"/>
      <c r="I305" s="90"/>
      <c r="J305" s="89"/>
      <c r="K305" s="28"/>
      <c r="L305" s="28"/>
      <c r="M305" s="28"/>
      <c r="N305" s="28"/>
      <c r="O305" s="28"/>
      <c r="P305" s="28"/>
      <c r="Q305" s="28"/>
      <c r="R305" s="28"/>
      <c r="S305" s="28"/>
      <c r="T305" s="28"/>
      <c r="U305" s="3"/>
    </row>
    <row r="306" spans="1:21" ht="15.75" customHeight="1" x14ac:dyDescent="0.3">
      <c r="A306" s="3"/>
      <c r="B306" s="3"/>
      <c r="C306" s="28"/>
      <c r="D306" s="28"/>
      <c r="E306" s="28"/>
      <c r="F306" s="28"/>
      <c r="G306" s="89"/>
      <c r="H306" s="89"/>
      <c r="I306" s="90"/>
      <c r="J306" s="89"/>
      <c r="K306" s="28"/>
      <c r="L306" s="28"/>
      <c r="M306" s="28"/>
      <c r="N306" s="28"/>
      <c r="O306" s="28"/>
      <c r="P306" s="28"/>
      <c r="Q306" s="28"/>
      <c r="R306" s="28"/>
      <c r="S306" s="28"/>
      <c r="T306" s="28"/>
      <c r="U306" s="3"/>
    </row>
    <row r="307" spans="1:21" ht="15.75" customHeight="1" x14ac:dyDescent="0.3">
      <c r="A307" s="3"/>
      <c r="B307" s="3"/>
      <c r="C307" s="28"/>
      <c r="D307" s="28"/>
      <c r="E307" s="28"/>
      <c r="F307" s="28"/>
      <c r="G307" s="89"/>
      <c r="H307" s="89"/>
      <c r="I307" s="90"/>
      <c r="J307" s="89"/>
      <c r="K307" s="28"/>
      <c r="L307" s="28"/>
      <c r="M307" s="28"/>
      <c r="N307" s="28"/>
      <c r="O307" s="28"/>
      <c r="P307" s="28"/>
      <c r="Q307" s="28"/>
      <c r="R307" s="28"/>
      <c r="S307" s="28"/>
      <c r="T307" s="28"/>
      <c r="U307" s="3"/>
    </row>
    <row r="308" spans="1:21" ht="15.75" customHeight="1" x14ac:dyDescent="0.3">
      <c r="A308" s="3"/>
      <c r="B308" s="3"/>
      <c r="C308" s="28"/>
      <c r="D308" s="28"/>
      <c r="E308" s="28"/>
      <c r="F308" s="28"/>
      <c r="G308" s="89"/>
      <c r="H308" s="89"/>
      <c r="I308" s="90"/>
      <c r="J308" s="89"/>
      <c r="K308" s="28"/>
      <c r="L308" s="28"/>
      <c r="M308" s="28"/>
      <c r="N308" s="28"/>
      <c r="O308" s="28"/>
      <c r="P308" s="28"/>
      <c r="Q308" s="28"/>
      <c r="R308" s="28"/>
      <c r="S308" s="28"/>
      <c r="T308" s="28"/>
      <c r="U308" s="3"/>
    </row>
    <row r="309" spans="1:21" ht="15.75" customHeight="1" x14ac:dyDescent="0.3">
      <c r="A309" s="3"/>
      <c r="B309" s="3"/>
      <c r="C309" s="28"/>
      <c r="D309" s="28"/>
      <c r="E309" s="28"/>
      <c r="F309" s="28"/>
      <c r="G309" s="89"/>
      <c r="H309" s="89"/>
      <c r="I309" s="90"/>
      <c r="J309" s="89"/>
      <c r="K309" s="28"/>
      <c r="L309" s="28"/>
      <c r="M309" s="28"/>
      <c r="N309" s="28"/>
      <c r="O309" s="28"/>
      <c r="P309" s="28"/>
      <c r="Q309" s="28"/>
      <c r="R309" s="28"/>
      <c r="S309" s="28"/>
      <c r="T309" s="28"/>
      <c r="U309" s="3"/>
    </row>
    <row r="310" spans="1:21" ht="15.75" customHeight="1" x14ac:dyDescent="0.3">
      <c r="A310" s="3"/>
      <c r="B310" s="3"/>
      <c r="C310" s="28"/>
      <c r="D310" s="28"/>
      <c r="E310" s="28"/>
      <c r="F310" s="28"/>
      <c r="G310" s="89"/>
      <c r="H310" s="89"/>
      <c r="I310" s="90"/>
      <c r="J310" s="89"/>
      <c r="K310" s="28"/>
      <c r="L310" s="28"/>
      <c r="M310" s="28"/>
      <c r="N310" s="28"/>
      <c r="O310" s="28"/>
      <c r="P310" s="28"/>
      <c r="Q310" s="28"/>
      <c r="R310" s="28"/>
      <c r="S310" s="28"/>
      <c r="T310" s="28"/>
      <c r="U310" s="3"/>
    </row>
    <row r="311" spans="1:21" ht="15.75" customHeight="1" x14ac:dyDescent="0.3">
      <c r="A311" s="3"/>
      <c r="B311" s="3"/>
      <c r="C311" s="28"/>
      <c r="D311" s="28"/>
      <c r="E311" s="28"/>
      <c r="F311" s="28"/>
      <c r="G311" s="89"/>
      <c r="H311" s="89"/>
      <c r="I311" s="90"/>
      <c r="J311" s="89"/>
      <c r="K311" s="28"/>
      <c r="L311" s="28"/>
      <c r="M311" s="28"/>
      <c r="N311" s="28"/>
      <c r="O311" s="28"/>
      <c r="P311" s="28"/>
      <c r="Q311" s="28"/>
      <c r="R311" s="28"/>
      <c r="S311" s="28"/>
      <c r="T311" s="28"/>
      <c r="U311" s="3"/>
    </row>
    <row r="312" spans="1:21" ht="15.75" customHeight="1" x14ac:dyDescent="0.3">
      <c r="A312" s="3"/>
      <c r="B312" s="3"/>
      <c r="C312" s="28"/>
      <c r="D312" s="28"/>
      <c r="E312" s="28"/>
      <c r="F312" s="28"/>
      <c r="G312" s="89"/>
      <c r="H312" s="89"/>
      <c r="I312" s="90"/>
      <c r="J312" s="89"/>
      <c r="K312" s="28"/>
      <c r="L312" s="28"/>
      <c r="M312" s="28"/>
      <c r="N312" s="28"/>
      <c r="O312" s="28"/>
      <c r="P312" s="28"/>
      <c r="Q312" s="28"/>
      <c r="R312" s="28"/>
      <c r="S312" s="28"/>
      <c r="T312" s="28"/>
      <c r="U312" s="3"/>
    </row>
    <row r="313" spans="1:21" ht="15.75" customHeight="1" x14ac:dyDescent="0.3">
      <c r="A313" s="3"/>
      <c r="B313" s="3"/>
      <c r="C313" s="28"/>
      <c r="D313" s="28"/>
      <c r="E313" s="28"/>
      <c r="F313" s="28"/>
      <c r="G313" s="89"/>
      <c r="H313" s="89"/>
      <c r="I313" s="90"/>
      <c r="J313" s="89"/>
      <c r="K313" s="28"/>
      <c r="L313" s="28"/>
      <c r="M313" s="28"/>
      <c r="N313" s="28"/>
      <c r="O313" s="28"/>
      <c r="P313" s="28"/>
      <c r="Q313" s="28"/>
      <c r="R313" s="28"/>
      <c r="S313" s="28"/>
      <c r="T313" s="28"/>
      <c r="U313" s="3"/>
    </row>
    <row r="314" spans="1:21" ht="15.75" customHeight="1" x14ac:dyDescent="0.3">
      <c r="A314" s="3"/>
      <c r="B314" s="3"/>
      <c r="C314" s="28"/>
      <c r="D314" s="28"/>
      <c r="E314" s="28"/>
      <c r="F314" s="28"/>
      <c r="G314" s="89"/>
      <c r="H314" s="89"/>
      <c r="I314" s="90"/>
      <c r="J314" s="89"/>
      <c r="K314" s="28"/>
      <c r="L314" s="28"/>
      <c r="M314" s="28"/>
      <c r="N314" s="28"/>
      <c r="O314" s="28"/>
      <c r="P314" s="28"/>
      <c r="Q314" s="28"/>
      <c r="R314" s="28"/>
      <c r="S314" s="28"/>
      <c r="T314" s="28"/>
      <c r="U314" s="3"/>
    </row>
    <row r="315" spans="1:21" ht="15.75" customHeight="1" x14ac:dyDescent="0.3">
      <c r="A315" s="3"/>
      <c r="B315" s="3"/>
      <c r="C315" s="28"/>
      <c r="D315" s="28"/>
      <c r="E315" s="28"/>
      <c r="F315" s="28"/>
      <c r="G315" s="89"/>
      <c r="H315" s="89"/>
      <c r="I315" s="90"/>
      <c r="J315" s="89"/>
      <c r="K315" s="28"/>
      <c r="L315" s="28"/>
      <c r="M315" s="28"/>
      <c r="N315" s="28"/>
      <c r="O315" s="28"/>
      <c r="P315" s="28"/>
      <c r="Q315" s="28"/>
      <c r="R315" s="28"/>
      <c r="S315" s="28"/>
      <c r="T315" s="28"/>
      <c r="U315" s="3"/>
    </row>
    <row r="316" spans="1:21" ht="15.75" customHeight="1" x14ac:dyDescent="0.3">
      <c r="A316" s="3"/>
      <c r="B316" s="3"/>
      <c r="C316" s="28"/>
      <c r="D316" s="28"/>
      <c r="E316" s="28"/>
      <c r="F316" s="28"/>
      <c r="G316" s="89"/>
      <c r="H316" s="89"/>
      <c r="I316" s="90"/>
      <c r="J316" s="89"/>
      <c r="K316" s="28"/>
      <c r="L316" s="28"/>
      <c r="M316" s="28"/>
      <c r="N316" s="28"/>
      <c r="O316" s="28"/>
      <c r="P316" s="28"/>
      <c r="Q316" s="28"/>
      <c r="R316" s="28"/>
      <c r="S316" s="28"/>
      <c r="T316" s="28"/>
      <c r="U316" s="3"/>
    </row>
    <row r="317" spans="1:21" ht="15.75" customHeight="1" x14ac:dyDescent="0.3">
      <c r="A317" s="3"/>
      <c r="B317" s="3"/>
      <c r="C317" s="28"/>
      <c r="D317" s="28"/>
      <c r="E317" s="28"/>
      <c r="F317" s="28"/>
      <c r="G317" s="89"/>
      <c r="H317" s="89"/>
      <c r="I317" s="90"/>
      <c r="J317" s="89"/>
      <c r="K317" s="28"/>
      <c r="L317" s="28"/>
      <c r="M317" s="28"/>
      <c r="N317" s="28"/>
      <c r="O317" s="28"/>
      <c r="P317" s="28"/>
      <c r="Q317" s="28"/>
      <c r="R317" s="28"/>
      <c r="S317" s="28"/>
      <c r="T317" s="28"/>
      <c r="U317" s="3"/>
    </row>
    <row r="318" spans="1:21" ht="15.75" customHeight="1" x14ac:dyDescent="0.3">
      <c r="A318" s="3"/>
      <c r="B318" s="3"/>
      <c r="C318" s="28"/>
      <c r="D318" s="28"/>
      <c r="E318" s="28"/>
      <c r="F318" s="28"/>
      <c r="G318" s="89"/>
      <c r="H318" s="89"/>
      <c r="I318" s="90"/>
      <c r="J318" s="89"/>
      <c r="K318" s="28"/>
      <c r="L318" s="28"/>
      <c r="M318" s="28"/>
      <c r="N318" s="28"/>
      <c r="O318" s="28"/>
      <c r="P318" s="28"/>
      <c r="Q318" s="28"/>
      <c r="R318" s="28"/>
      <c r="S318" s="28"/>
      <c r="T318" s="28"/>
      <c r="U318" s="3"/>
    </row>
    <row r="319" spans="1:21" ht="15.75" customHeight="1" x14ac:dyDescent="0.3">
      <c r="A319" s="3"/>
      <c r="B319" s="3"/>
      <c r="C319" s="28"/>
      <c r="D319" s="28"/>
      <c r="E319" s="28"/>
      <c r="F319" s="28"/>
      <c r="G319" s="89"/>
      <c r="H319" s="89"/>
      <c r="I319" s="90"/>
      <c r="J319" s="89"/>
      <c r="K319" s="28"/>
      <c r="L319" s="28"/>
      <c r="M319" s="28"/>
      <c r="N319" s="28"/>
      <c r="O319" s="28"/>
      <c r="P319" s="28"/>
      <c r="Q319" s="28"/>
      <c r="R319" s="28"/>
      <c r="S319" s="28"/>
      <c r="T319" s="28"/>
      <c r="U319" s="3"/>
    </row>
    <row r="320" spans="1:21" ht="15.75" customHeight="1" x14ac:dyDescent="0.3">
      <c r="A320" s="3"/>
      <c r="B320" s="3"/>
      <c r="C320" s="28"/>
      <c r="D320" s="28"/>
      <c r="E320" s="28"/>
      <c r="F320" s="28"/>
      <c r="G320" s="89"/>
      <c r="H320" s="89"/>
      <c r="I320" s="90"/>
      <c r="J320" s="89"/>
      <c r="K320" s="28"/>
      <c r="L320" s="28"/>
      <c r="M320" s="28"/>
      <c r="N320" s="28"/>
      <c r="O320" s="28"/>
      <c r="P320" s="28"/>
      <c r="Q320" s="28"/>
      <c r="R320" s="28"/>
      <c r="S320" s="28"/>
      <c r="T320" s="28"/>
      <c r="U320" s="3"/>
    </row>
    <row r="321" spans="1:21" ht="15.75" customHeight="1" x14ac:dyDescent="0.3">
      <c r="A321" s="3"/>
      <c r="B321" s="3"/>
      <c r="C321" s="28"/>
      <c r="D321" s="28"/>
      <c r="E321" s="28"/>
      <c r="F321" s="28"/>
      <c r="G321" s="89"/>
      <c r="H321" s="89"/>
      <c r="I321" s="90"/>
      <c r="J321" s="89"/>
      <c r="K321" s="28"/>
      <c r="L321" s="28"/>
      <c r="M321" s="28"/>
      <c r="N321" s="28"/>
      <c r="O321" s="28"/>
      <c r="P321" s="28"/>
      <c r="Q321" s="28"/>
      <c r="R321" s="28"/>
      <c r="S321" s="28"/>
      <c r="T321" s="28"/>
      <c r="U321" s="3"/>
    </row>
    <row r="322" spans="1:21" ht="15.75" customHeight="1" x14ac:dyDescent="0.3">
      <c r="A322" s="3"/>
      <c r="B322" s="3"/>
      <c r="C322" s="28"/>
      <c r="D322" s="28"/>
      <c r="E322" s="28"/>
      <c r="F322" s="28"/>
      <c r="G322" s="89"/>
      <c r="H322" s="89"/>
      <c r="I322" s="90"/>
      <c r="J322" s="89"/>
      <c r="K322" s="28"/>
      <c r="L322" s="28"/>
      <c r="M322" s="28"/>
      <c r="N322" s="28"/>
      <c r="O322" s="28"/>
      <c r="P322" s="28"/>
      <c r="Q322" s="28"/>
      <c r="R322" s="28"/>
      <c r="S322" s="28"/>
      <c r="T322" s="28"/>
      <c r="U322" s="3"/>
    </row>
    <row r="323" spans="1:21" ht="15.75" customHeight="1" x14ac:dyDescent="0.3">
      <c r="A323" s="3"/>
      <c r="B323" s="3"/>
      <c r="C323" s="28"/>
      <c r="D323" s="28"/>
      <c r="E323" s="28"/>
      <c r="F323" s="28"/>
      <c r="G323" s="89"/>
      <c r="H323" s="89"/>
      <c r="I323" s="90"/>
      <c r="J323" s="89"/>
      <c r="K323" s="28"/>
      <c r="L323" s="28"/>
      <c r="M323" s="28"/>
      <c r="N323" s="28"/>
      <c r="O323" s="28"/>
      <c r="P323" s="28"/>
      <c r="Q323" s="28"/>
      <c r="R323" s="28"/>
      <c r="S323" s="28"/>
      <c r="T323" s="28"/>
      <c r="U323" s="3"/>
    </row>
    <row r="324" spans="1:21" ht="15.75" customHeight="1" x14ac:dyDescent="0.3">
      <c r="A324" s="3"/>
      <c r="B324" s="3"/>
      <c r="C324" s="28"/>
      <c r="D324" s="28"/>
      <c r="E324" s="28"/>
      <c r="F324" s="28"/>
      <c r="G324" s="89"/>
      <c r="H324" s="89"/>
      <c r="I324" s="90"/>
      <c r="J324" s="89"/>
      <c r="K324" s="28"/>
      <c r="L324" s="28"/>
      <c r="M324" s="28"/>
      <c r="N324" s="28"/>
      <c r="O324" s="28"/>
      <c r="P324" s="28"/>
      <c r="Q324" s="28"/>
      <c r="R324" s="28"/>
      <c r="S324" s="28"/>
      <c r="T324" s="28"/>
      <c r="U324" s="3"/>
    </row>
    <row r="325" spans="1:21" ht="15.75" customHeight="1" x14ac:dyDescent="0.3">
      <c r="A325" s="3"/>
      <c r="B325" s="3"/>
      <c r="C325" s="28"/>
      <c r="D325" s="28"/>
      <c r="E325" s="28"/>
      <c r="F325" s="28"/>
      <c r="G325" s="89"/>
      <c r="H325" s="89"/>
      <c r="I325" s="90"/>
      <c r="J325" s="89"/>
      <c r="K325" s="28"/>
      <c r="L325" s="28"/>
      <c r="M325" s="28"/>
      <c r="N325" s="28"/>
      <c r="O325" s="28"/>
      <c r="P325" s="28"/>
      <c r="Q325" s="28"/>
      <c r="R325" s="28"/>
      <c r="S325" s="28"/>
      <c r="T325" s="28"/>
      <c r="U325" s="3"/>
    </row>
    <row r="326" spans="1:21" ht="15.75" customHeight="1" x14ac:dyDescent="0.3">
      <c r="A326" s="3"/>
      <c r="B326" s="3"/>
      <c r="C326" s="28"/>
      <c r="D326" s="28"/>
      <c r="E326" s="28"/>
      <c r="F326" s="28"/>
      <c r="G326" s="89"/>
      <c r="H326" s="89"/>
      <c r="I326" s="90"/>
      <c r="J326" s="89"/>
      <c r="K326" s="28"/>
      <c r="L326" s="28"/>
      <c r="M326" s="28"/>
      <c r="N326" s="28"/>
      <c r="O326" s="28"/>
      <c r="P326" s="28"/>
      <c r="Q326" s="28"/>
      <c r="R326" s="28"/>
      <c r="S326" s="28"/>
      <c r="T326" s="28"/>
      <c r="U326" s="3"/>
    </row>
    <row r="327" spans="1:21" ht="15.75" customHeight="1" x14ac:dyDescent="0.3">
      <c r="A327" s="3"/>
      <c r="B327" s="3"/>
      <c r="C327" s="28"/>
      <c r="D327" s="28"/>
      <c r="E327" s="28"/>
      <c r="F327" s="28"/>
      <c r="G327" s="89"/>
      <c r="H327" s="89"/>
      <c r="I327" s="90"/>
      <c r="J327" s="89"/>
      <c r="K327" s="28"/>
      <c r="L327" s="28"/>
      <c r="M327" s="28"/>
      <c r="N327" s="28"/>
      <c r="O327" s="28"/>
      <c r="P327" s="28"/>
      <c r="Q327" s="28"/>
      <c r="R327" s="28"/>
      <c r="S327" s="28"/>
      <c r="T327" s="28"/>
      <c r="U327" s="3"/>
    </row>
    <row r="328" spans="1:21" ht="15.75" customHeight="1" x14ac:dyDescent="0.3">
      <c r="A328" s="3"/>
      <c r="B328" s="3"/>
      <c r="C328" s="28"/>
      <c r="D328" s="28"/>
      <c r="E328" s="28"/>
      <c r="F328" s="28"/>
      <c r="G328" s="89"/>
      <c r="H328" s="89"/>
      <c r="I328" s="90"/>
      <c r="J328" s="89"/>
      <c r="K328" s="28"/>
      <c r="L328" s="28"/>
      <c r="M328" s="28"/>
      <c r="N328" s="28"/>
      <c r="O328" s="28"/>
      <c r="P328" s="28"/>
      <c r="Q328" s="28"/>
      <c r="R328" s="28"/>
      <c r="S328" s="28"/>
      <c r="T328" s="28"/>
      <c r="U328" s="3"/>
    </row>
    <row r="329" spans="1:21" ht="15.75" customHeight="1" x14ac:dyDescent="0.3">
      <c r="A329" s="3"/>
      <c r="B329" s="3"/>
      <c r="C329" s="28"/>
      <c r="D329" s="28"/>
      <c r="E329" s="28"/>
      <c r="F329" s="28"/>
      <c r="G329" s="89"/>
      <c r="H329" s="89"/>
      <c r="I329" s="90"/>
      <c r="J329" s="89"/>
      <c r="K329" s="28"/>
      <c r="L329" s="28"/>
      <c r="M329" s="28"/>
      <c r="N329" s="28"/>
      <c r="O329" s="28"/>
      <c r="P329" s="28"/>
      <c r="Q329" s="28"/>
      <c r="R329" s="28"/>
      <c r="S329" s="28"/>
      <c r="T329" s="28"/>
      <c r="U329" s="3"/>
    </row>
    <row r="330" spans="1:21" ht="15.75" customHeight="1" x14ac:dyDescent="0.3">
      <c r="A330" s="3"/>
      <c r="B330" s="3"/>
      <c r="C330" s="28"/>
      <c r="D330" s="28"/>
      <c r="E330" s="28"/>
      <c r="F330" s="28"/>
      <c r="G330" s="89"/>
      <c r="H330" s="89"/>
      <c r="I330" s="90"/>
      <c r="J330" s="89"/>
      <c r="K330" s="28"/>
      <c r="L330" s="28"/>
      <c r="M330" s="28"/>
      <c r="N330" s="28"/>
      <c r="O330" s="28"/>
      <c r="P330" s="28"/>
      <c r="Q330" s="28"/>
      <c r="R330" s="28"/>
      <c r="S330" s="28"/>
      <c r="T330" s="28"/>
      <c r="U330" s="3"/>
    </row>
    <row r="331" spans="1:21" ht="15.75" customHeight="1" x14ac:dyDescent="0.3">
      <c r="A331" s="3"/>
      <c r="B331" s="3"/>
      <c r="C331" s="28"/>
      <c r="D331" s="28"/>
      <c r="E331" s="28"/>
      <c r="F331" s="28"/>
      <c r="G331" s="89"/>
      <c r="H331" s="89"/>
      <c r="I331" s="90"/>
      <c r="J331" s="89"/>
      <c r="K331" s="28"/>
      <c r="L331" s="28"/>
      <c r="M331" s="28"/>
      <c r="N331" s="28"/>
      <c r="O331" s="28"/>
      <c r="P331" s="28"/>
      <c r="Q331" s="28"/>
      <c r="R331" s="28"/>
      <c r="S331" s="28"/>
      <c r="T331" s="28"/>
      <c r="U331" s="3"/>
    </row>
    <row r="332" spans="1:21" ht="15.75" customHeight="1" x14ac:dyDescent="0.3">
      <c r="A332" s="3"/>
      <c r="B332" s="3"/>
      <c r="C332" s="28"/>
      <c r="D332" s="28"/>
      <c r="E332" s="28"/>
      <c r="F332" s="28"/>
      <c r="G332" s="89"/>
      <c r="H332" s="89"/>
      <c r="I332" s="90"/>
      <c r="J332" s="89"/>
      <c r="K332" s="28"/>
      <c r="L332" s="28"/>
      <c r="M332" s="28"/>
      <c r="N332" s="28"/>
      <c r="O332" s="28"/>
      <c r="P332" s="28"/>
      <c r="Q332" s="28"/>
      <c r="R332" s="28"/>
      <c r="S332" s="28"/>
      <c r="T332" s="28"/>
      <c r="U332" s="3"/>
    </row>
    <row r="333" spans="1:21" ht="15.75" customHeight="1" x14ac:dyDescent="0.3">
      <c r="A333" s="3"/>
      <c r="B333" s="3"/>
      <c r="C333" s="28"/>
      <c r="D333" s="28"/>
      <c r="E333" s="28"/>
      <c r="F333" s="28"/>
      <c r="G333" s="89"/>
      <c r="H333" s="89"/>
      <c r="I333" s="90"/>
      <c r="J333" s="89"/>
      <c r="K333" s="28"/>
      <c r="L333" s="28"/>
      <c r="M333" s="28"/>
      <c r="N333" s="28"/>
      <c r="O333" s="28"/>
      <c r="P333" s="28"/>
      <c r="Q333" s="28"/>
      <c r="R333" s="28"/>
      <c r="S333" s="28"/>
      <c r="T333" s="28"/>
      <c r="U333" s="3"/>
    </row>
    <row r="334" spans="1:21" ht="15.75" customHeight="1" x14ac:dyDescent="0.3">
      <c r="A334" s="3"/>
      <c r="B334" s="3"/>
      <c r="C334" s="28"/>
      <c r="D334" s="28"/>
      <c r="E334" s="28"/>
      <c r="F334" s="28"/>
      <c r="G334" s="89"/>
      <c r="H334" s="89"/>
      <c r="I334" s="90"/>
      <c r="J334" s="89"/>
      <c r="K334" s="28"/>
      <c r="L334" s="28"/>
      <c r="M334" s="28"/>
      <c r="N334" s="28"/>
      <c r="O334" s="28"/>
      <c r="P334" s="28"/>
      <c r="Q334" s="28"/>
      <c r="R334" s="28"/>
      <c r="S334" s="28"/>
      <c r="T334" s="28"/>
      <c r="U334" s="3"/>
    </row>
    <row r="335" spans="1:21" ht="15.75" customHeight="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1"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5.7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5.7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5.7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5.7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5.7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5.7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5.7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5.7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5.7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5.7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5.7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5.7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5.7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5.7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5.7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5.7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5.7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5.7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5.7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5.7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5.7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5.7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5.7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5.7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5.7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5.7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5.7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5.7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5.7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5.7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5.7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5.7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5.7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5.7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5.7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5.7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5.7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5.7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5.75" customHeight="1" x14ac:dyDescent="0.3"/>
    <row r="484" spans="1:21" ht="15.75" customHeight="1" x14ac:dyDescent="0.3"/>
    <row r="485" spans="1:21" ht="15.75" customHeight="1" x14ac:dyDescent="0.3"/>
    <row r="486" spans="1:21" ht="15.75" customHeight="1" x14ac:dyDescent="0.3"/>
    <row r="487" spans="1:21" ht="15.75" customHeight="1" x14ac:dyDescent="0.3"/>
    <row r="488" spans="1:21" ht="15.75" customHeight="1" x14ac:dyDescent="0.3"/>
    <row r="489" spans="1:21" ht="15.75" customHeight="1" x14ac:dyDescent="0.3"/>
    <row r="490" spans="1:21" ht="15.75" customHeight="1" x14ac:dyDescent="0.3"/>
    <row r="491" spans="1:21" ht="15.75" customHeight="1" x14ac:dyDescent="0.3"/>
    <row r="492" spans="1:21" ht="15.75" customHeight="1" x14ac:dyDescent="0.3"/>
    <row r="493" spans="1:21" ht="15.75" customHeight="1" x14ac:dyDescent="0.3"/>
    <row r="494" spans="1:21" ht="15.75" customHeight="1" x14ac:dyDescent="0.3"/>
    <row r="495" spans="1:21" ht="15.75" customHeight="1" x14ac:dyDescent="0.3"/>
    <row r="496" spans="1:21"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282" xr:uid="{00000000-0009-0000-0000-000008000000}"/>
  <mergeCells count="11">
    <mergeCell ref="J4:J5"/>
    <mergeCell ref="I17:I21"/>
    <mergeCell ref="B284:J285"/>
    <mergeCell ref="G17:G21"/>
    <mergeCell ref="G22:G28"/>
    <mergeCell ref="I22:I28"/>
    <mergeCell ref="B2:B3"/>
    <mergeCell ref="C2:F3"/>
    <mergeCell ref="B4:B5"/>
    <mergeCell ref="H4:H5"/>
    <mergeCell ref="I4:I5"/>
  </mergeCells>
  <dataValidations count="1">
    <dataValidation type="list" allowBlank="1" showErrorMessage="1" sqref="D7:D37 D39:D62 D64:D124 D126:D134 D137:D141 D143:D147 D149:D153 D155:D159 D161:D165 D167:D221 D224:D232 D234:D242 D244:D260 D262:D270 D272:D282" xr:uid="{00000000-0002-0000-0800-000000000000}">
      <formula1>"OK,Parcial,Pendente"</formula1>
    </dataValidation>
  </dataValidations>
  <hyperlinks>
    <hyperlink ref="I7" r:id="rId1" xr:uid="{00000000-0004-0000-0800-000000000000}"/>
    <hyperlink ref="I9" r:id="rId2" xr:uid="{00000000-0004-0000-0800-000001000000}"/>
    <hyperlink ref="I10" r:id="rId3" xr:uid="{00000000-0004-0000-0800-000002000000}"/>
    <hyperlink ref="I11" r:id="rId4" xr:uid="{00000000-0004-0000-0800-000003000000}"/>
    <hyperlink ref="I12" r:id="rId5" xr:uid="{00000000-0004-0000-0800-000004000000}"/>
    <hyperlink ref="I14" r:id="rId6" xr:uid="{00000000-0004-0000-0800-000005000000}"/>
    <hyperlink ref="I17" r:id="rId7" xr:uid="{00000000-0004-0000-0800-000006000000}"/>
    <hyperlink ref="I22" r:id="rId8" xr:uid="{00000000-0004-0000-0800-000007000000}"/>
    <hyperlink ref="I29" r:id="rId9" xr:uid="{00000000-0004-0000-0800-000008000000}"/>
    <hyperlink ref="I30" r:id="rId10" xr:uid="{00000000-0004-0000-0800-000009000000}"/>
    <hyperlink ref="I32" r:id="rId11" xr:uid="{00000000-0004-0000-0800-00000A000000}"/>
    <hyperlink ref="I35" r:id="rId12" xr:uid="{00000000-0004-0000-0800-00000B000000}"/>
    <hyperlink ref="I39" r:id="rId13" xr:uid="{00000000-0004-0000-0800-00000C000000}"/>
    <hyperlink ref="I40" r:id="rId14" xr:uid="{00000000-0004-0000-0800-00000D000000}"/>
    <hyperlink ref="I41" r:id="rId15" xr:uid="{00000000-0004-0000-0800-00000E000000}"/>
    <hyperlink ref="I43" r:id="rId16" xr:uid="{00000000-0004-0000-0800-00000F000000}"/>
    <hyperlink ref="I44" r:id="rId17" xr:uid="{00000000-0004-0000-0800-000010000000}"/>
    <hyperlink ref="I45" r:id="rId18" xr:uid="{00000000-0004-0000-0800-000011000000}"/>
    <hyperlink ref="I46" r:id="rId19" xr:uid="{00000000-0004-0000-0800-000012000000}"/>
    <hyperlink ref="I47" r:id="rId20" xr:uid="{00000000-0004-0000-0800-000013000000}"/>
    <hyperlink ref="I64" r:id="rId21" xr:uid="{00000000-0004-0000-0800-000014000000}"/>
    <hyperlink ref="I65" r:id="rId22" xr:uid="{00000000-0004-0000-0800-000015000000}"/>
    <hyperlink ref="I66" r:id="rId23" xr:uid="{00000000-0004-0000-0800-000016000000}"/>
    <hyperlink ref="I67" r:id="rId24" xr:uid="{00000000-0004-0000-0800-000017000000}"/>
    <hyperlink ref="I68" r:id="rId25" xr:uid="{00000000-0004-0000-0800-000018000000}"/>
    <hyperlink ref="I69" r:id="rId26" xr:uid="{00000000-0004-0000-0800-000019000000}"/>
    <hyperlink ref="I70" r:id="rId27" xr:uid="{00000000-0004-0000-0800-00001A000000}"/>
    <hyperlink ref="I71" r:id="rId28" xr:uid="{00000000-0004-0000-0800-00001B000000}"/>
    <hyperlink ref="I72" r:id="rId29" xr:uid="{00000000-0004-0000-0800-00001C000000}"/>
    <hyperlink ref="I73" r:id="rId30" xr:uid="{00000000-0004-0000-0800-00001D000000}"/>
    <hyperlink ref="I74" r:id="rId31" xr:uid="{00000000-0004-0000-0800-00001E000000}"/>
    <hyperlink ref="I75" r:id="rId32" xr:uid="{00000000-0004-0000-0800-00001F000000}"/>
    <hyperlink ref="I76" r:id="rId33" xr:uid="{00000000-0004-0000-0800-000020000000}"/>
    <hyperlink ref="I77" r:id="rId34" xr:uid="{00000000-0004-0000-0800-000021000000}"/>
    <hyperlink ref="I80" r:id="rId35" xr:uid="{00000000-0004-0000-0800-000022000000}"/>
    <hyperlink ref="I81" r:id="rId36" xr:uid="{00000000-0004-0000-0800-000023000000}"/>
    <hyperlink ref="I82" r:id="rId37" xr:uid="{00000000-0004-0000-0800-000024000000}"/>
    <hyperlink ref="I83" r:id="rId38" xr:uid="{00000000-0004-0000-0800-000025000000}"/>
    <hyperlink ref="I84" r:id="rId39" xr:uid="{00000000-0004-0000-0800-000026000000}"/>
    <hyperlink ref="I85" r:id="rId40" xr:uid="{00000000-0004-0000-0800-000027000000}"/>
    <hyperlink ref="I87" r:id="rId41" xr:uid="{00000000-0004-0000-0800-000028000000}"/>
    <hyperlink ref="I88" r:id="rId42" xr:uid="{00000000-0004-0000-0800-000029000000}"/>
    <hyperlink ref="I116" r:id="rId43" xr:uid="{00000000-0004-0000-0800-00002A000000}"/>
    <hyperlink ref="I117" r:id="rId44" xr:uid="{00000000-0004-0000-0800-00002B000000}"/>
    <hyperlink ref="I118" r:id="rId45" xr:uid="{00000000-0004-0000-0800-00002C000000}"/>
    <hyperlink ref="I119" r:id="rId46" xr:uid="{00000000-0004-0000-0800-00002D000000}"/>
    <hyperlink ref="I120" r:id="rId47" xr:uid="{00000000-0004-0000-0800-00002E000000}"/>
    <hyperlink ref="I137" r:id="rId48" xr:uid="{00000000-0004-0000-0800-00002F000000}"/>
    <hyperlink ref="I138" r:id="rId49" xr:uid="{00000000-0004-0000-0800-000030000000}"/>
    <hyperlink ref="I193" r:id="rId50" xr:uid="{00000000-0004-0000-0800-000031000000}"/>
    <hyperlink ref="I203" r:id="rId51" xr:uid="{00000000-0004-0000-0800-000032000000}"/>
    <hyperlink ref="I204" r:id="rId52" xr:uid="{00000000-0004-0000-0800-000033000000}"/>
    <hyperlink ref="I224" r:id="rId53" xr:uid="{00000000-0004-0000-0800-000034000000}"/>
    <hyperlink ref="I244" r:id="rId54" xr:uid="{00000000-0004-0000-0800-000035000000}"/>
    <hyperlink ref="I245" r:id="rId55" xr:uid="{00000000-0004-0000-0800-000036000000}"/>
    <hyperlink ref="I246" r:id="rId56" xr:uid="{00000000-0004-0000-0800-000037000000}"/>
    <hyperlink ref="I247" r:id="rId57" xr:uid="{00000000-0004-0000-0800-000038000000}"/>
    <hyperlink ref="I248" r:id="rId58" xr:uid="{00000000-0004-0000-0800-000039000000}"/>
    <hyperlink ref="I249" r:id="rId59" xr:uid="{00000000-0004-0000-0800-00003A000000}"/>
    <hyperlink ref="I250" r:id="rId60" xr:uid="{00000000-0004-0000-0800-00003B000000}"/>
    <hyperlink ref="I251" r:id="rId61" xr:uid="{00000000-0004-0000-0800-00003C000000}"/>
    <hyperlink ref="I252" r:id="rId62" xr:uid="{00000000-0004-0000-0800-00003D000000}"/>
    <hyperlink ref="I253" r:id="rId63" xr:uid="{00000000-0004-0000-0800-00003E000000}"/>
    <hyperlink ref="I254" r:id="rId64" xr:uid="{00000000-0004-0000-0800-00003F000000}"/>
    <hyperlink ref="I255" r:id="rId65" xr:uid="{00000000-0004-0000-0800-000040000000}"/>
    <hyperlink ref="I256" r:id="rId66" xr:uid="{00000000-0004-0000-0800-000041000000}"/>
    <hyperlink ref="I257" r:id="rId67" xr:uid="{00000000-0004-0000-0800-000042000000}"/>
    <hyperlink ref="I258" r:id="rId68" xr:uid="{00000000-0004-0000-0800-000043000000}"/>
    <hyperlink ref="I259" r:id="rId69" xr:uid="{00000000-0004-0000-0800-000044000000}"/>
    <hyperlink ref="I260" r:id="rId70" xr:uid="{00000000-0004-0000-0800-000045000000}"/>
    <hyperlink ref="I262" r:id="rId71" xr:uid="{00000000-0004-0000-0800-000046000000}"/>
    <hyperlink ref="I263" r:id="rId72" xr:uid="{00000000-0004-0000-0800-000047000000}"/>
    <hyperlink ref="I264" r:id="rId73" xr:uid="{00000000-0004-0000-0800-000048000000}"/>
    <hyperlink ref="I273" r:id="rId74" xr:uid="{00000000-0004-0000-0800-000049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800-000001000000}">
          <x14:formula1>
            <xm:f>'Plano de contas DG'!$C$43:$C$145</xm:f>
          </x14:formula1>
          <xm:sqref>J204</xm:sqref>
        </x14:dataValidation>
        <x14:dataValidation type="list" allowBlank="1" showErrorMessage="1" xr:uid="{00000000-0002-0000-0800-000002000000}">
          <x14:formula1>
            <xm:f>'Plano de contas DG'!$C$5:$C$145</xm:f>
          </x14:formula1>
          <xm:sqref>J6:J203 J205:J282</xm:sqref>
        </x14:dataValidation>
        <x14:dataValidation type="list" allowBlank="1" showErrorMessage="1" xr:uid="{00000000-0002-0000-0800-000003000000}">
          <x14:formula1>
            <xm:f>Caixa!$B$5:$B$7</xm:f>
          </x14:formula1>
          <xm:sqref>H7:H37 H39:H62 H64:H124 H126:H134 H137:H141 H143:H147 H149:H153 H155:H159 H161:H165 H167:H221 H224:H232 H234:H242 H244:H260 H262:H270 H272:H282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customWidth="1"/>
    <col min="10" max="21" width="14.109375" customWidth="1"/>
    <col min="22" max="22" width="34" customWidth="1"/>
    <col min="23" max="23" width="9" customWidth="1"/>
    <col min="24" max="24" width="12.6640625" customWidth="1"/>
    <col min="25" max="26" width="8.6640625" customWidth="1"/>
  </cols>
  <sheetData>
    <row r="1" spans="1:26" ht="14.4"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SUM(E6,E127,E147,E169,E173)</f>
        <v>16476.430000000004</v>
      </c>
      <c r="F4" s="18">
        <f t="shared" si="0"/>
        <v>22658.549999999996</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SUM(E7:E126)</f>
        <v>16476.430000000004</v>
      </c>
      <c r="F6" s="48">
        <f>SUMIF(D7:D126,"OK",F7:F126)+SUMIF(D7:D126,"Parcial",F7:F126)</f>
        <v>15875.149999999998</v>
      </c>
      <c r="G6" s="107" t="s">
        <v>44</v>
      </c>
      <c r="H6" s="50"/>
      <c r="I6" s="50"/>
      <c r="J6" s="51">
        <f>(COUNTIF(D7:D126,"Pendente")+COUNTIF(D7:D126,"Parcial"))/COUNTA(B7:B126)</f>
        <v>6.25E-2</v>
      </c>
      <c r="K6" s="51">
        <f>IFERROR(-(X6/E6),"Pendente info")</f>
        <v>0.14081812625671941</v>
      </c>
      <c r="L6" s="91">
        <f>SUM(L7:L105)/COUNTA(B7:B105)</f>
        <v>0.11458333333333333</v>
      </c>
      <c r="M6" s="48">
        <f t="shared" ref="M6:U6" si="1">SUMIF($D$7:$D$126,"OK",M7:M126)+SUMIF($D$7:$D$126,"Parcial",M7:M126)</f>
        <v>8734.3000000000029</v>
      </c>
      <c r="N6" s="48">
        <f t="shared" si="1"/>
        <v>2137.5899999999997</v>
      </c>
      <c r="O6" s="48">
        <f t="shared" si="1"/>
        <v>1044</v>
      </c>
      <c r="P6" s="48">
        <f t="shared" si="1"/>
        <v>223.25999999999996</v>
      </c>
      <c r="Q6" s="48">
        <f t="shared" si="1"/>
        <v>215</v>
      </c>
      <c r="R6" s="48">
        <f t="shared" si="1"/>
        <v>260</v>
      </c>
      <c r="S6" s="48">
        <f t="shared" si="1"/>
        <v>297</v>
      </c>
      <c r="T6" s="48">
        <f t="shared" si="1"/>
        <v>610</v>
      </c>
      <c r="U6" s="48">
        <f t="shared" si="1"/>
        <v>2354</v>
      </c>
      <c r="V6" s="47" t="s">
        <v>44</v>
      </c>
      <c r="W6" s="35" t="str">
        <f t="shared" ref="W6:W126" si="2">IF(F6=SUM(M6:U6),"OK","Diferente")</f>
        <v>OK</v>
      </c>
      <c r="X6" s="38">
        <f>SUM(X7:X126)</f>
        <v>-2320.1799999999998</v>
      </c>
      <c r="Z6" s="3"/>
    </row>
    <row r="7" spans="1:26" ht="14.4" hidden="1" outlineLevel="1" x14ac:dyDescent="0.3">
      <c r="A7" s="3"/>
      <c r="B7" s="52" t="s">
        <v>423</v>
      </c>
      <c r="C7" s="53"/>
      <c r="D7" s="53" t="s">
        <v>95</v>
      </c>
      <c r="E7" s="11">
        <v>0</v>
      </c>
      <c r="F7" s="92"/>
      <c r="G7" s="243"/>
      <c r="H7" s="93"/>
      <c r="I7" s="54"/>
      <c r="J7" s="55"/>
      <c r="K7" s="53"/>
      <c r="L7" s="53" t="str">
        <f t="shared" ref="L7:L125" si="3">IF(C7&gt;=13,1,"")</f>
        <v/>
      </c>
      <c r="M7" s="11"/>
      <c r="N7" s="11"/>
      <c r="O7" s="11"/>
      <c r="P7" s="11"/>
      <c r="Q7" s="11"/>
      <c r="R7" s="11"/>
      <c r="S7" s="11"/>
      <c r="T7" s="11"/>
      <c r="U7" s="11"/>
      <c r="V7" s="56"/>
      <c r="W7" s="35" t="str">
        <f t="shared" si="2"/>
        <v>OK</v>
      </c>
      <c r="X7" s="38" t="str">
        <f t="shared" ref="X7:X126" si="4">IF(W7="Diferente",F7-SUM(M7:U7),"")</f>
        <v/>
      </c>
      <c r="Y7" s="3"/>
      <c r="Z7" s="3"/>
    </row>
    <row r="8" spans="1:26" ht="14.4" hidden="1" outlineLevel="1" x14ac:dyDescent="0.3">
      <c r="A8" s="3"/>
      <c r="B8" s="52" t="s">
        <v>425</v>
      </c>
      <c r="C8" s="53"/>
      <c r="D8" s="53" t="s">
        <v>95</v>
      </c>
      <c r="E8" s="11">
        <v>0</v>
      </c>
      <c r="F8" s="92"/>
      <c r="G8" s="244"/>
      <c r="H8" s="93"/>
      <c r="I8" s="54"/>
      <c r="J8" s="55"/>
      <c r="K8" s="53"/>
      <c r="L8" s="53" t="str">
        <f t="shared" si="3"/>
        <v/>
      </c>
      <c r="M8" s="11"/>
      <c r="N8" s="11"/>
      <c r="O8" s="11"/>
      <c r="P8" s="11"/>
      <c r="Q8" s="11"/>
      <c r="R8" s="11"/>
      <c r="S8" s="11"/>
      <c r="T8" s="11"/>
      <c r="U8" s="11"/>
      <c r="V8" s="56"/>
      <c r="W8" s="35" t="str">
        <f t="shared" si="2"/>
        <v>OK</v>
      </c>
      <c r="X8" s="38" t="str">
        <f t="shared" si="4"/>
        <v/>
      </c>
      <c r="Y8" s="3"/>
      <c r="Z8" s="3"/>
    </row>
    <row r="9" spans="1:26" ht="14.4" hidden="1" outlineLevel="1" x14ac:dyDescent="0.3">
      <c r="A9" s="3"/>
      <c r="B9" s="52" t="s">
        <v>426</v>
      </c>
      <c r="C9" s="53"/>
      <c r="D9" s="53" t="s">
        <v>95</v>
      </c>
      <c r="E9" s="11">
        <v>0</v>
      </c>
      <c r="F9" s="92"/>
      <c r="G9" s="244"/>
      <c r="H9" s="93"/>
      <c r="I9" s="54"/>
      <c r="J9" s="55"/>
      <c r="K9" s="53"/>
      <c r="L9" s="53" t="str">
        <f t="shared" si="3"/>
        <v/>
      </c>
      <c r="M9" s="11"/>
      <c r="N9" s="11"/>
      <c r="O9" s="11"/>
      <c r="P9" s="11"/>
      <c r="Q9" s="11"/>
      <c r="R9" s="11"/>
      <c r="S9" s="11"/>
      <c r="T9" s="11"/>
      <c r="U9" s="11"/>
      <c r="V9" s="56"/>
      <c r="W9" s="35" t="str">
        <f t="shared" si="2"/>
        <v>OK</v>
      </c>
      <c r="X9" s="38" t="str">
        <f t="shared" si="4"/>
        <v/>
      </c>
      <c r="Y9" s="3"/>
      <c r="Z9" s="3"/>
    </row>
    <row r="10" spans="1:26" ht="14.4" hidden="1" outlineLevel="1" x14ac:dyDescent="0.3">
      <c r="A10" s="3"/>
      <c r="B10" s="52" t="s">
        <v>427</v>
      </c>
      <c r="C10" s="53"/>
      <c r="D10" s="53" t="s">
        <v>95</v>
      </c>
      <c r="E10" s="11">
        <v>0</v>
      </c>
      <c r="F10" s="92"/>
      <c r="G10" s="245"/>
      <c r="H10" s="93"/>
      <c r="I10" s="54"/>
      <c r="J10" s="55"/>
      <c r="K10" s="53"/>
      <c r="L10" s="53" t="str">
        <f t="shared" si="3"/>
        <v/>
      </c>
      <c r="M10" s="11"/>
      <c r="N10" s="11"/>
      <c r="O10" s="11"/>
      <c r="P10" s="11"/>
      <c r="Q10" s="11"/>
      <c r="R10" s="11"/>
      <c r="S10" s="11"/>
      <c r="T10" s="11"/>
      <c r="U10" s="11"/>
      <c r="V10" s="56"/>
      <c r="W10" s="35" t="str">
        <f t="shared" si="2"/>
        <v>OK</v>
      </c>
      <c r="X10" s="38" t="str">
        <f t="shared" si="4"/>
        <v/>
      </c>
      <c r="Y10" s="3"/>
      <c r="Z10" s="3"/>
    </row>
    <row r="11" spans="1:26" ht="14.4" hidden="1" outlineLevel="1" x14ac:dyDescent="0.3">
      <c r="A11" s="3"/>
      <c r="B11" s="9" t="s">
        <v>428</v>
      </c>
      <c r="C11" s="53">
        <v>7</v>
      </c>
      <c r="D11" s="53" t="s">
        <v>95</v>
      </c>
      <c r="E11" s="11">
        <f t="shared" ref="E11:E14" si="5">SUM(M11:U11)</f>
        <v>188.43</v>
      </c>
      <c r="F11" s="92">
        <f t="shared" ref="F11:F12" si="6">E11</f>
        <v>188.43</v>
      </c>
      <c r="G11" s="243"/>
      <c r="H11" s="93" t="s">
        <v>37</v>
      </c>
      <c r="I11" s="54"/>
      <c r="J11" s="55"/>
      <c r="K11" s="53"/>
      <c r="L11" s="53" t="str">
        <f t="shared" si="3"/>
        <v/>
      </c>
      <c r="M11" s="11">
        <v>130</v>
      </c>
      <c r="N11" s="11">
        <v>24.57</v>
      </c>
      <c r="O11" s="11">
        <v>12</v>
      </c>
      <c r="P11" s="11">
        <v>3.86</v>
      </c>
      <c r="Q11" s="11">
        <v>5</v>
      </c>
      <c r="R11" s="11"/>
      <c r="S11" s="11"/>
      <c r="T11" s="11"/>
      <c r="U11" s="11">
        <v>13</v>
      </c>
      <c r="V11" s="56" t="s">
        <v>698</v>
      </c>
      <c r="W11" s="35" t="str">
        <f t="shared" si="2"/>
        <v>OK</v>
      </c>
      <c r="X11" s="38" t="str">
        <f t="shared" si="4"/>
        <v/>
      </c>
      <c r="Y11" s="3"/>
      <c r="Z11" s="3"/>
    </row>
    <row r="12" spans="1:26" ht="14.4" hidden="1" outlineLevel="1" x14ac:dyDescent="0.3">
      <c r="A12" s="3"/>
      <c r="B12" s="9" t="s">
        <v>429</v>
      </c>
      <c r="C12" s="53">
        <v>7</v>
      </c>
      <c r="D12" s="53" t="s">
        <v>95</v>
      </c>
      <c r="E12" s="11">
        <f t="shared" si="5"/>
        <v>181.57</v>
      </c>
      <c r="F12" s="92">
        <f t="shared" si="6"/>
        <v>181.57</v>
      </c>
      <c r="G12" s="245"/>
      <c r="H12" s="93" t="s">
        <v>37</v>
      </c>
      <c r="I12" s="54"/>
      <c r="J12" s="55"/>
      <c r="K12" s="53"/>
      <c r="L12" s="53" t="str">
        <f t="shared" si="3"/>
        <v/>
      </c>
      <c r="M12" s="11">
        <v>130</v>
      </c>
      <c r="N12" s="11">
        <v>24.57</v>
      </c>
      <c r="O12" s="11">
        <v>12</v>
      </c>
      <c r="P12" s="11">
        <v>2</v>
      </c>
      <c r="Q12" s="11"/>
      <c r="R12" s="11"/>
      <c r="S12" s="11"/>
      <c r="T12" s="11"/>
      <c r="U12" s="11">
        <v>13</v>
      </c>
      <c r="V12" s="56" t="s">
        <v>698</v>
      </c>
      <c r="W12" s="35" t="str">
        <f t="shared" si="2"/>
        <v>OK</v>
      </c>
      <c r="X12" s="38" t="str">
        <f t="shared" si="4"/>
        <v/>
      </c>
      <c r="Y12" s="3"/>
      <c r="Z12" s="3"/>
    </row>
    <row r="13" spans="1:26" ht="14.4" hidden="1" outlineLevel="1" x14ac:dyDescent="0.3">
      <c r="A13" s="3"/>
      <c r="B13" s="52" t="s">
        <v>430</v>
      </c>
      <c r="C13" s="53"/>
      <c r="D13" s="53"/>
      <c r="E13" s="11">
        <f t="shared" si="5"/>
        <v>361.49</v>
      </c>
      <c r="F13" s="92"/>
      <c r="G13" s="243"/>
      <c r="H13" s="93"/>
      <c r="I13" s="54"/>
      <c r="J13" s="55"/>
      <c r="K13" s="53"/>
      <c r="L13" s="53" t="str">
        <f t="shared" si="3"/>
        <v/>
      </c>
      <c r="M13" s="11">
        <v>130.47999999999999</v>
      </c>
      <c r="N13" s="11">
        <v>24.57</v>
      </c>
      <c r="O13" s="11">
        <v>12</v>
      </c>
      <c r="P13" s="11">
        <v>1.44</v>
      </c>
      <c r="Q13" s="11">
        <v>10</v>
      </c>
      <c r="R13" s="11">
        <v>20</v>
      </c>
      <c r="S13" s="11">
        <v>50</v>
      </c>
      <c r="T13" s="11">
        <v>50</v>
      </c>
      <c r="U13" s="11">
        <v>63</v>
      </c>
      <c r="V13" s="56" t="s">
        <v>699</v>
      </c>
      <c r="W13" s="35" t="str">
        <f t="shared" si="2"/>
        <v>Diferente</v>
      </c>
      <c r="X13" s="38">
        <f t="shared" si="4"/>
        <v>-361.49</v>
      </c>
      <c r="Y13" s="3"/>
      <c r="Z13" s="3"/>
    </row>
    <row r="14" spans="1:26" ht="14.4" hidden="1" outlineLevel="1" x14ac:dyDescent="0.3">
      <c r="A14" s="3"/>
      <c r="B14" s="52" t="s">
        <v>432</v>
      </c>
      <c r="C14" s="53"/>
      <c r="D14" s="53"/>
      <c r="E14" s="11">
        <f t="shared" si="5"/>
        <v>204.29</v>
      </c>
      <c r="F14" s="92"/>
      <c r="G14" s="245"/>
      <c r="H14" s="93"/>
      <c r="I14" s="54"/>
      <c r="J14" s="55"/>
      <c r="K14" s="53"/>
      <c r="L14" s="53" t="str">
        <f t="shared" si="3"/>
        <v/>
      </c>
      <c r="M14" s="11">
        <v>98.28</v>
      </c>
      <c r="N14" s="11">
        <v>24.57</v>
      </c>
      <c r="O14" s="11">
        <v>12</v>
      </c>
      <c r="P14" s="11">
        <v>1.44</v>
      </c>
      <c r="Q14" s="11">
        <v>5</v>
      </c>
      <c r="R14" s="11"/>
      <c r="S14" s="11"/>
      <c r="T14" s="11">
        <v>50</v>
      </c>
      <c r="U14" s="11">
        <v>13</v>
      </c>
      <c r="V14" s="56" t="s">
        <v>698</v>
      </c>
      <c r="W14" s="35" t="str">
        <f t="shared" si="2"/>
        <v>Diferente</v>
      </c>
      <c r="X14" s="38">
        <f t="shared" si="4"/>
        <v>-204.29</v>
      </c>
      <c r="Y14" s="3"/>
      <c r="Z14" s="3"/>
    </row>
    <row r="15" spans="1:26" ht="14.4" hidden="1" outlineLevel="1" x14ac:dyDescent="0.3">
      <c r="A15" s="3"/>
      <c r="B15" s="9" t="s">
        <v>433</v>
      </c>
      <c r="C15" s="53">
        <v>1</v>
      </c>
      <c r="D15" s="53" t="s">
        <v>130</v>
      </c>
      <c r="E15" s="11">
        <v>311.14</v>
      </c>
      <c r="F15" s="92">
        <f t="shared" ref="F15:F16" si="7">SUM(M15:U15)</f>
        <v>311.14</v>
      </c>
      <c r="G15" s="246" t="s">
        <v>700</v>
      </c>
      <c r="H15" s="93" t="s">
        <v>37</v>
      </c>
      <c r="I15" s="54"/>
      <c r="J15" s="55"/>
      <c r="K15" s="53"/>
      <c r="L15" s="53" t="str">
        <f t="shared" si="3"/>
        <v/>
      </c>
      <c r="M15" s="11">
        <v>180.13</v>
      </c>
      <c r="N15" s="11">
        <v>24.57</v>
      </c>
      <c r="O15" s="11">
        <v>12</v>
      </c>
      <c r="P15" s="11">
        <v>1.44</v>
      </c>
      <c r="Q15" s="11">
        <v>5</v>
      </c>
      <c r="R15" s="11">
        <v>5</v>
      </c>
      <c r="S15" s="11">
        <v>20</v>
      </c>
      <c r="T15" s="11"/>
      <c r="U15" s="11">
        <v>63</v>
      </c>
      <c r="V15" s="56" t="s">
        <v>699</v>
      </c>
      <c r="W15" s="35" t="str">
        <f t="shared" si="2"/>
        <v>OK</v>
      </c>
      <c r="X15" s="38" t="str">
        <f t="shared" si="4"/>
        <v/>
      </c>
      <c r="Y15" s="3"/>
      <c r="Z15" s="3"/>
    </row>
    <row r="16" spans="1:26" ht="14.4" hidden="1" outlineLevel="1" x14ac:dyDescent="0.3">
      <c r="A16" s="3"/>
      <c r="B16" s="9" t="s">
        <v>434</v>
      </c>
      <c r="C16" s="53">
        <v>1</v>
      </c>
      <c r="D16" s="53" t="s">
        <v>130</v>
      </c>
      <c r="E16" s="11">
        <v>150.99</v>
      </c>
      <c r="F16" s="92">
        <f t="shared" si="7"/>
        <v>138.27000000000001</v>
      </c>
      <c r="G16" s="245"/>
      <c r="H16" s="93" t="s">
        <v>37</v>
      </c>
      <c r="I16" s="54"/>
      <c r="J16" s="55"/>
      <c r="K16" s="53"/>
      <c r="L16" s="53" t="str">
        <f t="shared" si="3"/>
        <v/>
      </c>
      <c r="M16" s="11">
        <f>89.98-22.72+10</f>
        <v>77.260000000000005</v>
      </c>
      <c r="N16" s="11">
        <v>24.57</v>
      </c>
      <c r="O16" s="11">
        <v>12</v>
      </c>
      <c r="P16" s="11">
        <v>1.44</v>
      </c>
      <c r="Q16" s="11">
        <v>5</v>
      </c>
      <c r="R16" s="11">
        <v>5</v>
      </c>
      <c r="S16" s="11"/>
      <c r="T16" s="11"/>
      <c r="U16" s="11">
        <v>13</v>
      </c>
      <c r="V16" s="56" t="s">
        <v>698</v>
      </c>
      <c r="W16" s="35" t="str">
        <f t="shared" si="2"/>
        <v>OK</v>
      </c>
      <c r="X16" s="38" t="str">
        <f t="shared" si="4"/>
        <v/>
      </c>
      <c r="Y16" s="3"/>
      <c r="Z16" s="3"/>
    </row>
    <row r="17" spans="1:26" ht="14.4" hidden="1" outlineLevel="1" x14ac:dyDescent="0.3">
      <c r="A17" s="3"/>
      <c r="B17" s="52" t="s">
        <v>435</v>
      </c>
      <c r="C17" s="53">
        <v>4</v>
      </c>
      <c r="D17" s="53" t="s">
        <v>95</v>
      </c>
      <c r="E17" s="11">
        <f t="shared" ref="E17:E30" si="8">SUM(M17:U17)</f>
        <v>247.19</v>
      </c>
      <c r="F17" s="92">
        <f t="shared" ref="F17:F22" si="9">E17</f>
        <v>247.19</v>
      </c>
      <c r="G17" s="243"/>
      <c r="H17" s="93" t="s">
        <v>37</v>
      </c>
      <c r="I17" s="54"/>
      <c r="J17" s="55"/>
      <c r="K17" s="53"/>
      <c r="L17" s="53" t="str">
        <f t="shared" si="3"/>
        <v/>
      </c>
      <c r="M17" s="11">
        <v>191.18</v>
      </c>
      <c r="N17" s="11">
        <v>24.57</v>
      </c>
      <c r="O17" s="11">
        <v>12</v>
      </c>
      <c r="P17" s="11">
        <v>1.44</v>
      </c>
      <c r="Q17" s="11">
        <v>5</v>
      </c>
      <c r="R17" s="11"/>
      <c r="S17" s="11"/>
      <c r="T17" s="11"/>
      <c r="U17" s="11">
        <v>13</v>
      </c>
      <c r="V17" s="56" t="s">
        <v>698</v>
      </c>
      <c r="W17" s="35" t="str">
        <f t="shared" si="2"/>
        <v>OK</v>
      </c>
      <c r="X17" s="38" t="str">
        <f t="shared" si="4"/>
        <v/>
      </c>
      <c r="Y17" s="3"/>
      <c r="Z17" s="3"/>
    </row>
    <row r="18" spans="1:26" ht="14.4" hidden="1" outlineLevel="1" x14ac:dyDescent="0.3">
      <c r="A18" s="3"/>
      <c r="B18" s="52" t="s">
        <v>436</v>
      </c>
      <c r="C18" s="53">
        <v>4</v>
      </c>
      <c r="D18" s="53" t="s">
        <v>95</v>
      </c>
      <c r="E18" s="11">
        <f t="shared" si="8"/>
        <v>186.98999999999998</v>
      </c>
      <c r="F18" s="92">
        <f t="shared" si="9"/>
        <v>186.98999999999998</v>
      </c>
      <c r="G18" s="245"/>
      <c r="H18" s="93" t="s">
        <v>37</v>
      </c>
      <c r="I18" s="54"/>
      <c r="J18" s="55"/>
      <c r="K18" s="53"/>
      <c r="L18" s="53" t="str">
        <f t="shared" si="3"/>
        <v/>
      </c>
      <c r="M18" s="11">
        <v>135.97999999999999</v>
      </c>
      <c r="N18" s="11">
        <v>24.57</v>
      </c>
      <c r="O18" s="11">
        <v>12</v>
      </c>
      <c r="P18" s="11">
        <v>1.44</v>
      </c>
      <c r="Q18" s="11"/>
      <c r="R18" s="11"/>
      <c r="S18" s="11"/>
      <c r="T18" s="11"/>
      <c r="U18" s="11">
        <v>13</v>
      </c>
      <c r="V18" s="56" t="s">
        <v>698</v>
      </c>
      <c r="W18" s="35" t="str">
        <f t="shared" si="2"/>
        <v>OK</v>
      </c>
      <c r="X18" s="38" t="str">
        <f t="shared" si="4"/>
        <v/>
      </c>
      <c r="Y18" s="3"/>
      <c r="Z18" s="3"/>
    </row>
    <row r="19" spans="1:26" ht="14.4" hidden="1" outlineLevel="1" x14ac:dyDescent="0.3">
      <c r="A19" s="3"/>
      <c r="B19" s="9" t="s">
        <v>437</v>
      </c>
      <c r="C19" s="53">
        <v>4</v>
      </c>
      <c r="D19" s="53" t="s">
        <v>95</v>
      </c>
      <c r="E19" s="11">
        <f t="shared" si="8"/>
        <v>454.28999999999996</v>
      </c>
      <c r="F19" s="92">
        <f t="shared" si="9"/>
        <v>454.28999999999996</v>
      </c>
      <c r="G19" s="243"/>
      <c r="H19" s="93" t="s">
        <v>37</v>
      </c>
      <c r="I19" s="54"/>
      <c r="J19" s="55"/>
      <c r="K19" s="53"/>
      <c r="L19" s="53" t="str">
        <f t="shared" si="3"/>
        <v/>
      </c>
      <c r="M19" s="11">
        <v>328.28</v>
      </c>
      <c r="N19" s="11">
        <v>24.57</v>
      </c>
      <c r="O19" s="11">
        <v>12</v>
      </c>
      <c r="P19" s="11">
        <v>11.44</v>
      </c>
      <c r="Q19" s="11">
        <v>5</v>
      </c>
      <c r="R19" s="11">
        <v>10</v>
      </c>
      <c r="S19" s="11"/>
      <c r="T19" s="11">
        <v>50</v>
      </c>
      <c r="U19" s="11">
        <v>13</v>
      </c>
      <c r="V19" s="56" t="s">
        <v>698</v>
      </c>
      <c r="W19" s="35" t="str">
        <f t="shared" si="2"/>
        <v>OK</v>
      </c>
      <c r="X19" s="38" t="str">
        <f t="shared" si="4"/>
        <v/>
      </c>
      <c r="Y19" s="3"/>
      <c r="Z19" s="3"/>
    </row>
    <row r="20" spans="1:26" ht="14.4" hidden="1" outlineLevel="1" x14ac:dyDescent="0.3">
      <c r="A20" s="3"/>
      <c r="B20" s="9" t="s">
        <v>438</v>
      </c>
      <c r="C20" s="53">
        <v>4</v>
      </c>
      <c r="D20" s="53" t="s">
        <v>95</v>
      </c>
      <c r="E20" s="11">
        <f t="shared" si="8"/>
        <v>444.28999999999996</v>
      </c>
      <c r="F20" s="92">
        <f t="shared" si="9"/>
        <v>444.28999999999996</v>
      </c>
      <c r="G20" s="245"/>
      <c r="H20" s="93" t="s">
        <v>37</v>
      </c>
      <c r="I20" s="54"/>
      <c r="J20" s="55"/>
      <c r="K20" s="53"/>
      <c r="L20" s="53" t="str">
        <f t="shared" si="3"/>
        <v/>
      </c>
      <c r="M20" s="11">
        <v>328.28</v>
      </c>
      <c r="N20" s="11">
        <v>24.57</v>
      </c>
      <c r="O20" s="11">
        <v>12</v>
      </c>
      <c r="P20" s="11">
        <v>1.44</v>
      </c>
      <c r="Q20" s="11">
        <v>5</v>
      </c>
      <c r="R20" s="11">
        <v>10</v>
      </c>
      <c r="S20" s="11"/>
      <c r="T20" s="11">
        <v>50</v>
      </c>
      <c r="U20" s="11">
        <v>13</v>
      </c>
      <c r="V20" s="56" t="s">
        <v>698</v>
      </c>
      <c r="W20" s="35" t="str">
        <f t="shared" si="2"/>
        <v>OK</v>
      </c>
      <c r="X20" s="38" t="str">
        <f t="shared" si="4"/>
        <v/>
      </c>
      <c r="Y20" s="3"/>
      <c r="Z20" s="3"/>
    </row>
    <row r="21" spans="1:26" ht="14.4" hidden="1" outlineLevel="1" x14ac:dyDescent="0.3">
      <c r="A21" s="3"/>
      <c r="B21" s="52" t="s">
        <v>439</v>
      </c>
      <c r="C21" s="53">
        <v>14</v>
      </c>
      <c r="D21" s="53" t="s">
        <v>95</v>
      </c>
      <c r="E21" s="11">
        <f t="shared" si="8"/>
        <v>261.99</v>
      </c>
      <c r="F21" s="92">
        <f t="shared" si="9"/>
        <v>261.99</v>
      </c>
      <c r="G21" s="243"/>
      <c r="H21" s="93" t="s">
        <v>37</v>
      </c>
      <c r="I21" s="54"/>
      <c r="J21" s="55"/>
      <c r="K21" s="53"/>
      <c r="L21" s="53">
        <f t="shared" si="3"/>
        <v>1</v>
      </c>
      <c r="M21" s="11">
        <v>120.98</v>
      </c>
      <c r="N21" s="11">
        <v>24.57</v>
      </c>
      <c r="O21" s="11">
        <v>12</v>
      </c>
      <c r="P21" s="11">
        <v>1.44</v>
      </c>
      <c r="Q21" s="11">
        <v>5</v>
      </c>
      <c r="R21" s="11">
        <v>5</v>
      </c>
      <c r="S21" s="11"/>
      <c r="T21" s="11">
        <v>30</v>
      </c>
      <c r="U21" s="11">
        <v>63</v>
      </c>
      <c r="V21" s="56" t="s">
        <v>699</v>
      </c>
      <c r="W21" s="35" t="str">
        <f t="shared" si="2"/>
        <v>OK</v>
      </c>
      <c r="X21" s="38" t="str">
        <f t="shared" si="4"/>
        <v/>
      </c>
      <c r="Y21" s="3"/>
      <c r="Z21" s="3"/>
    </row>
    <row r="22" spans="1:26" ht="14.4" hidden="1" outlineLevel="1" x14ac:dyDescent="0.3">
      <c r="A22" s="3"/>
      <c r="B22" s="52" t="s">
        <v>440</v>
      </c>
      <c r="C22" s="53">
        <v>14</v>
      </c>
      <c r="D22" s="53" t="s">
        <v>95</v>
      </c>
      <c r="E22" s="11">
        <f t="shared" si="8"/>
        <v>188.59</v>
      </c>
      <c r="F22" s="92">
        <f t="shared" si="9"/>
        <v>188.59</v>
      </c>
      <c r="G22" s="245"/>
      <c r="H22" s="93" t="s">
        <v>37</v>
      </c>
      <c r="I22" s="54"/>
      <c r="J22" s="55"/>
      <c r="K22" s="53"/>
      <c r="L22" s="53">
        <f t="shared" si="3"/>
        <v>1</v>
      </c>
      <c r="M22" s="11">
        <v>102.58</v>
      </c>
      <c r="N22" s="11">
        <v>24.57</v>
      </c>
      <c r="O22" s="11">
        <v>12</v>
      </c>
      <c r="P22" s="11">
        <v>1.44</v>
      </c>
      <c r="Q22" s="11">
        <v>5</v>
      </c>
      <c r="R22" s="11"/>
      <c r="S22" s="11"/>
      <c r="T22" s="11">
        <v>30</v>
      </c>
      <c r="U22" s="11">
        <v>13</v>
      </c>
      <c r="V22" s="56" t="s">
        <v>698</v>
      </c>
      <c r="W22" s="35" t="str">
        <f t="shared" si="2"/>
        <v>OK</v>
      </c>
      <c r="X22" s="38" t="str">
        <f t="shared" si="4"/>
        <v/>
      </c>
      <c r="Y22" s="3"/>
      <c r="Z22" s="3"/>
    </row>
    <row r="23" spans="1:26" ht="14.4" hidden="1" outlineLevel="1" x14ac:dyDescent="0.3">
      <c r="A23" s="3"/>
      <c r="B23" s="9" t="s">
        <v>441</v>
      </c>
      <c r="C23" s="53"/>
      <c r="D23" s="53"/>
      <c r="E23" s="11">
        <f t="shared" si="8"/>
        <v>148.34</v>
      </c>
      <c r="F23" s="92"/>
      <c r="G23" s="246"/>
      <c r="H23" s="93"/>
      <c r="I23" s="54"/>
      <c r="J23" s="55"/>
      <c r="K23" s="11"/>
      <c r="L23" s="53" t="str">
        <f t="shared" si="3"/>
        <v/>
      </c>
      <c r="M23" s="11">
        <v>37.33</v>
      </c>
      <c r="N23" s="11">
        <v>24.57</v>
      </c>
      <c r="O23" s="11">
        <v>12</v>
      </c>
      <c r="P23" s="11">
        <v>1.44</v>
      </c>
      <c r="Q23" s="11">
        <v>5</v>
      </c>
      <c r="R23" s="11">
        <v>5</v>
      </c>
      <c r="S23" s="11"/>
      <c r="T23" s="11"/>
      <c r="U23" s="11">
        <v>63</v>
      </c>
      <c r="V23" s="56" t="s">
        <v>699</v>
      </c>
      <c r="W23" s="35" t="str">
        <f t="shared" si="2"/>
        <v>Diferente</v>
      </c>
      <c r="X23" s="38">
        <f t="shared" si="4"/>
        <v>-148.34</v>
      </c>
      <c r="Y23" s="3"/>
      <c r="Z23" s="3"/>
    </row>
    <row r="24" spans="1:26" ht="14.4" hidden="1" outlineLevel="1" x14ac:dyDescent="0.3">
      <c r="A24" s="3"/>
      <c r="B24" s="9" t="s">
        <v>442</v>
      </c>
      <c r="C24" s="53"/>
      <c r="D24" s="53"/>
      <c r="E24" s="11">
        <f t="shared" si="8"/>
        <v>129.44</v>
      </c>
      <c r="F24" s="92"/>
      <c r="G24" s="245"/>
      <c r="H24" s="93"/>
      <c r="I24" s="54"/>
      <c r="J24" s="55"/>
      <c r="K24" s="11"/>
      <c r="L24" s="53" t="str">
        <f t="shared" si="3"/>
        <v/>
      </c>
      <c r="M24" s="11">
        <v>53.43</v>
      </c>
      <c r="N24" s="11">
        <v>24.57</v>
      </c>
      <c r="O24" s="11">
        <v>12</v>
      </c>
      <c r="P24" s="11">
        <v>1.44</v>
      </c>
      <c r="Q24" s="11">
        <v>5</v>
      </c>
      <c r="R24" s="11">
        <v>5</v>
      </c>
      <c r="S24" s="11"/>
      <c r="T24" s="11">
        <v>15</v>
      </c>
      <c r="U24" s="11">
        <v>13</v>
      </c>
      <c r="V24" s="56" t="s">
        <v>698</v>
      </c>
      <c r="W24" s="35" t="str">
        <f t="shared" si="2"/>
        <v>Diferente</v>
      </c>
      <c r="X24" s="38">
        <f t="shared" si="4"/>
        <v>-129.44</v>
      </c>
      <c r="Y24" s="3"/>
      <c r="Z24" s="3"/>
    </row>
    <row r="25" spans="1:26" ht="14.4" hidden="1" outlineLevel="1" x14ac:dyDescent="0.3">
      <c r="A25" s="3"/>
      <c r="B25" s="52" t="s">
        <v>443</v>
      </c>
      <c r="C25" s="53">
        <v>7</v>
      </c>
      <c r="D25" s="53" t="s">
        <v>95</v>
      </c>
      <c r="E25" s="11">
        <f t="shared" si="8"/>
        <v>198</v>
      </c>
      <c r="F25" s="92">
        <f>E25</f>
        <v>198</v>
      </c>
      <c r="G25" s="108"/>
      <c r="H25" s="93" t="s">
        <v>37</v>
      </c>
      <c r="I25" s="54"/>
      <c r="J25" s="55"/>
      <c r="K25" s="11"/>
      <c r="L25" s="53" t="str">
        <f t="shared" si="3"/>
        <v/>
      </c>
      <c r="M25" s="11">
        <v>131.99</v>
      </c>
      <c r="N25" s="11">
        <v>24.57</v>
      </c>
      <c r="O25" s="11">
        <v>12</v>
      </c>
      <c r="P25" s="11">
        <v>6.44</v>
      </c>
      <c r="Q25" s="11"/>
      <c r="R25" s="11">
        <v>10</v>
      </c>
      <c r="S25" s="11"/>
      <c r="T25" s="11"/>
      <c r="U25" s="11">
        <v>13</v>
      </c>
      <c r="V25" s="56" t="s">
        <v>698</v>
      </c>
      <c r="W25" s="35" t="str">
        <f t="shared" si="2"/>
        <v>OK</v>
      </c>
      <c r="X25" s="38" t="str">
        <f t="shared" si="4"/>
        <v/>
      </c>
      <c r="Y25" s="3"/>
      <c r="Z25" s="3"/>
    </row>
    <row r="26" spans="1:26" ht="14.4" hidden="1" outlineLevel="1" x14ac:dyDescent="0.3">
      <c r="A26" s="3"/>
      <c r="B26" s="9" t="s">
        <v>444</v>
      </c>
      <c r="C26" s="53"/>
      <c r="D26" s="53"/>
      <c r="E26" s="11">
        <f t="shared" si="8"/>
        <v>123</v>
      </c>
      <c r="F26" s="92"/>
      <c r="G26" s="108"/>
      <c r="H26" s="93"/>
      <c r="I26" s="54"/>
      <c r="J26" s="55"/>
      <c r="K26" s="11"/>
      <c r="L26" s="53" t="str">
        <f t="shared" si="3"/>
        <v/>
      </c>
      <c r="M26" s="11">
        <v>71.430000000000007</v>
      </c>
      <c r="N26" s="11">
        <v>24.57</v>
      </c>
      <c r="O26" s="11">
        <v>12</v>
      </c>
      <c r="P26" s="11">
        <v>2</v>
      </c>
      <c r="Q26" s="11"/>
      <c r="R26" s="11"/>
      <c r="S26" s="11"/>
      <c r="T26" s="11"/>
      <c r="U26" s="11">
        <v>13</v>
      </c>
      <c r="V26" s="56" t="s">
        <v>698</v>
      </c>
      <c r="W26" s="35" t="str">
        <f t="shared" si="2"/>
        <v>Diferente</v>
      </c>
      <c r="X26" s="38">
        <f t="shared" si="4"/>
        <v>-123</v>
      </c>
      <c r="Y26" s="3"/>
      <c r="Z26" s="3"/>
    </row>
    <row r="27" spans="1:26" ht="14.4" hidden="1" outlineLevel="1" x14ac:dyDescent="0.3">
      <c r="A27" s="3"/>
      <c r="B27" s="52" t="s">
        <v>445</v>
      </c>
      <c r="C27" s="53">
        <v>11</v>
      </c>
      <c r="D27" s="53" t="s">
        <v>95</v>
      </c>
      <c r="E27" s="11">
        <f t="shared" si="8"/>
        <v>393</v>
      </c>
      <c r="F27" s="92">
        <f t="shared" ref="F27:F30" si="10">E27</f>
        <v>393</v>
      </c>
      <c r="G27" s="246"/>
      <c r="H27" s="93" t="s">
        <v>37</v>
      </c>
      <c r="I27" s="54"/>
      <c r="J27" s="55"/>
      <c r="K27" s="11"/>
      <c r="L27" s="53" t="str">
        <f t="shared" si="3"/>
        <v/>
      </c>
      <c r="M27" s="11">
        <v>131.99</v>
      </c>
      <c r="N27" s="11">
        <v>24.57</v>
      </c>
      <c r="O27" s="11">
        <v>12</v>
      </c>
      <c r="P27" s="11">
        <v>11.44</v>
      </c>
      <c r="Q27" s="11">
        <v>5</v>
      </c>
      <c r="R27" s="11">
        <v>5</v>
      </c>
      <c r="S27" s="11">
        <v>10</v>
      </c>
      <c r="T27" s="11">
        <v>30</v>
      </c>
      <c r="U27" s="11">
        <v>163</v>
      </c>
      <c r="V27" s="56" t="s">
        <v>701</v>
      </c>
      <c r="W27" s="35" t="str">
        <f t="shared" si="2"/>
        <v>OK</v>
      </c>
      <c r="X27" s="38" t="str">
        <f t="shared" si="4"/>
        <v/>
      </c>
      <c r="Y27" s="3"/>
      <c r="Z27" s="3"/>
    </row>
    <row r="28" spans="1:26" ht="14.4" hidden="1" outlineLevel="1" x14ac:dyDescent="0.3">
      <c r="A28" s="3"/>
      <c r="B28" s="52" t="s">
        <v>447</v>
      </c>
      <c r="C28" s="53">
        <v>11</v>
      </c>
      <c r="D28" s="53" t="s">
        <v>95</v>
      </c>
      <c r="E28" s="11">
        <f t="shared" si="8"/>
        <v>233</v>
      </c>
      <c r="F28" s="92">
        <f t="shared" si="10"/>
        <v>233</v>
      </c>
      <c r="G28" s="245"/>
      <c r="H28" s="93" t="s">
        <v>37</v>
      </c>
      <c r="I28" s="54"/>
      <c r="J28" s="55"/>
      <c r="K28" s="11"/>
      <c r="L28" s="53" t="str">
        <f t="shared" si="3"/>
        <v/>
      </c>
      <c r="M28" s="11">
        <v>131.99</v>
      </c>
      <c r="N28" s="11">
        <v>24.57</v>
      </c>
      <c r="O28" s="11">
        <v>12</v>
      </c>
      <c r="P28" s="11">
        <v>1.44</v>
      </c>
      <c r="Q28" s="11">
        <v>5</v>
      </c>
      <c r="R28" s="11">
        <v>5</v>
      </c>
      <c r="S28" s="11">
        <v>10</v>
      </c>
      <c r="T28" s="11">
        <v>30</v>
      </c>
      <c r="U28" s="11">
        <v>13</v>
      </c>
      <c r="V28" s="56" t="s">
        <v>698</v>
      </c>
      <c r="W28" s="35" t="str">
        <f t="shared" si="2"/>
        <v>OK</v>
      </c>
      <c r="X28" s="38" t="str">
        <f t="shared" si="4"/>
        <v/>
      </c>
      <c r="Y28" s="3"/>
      <c r="Z28" s="3"/>
    </row>
    <row r="29" spans="1:26" ht="14.4" hidden="1" outlineLevel="1" x14ac:dyDescent="0.3">
      <c r="A29" s="3"/>
      <c r="B29" s="9" t="s">
        <v>448</v>
      </c>
      <c r="C29" s="53">
        <v>11</v>
      </c>
      <c r="D29" s="53" t="s">
        <v>95</v>
      </c>
      <c r="E29" s="11">
        <f t="shared" si="8"/>
        <v>272.69</v>
      </c>
      <c r="F29" s="92">
        <f t="shared" si="10"/>
        <v>272.69</v>
      </c>
      <c r="G29" s="246"/>
      <c r="H29" s="93" t="s">
        <v>37</v>
      </c>
      <c r="I29" s="54"/>
      <c r="J29" s="55"/>
      <c r="K29" s="11"/>
      <c r="L29" s="53" t="str">
        <f t="shared" si="3"/>
        <v/>
      </c>
      <c r="M29" s="11">
        <v>116.68</v>
      </c>
      <c r="N29" s="11">
        <v>24.57</v>
      </c>
      <c r="O29" s="11">
        <v>12</v>
      </c>
      <c r="P29" s="11">
        <v>1.44</v>
      </c>
      <c r="Q29" s="11">
        <v>5</v>
      </c>
      <c r="R29" s="11">
        <v>10</v>
      </c>
      <c r="S29" s="11">
        <v>10</v>
      </c>
      <c r="T29" s="11">
        <v>30</v>
      </c>
      <c r="U29" s="11">
        <v>63</v>
      </c>
      <c r="V29" s="56" t="s">
        <v>699</v>
      </c>
      <c r="W29" s="35" t="str">
        <f t="shared" si="2"/>
        <v>OK</v>
      </c>
      <c r="X29" s="38" t="str">
        <f t="shared" si="4"/>
        <v/>
      </c>
      <c r="Y29" s="3"/>
      <c r="Z29" s="3"/>
    </row>
    <row r="30" spans="1:26" ht="14.4" hidden="1" outlineLevel="1" x14ac:dyDescent="0.3">
      <c r="A30" s="3"/>
      <c r="B30" s="9" t="s">
        <v>449</v>
      </c>
      <c r="C30" s="53">
        <v>11</v>
      </c>
      <c r="D30" s="53" t="s">
        <v>95</v>
      </c>
      <c r="E30" s="11">
        <f t="shared" si="8"/>
        <v>171.69</v>
      </c>
      <c r="F30" s="92">
        <f t="shared" si="10"/>
        <v>171.69</v>
      </c>
      <c r="G30" s="245"/>
      <c r="H30" s="93" t="s">
        <v>37</v>
      </c>
      <c r="I30" s="54"/>
      <c r="J30" s="55"/>
      <c r="K30" s="11"/>
      <c r="L30" s="53" t="str">
        <f t="shared" si="3"/>
        <v/>
      </c>
      <c r="M30" s="11">
        <v>70.680000000000007</v>
      </c>
      <c r="N30" s="11">
        <v>24.57</v>
      </c>
      <c r="O30" s="11">
        <v>12</v>
      </c>
      <c r="P30" s="11">
        <v>1.44</v>
      </c>
      <c r="Q30" s="11"/>
      <c r="R30" s="11">
        <v>10</v>
      </c>
      <c r="S30" s="11">
        <v>10</v>
      </c>
      <c r="T30" s="11">
        <v>30</v>
      </c>
      <c r="U30" s="11">
        <v>13</v>
      </c>
      <c r="V30" s="56" t="s">
        <v>698</v>
      </c>
      <c r="W30" s="35" t="str">
        <f t="shared" si="2"/>
        <v>OK</v>
      </c>
      <c r="X30" s="38" t="str">
        <f t="shared" si="4"/>
        <v/>
      </c>
      <c r="Y30" s="3"/>
      <c r="Z30" s="3"/>
    </row>
    <row r="31" spans="1:26" ht="14.4" hidden="1" outlineLevel="1" x14ac:dyDescent="0.3">
      <c r="A31" s="3"/>
      <c r="B31" s="52" t="s">
        <v>450</v>
      </c>
      <c r="C31" s="53">
        <v>4</v>
      </c>
      <c r="D31" s="53" t="s">
        <v>130</v>
      </c>
      <c r="E31" s="11">
        <v>180.44</v>
      </c>
      <c r="F31" s="92">
        <f t="shared" ref="F31:F32" si="11">SUM(M31:U31)</f>
        <v>350.88</v>
      </c>
      <c r="G31" s="246" t="s">
        <v>702</v>
      </c>
      <c r="H31" s="93" t="s">
        <v>37</v>
      </c>
      <c r="I31" s="54"/>
      <c r="J31" s="55"/>
      <c r="K31" s="11"/>
      <c r="L31" s="53" t="str">
        <f t="shared" si="3"/>
        <v/>
      </c>
      <c r="M31" s="11">
        <f t="shared" ref="M31:M32" si="12">104.43*2</f>
        <v>208.86</v>
      </c>
      <c r="N31" s="11">
        <f t="shared" ref="N31:N32" si="13">24.57*2</f>
        <v>49.14</v>
      </c>
      <c r="O31" s="11">
        <f t="shared" ref="O31:O32" si="14">12*2</f>
        <v>24</v>
      </c>
      <c r="P31" s="11">
        <f t="shared" ref="P31:P32" si="15">1.44*2</f>
        <v>2.88</v>
      </c>
      <c r="Q31" s="11">
        <f t="shared" ref="Q31:Q32" si="16">5*2</f>
        <v>10</v>
      </c>
      <c r="R31" s="11"/>
      <c r="S31" s="11">
        <f t="shared" ref="S31:T31" si="17">10*2</f>
        <v>20</v>
      </c>
      <c r="T31" s="11">
        <f t="shared" si="17"/>
        <v>20</v>
      </c>
      <c r="U31" s="11">
        <v>16</v>
      </c>
      <c r="V31" s="56" t="s">
        <v>698</v>
      </c>
      <c r="W31" s="35" t="str">
        <f t="shared" si="2"/>
        <v>OK</v>
      </c>
      <c r="X31" s="38" t="str">
        <f t="shared" si="4"/>
        <v/>
      </c>
      <c r="Y31" s="3"/>
      <c r="Z31" s="3"/>
    </row>
    <row r="32" spans="1:26" ht="14.4" hidden="1" outlineLevel="1" x14ac:dyDescent="0.3">
      <c r="A32" s="3"/>
      <c r="B32" s="52" t="s">
        <v>451</v>
      </c>
      <c r="C32" s="53">
        <v>4</v>
      </c>
      <c r="D32" s="53" t="s">
        <v>130</v>
      </c>
      <c r="E32" s="11">
        <v>180.44</v>
      </c>
      <c r="F32" s="92">
        <f t="shared" si="11"/>
        <v>334.88</v>
      </c>
      <c r="G32" s="245"/>
      <c r="H32" s="93" t="s">
        <v>37</v>
      </c>
      <c r="I32" s="54"/>
      <c r="J32" s="55"/>
      <c r="K32" s="11"/>
      <c r="L32" s="53" t="str">
        <f t="shared" si="3"/>
        <v/>
      </c>
      <c r="M32" s="11">
        <f t="shared" si="12"/>
        <v>208.86</v>
      </c>
      <c r="N32" s="11">
        <f t="shared" si="13"/>
        <v>49.14</v>
      </c>
      <c r="O32" s="11">
        <f t="shared" si="14"/>
        <v>24</v>
      </c>
      <c r="P32" s="11">
        <f t="shared" si="15"/>
        <v>2.88</v>
      </c>
      <c r="Q32" s="11">
        <f t="shared" si="16"/>
        <v>10</v>
      </c>
      <c r="R32" s="11"/>
      <c r="S32" s="11">
        <f t="shared" ref="S32:T32" si="18">10*2</f>
        <v>20</v>
      </c>
      <c r="T32" s="11">
        <f t="shared" si="18"/>
        <v>20</v>
      </c>
      <c r="U32" s="11"/>
      <c r="V32" s="56" t="s">
        <v>698</v>
      </c>
      <c r="W32" s="35" t="str">
        <f t="shared" si="2"/>
        <v>OK</v>
      </c>
      <c r="X32" s="38" t="str">
        <f t="shared" si="4"/>
        <v/>
      </c>
      <c r="Y32" s="3"/>
      <c r="Z32" s="3"/>
    </row>
    <row r="33" spans="1:26" ht="14.4" hidden="1" outlineLevel="1" x14ac:dyDescent="0.3">
      <c r="A33" s="3"/>
      <c r="B33" s="9" t="s">
        <v>452</v>
      </c>
      <c r="C33" s="53">
        <v>10</v>
      </c>
      <c r="D33" s="53" t="s">
        <v>95</v>
      </c>
      <c r="E33" s="11">
        <f t="shared" ref="E33:E34" si="19">SUM(M33:U33)</f>
        <v>212.01</v>
      </c>
      <c r="F33" s="92">
        <f t="shared" ref="F33:F34" si="20">E33</f>
        <v>212.01</v>
      </c>
      <c r="G33" s="246"/>
      <c r="H33" s="93" t="s">
        <v>37</v>
      </c>
      <c r="I33" s="54"/>
      <c r="J33" s="55"/>
      <c r="K33" s="11"/>
      <c r="L33" s="53" t="str">
        <f t="shared" si="3"/>
        <v/>
      </c>
      <c r="M33" s="11">
        <v>156</v>
      </c>
      <c r="N33" s="11">
        <v>24.57</v>
      </c>
      <c r="O33" s="11">
        <v>12</v>
      </c>
      <c r="P33" s="11">
        <v>1.44</v>
      </c>
      <c r="Q33" s="11">
        <v>5</v>
      </c>
      <c r="R33" s="11"/>
      <c r="S33" s="11"/>
      <c r="T33" s="11"/>
      <c r="U33" s="11">
        <v>13</v>
      </c>
      <c r="V33" s="56" t="s">
        <v>698</v>
      </c>
      <c r="W33" s="35" t="str">
        <f t="shared" si="2"/>
        <v>OK</v>
      </c>
      <c r="X33" s="38" t="str">
        <f t="shared" si="4"/>
        <v/>
      </c>
      <c r="Y33" s="3"/>
      <c r="Z33" s="3"/>
    </row>
    <row r="34" spans="1:26" ht="14.4" hidden="1" outlineLevel="1" x14ac:dyDescent="0.3">
      <c r="A34" s="3"/>
      <c r="B34" s="9" t="s">
        <v>453</v>
      </c>
      <c r="C34" s="53">
        <v>10</v>
      </c>
      <c r="D34" s="53" t="s">
        <v>95</v>
      </c>
      <c r="E34" s="11">
        <f t="shared" si="19"/>
        <v>282.01</v>
      </c>
      <c r="F34" s="92">
        <f t="shared" si="20"/>
        <v>282.01</v>
      </c>
      <c r="G34" s="245"/>
      <c r="H34" s="93" t="s">
        <v>37</v>
      </c>
      <c r="I34" s="54"/>
      <c r="J34" s="55"/>
      <c r="K34" s="11"/>
      <c r="L34" s="53" t="str">
        <f t="shared" si="3"/>
        <v/>
      </c>
      <c r="M34" s="11">
        <v>156</v>
      </c>
      <c r="N34" s="11">
        <v>24.57</v>
      </c>
      <c r="O34" s="11">
        <v>12</v>
      </c>
      <c r="P34" s="11">
        <v>11.44</v>
      </c>
      <c r="Q34" s="11">
        <v>5</v>
      </c>
      <c r="R34" s="11">
        <v>10</v>
      </c>
      <c r="S34" s="11"/>
      <c r="T34" s="11"/>
      <c r="U34" s="11">
        <v>63</v>
      </c>
      <c r="V34" s="56" t="s">
        <v>699</v>
      </c>
      <c r="W34" s="35" t="str">
        <f t="shared" si="2"/>
        <v>OK</v>
      </c>
      <c r="X34" s="38" t="str">
        <f t="shared" si="4"/>
        <v/>
      </c>
      <c r="Y34" s="3"/>
      <c r="Z34" s="3"/>
    </row>
    <row r="35" spans="1:26" ht="14.4" hidden="1" outlineLevel="1" x14ac:dyDescent="0.3">
      <c r="A35" s="3"/>
      <c r="B35" s="52" t="s">
        <v>454</v>
      </c>
      <c r="C35" s="53">
        <v>19</v>
      </c>
      <c r="D35" s="53" t="s">
        <v>95</v>
      </c>
      <c r="E35" s="11">
        <f>211.2-13</f>
        <v>198.2</v>
      </c>
      <c r="F35" s="92">
        <f>SUM(M35:U35)</f>
        <v>396.4</v>
      </c>
      <c r="G35" s="109"/>
      <c r="H35" s="93" t="s">
        <v>37</v>
      </c>
      <c r="I35" s="54"/>
      <c r="J35" s="55"/>
      <c r="K35" s="11"/>
      <c r="L35" s="53">
        <f t="shared" si="3"/>
        <v>1</v>
      </c>
      <c r="M35" s="11">
        <f>131.63*2</f>
        <v>263.26</v>
      </c>
      <c r="N35" s="11">
        <f>24.57*2</f>
        <v>49.14</v>
      </c>
      <c r="O35" s="11">
        <f>12*2</f>
        <v>24</v>
      </c>
      <c r="P35" s="11">
        <v>20</v>
      </c>
      <c r="Q35" s="11">
        <v>10</v>
      </c>
      <c r="R35" s="11">
        <v>30</v>
      </c>
      <c r="S35" s="11"/>
      <c r="T35" s="11"/>
      <c r="U35" s="11"/>
      <c r="V35" s="56" t="s">
        <v>698</v>
      </c>
      <c r="W35" s="35" t="str">
        <f t="shared" si="2"/>
        <v>OK</v>
      </c>
      <c r="X35" s="38" t="str">
        <f t="shared" si="4"/>
        <v/>
      </c>
      <c r="Y35" s="3"/>
      <c r="Z35" s="3"/>
    </row>
    <row r="36" spans="1:26" ht="14.4" hidden="1" outlineLevel="1" x14ac:dyDescent="0.3">
      <c r="A36" s="3"/>
      <c r="B36" s="9" t="s">
        <v>455</v>
      </c>
      <c r="C36" s="53">
        <v>5</v>
      </c>
      <c r="D36" s="53" t="s">
        <v>95</v>
      </c>
      <c r="E36" s="11">
        <f t="shared" ref="E36:E37" si="21">SUM(M36:U36)</f>
        <v>241.76</v>
      </c>
      <c r="F36" s="92">
        <f>E36</f>
        <v>241.76</v>
      </c>
      <c r="G36" s="108"/>
      <c r="H36" s="93" t="s">
        <v>37</v>
      </c>
      <c r="I36" s="54"/>
      <c r="J36" s="55"/>
      <c r="K36" s="11"/>
      <c r="L36" s="53" t="str">
        <f t="shared" si="3"/>
        <v/>
      </c>
      <c r="M36" s="11">
        <v>132.19</v>
      </c>
      <c r="N36" s="11">
        <v>24.57</v>
      </c>
      <c r="O36" s="11">
        <v>12</v>
      </c>
      <c r="P36" s="11">
        <v>5</v>
      </c>
      <c r="Q36" s="11">
        <v>5</v>
      </c>
      <c r="R36" s="11">
        <v>10</v>
      </c>
      <c r="S36" s="11">
        <v>10</v>
      </c>
      <c r="T36" s="11">
        <v>30</v>
      </c>
      <c r="U36" s="11">
        <v>13</v>
      </c>
      <c r="V36" s="56" t="s">
        <v>698</v>
      </c>
      <c r="W36" s="35" t="str">
        <f t="shared" si="2"/>
        <v>OK</v>
      </c>
      <c r="X36" s="38" t="str">
        <f t="shared" si="4"/>
        <v/>
      </c>
      <c r="Y36" s="3"/>
      <c r="Z36" s="3"/>
    </row>
    <row r="37" spans="1:26" ht="14.4" hidden="1" outlineLevel="1" x14ac:dyDescent="0.3">
      <c r="A37" s="3"/>
      <c r="B37" s="52" t="s">
        <v>456</v>
      </c>
      <c r="C37" s="53"/>
      <c r="D37" s="53"/>
      <c r="E37" s="11">
        <f t="shared" si="21"/>
        <v>125.81</v>
      </c>
      <c r="F37" s="92"/>
      <c r="G37" s="246"/>
      <c r="H37" s="93"/>
      <c r="I37" s="54"/>
      <c r="J37" s="55"/>
      <c r="K37" s="11"/>
      <c r="L37" s="53" t="str">
        <f t="shared" si="3"/>
        <v/>
      </c>
      <c r="M37" s="11">
        <v>74.739999999999995</v>
      </c>
      <c r="N37" s="11">
        <v>24.57</v>
      </c>
      <c r="O37" s="11">
        <v>12</v>
      </c>
      <c r="P37" s="11">
        <v>1.5</v>
      </c>
      <c r="Q37" s="11"/>
      <c r="R37" s="11"/>
      <c r="S37" s="11"/>
      <c r="T37" s="11"/>
      <c r="U37" s="11">
        <v>13</v>
      </c>
      <c r="V37" s="56" t="s">
        <v>698</v>
      </c>
      <c r="W37" s="35" t="str">
        <f t="shared" si="2"/>
        <v>Diferente</v>
      </c>
      <c r="X37" s="38">
        <f t="shared" si="4"/>
        <v>-125.81</v>
      </c>
      <c r="Y37" s="3"/>
      <c r="Z37" s="3"/>
    </row>
    <row r="38" spans="1:26" ht="14.4" hidden="1" outlineLevel="1" x14ac:dyDescent="0.3">
      <c r="A38" s="3"/>
      <c r="B38" s="52" t="s">
        <v>457</v>
      </c>
      <c r="C38" s="53">
        <v>15</v>
      </c>
      <c r="D38" s="53" t="s">
        <v>95</v>
      </c>
      <c r="E38" s="11">
        <v>125.81</v>
      </c>
      <c r="F38" s="92">
        <f>SUM(M38:U38)</f>
        <v>256.62</v>
      </c>
      <c r="G38" s="245"/>
      <c r="H38" s="93" t="s">
        <v>37</v>
      </c>
      <c r="I38" s="54"/>
      <c r="J38" s="55"/>
      <c r="K38" s="11"/>
      <c r="L38" s="53">
        <f t="shared" si="3"/>
        <v>1</v>
      </c>
      <c r="M38" s="11">
        <f>74.74*2</f>
        <v>149.47999999999999</v>
      </c>
      <c r="N38" s="11">
        <f>24.57*2</f>
        <v>49.14</v>
      </c>
      <c r="O38" s="11">
        <f>12*2</f>
        <v>24</v>
      </c>
      <c r="P38" s="11">
        <f>1.5*2</f>
        <v>3</v>
      </c>
      <c r="Q38" s="11"/>
      <c r="R38" s="11"/>
      <c r="S38" s="11"/>
      <c r="T38" s="11"/>
      <c r="U38" s="11">
        <f>26+5</f>
        <v>31</v>
      </c>
      <c r="V38" s="56" t="s">
        <v>698</v>
      </c>
      <c r="W38" s="35" t="str">
        <f t="shared" si="2"/>
        <v>OK</v>
      </c>
      <c r="X38" s="38" t="str">
        <f t="shared" si="4"/>
        <v/>
      </c>
      <c r="Y38" s="3"/>
      <c r="Z38" s="3"/>
    </row>
    <row r="39" spans="1:26" ht="14.4" hidden="1" outlineLevel="1" x14ac:dyDescent="0.3">
      <c r="A39" s="3"/>
      <c r="B39" s="9" t="s">
        <v>458</v>
      </c>
      <c r="C39" s="53">
        <v>10</v>
      </c>
      <c r="D39" s="53" t="s">
        <v>95</v>
      </c>
      <c r="E39" s="11">
        <f t="shared" ref="E39:E42" si="22">SUM(M39:U39)</f>
        <v>179.44</v>
      </c>
      <c r="F39" s="92">
        <f t="shared" ref="F39:F42" si="23">E39</f>
        <v>179.44</v>
      </c>
      <c r="G39" s="243"/>
      <c r="H39" s="93" t="s">
        <v>37</v>
      </c>
      <c r="I39" s="54"/>
      <c r="J39" s="55"/>
      <c r="K39" s="11"/>
      <c r="L39" s="53" t="str">
        <f t="shared" si="3"/>
        <v/>
      </c>
      <c r="M39" s="11">
        <v>103.43</v>
      </c>
      <c r="N39" s="11">
        <v>24.57</v>
      </c>
      <c r="O39" s="11">
        <v>12</v>
      </c>
      <c r="P39" s="11">
        <v>1.44</v>
      </c>
      <c r="Q39" s="11"/>
      <c r="R39" s="11">
        <v>5</v>
      </c>
      <c r="S39" s="11"/>
      <c r="T39" s="11"/>
      <c r="U39" s="11">
        <v>33</v>
      </c>
      <c r="V39" s="56" t="s">
        <v>703</v>
      </c>
      <c r="W39" s="35" t="str">
        <f t="shared" si="2"/>
        <v>OK</v>
      </c>
      <c r="X39" s="38" t="str">
        <f t="shared" si="4"/>
        <v/>
      </c>
      <c r="Y39" s="3"/>
      <c r="Z39" s="3"/>
    </row>
    <row r="40" spans="1:26" ht="14.4" hidden="1" outlineLevel="1" x14ac:dyDescent="0.3">
      <c r="A40" s="3"/>
      <c r="B40" s="9" t="s">
        <v>459</v>
      </c>
      <c r="C40" s="53">
        <v>10</v>
      </c>
      <c r="D40" s="53" t="s">
        <v>95</v>
      </c>
      <c r="E40" s="11">
        <f t="shared" si="22"/>
        <v>589.44000000000005</v>
      </c>
      <c r="F40" s="92">
        <f t="shared" si="23"/>
        <v>589.44000000000005</v>
      </c>
      <c r="G40" s="244"/>
      <c r="H40" s="93" t="s">
        <v>37</v>
      </c>
      <c r="I40" s="54"/>
      <c r="J40" s="55"/>
      <c r="K40" s="11"/>
      <c r="L40" s="53" t="str">
        <f t="shared" si="3"/>
        <v/>
      </c>
      <c r="M40" s="11">
        <v>103.43</v>
      </c>
      <c r="N40" s="11">
        <v>24.57</v>
      </c>
      <c r="O40" s="11">
        <v>12</v>
      </c>
      <c r="P40" s="11">
        <v>1.44</v>
      </c>
      <c r="Q40" s="11">
        <v>5</v>
      </c>
      <c r="R40" s="11">
        <v>5</v>
      </c>
      <c r="S40" s="11"/>
      <c r="T40" s="11"/>
      <c r="U40" s="11">
        <v>438</v>
      </c>
      <c r="V40" s="56" t="s">
        <v>704</v>
      </c>
      <c r="W40" s="35" t="str">
        <f t="shared" si="2"/>
        <v>OK</v>
      </c>
      <c r="X40" s="38" t="str">
        <f t="shared" si="4"/>
        <v/>
      </c>
      <c r="Y40" s="3"/>
      <c r="Z40" s="3"/>
    </row>
    <row r="41" spans="1:26" ht="14.4" hidden="1" outlineLevel="1" x14ac:dyDescent="0.3">
      <c r="A41" s="3"/>
      <c r="B41" s="9" t="s">
        <v>460</v>
      </c>
      <c r="C41" s="53">
        <v>10</v>
      </c>
      <c r="D41" s="53" t="s">
        <v>95</v>
      </c>
      <c r="E41" s="11">
        <f t="shared" si="22"/>
        <v>164.44</v>
      </c>
      <c r="F41" s="92">
        <f t="shared" si="23"/>
        <v>164.44</v>
      </c>
      <c r="G41" s="244"/>
      <c r="H41" s="93" t="s">
        <v>37</v>
      </c>
      <c r="I41" s="54"/>
      <c r="J41" s="55"/>
      <c r="K41" s="11"/>
      <c r="L41" s="53" t="str">
        <f t="shared" si="3"/>
        <v/>
      </c>
      <c r="M41" s="11">
        <v>103.43</v>
      </c>
      <c r="N41" s="11">
        <v>24.57</v>
      </c>
      <c r="O41" s="11">
        <v>12</v>
      </c>
      <c r="P41" s="11">
        <v>1.44</v>
      </c>
      <c r="Q41" s="11">
        <v>5</v>
      </c>
      <c r="R41" s="11">
        <v>5</v>
      </c>
      <c r="S41" s="11"/>
      <c r="T41" s="11"/>
      <c r="U41" s="11">
        <v>13</v>
      </c>
      <c r="V41" s="56" t="s">
        <v>698</v>
      </c>
      <c r="W41" s="35" t="str">
        <f t="shared" si="2"/>
        <v>OK</v>
      </c>
      <c r="X41" s="38" t="str">
        <f t="shared" si="4"/>
        <v/>
      </c>
      <c r="Y41" s="3"/>
      <c r="Z41" s="3"/>
    </row>
    <row r="42" spans="1:26" ht="14.4" hidden="1" outlineLevel="1" x14ac:dyDescent="0.3">
      <c r="A42" s="3"/>
      <c r="B42" s="9" t="s">
        <v>461</v>
      </c>
      <c r="C42" s="53">
        <v>10</v>
      </c>
      <c r="D42" s="53" t="s">
        <v>95</v>
      </c>
      <c r="E42" s="11">
        <f t="shared" si="22"/>
        <v>82.59</v>
      </c>
      <c r="F42" s="92">
        <f t="shared" si="23"/>
        <v>82.59</v>
      </c>
      <c r="G42" s="245"/>
      <c r="H42" s="93" t="s">
        <v>37</v>
      </c>
      <c r="I42" s="54"/>
      <c r="J42" s="55"/>
      <c r="K42" s="11"/>
      <c r="L42" s="53" t="str">
        <f t="shared" si="3"/>
        <v/>
      </c>
      <c r="M42" s="11">
        <v>31.58</v>
      </c>
      <c r="N42" s="11">
        <v>24.57</v>
      </c>
      <c r="O42" s="11">
        <v>12</v>
      </c>
      <c r="P42" s="11">
        <v>1.44</v>
      </c>
      <c r="Q42" s="11"/>
      <c r="R42" s="11"/>
      <c r="S42" s="11"/>
      <c r="T42" s="11"/>
      <c r="U42" s="11">
        <v>13</v>
      </c>
      <c r="V42" s="56" t="s">
        <v>698</v>
      </c>
      <c r="W42" s="35" t="str">
        <f t="shared" si="2"/>
        <v>OK</v>
      </c>
      <c r="X42" s="38" t="str">
        <f t="shared" si="4"/>
        <v/>
      </c>
      <c r="Y42" s="3"/>
      <c r="Z42" s="3"/>
    </row>
    <row r="43" spans="1:26" ht="24" hidden="1" outlineLevel="1" x14ac:dyDescent="0.3">
      <c r="A43" s="3"/>
      <c r="B43" s="52" t="s">
        <v>462</v>
      </c>
      <c r="C43" s="53">
        <v>1</v>
      </c>
      <c r="D43" s="53" t="s">
        <v>130</v>
      </c>
      <c r="E43" s="11">
        <v>233</v>
      </c>
      <c r="F43" s="92">
        <f>SUM(M43:U43)</f>
        <v>200</v>
      </c>
      <c r="G43" s="110" t="s">
        <v>705</v>
      </c>
      <c r="H43" s="93" t="s">
        <v>37</v>
      </c>
      <c r="I43" s="54"/>
      <c r="J43" s="55"/>
      <c r="K43" s="11"/>
      <c r="L43" s="53" t="str">
        <f t="shared" si="3"/>
        <v/>
      </c>
      <c r="M43" s="11">
        <v>151.99</v>
      </c>
      <c r="N43" s="11">
        <v>24.57</v>
      </c>
      <c r="O43" s="11">
        <v>12</v>
      </c>
      <c r="P43" s="11">
        <v>1.44</v>
      </c>
      <c r="Q43" s="11"/>
      <c r="R43" s="11">
        <v>5</v>
      </c>
      <c r="S43" s="11">
        <v>5</v>
      </c>
      <c r="T43" s="11"/>
      <c r="U43" s="11"/>
      <c r="V43" s="56" t="s">
        <v>703</v>
      </c>
      <c r="W43" s="35" t="str">
        <f t="shared" si="2"/>
        <v>OK</v>
      </c>
      <c r="X43" s="38" t="str">
        <f t="shared" si="4"/>
        <v/>
      </c>
      <c r="Y43" s="3"/>
      <c r="Z43" s="3"/>
    </row>
    <row r="44" spans="1:26" ht="14.4" hidden="1" outlineLevel="1" x14ac:dyDescent="0.3">
      <c r="A44" s="3"/>
      <c r="B44" s="9" t="s">
        <v>463</v>
      </c>
      <c r="C44" s="53">
        <v>11</v>
      </c>
      <c r="D44" s="53" t="s">
        <v>95</v>
      </c>
      <c r="E44" s="11">
        <f t="shared" ref="E44:E47" si="24">SUM(M44:U44)</f>
        <v>311.89</v>
      </c>
      <c r="F44" s="92">
        <f t="shared" ref="F44:F47" si="25">E44</f>
        <v>311.89</v>
      </c>
      <c r="G44" s="243"/>
      <c r="H44" s="93" t="s">
        <v>37</v>
      </c>
      <c r="I44" s="54"/>
      <c r="J44" s="55"/>
      <c r="K44" s="11"/>
      <c r="L44" s="53" t="str">
        <f t="shared" si="3"/>
        <v/>
      </c>
      <c r="M44" s="11">
        <v>125.88</v>
      </c>
      <c r="N44" s="11">
        <v>24.57</v>
      </c>
      <c r="O44" s="11">
        <v>12</v>
      </c>
      <c r="P44" s="11">
        <v>1.44</v>
      </c>
      <c r="Q44" s="11">
        <v>5</v>
      </c>
      <c r="R44" s="11">
        <v>10</v>
      </c>
      <c r="S44" s="11">
        <v>20</v>
      </c>
      <c r="T44" s="11">
        <v>100</v>
      </c>
      <c r="U44" s="11">
        <v>13</v>
      </c>
      <c r="V44" s="56" t="s">
        <v>698</v>
      </c>
      <c r="W44" s="35" t="str">
        <f t="shared" si="2"/>
        <v>OK</v>
      </c>
      <c r="X44" s="38" t="str">
        <f t="shared" si="4"/>
        <v/>
      </c>
      <c r="Y44" s="3"/>
      <c r="Z44" s="3"/>
    </row>
    <row r="45" spans="1:26" ht="14.4" hidden="1" outlineLevel="1" x14ac:dyDescent="0.3">
      <c r="A45" s="3"/>
      <c r="B45" s="9" t="s">
        <v>464</v>
      </c>
      <c r="C45" s="53">
        <v>11</v>
      </c>
      <c r="D45" s="53" t="s">
        <v>95</v>
      </c>
      <c r="E45" s="11">
        <f t="shared" si="24"/>
        <v>175.44</v>
      </c>
      <c r="F45" s="92">
        <f t="shared" si="25"/>
        <v>175.44</v>
      </c>
      <c r="G45" s="245"/>
      <c r="H45" s="93" t="s">
        <v>37</v>
      </c>
      <c r="I45" s="54"/>
      <c r="J45" s="55"/>
      <c r="K45" s="11"/>
      <c r="L45" s="53" t="str">
        <f t="shared" si="3"/>
        <v/>
      </c>
      <c r="M45" s="11">
        <v>99.43</v>
      </c>
      <c r="N45" s="11">
        <v>24.57</v>
      </c>
      <c r="O45" s="11">
        <v>12</v>
      </c>
      <c r="P45" s="11">
        <v>1.44</v>
      </c>
      <c r="Q45" s="11">
        <v>5</v>
      </c>
      <c r="R45" s="11"/>
      <c r="S45" s="11">
        <v>20</v>
      </c>
      <c r="T45" s="11"/>
      <c r="U45" s="11">
        <v>13</v>
      </c>
      <c r="V45" s="56" t="s">
        <v>698</v>
      </c>
      <c r="W45" s="35" t="str">
        <f t="shared" si="2"/>
        <v>OK</v>
      </c>
      <c r="X45" s="38" t="str">
        <f t="shared" si="4"/>
        <v/>
      </c>
      <c r="Y45" s="3"/>
      <c r="Z45" s="3"/>
    </row>
    <row r="46" spans="1:26" ht="14.4" hidden="1" outlineLevel="1" x14ac:dyDescent="0.3">
      <c r="A46" s="3"/>
      <c r="B46" s="52" t="s">
        <v>465</v>
      </c>
      <c r="C46" s="53">
        <v>4</v>
      </c>
      <c r="D46" s="53" t="s">
        <v>95</v>
      </c>
      <c r="E46" s="11">
        <f t="shared" si="24"/>
        <v>165</v>
      </c>
      <c r="F46" s="92">
        <f t="shared" si="25"/>
        <v>165</v>
      </c>
      <c r="G46" s="243"/>
      <c r="H46" s="93" t="s">
        <v>37</v>
      </c>
      <c r="I46" s="54"/>
      <c r="J46" s="55"/>
      <c r="K46" s="11"/>
      <c r="L46" s="53" t="str">
        <f t="shared" si="3"/>
        <v/>
      </c>
      <c r="M46" s="11">
        <v>93.43</v>
      </c>
      <c r="N46" s="11">
        <v>24.57</v>
      </c>
      <c r="O46" s="11">
        <v>12</v>
      </c>
      <c r="P46" s="11">
        <v>2</v>
      </c>
      <c r="Q46" s="11">
        <v>5</v>
      </c>
      <c r="R46" s="11">
        <v>5</v>
      </c>
      <c r="S46" s="11">
        <v>10</v>
      </c>
      <c r="T46" s="11"/>
      <c r="U46" s="11">
        <v>13</v>
      </c>
      <c r="V46" s="56" t="s">
        <v>698</v>
      </c>
      <c r="W46" s="35" t="str">
        <f t="shared" si="2"/>
        <v>OK</v>
      </c>
      <c r="X46" s="38" t="str">
        <f t="shared" si="4"/>
        <v/>
      </c>
      <c r="Y46" s="3"/>
      <c r="Z46" s="3"/>
    </row>
    <row r="47" spans="1:26" ht="14.4" hidden="1" outlineLevel="1" x14ac:dyDescent="0.3">
      <c r="A47" s="3"/>
      <c r="B47" s="52" t="s">
        <v>466</v>
      </c>
      <c r="C47" s="53">
        <v>4</v>
      </c>
      <c r="D47" s="53" t="s">
        <v>95</v>
      </c>
      <c r="E47" s="11">
        <f t="shared" si="24"/>
        <v>87</v>
      </c>
      <c r="F47" s="92">
        <f t="shared" si="25"/>
        <v>87</v>
      </c>
      <c r="G47" s="245"/>
      <c r="H47" s="93" t="s">
        <v>37</v>
      </c>
      <c r="I47" s="54"/>
      <c r="J47" s="55"/>
      <c r="K47" s="11"/>
      <c r="L47" s="53" t="str">
        <f t="shared" si="3"/>
        <v/>
      </c>
      <c r="M47" s="11">
        <v>43.93</v>
      </c>
      <c r="N47" s="11">
        <v>24.57</v>
      </c>
      <c r="O47" s="11">
        <v>12</v>
      </c>
      <c r="P47" s="11">
        <v>1.5</v>
      </c>
      <c r="Q47" s="11"/>
      <c r="R47" s="11"/>
      <c r="S47" s="11">
        <v>5</v>
      </c>
      <c r="T47" s="11"/>
      <c r="U47" s="11"/>
      <c r="V47" s="56"/>
      <c r="W47" s="35" t="str">
        <f t="shared" si="2"/>
        <v>OK</v>
      </c>
      <c r="X47" s="38" t="str">
        <f t="shared" si="4"/>
        <v/>
      </c>
      <c r="Y47" s="3"/>
      <c r="Z47" s="3"/>
    </row>
    <row r="48" spans="1:26" ht="14.4" hidden="1" outlineLevel="1" x14ac:dyDescent="0.3">
      <c r="A48" s="3"/>
      <c r="B48" s="9" t="s">
        <v>467</v>
      </c>
      <c r="C48" s="53">
        <v>1</v>
      </c>
      <c r="D48" s="53" t="s">
        <v>95</v>
      </c>
      <c r="E48" s="11">
        <v>244.99</v>
      </c>
      <c r="F48" s="92">
        <f t="shared" ref="F48:F51" si="26">SUM(M48:U48)</f>
        <v>507.98</v>
      </c>
      <c r="G48" s="246" t="s">
        <v>706</v>
      </c>
      <c r="H48" s="93" t="s">
        <v>37</v>
      </c>
      <c r="I48" s="54"/>
      <c r="J48" s="55"/>
      <c r="K48" s="11"/>
      <c r="L48" s="53" t="str">
        <f t="shared" si="3"/>
        <v/>
      </c>
      <c r="M48" s="11">
        <f>118.98*2</f>
        <v>237.96</v>
      </c>
      <c r="N48" s="11">
        <f t="shared" ref="N48:N49" si="27">24.57*2</f>
        <v>49.14</v>
      </c>
      <c r="O48" s="11">
        <f t="shared" ref="O48:O49" si="28">12*2</f>
        <v>24</v>
      </c>
      <c r="P48" s="11">
        <f>11.44*2</f>
        <v>22.88</v>
      </c>
      <c r="Q48" s="11">
        <f>5*2</f>
        <v>10</v>
      </c>
      <c r="R48" s="11">
        <f>10*2</f>
        <v>20</v>
      </c>
      <c r="S48" s="11"/>
      <c r="T48" s="11"/>
      <c r="U48" s="11">
        <f>68+10+66</f>
        <v>144</v>
      </c>
      <c r="V48" s="56" t="s">
        <v>699</v>
      </c>
      <c r="W48" s="35" t="str">
        <f t="shared" si="2"/>
        <v>OK</v>
      </c>
      <c r="X48" s="38" t="str">
        <f t="shared" si="4"/>
        <v/>
      </c>
      <c r="Y48" s="3"/>
      <c r="Z48" s="3"/>
    </row>
    <row r="49" spans="1:26" ht="14.4" hidden="1" outlineLevel="1" x14ac:dyDescent="0.3">
      <c r="A49" s="3"/>
      <c r="B49" s="9" t="s">
        <v>468</v>
      </c>
      <c r="C49" s="53">
        <v>1</v>
      </c>
      <c r="D49" s="53" t="s">
        <v>95</v>
      </c>
      <c r="E49" s="11">
        <v>106.74</v>
      </c>
      <c r="F49" s="92">
        <f t="shared" si="26"/>
        <v>205.48</v>
      </c>
      <c r="G49" s="245"/>
      <c r="H49" s="93" t="s">
        <v>37</v>
      </c>
      <c r="I49" s="54"/>
      <c r="J49" s="55"/>
      <c r="K49" s="11"/>
      <c r="L49" s="53" t="str">
        <f t="shared" si="3"/>
        <v/>
      </c>
      <c r="M49" s="11">
        <f>55.73*2</f>
        <v>111.46</v>
      </c>
      <c r="N49" s="11">
        <f t="shared" si="27"/>
        <v>49.14</v>
      </c>
      <c r="O49" s="11">
        <f t="shared" si="28"/>
        <v>24</v>
      </c>
      <c r="P49" s="11">
        <f>1.44*2</f>
        <v>2.88</v>
      </c>
      <c r="Q49" s="11"/>
      <c r="R49" s="11"/>
      <c r="S49" s="11"/>
      <c r="T49" s="11"/>
      <c r="U49" s="11">
        <v>18</v>
      </c>
      <c r="V49" s="56" t="s">
        <v>698</v>
      </c>
      <c r="W49" s="35" t="str">
        <f t="shared" si="2"/>
        <v>OK</v>
      </c>
      <c r="X49" s="38" t="str">
        <f t="shared" si="4"/>
        <v/>
      </c>
      <c r="Y49" s="3"/>
      <c r="Z49" s="3"/>
    </row>
    <row r="50" spans="1:26" ht="14.4" hidden="1" outlineLevel="1" x14ac:dyDescent="0.3">
      <c r="A50" s="3"/>
      <c r="B50" s="52" t="s">
        <v>469</v>
      </c>
      <c r="C50" s="53">
        <v>4</v>
      </c>
      <c r="D50" s="53" t="s">
        <v>95</v>
      </c>
      <c r="E50" s="11">
        <f t="shared" ref="E50:E56" si="29">SUM(M50:U50)</f>
        <v>107.75999999999999</v>
      </c>
      <c r="F50" s="92">
        <f t="shared" si="26"/>
        <v>107.75999999999999</v>
      </c>
      <c r="G50" s="108"/>
      <c r="H50" s="93" t="s">
        <v>37</v>
      </c>
      <c r="I50" s="54"/>
      <c r="J50" s="55"/>
      <c r="K50" s="11"/>
      <c r="L50" s="53" t="str">
        <f t="shared" si="3"/>
        <v/>
      </c>
      <c r="M50" s="11">
        <v>58.19</v>
      </c>
      <c r="N50" s="11">
        <v>24.57</v>
      </c>
      <c r="O50" s="11">
        <v>12</v>
      </c>
      <c r="P50" s="11" t="s">
        <v>44</v>
      </c>
      <c r="Q50" s="11" t="s">
        <v>44</v>
      </c>
      <c r="R50" s="11" t="s">
        <v>44</v>
      </c>
      <c r="S50" s="11" t="s">
        <v>44</v>
      </c>
      <c r="T50" s="11"/>
      <c r="U50" s="11">
        <v>13</v>
      </c>
      <c r="V50" s="56" t="s">
        <v>698</v>
      </c>
      <c r="W50" s="35" t="str">
        <f t="shared" si="2"/>
        <v>OK</v>
      </c>
      <c r="X50" s="38" t="str">
        <f t="shared" si="4"/>
        <v/>
      </c>
      <c r="Y50" s="3"/>
      <c r="Z50" s="3"/>
    </row>
    <row r="51" spans="1:26" ht="14.4" hidden="1" outlineLevel="1" x14ac:dyDescent="0.3">
      <c r="A51" s="3"/>
      <c r="B51" s="52" t="s">
        <v>470</v>
      </c>
      <c r="C51" s="53">
        <v>4</v>
      </c>
      <c r="D51" s="53" t="s">
        <v>95</v>
      </c>
      <c r="E51" s="11">
        <f t="shared" si="29"/>
        <v>83.45</v>
      </c>
      <c r="F51" s="92">
        <f t="shared" si="26"/>
        <v>83.45</v>
      </c>
      <c r="G51" s="108"/>
      <c r="H51" s="93" t="s">
        <v>37</v>
      </c>
      <c r="I51" s="54"/>
      <c r="J51" s="55"/>
      <c r="K51" s="11"/>
      <c r="L51" s="53" t="str">
        <f t="shared" si="3"/>
        <v/>
      </c>
      <c r="M51" s="11">
        <v>33.880000000000003</v>
      </c>
      <c r="N51" s="11">
        <v>24.57</v>
      </c>
      <c r="O51" s="11">
        <v>12</v>
      </c>
      <c r="P51" s="11" t="s">
        <v>44</v>
      </c>
      <c r="Q51" s="11"/>
      <c r="R51" s="11" t="s">
        <v>44</v>
      </c>
      <c r="S51" s="11"/>
      <c r="T51" s="11"/>
      <c r="U51" s="11">
        <v>13</v>
      </c>
      <c r="V51" s="56" t="s">
        <v>698</v>
      </c>
      <c r="W51" s="35" t="str">
        <f t="shared" si="2"/>
        <v>OK</v>
      </c>
      <c r="X51" s="38" t="str">
        <f t="shared" si="4"/>
        <v/>
      </c>
      <c r="Y51" s="3"/>
      <c r="Z51" s="3"/>
    </row>
    <row r="52" spans="1:26" ht="14.4" hidden="1" outlineLevel="1" x14ac:dyDescent="0.3">
      <c r="A52" s="3"/>
      <c r="B52" s="9" t="s">
        <v>471</v>
      </c>
      <c r="C52" s="53">
        <v>24</v>
      </c>
      <c r="D52" s="53" t="s">
        <v>95</v>
      </c>
      <c r="E52" s="11">
        <f t="shared" si="29"/>
        <v>204.69</v>
      </c>
      <c r="F52" s="92">
        <f t="shared" ref="F52:F56" si="30">E52</f>
        <v>204.69</v>
      </c>
      <c r="G52" s="108"/>
      <c r="H52" s="93" t="s">
        <v>37</v>
      </c>
      <c r="I52" s="54"/>
      <c r="J52" s="55"/>
      <c r="K52" s="11"/>
      <c r="L52" s="53">
        <f t="shared" si="3"/>
        <v>1</v>
      </c>
      <c r="M52" s="11">
        <v>93.62</v>
      </c>
      <c r="N52" s="11">
        <v>24.57</v>
      </c>
      <c r="O52" s="11">
        <v>12</v>
      </c>
      <c r="P52" s="11">
        <v>1.5</v>
      </c>
      <c r="Q52" s="11"/>
      <c r="R52" s="11"/>
      <c r="S52" s="11">
        <v>10</v>
      </c>
      <c r="T52" s="11"/>
      <c r="U52" s="11">
        <v>63</v>
      </c>
      <c r="V52" s="56" t="s">
        <v>699</v>
      </c>
      <c r="W52" s="35" t="str">
        <f t="shared" si="2"/>
        <v>OK</v>
      </c>
      <c r="X52" s="38" t="str">
        <f t="shared" si="4"/>
        <v/>
      </c>
      <c r="Y52" s="3"/>
      <c r="Z52" s="3"/>
    </row>
    <row r="53" spans="1:26" ht="14.4" hidden="1" outlineLevel="1" x14ac:dyDescent="0.3">
      <c r="A53" s="3"/>
      <c r="B53" s="9" t="s">
        <v>473</v>
      </c>
      <c r="C53" s="53">
        <v>24</v>
      </c>
      <c r="D53" s="53" t="s">
        <v>95</v>
      </c>
      <c r="E53" s="11">
        <f t="shared" si="29"/>
        <v>144.69</v>
      </c>
      <c r="F53" s="92">
        <f t="shared" si="30"/>
        <v>144.69</v>
      </c>
      <c r="G53" s="108"/>
      <c r="H53" s="93" t="s">
        <v>37</v>
      </c>
      <c r="I53" s="54"/>
      <c r="J53" s="55"/>
      <c r="K53" s="11"/>
      <c r="L53" s="53">
        <f t="shared" si="3"/>
        <v>1</v>
      </c>
      <c r="M53" s="11">
        <v>93.62</v>
      </c>
      <c r="N53" s="11">
        <v>24.57</v>
      </c>
      <c r="O53" s="11">
        <v>12</v>
      </c>
      <c r="P53" s="11">
        <v>1.5</v>
      </c>
      <c r="Q53" s="11"/>
      <c r="R53" s="11"/>
      <c r="S53" s="11"/>
      <c r="T53" s="11"/>
      <c r="U53" s="11">
        <v>13</v>
      </c>
      <c r="V53" s="56" t="s">
        <v>698</v>
      </c>
      <c r="W53" s="35" t="str">
        <f t="shared" si="2"/>
        <v>OK</v>
      </c>
      <c r="X53" s="38" t="str">
        <f t="shared" si="4"/>
        <v/>
      </c>
      <c r="Y53" s="3"/>
      <c r="Z53" s="3"/>
    </row>
    <row r="54" spans="1:26" ht="14.4" hidden="1" outlineLevel="1" x14ac:dyDescent="0.3">
      <c r="A54" s="3"/>
      <c r="B54" s="52" t="s">
        <v>474</v>
      </c>
      <c r="C54" s="53">
        <v>9</v>
      </c>
      <c r="D54" s="53" t="s">
        <v>95</v>
      </c>
      <c r="E54" s="11">
        <f t="shared" si="29"/>
        <v>195.44</v>
      </c>
      <c r="F54" s="92">
        <f t="shared" si="30"/>
        <v>195.44</v>
      </c>
      <c r="G54" s="108"/>
      <c r="H54" s="93" t="s">
        <v>37</v>
      </c>
      <c r="I54" s="54"/>
      <c r="J54" s="55"/>
      <c r="K54" s="11"/>
      <c r="L54" s="53" t="str">
        <f t="shared" si="3"/>
        <v/>
      </c>
      <c r="M54" s="11">
        <v>139.43</v>
      </c>
      <c r="N54" s="11">
        <v>24.57</v>
      </c>
      <c r="O54" s="11">
        <v>12</v>
      </c>
      <c r="P54" s="11">
        <v>1.44</v>
      </c>
      <c r="Q54" s="11">
        <v>5</v>
      </c>
      <c r="R54" s="11"/>
      <c r="S54" s="11"/>
      <c r="T54" s="11"/>
      <c r="U54" s="11">
        <v>13</v>
      </c>
      <c r="V54" s="56" t="s">
        <v>698</v>
      </c>
      <c r="W54" s="35" t="str">
        <f t="shared" si="2"/>
        <v>OK</v>
      </c>
      <c r="X54" s="38" t="str">
        <f t="shared" si="4"/>
        <v/>
      </c>
      <c r="Y54" s="3"/>
      <c r="Z54" s="3"/>
    </row>
    <row r="55" spans="1:26" ht="14.4" hidden="1" outlineLevel="1" x14ac:dyDescent="0.3">
      <c r="A55" s="3"/>
      <c r="B55" s="9" t="s">
        <v>475</v>
      </c>
      <c r="C55" s="53">
        <v>7</v>
      </c>
      <c r="D55" s="53" t="s">
        <v>95</v>
      </c>
      <c r="E55" s="11">
        <f t="shared" si="29"/>
        <v>259.28999999999996</v>
      </c>
      <c r="F55" s="92">
        <f t="shared" si="30"/>
        <v>259.28999999999996</v>
      </c>
      <c r="G55" s="108"/>
      <c r="H55" s="93" t="s">
        <v>37</v>
      </c>
      <c r="I55" s="54"/>
      <c r="J55" s="55"/>
      <c r="K55" s="11"/>
      <c r="L55" s="53" t="str">
        <f t="shared" si="3"/>
        <v/>
      </c>
      <c r="M55" s="11">
        <v>98.28</v>
      </c>
      <c r="N55" s="11">
        <v>24.57</v>
      </c>
      <c r="O55" s="11">
        <v>12</v>
      </c>
      <c r="P55" s="11">
        <v>1.44</v>
      </c>
      <c r="Q55" s="11"/>
      <c r="R55" s="11">
        <v>10</v>
      </c>
      <c r="S55" s="11"/>
      <c r="T55" s="11">
        <v>100</v>
      </c>
      <c r="U55" s="11">
        <v>13</v>
      </c>
      <c r="V55" s="56" t="s">
        <v>698</v>
      </c>
      <c r="W55" s="35" t="str">
        <f t="shared" si="2"/>
        <v>OK</v>
      </c>
      <c r="X55" s="38" t="str">
        <f t="shared" si="4"/>
        <v/>
      </c>
      <c r="Y55" s="3"/>
      <c r="Z55" s="3"/>
    </row>
    <row r="56" spans="1:26" ht="14.4" hidden="1" outlineLevel="1" x14ac:dyDescent="0.3">
      <c r="A56" s="3"/>
      <c r="B56" s="9" t="s">
        <v>477</v>
      </c>
      <c r="C56" s="53">
        <v>7</v>
      </c>
      <c r="D56" s="53" t="s">
        <v>95</v>
      </c>
      <c r="E56" s="11">
        <f t="shared" si="29"/>
        <v>159.29</v>
      </c>
      <c r="F56" s="92">
        <f t="shared" si="30"/>
        <v>159.29</v>
      </c>
      <c r="G56" s="108"/>
      <c r="H56" s="93" t="s">
        <v>37</v>
      </c>
      <c r="I56" s="54"/>
      <c r="J56" s="55"/>
      <c r="K56" s="11"/>
      <c r="L56" s="53" t="str">
        <f t="shared" si="3"/>
        <v/>
      </c>
      <c r="M56" s="11">
        <v>98.28</v>
      </c>
      <c r="N56" s="11">
        <v>24.57</v>
      </c>
      <c r="O56" s="11">
        <v>12</v>
      </c>
      <c r="P56" s="11">
        <v>1.44</v>
      </c>
      <c r="Q56" s="11"/>
      <c r="R56" s="11">
        <v>10</v>
      </c>
      <c r="S56" s="11"/>
      <c r="T56" s="11"/>
      <c r="U56" s="11">
        <v>13</v>
      </c>
      <c r="V56" s="56" t="s">
        <v>698</v>
      </c>
      <c r="W56" s="35" t="str">
        <f t="shared" si="2"/>
        <v>OK</v>
      </c>
      <c r="X56" s="38" t="str">
        <f t="shared" si="4"/>
        <v/>
      </c>
      <c r="Y56" s="3"/>
      <c r="Z56" s="3"/>
    </row>
    <row r="57" spans="1:26" ht="14.4" hidden="1" outlineLevel="1" x14ac:dyDescent="0.3">
      <c r="A57" s="3"/>
      <c r="B57" s="52" t="s">
        <v>478</v>
      </c>
      <c r="C57" s="53">
        <v>18</v>
      </c>
      <c r="D57" s="53" t="s">
        <v>95</v>
      </c>
      <c r="E57" s="11">
        <v>70</v>
      </c>
      <c r="F57" s="92">
        <f>SUM(M57:U57)</f>
        <v>170</v>
      </c>
      <c r="G57" s="108"/>
      <c r="H57" s="93" t="s">
        <v>37</v>
      </c>
      <c r="I57" s="54"/>
      <c r="J57" s="55"/>
      <c r="K57" s="11"/>
      <c r="L57" s="53">
        <f t="shared" si="3"/>
        <v>1</v>
      </c>
      <c r="M57" s="11">
        <f>13.93+100</f>
        <v>113.93</v>
      </c>
      <c r="N57" s="11">
        <v>24.57</v>
      </c>
      <c r="O57" s="11">
        <v>12</v>
      </c>
      <c r="P57" s="11">
        <v>1.5</v>
      </c>
      <c r="Q57" s="11">
        <v>5</v>
      </c>
      <c r="R57" s="11"/>
      <c r="S57" s="11"/>
      <c r="T57" s="11"/>
      <c r="U57" s="11">
        <v>13</v>
      </c>
      <c r="V57" s="56" t="s">
        <v>698</v>
      </c>
      <c r="W57" s="35" t="str">
        <f t="shared" si="2"/>
        <v>OK</v>
      </c>
      <c r="X57" s="38" t="str">
        <f t="shared" si="4"/>
        <v/>
      </c>
      <c r="Y57" s="3"/>
      <c r="Z57" s="3"/>
    </row>
    <row r="58" spans="1:26" ht="14.4" hidden="1" outlineLevel="1" x14ac:dyDescent="0.3">
      <c r="A58" s="3"/>
      <c r="B58" s="9" t="s">
        <v>479</v>
      </c>
      <c r="C58" s="53">
        <v>4</v>
      </c>
      <c r="D58" s="53" t="s">
        <v>95</v>
      </c>
      <c r="E58" s="11">
        <f t="shared" ref="E58:E76" si="31">SUM(M58:U58)</f>
        <v>163.5</v>
      </c>
      <c r="F58" s="92">
        <f t="shared" ref="F58:F60" si="32">E58</f>
        <v>163.5</v>
      </c>
      <c r="G58" s="108"/>
      <c r="H58" s="93" t="s">
        <v>37</v>
      </c>
      <c r="I58" s="54"/>
      <c r="J58" s="55"/>
      <c r="K58" s="11"/>
      <c r="L58" s="53" t="str">
        <f t="shared" si="3"/>
        <v/>
      </c>
      <c r="M58" s="11">
        <v>93.43</v>
      </c>
      <c r="N58" s="11">
        <v>24.57</v>
      </c>
      <c r="O58" s="11">
        <v>12</v>
      </c>
      <c r="P58" s="11">
        <v>1.5</v>
      </c>
      <c r="Q58" s="11"/>
      <c r="R58" s="11">
        <v>10</v>
      </c>
      <c r="S58" s="11">
        <v>4</v>
      </c>
      <c r="T58" s="11">
        <v>5</v>
      </c>
      <c r="U58" s="11">
        <v>13</v>
      </c>
      <c r="V58" s="56" t="s">
        <v>698</v>
      </c>
      <c r="W58" s="35" t="str">
        <f t="shared" si="2"/>
        <v>OK</v>
      </c>
      <c r="X58" s="38" t="str">
        <f t="shared" si="4"/>
        <v/>
      </c>
      <c r="Y58" s="3"/>
      <c r="Z58" s="3"/>
    </row>
    <row r="59" spans="1:26" ht="14.4" hidden="1" outlineLevel="1" x14ac:dyDescent="0.3">
      <c r="A59" s="3"/>
      <c r="B59" s="9" t="s">
        <v>480</v>
      </c>
      <c r="C59" s="53">
        <v>4</v>
      </c>
      <c r="D59" s="53" t="s">
        <v>95</v>
      </c>
      <c r="E59" s="11">
        <f t="shared" si="31"/>
        <v>162.5</v>
      </c>
      <c r="F59" s="92">
        <f t="shared" si="32"/>
        <v>162.5</v>
      </c>
      <c r="G59" s="108"/>
      <c r="H59" s="93" t="s">
        <v>37</v>
      </c>
      <c r="I59" s="54"/>
      <c r="J59" s="55"/>
      <c r="K59" s="11"/>
      <c r="L59" s="53" t="str">
        <f t="shared" si="3"/>
        <v/>
      </c>
      <c r="M59" s="11">
        <v>93.43</v>
      </c>
      <c r="N59" s="11">
        <v>24.57</v>
      </c>
      <c r="O59" s="11">
        <v>12</v>
      </c>
      <c r="P59" s="11">
        <v>1.5</v>
      </c>
      <c r="Q59" s="11"/>
      <c r="R59" s="11">
        <v>10</v>
      </c>
      <c r="S59" s="11">
        <v>3</v>
      </c>
      <c r="T59" s="11">
        <v>5</v>
      </c>
      <c r="U59" s="11">
        <v>13</v>
      </c>
      <c r="V59" s="56" t="s">
        <v>698</v>
      </c>
      <c r="W59" s="35" t="str">
        <f t="shared" si="2"/>
        <v>OK</v>
      </c>
      <c r="X59" s="38" t="str">
        <f t="shared" si="4"/>
        <v/>
      </c>
      <c r="Y59" s="3"/>
      <c r="Z59" s="3"/>
    </row>
    <row r="60" spans="1:26" ht="14.4" hidden="1" outlineLevel="1" x14ac:dyDescent="0.3">
      <c r="A60" s="3"/>
      <c r="B60" s="52" t="s">
        <v>481</v>
      </c>
      <c r="C60" s="53">
        <v>4</v>
      </c>
      <c r="D60" s="53" t="s">
        <v>95</v>
      </c>
      <c r="E60" s="11">
        <f t="shared" si="31"/>
        <v>100</v>
      </c>
      <c r="F60" s="92">
        <f t="shared" si="32"/>
        <v>100</v>
      </c>
      <c r="G60" s="108"/>
      <c r="H60" s="93" t="s">
        <v>37</v>
      </c>
      <c r="I60" s="54"/>
      <c r="J60" s="55"/>
      <c r="K60" s="11"/>
      <c r="L60" s="53" t="str">
        <f t="shared" si="3"/>
        <v/>
      </c>
      <c r="M60" s="11">
        <v>61.93</v>
      </c>
      <c r="N60" s="11">
        <v>24.57</v>
      </c>
      <c r="O60" s="11">
        <v>12</v>
      </c>
      <c r="P60" s="11">
        <v>1.5</v>
      </c>
      <c r="Q60" s="11"/>
      <c r="R60" s="11"/>
      <c r="S60" s="11"/>
      <c r="T60" s="11"/>
      <c r="U60" s="11"/>
      <c r="V60" s="56"/>
      <c r="W60" s="35" t="str">
        <f t="shared" si="2"/>
        <v>OK</v>
      </c>
      <c r="X60" s="38" t="str">
        <f t="shared" si="4"/>
        <v/>
      </c>
      <c r="Y60" s="3"/>
      <c r="Z60" s="3"/>
    </row>
    <row r="61" spans="1:26" ht="14.4" hidden="1" outlineLevel="1" x14ac:dyDescent="0.3">
      <c r="A61" s="3"/>
      <c r="B61" s="9" t="s">
        <v>482</v>
      </c>
      <c r="C61" s="53"/>
      <c r="D61" s="53"/>
      <c r="E61" s="11">
        <f t="shared" si="31"/>
        <v>75.37</v>
      </c>
      <c r="F61" s="92"/>
      <c r="G61" s="108"/>
      <c r="H61" s="93"/>
      <c r="I61" s="54"/>
      <c r="J61" s="55"/>
      <c r="K61" s="11"/>
      <c r="L61" s="53" t="str">
        <f t="shared" si="3"/>
        <v/>
      </c>
      <c r="M61" s="11">
        <v>19.36</v>
      </c>
      <c r="N61" s="11">
        <v>24.57</v>
      </c>
      <c r="O61" s="11">
        <v>12</v>
      </c>
      <c r="P61" s="11">
        <v>1.44</v>
      </c>
      <c r="Q61" s="11">
        <v>5</v>
      </c>
      <c r="R61" s="11"/>
      <c r="S61" s="11"/>
      <c r="T61" s="11"/>
      <c r="U61" s="11">
        <v>13</v>
      </c>
      <c r="V61" s="56" t="s">
        <v>698</v>
      </c>
      <c r="W61" s="35" t="str">
        <f t="shared" si="2"/>
        <v>Diferente</v>
      </c>
      <c r="X61" s="38">
        <f t="shared" si="4"/>
        <v>-75.37</v>
      </c>
      <c r="Y61" s="3"/>
      <c r="Z61" s="3"/>
    </row>
    <row r="62" spans="1:26" ht="14.4" hidden="1" outlineLevel="1" x14ac:dyDescent="0.3">
      <c r="A62" s="3"/>
      <c r="B62" s="52" t="s">
        <v>483</v>
      </c>
      <c r="C62" s="53"/>
      <c r="D62" s="53"/>
      <c r="E62" s="11">
        <f t="shared" si="31"/>
        <v>85.75</v>
      </c>
      <c r="F62" s="92"/>
      <c r="G62" s="108"/>
      <c r="H62" s="93"/>
      <c r="I62" s="54"/>
      <c r="J62" s="55"/>
      <c r="K62" s="11"/>
      <c r="L62" s="53" t="str">
        <f t="shared" si="3"/>
        <v/>
      </c>
      <c r="M62" s="11">
        <v>29.74</v>
      </c>
      <c r="N62" s="11">
        <v>24.57</v>
      </c>
      <c r="O62" s="11">
        <v>12</v>
      </c>
      <c r="P62" s="11">
        <v>1.44</v>
      </c>
      <c r="Q62" s="11">
        <v>5</v>
      </c>
      <c r="R62" s="11"/>
      <c r="S62" s="11"/>
      <c r="T62" s="11"/>
      <c r="U62" s="11">
        <v>13</v>
      </c>
      <c r="V62" s="56" t="s">
        <v>698</v>
      </c>
      <c r="W62" s="35" t="str">
        <f t="shared" si="2"/>
        <v>Diferente</v>
      </c>
      <c r="X62" s="38">
        <f t="shared" si="4"/>
        <v>-85.75</v>
      </c>
      <c r="Y62" s="3"/>
      <c r="Z62" s="3"/>
    </row>
    <row r="63" spans="1:26" ht="14.4" hidden="1" outlineLevel="1" x14ac:dyDescent="0.3">
      <c r="A63" s="3"/>
      <c r="B63" s="52" t="s">
        <v>484</v>
      </c>
      <c r="C63" s="53"/>
      <c r="D63" s="53"/>
      <c r="E63" s="11">
        <f t="shared" si="31"/>
        <v>86</v>
      </c>
      <c r="F63" s="92"/>
      <c r="G63" s="108"/>
      <c r="H63" s="93"/>
      <c r="I63" s="54"/>
      <c r="J63" s="55"/>
      <c r="K63" s="11"/>
      <c r="L63" s="53" t="str">
        <f t="shared" si="3"/>
        <v/>
      </c>
      <c r="M63" s="11">
        <v>29.93</v>
      </c>
      <c r="N63" s="11">
        <v>24.57</v>
      </c>
      <c r="O63" s="11">
        <v>12</v>
      </c>
      <c r="P63" s="11">
        <v>1.5</v>
      </c>
      <c r="Q63" s="11">
        <v>5</v>
      </c>
      <c r="R63" s="11"/>
      <c r="S63" s="11"/>
      <c r="T63" s="11"/>
      <c r="U63" s="11">
        <v>13</v>
      </c>
      <c r="V63" s="56" t="s">
        <v>698</v>
      </c>
      <c r="W63" s="35" t="str">
        <f t="shared" si="2"/>
        <v>Diferente</v>
      </c>
      <c r="X63" s="38">
        <f t="shared" si="4"/>
        <v>-86</v>
      </c>
      <c r="Y63" s="3"/>
      <c r="Z63" s="3"/>
    </row>
    <row r="64" spans="1:26" ht="14.4" hidden="1" outlineLevel="1" x14ac:dyDescent="0.3">
      <c r="A64" s="3"/>
      <c r="B64" s="9" t="s">
        <v>485</v>
      </c>
      <c r="C64" s="53"/>
      <c r="D64" s="53"/>
      <c r="E64" s="11">
        <f t="shared" si="31"/>
        <v>163</v>
      </c>
      <c r="F64" s="92"/>
      <c r="G64" s="108"/>
      <c r="H64" s="93"/>
      <c r="I64" s="54"/>
      <c r="J64" s="55"/>
      <c r="K64" s="11"/>
      <c r="L64" s="53" t="str">
        <f t="shared" si="3"/>
        <v/>
      </c>
      <c r="M64" s="11">
        <v>61.99</v>
      </c>
      <c r="N64" s="11">
        <v>24.57</v>
      </c>
      <c r="O64" s="11">
        <v>12</v>
      </c>
      <c r="P64" s="11">
        <v>1.44</v>
      </c>
      <c r="Q64" s="11"/>
      <c r="R64" s="11"/>
      <c r="S64" s="11"/>
      <c r="T64" s="11"/>
      <c r="U64" s="11">
        <v>63</v>
      </c>
      <c r="V64" s="56" t="s">
        <v>707</v>
      </c>
      <c r="W64" s="35" t="str">
        <f t="shared" si="2"/>
        <v>Diferente</v>
      </c>
      <c r="X64" s="38">
        <f t="shared" si="4"/>
        <v>-163</v>
      </c>
      <c r="Y64" s="3"/>
      <c r="Z64" s="3"/>
    </row>
    <row r="65" spans="1:26" ht="14.4" hidden="1" outlineLevel="1" x14ac:dyDescent="0.3">
      <c r="A65" s="3"/>
      <c r="B65" s="52" t="s">
        <v>489</v>
      </c>
      <c r="C65" s="53"/>
      <c r="D65" s="53"/>
      <c r="E65" s="11">
        <f t="shared" si="31"/>
        <v>151.07</v>
      </c>
      <c r="F65" s="92"/>
      <c r="G65" s="108"/>
      <c r="H65" s="93"/>
      <c r="I65" s="54"/>
      <c r="J65" s="55"/>
      <c r="K65" s="11"/>
      <c r="L65" s="53" t="str">
        <f t="shared" si="3"/>
        <v/>
      </c>
      <c r="M65" s="11">
        <v>100</v>
      </c>
      <c r="N65" s="11">
        <v>24.57</v>
      </c>
      <c r="O65" s="11">
        <v>12</v>
      </c>
      <c r="P65" s="11">
        <v>1.5</v>
      </c>
      <c r="Q65" s="11"/>
      <c r="R65" s="11"/>
      <c r="S65" s="11"/>
      <c r="T65" s="11"/>
      <c r="U65" s="11">
        <v>13</v>
      </c>
      <c r="V65" s="56" t="s">
        <v>698</v>
      </c>
      <c r="W65" s="35" t="str">
        <f t="shared" si="2"/>
        <v>Diferente</v>
      </c>
      <c r="X65" s="38">
        <f t="shared" si="4"/>
        <v>-151.07</v>
      </c>
      <c r="Y65" s="3"/>
      <c r="Z65" s="3"/>
    </row>
    <row r="66" spans="1:26" ht="14.4" hidden="1" outlineLevel="1" x14ac:dyDescent="0.3">
      <c r="A66" s="3"/>
      <c r="B66" s="9" t="s">
        <v>490</v>
      </c>
      <c r="C66" s="53">
        <v>4</v>
      </c>
      <c r="D66" s="53" t="s">
        <v>95</v>
      </c>
      <c r="E66" s="11">
        <f t="shared" si="31"/>
        <v>281.82</v>
      </c>
      <c r="F66" s="92">
        <f t="shared" ref="F66:F70" si="33">E66</f>
        <v>281.82</v>
      </c>
      <c r="G66" s="108"/>
      <c r="H66" s="93" t="s">
        <v>37</v>
      </c>
      <c r="I66" s="54"/>
      <c r="J66" s="55"/>
      <c r="K66" s="11"/>
      <c r="L66" s="53" t="str">
        <f t="shared" si="3"/>
        <v/>
      </c>
      <c r="M66" s="11">
        <v>122.25</v>
      </c>
      <c r="N66" s="11">
        <v>24.57</v>
      </c>
      <c r="O66" s="11">
        <v>12</v>
      </c>
      <c r="P66" s="11">
        <v>10</v>
      </c>
      <c r="Q66" s="11">
        <v>5</v>
      </c>
      <c r="R66" s="11">
        <v>5</v>
      </c>
      <c r="S66" s="11">
        <v>15</v>
      </c>
      <c r="T66" s="11">
        <v>25</v>
      </c>
      <c r="U66" s="11">
        <v>63</v>
      </c>
      <c r="V66" s="56" t="s">
        <v>699</v>
      </c>
      <c r="W66" s="35" t="str">
        <f t="shared" si="2"/>
        <v>OK</v>
      </c>
      <c r="X66" s="38" t="str">
        <f t="shared" si="4"/>
        <v/>
      </c>
      <c r="Y66" s="3"/>
      <c r="Z66" s="3"/>
    </row>
    <row r="67" spans="1:26" ht="14.4" hidden="1" outlineLevel="1" x14ac:dyDescent="0.3">
      <c r="A67" s="3"/>
      <c r="B67" s="9" t="s">
        <v>491</v>
      </c>
      <c r="C67" s="53">
        <v>4</v>
      </c>
      <c r="D67" s="53" t="s">
        <v>95</v>
      </c>
      <c r="E67" s="11">
        <f t="shared" si="31"/>
        <v>231.82</v>
      </c>
      <c r="F67" s="92">
        <f t="shared" si="33"/>
        <v>231.82</v>
      </c>
      <c r="G67" s="108"/>
      <c r="H67" s="93" t="s">
        <v>37</v>
      </c>
      <c r="I67" s="54"/>
      <c r="J67" s="55"/>
      <c r="K67" s="11"/>
      <c r="L67" s="53" t="str">
        <f t="shared" si="3"/>
        <v/>
      </c>
      <c r="M67" s="11">
        <v>122.25</v>
      </c>
      <c r="N67" s="11">
        <v>24.57</v>
      </c>
      <c r="O67" s="11">
        <v>12</v>
      </c>
      <c r="P67" s="11">
        <v>10</v>
      </c>
      <c r="Q67" s="11">
        <v>5</v>
      </c>
      <c r="R67" s="11">
        <v>5</v>
      </c>
      <c r="S67" s="11">
        <v>15</v>
      </c>
      <c r="T67" s="11">
        <v>25</v>
      </c>
      <c r="U67" s="11">
        <v>13</v>
      </c>
      <c r="V67" s="56" t="s">
        <v>698</v>
      </c>
      <c r="W67" s="35" t="str">
        <f t="shared" si="2"/>
        <v>OK</v>
      </c>
      <c r="X67" s="38" t="str">
        <f t="shared" si="4"/>
        <v/>
      </c>
      <c r="Y67" s="3"/>
      <c r="Z67" s="3"/>
    </row>
    <row r="68" spans="1:26" ht="14.4" hidden="1" outlineLevel="1" x14ac:dyDescent="0.3">
      <c r="A68" s="3"/>
      <c r="B68" s="52" t="s">
        <v>492</v>
      </c>
      <c r="C68" s="53">
        <v>14</v>
      </c>
      <c r="D68" s="53" t="s">
        <v>95</v>
      </c>
      <c r="E68" s="11">
        <f t="shared" si="31"/>
        <v>244.44</v>
      </c>
      <c r="F68" s="92">
        <f t="shared" si="33"/>
        <v>244.44</v>
      </c>
      <c r="G68" s="108"/>
      <c r="H68" s="93" t="s">
        <v>37</v>
      </c>
      <c r="I68" s="54"/>
      <c r="J68" s="55"/>
      <c r="K68" s="11"/>
      <c r="L68" s="53">
        <f t="shared" si="3"/>
        <v>1</v>
      </c>
      <c r="M68" s="11">
        <v>113.43</v>
      </c>
      <c r="N68" s="11">
        <v>24.57</v>
      </c>
      <c r="O68" s="11">
        <v>12</v>
      </c>
      <c r="P68" s="11">
        <v>1.44</v>
      </c>
      <c r="Q68" s="11">
        <v>5</v>
      </c>
      <c r="R68" s="11">
        <v>20</v>
      </c>
      <c r="S68" s="11">
        <v>5</v>
      </c>
      <c r="T68" s="11"/>
      <c r="U68" s="11">
        <v>63</v>
      </c>
      <c r="V68" s="56" t="s">
        <v>708</v>
      </c>
      <c r="W68" s="35" t="str">
        <f t="shared" si="2"/>
        <v>OK</v>
      </c>
      <c r="X68" s="38" t="str">
        <f t="shared" si="4"/>
        <v/>
      </c>
      <c r="Y68" s="3"/>
      <c r="Z68" s="3"/>
    </row>
    <row r="69" spans="1:26" ht="14.4" hidden="1" outlineLevel="1" x14ac:dyDescent="0.3">
      <c r="A69" s="3"/>
      <c r="B69" s="9" t="s">
        <v>493</v>
      </c>
      <c r="C69" s="53">
        <v>6</v>
      </c>
      <c r="D69" s="53" t="s">
        <v>95</v>
      </c>
      <c r="E69" s="11">
        <f t="shared" si="31"/>
        <v>78.67</v>
      </c>
      <c r="F69" s="92">
        <f t="shared" si="33"/>
        <v>78.67</v>
      </c>
      <c r="G69" s="108"/>
      <c r="H69" s="93" t="s">
        <v>37</v>
      </c>
      <c r="I69" s="54"/>
      <c r="J69" s="55"/>
      <c r="K69" s="11"/>
      <c r="L69" s="53" t="str">
        <f t="shared" si="3"/>
        <v/>
      </c>
      <c r="M69" s="11">
        <v>27.66</v>
      </c>
      <c r="N69" s="11">
        <v>24.57</v>
      </c>
      <c r="O69" s="11">
        <v>12</v>
      </c>
      <c r="P69" s="11">
        <v>1.44</v>
      </c>
      <c r="Q69" s="11"/>
      <c r="R69" s="11"/>
      <c r="S69" s="11"/>
      <c r="T69" s="11"/>
      <c r="U69" s="11">
        <v>13</v>
      </c>
      <c r="V69" s="56" t="s">
        <v>698</v>
      </c>
      <c r="W69" s="35" t="str">
        <f t="shared" si="2"/>
        <v>OK</v>
      </c>
      <c r="X69" s="38" t="str">
        <f t="shared" si="4"/>
        <v/>
      </c>
      <c r="Y69" s="3"/>
      <c r="Z69" s="3"/>
    </row>
    <row r="70" spans="1:26" ht="14.4" hidden="1" outlineLevel="1" x14ac:dyDescent="0.3">
      <c r="A70" s="3"/>
      <c r="B70" s="52" t="s">
        <v>494</v>
      </c>
      <c r="C70" s="53">
        <v>11</v>
      </c>
      <c r="D70" s="53" t="s">
        <v>95</v>
      </c>
      <c r="E70" s="11">
        <f t="shared" si="31"/>
        <v>133</v>
      </c>
      <c r="F70" s="92">
        <f t="shared" si="33"/>
        <v>133</v>
      </c>
      <c r="G70" s="108"/>
      <c r="H70" s="93" t="s">
        <v>37</v>
      </c>
      <c r="I70" s="54"/>
      <c r="J70" s="55"/>
      <c r="K70" s="11"/>
      <c r="L70" s="53" t="str">
        <f t="shared" si="3"/>
        <v/>
      </c>
      <c r="M70" s="11">
        <v>81.93</v>
      </c>
      <c r="N70" s="11">
        <v>24.57</v>
      </c>
      <c r="O70" s="11">
        <v>12</v>
      </c>
      <c r="P70" s="11">
        <v>1.5</v>
      </c>
      <c r="Q70" s="11"/>
      <c r="R70" s="11"/>
      <c r="S70" s="11"/>
      <c r="T70" s="11"/>
      <c r="U70" s="11">
        <v>13</v>
      </c>
      <c r="V70" s="56" t="s">
        <v>698</v>
      </c>
      <c r="W70" s="35" t="str">
        <f t="shared" si="2"/>
        <v>OK</v>
      </c>
      <c r="X70" s="38" t="str">
        <f t="shared" si="4"/>
        <v/>
      </c>
      <c r="Y70" s="3"/>
      <c r="Z70" s="3"/>
    </row>
    <row r="71" spans="1:26" ht="14.4" hidden="1" outlineLevel="1" x14ac:dyDescent="0.3">
      <c r="A71" s="3"/>
      <c r="B71" s="9" t="s">
        <v>495</v>
      </c>
      <c r="C71" s="53"/>
      <c r="D71" s="53"/>
      <c r="E71" s="11">
        <f t="shared" si="31"/>
        <v>65</v>
      </c>
      <c r="F71" s="92"/>
      <c r="G71" s="108"/>
      <c r="H71" s="93"/>
      <c r="I71" s="54"/>
      <c r="J71" s="55"/>
      <c r="K71" s="11"/>
      <c r="L71" s="53" t="str">
        <f t="shared" si="3"/>
        <v/>
      </c>
      <c r="M71" s="11">
        <v>13.93</v>
      </c>
      <c r="N71" s="11">
        <v>24.57</v>
      </c>
      <c r="O71" s="11">
        <v>12</v>
      </c>
      <c r="P71" s="11">
        <v>1.5</v>
      </c>
      <c r="Q71" s="11"/>
      <c r="R71" s="11"/>
      <c r="S71" s="11"/>
      <c r="T71" s="11"/>
      <c r="U71" s="11">
        <v>13</v>
      </c>
      <c r="V71" s="56" t="s">
        <v>698</v>
      </c>
      <c r="W71" s="35" t="str">
        <f t="shared" si="2"/>
        <v>Diferente</v>
      </c>
      <c r="X71" s="38">
        <f t="shared" si="4"/>
        <v>-65</v>
      </c>
      <c r="Y71" s="3"/>
      <c r="Z71" s="3"/>
    </row>
    <row r="72" spans="1:26" ht="14.4" hidden="1" outlineLevel="1" x14ac:dyDescent="0.3">
      <c r="A72" s="3"/>
      <c r="B72" s="9" t="s">
        <v>496</v>
      </c>
      <c r="C72" s="53"/>
      <c r="D72" s="53"/>
      <c r="E72" s="11">
        <f t="shared" si="31"/>
        <v>65</v>
      </c>
      <c r="F72" s="92"/>
      <c r="G72" s="108"/>
      <c r="H72" s="93"/>
      <c r="I72" s="54"/>
      <c r="J72" s="55"/>
      <c r="K72" s="11"/>
      <c r="L72" s="53" t="str">
        <f t="shared" si="3"/>
        <v/>
      </c>
      <c r="M72" s="11">
        <v>13.93</v>
      </c>
      <c r="N72" s="11">
        <v>24.57</v>
      </c>
      <c r="O72" s="11">
        <v>12</v>
      </c>
      <c r="P72" s="11">
        <v>1.5</v>
      </c>
      <c r="Q72" s="11"/>
      <c r="R72" s="11"/>
      <c r="S72" s="11"/>
      <c r="T72" s="11"/>
      <c r="U72" s="11">
        <v>13</v>
      </c>
      <c r="V72" s="56" t="s">
        <v>698</v>
      </c>
      <c r="W72" s="35" t="str">
        <f t="shared" si="2"/>
        <v>Diferente</v>
      </c>
      <c r="X72" s="38">
        <f t="shared" si="4"/>
        <v>-65</v>
      </c>
      <c r="Y72" s="3"/>
      <c r="Z72" s="3"/>
    </row>
    <row r="73" spans="1:26" ht="14.4" hidden="1" outlineLevel="1" x14ac:dyDescent="0.3">
      <c r="A73" s="3"/>
      <c r="B73" s="52" t="s">
        <v>497</v>
      </c>
      <c r="C73" s="53">
        <v>10</v>
      </c>
      <c r="D73" s="53" t="s">
        <v>95</v>
      </c>
      <c r="E73" s="11">
        <f t="shared" si="31"/>
        <v>113</v>
      </c>
      <c r="F73" s="92">
        <f t="shared" ref="F73:F74" si="34">E73</f>
        <v>113</v>
      </c>
      <c r="G73" s="108"/>
      <c r="H73" s="93" t="s">
        <v>37</v>
      </c>
      <c r="I73" s="54"/>
      <c r="J73" s="55"/>
      <c r="K73" s="11"/>
      <c r="L73" s="53" t="str">
        <f t="shared" si="3"/>
        <v/>
      </c>
      <c r="M73" s="11">
        <v>56.93</v>
      </c>
      <c r="N73" s="11">
        <v>24.57</v>
      </c>
      <c r="O73" s="11">
        <v>12</v>
      </c>
      <c r="P73" s="11">
        <v>1.5</v>
      </c>
      <c r="Q73" s="11">
        <v>5</v>
      </c>
      <c r="R73" s="11"/>
      <c r="S73" s="11"/>
      <c r="T73" s="11"/>
      <c r="U73" s="11">
        <v>13</v>
      </c>
      <c r="V73" s="56" t="s">
        <v>698</v>
      </c>
      <c r="W73" s="35" t="str">
        <f t="shared" si="2"/>
        <v>OK</v>
      </c>
      <c r="X73" s="38" t="str">
        <f t="shared" si="4"/>
        <v/>
      </c>
      <c r="Y73" s="3"/>
      <c r="Z73" s="3"/>
    </row>
    <row r="74" spans="1:26" ht="14.4" hidden="1" outlineLevel="1" x14ac:dyDescent="0.3">
      <c r="A74" s="3"/>
      <c r="B74" s="9" t="s">
        <v>498</v>
      </c>
      <c r="C74" s="53">
        <v>5</v>
      </c>
      <c r="D74" s="53" t="s">
        <v>95</v>
      </c>
      <c r="E74" s="11">
        <f t="shared" si="31"/>
        <v>213</v>
      </c>
      <c r="F74" s="92">
        <f t="shared" si="34"/>
        <v>213</v>
      </c>
      <c r="G74" s="108"/>
      <c r="H74" s="93" t="s">
        <v>37</v>
      </c>
      <c r="I74" s="54"/>
      <c r="J74" s="55"/>
      <c r="K74" s="11"/>
      <c r="L74" s="53" t="str">
        <f t="shared" si="3"/>
        <v/>
      </c>
      <c r="M74" s="11">
        <v>148.43</v>
      </c>
      <c r="N74" s="11">
        <v>24.57</v>
      </c>
      <c r="O74" s="11">
        <v>12</v>
      </c>
      <c r="P74" s="11">
        <v>5</v>
      </c>
      <c r="Q74" s="11">
        <v>10</v>
      </c>
      <c r="R74" s="11"/>
      <c r="S74" s="11"/>
      <c r="T74" s="11"/>
      <c r="U74" s="11">
        <v>13</v>
      </c>
      <c r="V74" s="56" t="s">
        <v>698</v>
      </c>
      <c r="W74" s="35" t="str">
        <f t="shared" si="2"/>
        <v>OK</v>
      </c>
      <c r="X74" s="38" t="str">
        <f t="shared" si="4"/>
        <v/>
      </c>
      <c r="Y74" s="3"/>
      <c r="Z74" s="3"/>
    </row>
    <row r="75" spans="1:26" ht="14.4" hidden="1" outlineLevel="1" x14ac:dyDescent="0.3">
      <c r="A75" s="3"/>
      <c r="B75" s="52" t="s">
        <v>499</v>
      </c>
      <c r="C75" s="53"/>
      <c r="D75" s="53"/>
      <c r="E75" s="11">
        <f t="shared" si="31"/>
        <v>70.39</v>
      </c>
      <c r="F75" s="92"/>
      <c r="G75" s="108"/>
      <c r="H75" s="93"/>
      <c r="I75" s="54"/>
      <c r="J75" s="55"/>
      <c r="K75" s="11"/>
      <c r="L75" s="53" t="str">
        <f t="shared" si="3"/>
        <v/>
      </c>
      <c r="M75" s="11">
        <v>19.32</v>
      </c>
      <c r="N75" s="11">
        <v>24.57</v>
      </c>
      <c r="O75" s="11">
        <v>12</v>
      </c>
      <c r="P75" s="11">
        <v>1.5</v>
      </c>
      <c r="Q75" s="11"/>
      <c r="R75" s="11"/>
      <c r="S75" s="11"/>
      <c r="T75" s="11"/>
      <c r="U75" s="11">
        <v>13</v>
      </c>
      <c r="V75" s="56" t="s">
        <v>698</v>
      </c>
      <c r="W75" s="35" t="str">
        <f t="shared" si="2"/>
        <v>Diferente</v>
      </c>
      <c r="X75" s="38">
        <f t="shared" si="4"/>
        <v>-70.39</v>
      </c>
      <c r="Y75" s="3"/>
      <c r="Z75" s="3"/>
    </row>
    <row r="76" spans="1:26" ht="14.4" hidden="1" outlineLevel="1" x14ac:dyDescent="0.3">
      <c r="A76" s="3"/>
      <c r="B76" s="9" t="s">
        <v>500</v>
      </c>
      <c r="C76" s="53">
        <v>11</v>
      </c>
      <c r="D76" s="53" t="s">
        <v>95</v>
      </c>
      <c r="E76" s="11">
        <f t="shared" si="31"/>
        <v>80.740000000000009</v>
      </c>
      <c r="F76" s="92">
        <f>E76</f>
        <v>80.740000000000009</v>
      </c>
      <c r="G76" s="108"/>
      <c r="H76" s="93" t="s">
        <v>37</v>
      </c>
      <c r="I76" s="54"/>
      <c r="J76" s="55"/>
      <c r="K76" s="11"/>
      <c r="L76" s="53" t="str">
        <f t="shared" si="3"/>
        <v/>
      </c>
      <c r="M76" s="11">
        <v>29.67</v>
      </c>
      <c r="N76" s="11">
        <v>24.57</v>
      </c>
      <c r="O76" s="11">
        <v>12</v>
      </c>
      <c r="P76" s="11">
        <v>1.5</v>
      </c>
      <c r="Q76" s="11"/>
      <c r="R76" s="11"/>
      <c r="S76" s="11"/>
      <c r="T76" s="11"/>
      <c r="U76" s="11">
        <v>13</v>
      </c>
      <c r="V76" s="56" t="s">
        <v>698</v>
      </c>
      <c r="W76" s="35" t="str">
        <f t="shared" si="2"/>
        <v>OK</v>
      </c>
      <c r="X76" s="38" t="str">
        <f t="shared" si="4"/>
        <v/>
      </c>
      <c r="Y76" s="3"/>
      <c r="Z76" s="3"/>
    </row>
    <row r="77" spans="1:26" ht="14.4" hidden="1" outlineLevel="1" x14ac:dyDescent="0.3">
      <c r="A77" s="3"/>
      <c r="B77" s="52" t="s">
        <v>501</v>
      </c>
      <c r="C77" s="53">
        <v>20</v>
      </c>
      <c r="D77" s="53" t="s">
        <v>95</v>
      </c>
      <c r="E77" s="11">
        <v>107.43</v>
      </c>
      <c r="F77" s="92">
        <f t="shared" ref="F77:F78" si="35">SUM(M77:U77)</f>
        <v>224.86</v>
      </c>
      <c r="G77" s="108" t="s">
        <v>709</v>
      </c>
      <c r="H77" s="93" t="s">
        <v>37</v>
      </c>
      <c r="I77" s="54"/>
      <c r="J77" s="55"/>
      <c r="K77" s="11"/>
      <c r="L77" s="53">
        <f t="shared" si="3"/>
        <v>1</v>
      </c>
      <c r="M77" s="11">
        <f>50.86*2</f>
        <v>101.72</v>
      </c>
      <c r="N77" s="11">
        <f t="shared" ref="N77:N78" si="36">24.57*2</f>
        <v>49.14</v>
      </c>
      <c r="O77" s="11">
        <f t="shared" ref="O77:O78" si="37">12*2</f>
        <v>24</v>
      </c>
      <c r="P77" s="11">
        <f t="shared" ref="P77:P78" si="38">2*2</f>
        <v>4</v>
      </c>
      <c r="Q77" s="11">
        <f t="shared" ref="Q77:Q78" si="39">5*2</f>
        <v>10</v>
      </c>
      <c r="R77" s="11"/>
      <c r="S77" s="11"/>
      <c r="T77" s="11"/>
      <c r="U77" s="11">
        <v>36</v>
      </c>
      <c r="V77" s="56" t="s">
        <v>698</v>
      </c>
      <c r="W77" s="35" t="str">
        <f t="shared" si="2"/>
        <v>OK</v>
      </c>
      <c r="X77" s="38" t="str">
        <f t="shared" si="4"/>
        <v/>
      </c>
      <c r="Y77" s="3"/>
      <c r="Z77" s="3"/>
    </row>
    <row r="78" spans="1:26" ht="14.4" hidden="1" outlineLevel="1" x14ac:dyDescent="0.3">
      <c r="A78" s="3"/>
      <c r="B78" s="52" t="s">
        <v>502</v>
      </c>
      <c r="C78" s="53">
        <v>20</v>
      </c>
      <c r="D78" s="53" t="s">
        <v>95</v>
      </c>
      <c r="E78" s="11">
        <v>106.57</v>
      </c>
      <c r="F78" s="92">
        <f t="shared" si="35"/>
        <v>213.14</v>
      </c>
      <c r="G78" s="108" t="s">
        <v>709</v>
      </c>
      <c r="H78" s="93" t="s">
        <v>37</v>
      </c>
      <c r="I78" s="54"/>
      <c r="J78" s="55"/>
      <c r="K78" s="11"/>
      <c r="L78" s="53">
        <f t="shared" si="3"/>
        <v>1</v>
      </c>
      <c r="M78" s="11">
        <f>50*2</f>
        <v>100</v>
      </c>
      <c r="N78" s="11">
        <f t="shared" si="36"/>
        <v>49.14</v>
      </c>
      <c r="O78" s="11">
        <f t="shared" si="37"/>
        <v>24</v>
      </c>
      <c r="P78" s="11">
        <f t="shared" si="38"/>
        <v>4</v>
      </c>
      <c r="Q78" s="11">
        <f t="shared" si="39"/>
        <v>10</v>
      </c>
      <c r="R78" s="11"/>
      <c r="S78" s="11"/>
      <c r="T78" s="11"/>
      <c r="U78" s="11">
        <v>26</v>
      </c>
      <c r="V78" s="56" t="s">
        <v>698</v>
      </c>
      <c r="W78" s="35" t="str">
        <f t="shared" si="2"/>
        <v>OK</v>
      </c>
      <c r="X78" s="38" t="str">
        <f t="shared" si="4"/>
        <v/>
      </c>
      <c r="Y78" s="3"/>
      <c r="Z78" s="3"/>
    </row>
    <row r="79" spans="1:26" ht="14.4" hidden="1" outlineLevel="1" x14ac:dyDescent="0.3">
      <c r="A79" s="3"/>
      <c r="B79" s="9" t="s">
        <v>503</v>
      </c>
      <c r="C79" s="53">
        <v>9</v>
      </c>
      <c r="D79" s="53" t="s">
        <v>95</v>
      </c>
      <c r="E79" s="11">
        <f t="shared" ref="E79:E91" si="40">SUM(M79:U79)</f>
        <v>144.69</v>
      </c>
      <c r="F79" s="92">
        <f t="shared" ref="F79:F82" si="41">E79</f>
        <v>144.69</v>
      </c>
      <c r="G79" s="108"/>
      <c r="H79" s="93" t="s">
        <v>37</v>
      </c>
      <c r="I79" s="54"/>
      <c r="J79" s="55"/>
      <c r="K79" s="11"/>
      <c r="L79" s="53" t="str">
        <f t="shared" si="3"/>
        <v/>
      </c>
      <c r="M79" s="11">
        <v>93.62</v>
      </c>
      <c r="N79" s="11">
        <v>24.57</v>
      </c>
      <c r="O79" s="11">
        <v>12</v>
      </c>
      <c r="P79" s="11">
        <v>1.5</v>
      </c>
      <c r="Q79" s="11"/>
      <c r="R79" s="11"/>
      <c r="S79" s="11"/>
      <c r="T79" s="11"/>
      <c r="U79" s="11">
        <v>13</v>
      </c>
      <c r="V79" s="56" t="s">
        <v>698</v>
      </c>
      <c r="W79" s="35" t="str">
        <f t="shared" si="2"/>
        <v>OK</v>
      </c>
      <c r="X79" s="38" t="str">
        <f t="shared" si="4"/>
        <v/>
      </c>
      <c r="Y79" s="3"/>
      <c r="Z79" s="3"/>
    </row>
    <row r="80" spans="1:26" ht="14.4" hidden="1" outlineLevel="1" x14ac:dyDescent="0.3">
      <c r="A80" s="3"/>
      <c r="B80" s="9" t="s">
        <v>504</v>
      </c>
      <c r="C80" s="53">
        <v>9</v>
      </c>
      <c r="D80" s="53" t="s">
        <v>95</v>
      </c>
      <c r="E80" s="11">
        <f t="shared" si="40"/>
        <v>144.69</v>
      </c>
      <c r="F80" s="92">
        <f t="shared" si="41"/>
        <v>144.69</v>
      </c>
      <c r="G80" s="108"/>
      <c r="H80" s="93" t="s">
        <v>37</v>
      </c>
      <c r="I80" s="54"/>
      <c r="J80" s="55"/>
      <c r="K80" s="11"/>
      <c r="L80" s="53" t="str">
        <f t="shared" si="3"/>
        <v/>
      </c>
      <c r="M80" s="11">
        <v>93.62</v>
      </c>
      <c r="N80" s="11">
        <v>24.57</v>
      </c>
      <c r="O80" s="11">
        <v>12</v>
      </c>
      <c r="P80" s="11">
        <v>1.5</v>
      </c>
      <c r="Q80" s="11"/>
      <c r="R80" s="11"/>
      <c r="S80" s="11"/>
      <c r="T80" s="11"/>
      <c r="U80" s="11">
        <v>13</v>
      </c>
      <c r="V80" s="56" t="s">
        <v>698</v>
      </c>
      <c r="W80" s="35" t="str">
        <f t="shared" si="2"/>
        <v>OK</v>
      </c>
      <c r="X80" s="38" t="str">
        <f t="shared" si="4"/>
        <v/>
      </c>
      <c r="Y80" s="3"/>
      <c r="Z80" s="3"/>
    </row>
    <row r="81" spans="1:26" ht="14.4" hidden="1" outlineLevel="1" x14ac:dyDescent="0.3">
      <c r="A81" s="3"/>
      <c r="B81" s="52" t="s">
        <v>505</v>
      </c>
      <c r="C81" s="53">
        <v>6</v>
      </c>
      <c r="D81" s="53" t="s">
        <v>95</v>
      </c>
      <c r="E81" s="11">
        <f t="shared" si="40"/>
        <v>306.57</v>
      </c>
      <c r="F81" s="92">
        <f t="shared" si="41"/>
        <v>306.57</v>
      </c>
      <c r="G81" s="108"/>
      <c r="H81" s="93" t="s">
        <v>37</v>
      </c>
      <c r="I81" s="54"/>
      <c r="J81" s="55"/>
      <c r="K81" s="11"/>
      <c r="L81" s="53" t="str">
        <f t="shared" si="3"/>
        <v/>
      </c>
      <c r="M81" s="11">
        <v>100</v>
      </c>
      <c r="N81" s="11">
        <v>24.57</v>
      </c>
      <c r="O81" s="11">
        <v>12</v>
      </c>
      <c r="P81" s="11">
        <v>2</v>
      </c>
      <c r="Q81" s="11"/>
      <c r="R81" s="11"/>
      <c r="S81" s="11">
        <v>5</v>
      </c>
      <c r="T81" s="11"/>
      <c r="U81" s="11">
        <v>163</v>
      </c>
      <c r="V81" s="56" t="s">
        <v>710</v>
      </c>
      <c r="W81" s="35" t="str">
        <f t="shared" si="2"/>
        <v>OK</v>
      </c>
      <c r="X81" s="38" t="str">
        <f t="shared" si="4"/>
        <v/>
      </c>
      <c r="Y81" s="3"/>
      <c r="Z81" s="3"/>
    </row>
    <row r="82" spans="1:26" ht="14.4" hidden="1" outlineLevel="1" x14ac:dyDescent="0.3">
      <c r="A82" s="3"/>
      <c r="B82" s="52" t="s">
        <v>507</v>
      </c>
      <c r="C82" s="53">
        <v>6</v>
      </c>
      <c r="D82" s="53" t="s">
        <v>95</v>
      </c>
      <c r="E82" s="11">
        <f t="shared" si="40"/>
        <v>156.57</v>
      </c>
      <c r="F82" s="92">
        <f t="shared" si="41"/>
        <v>156.57</v>
      </c>
      <c r="G82" s="108"/>
      <c r="H82" s="93" t="s">
        <v>37</v>
      </c>
      <c r="I82" s="54"/>
      <c r="J82" s="55"/>
      <c r="K82" s="11"/>
      <c r="L82" s="53" t="str">
        <f t="shared" si="3"/>
        <v/>
      </c>
      <c r="M82" s="11">
        <v>100</v>
      </c>
      <c r="N82" s="11">
        <v>24.57</v>
      </c>
      <c r="O82" s="11">
        <v>12</v>
      </c>
      <c r="P82" s="11">
        <v>2</v>
      </c>
      <c r="Q82" s="11"/>
      <c r="R82" s="11"/>
      <c r="S82" s="11">
        <v>5</v>
      </c>
      <c r="T82" s="11"/>
      <c r="U82" s="11">
        <v>13</v>
      </c>
      <c r="V82" s="56" t="s">
        <v>698</v>
      </c>
      <c r="W82" s="35" t="str">
        <f t="shared" si="2"/>
        <v>OK</v>
      </c>
      <c r="X82" s="38" t="str">
        <f t="shared" si="4"/>
        <v/>
      </c>
      <c r="Y82" s="3"/>
      <c r="Z82" s="3"/>
    </row>
    <row r="83" spans="1:26" ht="14.4" hidden="1" outlineLevel="1" x14ac:dyDescent="0.3">
      <c r="A83" s="3"/>
      <c r="B83" s="9" t="s">
        <v>508</v>
      </c>
      <c r="C83" s="53"/>
      <c r="D83" s="53"/>
      <c r="E83" s="11">
        <f t="shared" si="40"/>
        <v>263</v>
      </c>
      <c r="F83" s="92"/>
      <c r="G83" s="108"/>
      <c r="H83" s="93"/>
      <c r="I83" s="54"/>
      <c r="J83" s="55"/>
      <c r="K83" s="11"/>
      <c r="L83" s="53" t="str">
        <f t="shared" si="3"/>
        <v/>
      </c>
      <c r="M83" s="11">
        <v>196.43</v>
      </c>
      <c r="N83" s="11">
        <v>24.57</v>
      </c>
      <c r="O83" s="11">
        <v>12</v>
      </c>
      <c r="P83" s="11">
        <v>2</v>
      </c>
      <c r="Q83" s="11"/>
      <c r="R83" s="11"/>
      <c r="S83" s="11">
        <v>5</v>
      </c>
      <c r="T83" s="11">
        <v>10</v>
      </c>
      <c r="U83" s="11">
        <v>13</v>
      </c>
      <c r="V83" s="56" t="s">
        <v>698</v>
      </c>
      <c r="W83" s="35" t="str">
        <f t="shared" si="2"/>
        <v>Diferente</v>
      </c>
      <c r="X83" s="38">
        <f t="shared" si="4"/>
        <v>-263</v>
      </c>
      <c r="Y83" s="3"/>
      <c r="Z83" s="3"/>
    </row>
    <row r="84" spans="1:26" ht="14.4" hidden="1" outlineLevel="1" x14ac:dyDescent="0.3">
      <c r="A84" s="3"/>
      <c r="B84" s="52" t="s">
        <v>509</v>
      </c>
      <c r="C84" s="53">
        <v>4</v>
      </c>
      <c r="D84" s="53" t="s">
        <v>95</v>
      </c>
      <c r="E84" s="11">
        <f t="shared" si="40"/>
        <v>260</v>
      </c>
      <c r="F84" s="92">
        <f t="shared" ref="F84:F85" si="42">E84</f>
        <v>260</v>
      </c>
      <c r="G84" s="108"/>
      <c r="H84" s="93" t="s">
        <v>37</v>
      </c>
      <c r="I84" s="54"/>
      <c r="J84" s="55"/>
      <c r="K84" s="11"/>
      <c r="L84" s="53" t="str">
        <f t="shared" si="3"/>
        <v/>
      </c>
      <c r="M84" s="11">
        <v>138.43</v>
      </c>
      <c r="N84" s="11">
        <v>24.57</v>
      </c>
      <c r="O84" s="11">
        <v>12</v>
      </c>
      <c r="P84" s="11">
        <v>2</v>
      </c>
      <c r="Q84" s="11">
        <v>5</v>
      </c>
      <c r="R84" s="11">
        <v>5</v>
      </c>
      <c r="S84" s="11">
        <v>10</v>
      </c>
      <c r="T84" s="11"/>
      <c r="U84" s="11">
        <v>63</v>
      </c>
      <c r="V84" s="56" t="s">
        <v>699</v>
      </c>
      <c r="W84" s="35" t="str">
        <f t="shared" si="2"/>
        <v>OK</v>
      </c>
      <c r="X84" s="38" t="str">
        <f t="shared" si="4"/>
        <v/>
      </c>
      <c r="Y84" s="3"/>
      <c r="Z84" s="3"/>
    </row>
    <row r="85" spans="1:26" ht="14.4" hidden="1" outlineLevel="1" x14ac:dyDescent="0.3">
      <c r="A85" s="3"/>
      <c r="B85" s="52" t="s">
        <v>510</v>
      </c>
      <c r="C85" s="53">
        <v>4</v>
      </c>
      <c r="D85" s="53" t="s">
        <v>95</v>
      </c>
      <c r="E85" s="11">
        <f t="shared" si="40"/>
        <v>210</v>
      </c>
      <c r="F85" s="92">
        <f t="shared" si="42"/>
        <v>210</v>
      </c>
      <c r="G85" s="108"/>
      <c r="H85" s="93" t="s">
        <v>37</v>
      </c>
      <c r="I85" s="54"/>
      <c r="J85" s="55"/>
      <c r="K85" s="11"/>
      <c r="L85" s="53" t="str">
        <f t="shared" si="3"/>
        <v/>
      </c>
      <c r="M85" s="11">
        <v>138.43</v>
      </c>
      <c r="N85" s="11">
        <v>24.57</v>
      </c>
      <c r="O85" s="11">
        <v>12</v>
      </c>
      <c r="P85" s="11">
        <v>2</v>
      </c>
      <c r="Q85" s="11">
        <v>5</v>
      </c>
      <c r="R85" s="11">
        <v>5</v>
      </c>
      <c r="S85" s="11">
        <v>10</v>
      </c>
      <c r="T85" s="11"/>
      <c r="U85" s="11">
        <v>13</v>
      </c>
      <c r="V85" s="56" t="s">
        <v>698</v>
      </c>
      <c r="W85" s="35" t="str">
        <f t="shared" si="2"/>
        <v>OK</v>
      </c>
      <c r="X85" s="38" t="str">
        <f t="shared" si="4"/>
        <v/>
      </c>
      <c r="Y85" s="3"/>
      <c r="Z85" s="3"/>
    </row>
    <row r="86" spans="1:26" ht="14.4" hidden="1" outlineLevel="1" x14ac:dyDescent="0.3">
      <c r="A86" s="3"/>
      <c r="B86" s="9" t="s">
        <v>511</v>
      </c>
      <c r="C86" s="53"/>
      <c r="D86" s="53"/>
      <c r="E86" s="11">
        <f t="shared" si="40"/>
        <v>125.22999999999999</v>
      </c>
      <c r="F86" s="92"/>
      <c r="G86" s="108"/>
      <c r="H86" s="93"/>
      <c r="I86" s="54"/>
      <c r="J86" s="55"/>
      <c r="K86" s="11"/>
      <c r="L86" s="53" t="str">
        <f t="shared" si="3"/>
        <v/>
      </c>
      <c r="M86" s="11">
        <v>33.93</v>
      </c>
      <c r="N86" s="11">
        <v>24.57</v>
      </c>
      <c r="O86" s="11">
        <v>12</v>
      </c>
      <c r="P86" s="11">
        <v>1.5</v>
      </c>
      <c r="Q86" s="11"/>
      <c r="R86" s="11"/>
      <c r="S86" s="11"/>
      <c r="T86" s="11"/>
      <c r="U86" s="11">
        <v>53.23</v>
      </c>
      <c r="V86" s="56" t="s">
        <v>711</v>
      </c>
      <c r="W86" s="35" t="str">
        <f t="shared" si="2"/>
        <v>Diferente</v>
      </c>
      <c r="X86" s="38">
        <f t="shared" si="4"/>
        <v>-125.22999999999999</v>
      </c>
      <c r="Y86" s="3"/>
      <c r="Z86" s="3"/>
    </row>
    <row r="87" spans="1:26" ht="14.4" hidden="1" outlineLevel="1" x14ac:dyDescent="0.3">
      <c r="A87" s="3"/>
      <c r="B87" s="52" t="s">
        <v>513</v>
      </c>
      <c r="C87" s="53">
        <v>7</v>
      </c>
      <c r="D87" s="53" t="s">
        <v>95</v>
      </c>
      <c r="E87" s="11">
        <f t="shared" si="40"/>
        <v>176.57</v>
      </c>
      <c r="F87" s="92">
        <f t="shared" ref="F87:F91" si="43">E87</f>
        <v>176.57</v>
      </c>
      <c r="G87" s="108"/>
      <c r="H87" s="93" t="s">
        <v>37</v>
      </c>
      <c r="I87" s="54"/>
      <c r="J87" s="55"/>
      <c r="K87" s="11"/>
      <c r="L87" s="53" t="str">
        <f t="shared" si="3"/>
        <v/>
      </c>
      <c r="M87" s="11">
        <v>120</v>
      </c>
      <c r="N87" s="11">
        <v>24.57</v>
      </c>
      <c r="O87" s="11">
        <v>12</v>
      </c>
      <c r="P87" s="11">
        <v>2</v>
      </c>
      <c r="Q87" s="11"/>
      <c r="R87" s="11"/>
      <c r="S87" s="11">
        <v>5</v>
      </c>
      <c r="T87" s="11"/>
      <c r="U87" s="11">
        <v>13</v>
      </c>
      <c r="V87" s="56" t="s">
        <v>698</v>
      </c>
      <c r="W87" s="35" t="str">
        <f t="shared" si="2"/>
        <v>OK</v>
      </c>
      <c r="X87" s="38" t="str">
        <f t="shared" si="4"/>
        <v/>
      </c>
      <c r="Y87" s="3"/>
      <c r="Z87" s="3"/>
    </row>
    <row r="88" spans="1:26" ht="14.4" hidden="1" outlineLevel="1" x14ac:dyDescent="0.3">
      <c r="A88" s="3"/>
      <c r="B88" s="52" t="s">
        <v>514</v>
      </c>
      <c r="C88" s="53">
        <v>7</v>
      </c>
      <c r="D88" s="53" t="s">
        <v>95</v>
      </c>
      <c r="E88" s="11">
        <f t="shared" si="40"/>
        <v>176.57</v>
      </c>
      <c r="F88" s="92">
        <f t="shared" si="43"/>
        <v>176.57</v>
      </c>
      <c r="G88" s="108"/>
      <c r="H88" s="93" t="s">
        <v>37</v>
      </c>
      <c r="I88" s="54"/>
      <c r="J88" s="55"/>
      <c r="K88" s="11"/>
      <c r="L88" s="53" t="str">
        <f t="shared" si="3"/>
        <v/>
      </c>
      <c r="M88" s="11">
        <v>120</v>
      </c>
      <c r="N88" s="11">
        <v>24.57</v>
      </c>
      <c r="O88" s="11">
        <v>12</v>
      </c>
      <c r="P88" s="11">
        <v>2</v>
      </c>
      <c r="Q88" s="11"/>
      <c r="R88" s="11"/>
      <c r="S88" s="11">
        <v>5</v>
      </c>
      <c r="T88" s="11"/>
      <c r="U88" s="11">
        <v>13</v>
      </c>
      <c r="V88" s="56" t="s">
        <v>698</v>
      </c>
      <c r="W88" s="35" t="str">
        <f t="shared" si="2"/>
        <v>OK</v>
      </c>
      <c r="X88" s="38" t="str">
        <f t="shared" si="4"/>
        <v/>
      </c>
      <c r="Y88" s="3"/>
      <c r="Z88" s="3"/>
    </row>
    <row r="89" spans="1:26" ht="14.4" hidden="1" outlineLevel="1" x14ac:dyDescent="0.3">
      <c r="A89" s="3"/>
      <c r="B89" s="9" t="s">
        <v>515</v>
      </c>
      <c r="C89" s="53">
        <v>4</v>
      </c>
      <c r="D89" s="53" t="s">
        <v>95</v>
      </c>
      <c r="E89" s="11">
        <f t="shared" si="40"/>
        <v>165</v>
      </c>
      <c r="F89" s="92">
        <f t="shared" si="43"/>
        <v>165</v>
      </c>
      <c r="G89" s="108"/>
      <c r="H89" s="111" t="s">
        <v>37</v>
      </c>
      <c r="I89" s="54"/>
      <c r="J89" s="55"/>
      <c r="K89" s="11"/>
      <c r="L89" s="53" t="str">
        <f t="shared" si="3"/>
        <v/>
      </c>
      <c r="M89" s="11">
        <v>108.43</v>
      </c>
      <c r="N89" s="11">
        <v>24.57</v>
      </c>
      <c r="O89" s="11">
        <v>12</v>
      </c>
      <c r="P89" s="11">
        <v>2</v>
      </c>
      <c r="Q89" s="11"/>
      <c r="R89" s="11"/>
      <c r="S89" s="11">
        <v>5</v>
      </c>
      <c r="T89" s="11"/>
      <c r="U89" s="11">
        <v>13</v>
      </c>
      <c r="V89" s="56" t="s">
        <v>698</v>
      </c>
      <c r="W89" s="35" t="str">
        <f t="shared" si="2"/>
        <v>OK</v>
      </c>
      <c r="X89" s="38" t="str">
        <f t="shared" si="4"/>
        <v/>
      </c>
      <c r="Y89" s="3"/>
      <c r="Z89" s="3"/>
    </row>
    <row r="90" spans="1:26" ht="14.4" hidden="1" outlineLevel="1" x14ac:dyDescent="0.3">
      <c r="A90" s="3"/>
      <c r="B90" s="52" t="s">
        <v>516</v>
      </c>
      <c r="C90" s="53">
        <v>4</v>
      </c>
      <c r="D90" s="53" t="s">
        <v>95</v>
      </c>
      <c r="E90" s="11">
        <f t="shared" si="40"/>
        <v>114.5</v>
      </c>
      <c r="F90" s="92">
        <f t="shared" si="43"/>
        <v>114.5</v>
      </c>
      <c r="G90" s="108"/>
      <c r="H90" s="111" t="s">
        <v>37</v>
      </c>
      <c r="I90" s="54"/>
      <c r="J90" s="55"/>
      <c r="K90" s="11"/>
      <c r="L90" s="53" t="str">
        <f t="shared" si="3"/>
        <v/>
      </c>
      <c r="M90" s="11">
        <v>63.43</v>
      </c>
      <c r="N90" s="11">
        <v>24.57</v>
      </c>
      <c r="O90" s="11">
        <v>12</v>
      </c>
      <c r="P90" s="11">
        <v>1.5</v>
      </c>
      <c r="Q90" s="11"/>
      <c r="R90" s="11"/>
      <c r="S90" s="11"/>
      <c r="T90" s="11"/>
      <c r="U90" s="11">
        <v>13</v>
      </c>
      <c r="V90" s="56" t="s">
        <v>698</v>
      </c>
      <c r="W90" s="35" t="str">
        <f t="shared" si="2"/>
        <v>OK</v>
      </c>
      <c r="X90" s="38" t="str">
        <f t="shared" si="4"/>
        <v/>
      </c>
      <c r="Y90" s="3"/>
      <c r="Z90" s="3"/>
    </row>
    <row r="91" spans="1:26" ht="14.4" hidden="1" outlineLevel="1" x14ac:dyDescent="0.3">
      <c r="A91" s="3"/>
      <c r="B91" s="52" t="s">
        <v>517</v>
      </c>
      <c r="C91" s="53">
        <v>4</v>
      </c>
      <c r="D91" s="53" t="s">
        <v>95</v>
      </c>
      <c r="E91" s="11">
        <f t="shared" si="40"/>
        <v>164.5</v>
      </c>
      <c r="F91" s="92">
        <f t="shared" si="43"/>
        <v>164.5</v>
      </c>
      <c r="G91" s="108"/>
      <c r="H91" s="111" t="s">
        <v>37</v>
      </c>
      <c r="I91" s="54"/>
      <c r="J91" s="55"/>
      <c r="K91" s="11"/>
      <c r="L91" s="53" t="str">
        <f t="shared" si="3"/>
        <v/>
      </c>
      <c r="M91" s="11">
        <v>63.43</v>
      </c>
      <c r="N91" s="11">
        <v>24.57</v>
      </c>
      <c r="O91" s="11">
        <v>12</v>
      </c>
      <c r="P91" s="11">
        <v>1.5</v>
      </c>
      <c r="Q91" s="11"/>
      <c r="R91" s="11"/>
      <c r="S91" s="11"/>
      <c r="T91" s="11"/>
      <c r="U91" s="11">
        <v>63</v>
      </c>
      <c r="V91" s="56" t="s">
        <v>699</v>
      </c>
      <c r="W91" s="35" t="str">
        <f t="shared" si="2"/>
        <v>OK</v>
      </c>
      <c r="X91" s="38" t="str">
        <f t="shared" si="4"/>
        <v/>
      </c>
      <c r="Y91" s="3"/>
      <c r="Z91" s="3"/>
    </row>
    <row r="92" spans="1:26" ht="14.4" hidden="1" outlineLevel="1" x14ac:dyDescent="0.3">
      <c r="A92" s="3"/>
      <c r="B92" s="9" t="s">
        <v>518</v>
      </c>
      <c r="C92" s="53">
        <v>10</v>
      </c>
      <c r="D92" s="53" t="s">
        <v>95</v>
      </c>
      <c r="E92" s="11">
        <v>160</v>
      </c>
      <c r="F92" s="92">
        <f>SUM(M92:U92)</f>
        <v>325</v>
      </c>
      <c r="G92" s="108"/>
      <c r="H92" s="93" t="s">
        <v>37</v>
      </c>
      <c r="I92" s="54"/>
      <c r="J92" s="55"/>
      <c r="K92" s="11"/>
      <c r="L92" s="53" t="str">
        <f t="shared" si="3"/>
        <v/>
      </c>
      <c r="M92" s="11">
        <f>93.93*2</f>
        <v>187.86</v>
      </c>
      <c r="N92" s="11">
        <f t="shared" ref="N92:N93" si="44">24.57*2</f>
        <v>49.14</v>
      </c>
      <c r="O92" s="11">
        <f t="shared" ref="O92:O93" si="45">12*2</f>
        <v>24</v>
      </c>
      <c r="P92" s="11">
        <f>1.5*2</f>
        <v>3</v>
      </c>
      <c r="Q92" s="11">
        <f>5*2</f>
        <v>10</v>
      </c>
      <c r="R92" s="11"/>
      <c r="S92" s="11">
        <f>10*2</f>
        <v>20</v>
      </c>
      <c r="T92" s="11"/>
      <c r="U92" s="11">
        <f>13*2+5</f>
        <v>31</v>
      </c>
      <c r="V92" s="56" t="s">
        <v>698</v>
      </c>
      <c r="W92" s="35" t="str">
        <f t="shared" si="2"/>
        <v>OK</v>
      </c>
      <c r="X92" s="38" t="str">
        <f t="shared" si="4"/>
        <v/>
      </c>
      <c r="Y92" s="3"/>
      <c r="Z92" s="3"/>
    </row>
    <row r="93" spans="1:26" ht="14.4" hidden="1" outlineLevel="1" x14ac:dyDescent="0.3">
      <c r="A93" s="3"/>
      <c r="B93" s="52" t="s">
        <v>519</v>
      </c>
      <c r="C93" s="53">
        <v>11</v>
      </c>
      <c r="D93" s="53" t="s">
        <v>95</v>
      </c>
      <c r="E93" s="11">
        <v>195</v>
      </c>
      <c r="F93" s="92">
        <f>195+170-2</f>
        <v>363</v>
      </c>
      <c r="G93" s="108"/>
      <c r="H93" s="93" t="s">
        <v>37</v>
      </c>
      <c r="I93" s="54"/>
      <c r="J93" s="55"/>
      <c r="K93" s="11"/>
      <c r="L93" s="53" t="str">
        <f t="shared" si="3"/>
        <v/>
      </c>
      <c r="M93" s="11">
        <f>108.43*2</f>
        <v>216.86</v>
      </c>
      <c r="N93" s="11">
        <f t="shared" si="44"/>
        <v>49.14</v>
      </c>
      <c r="O93" s="11">
        <f t="shared" si="45"/>
        <v>24</v>
      </c>
      <c r="P93" s="11">
        <v>4</v>
      </c>
      <c r="Q93" s="11"/>
      <c r="R93" s="11"/>
      <c r="S93" s="11">
        <v>10</v>
      </c>
      <c r="T93" s="11"/>
      <c r="U93" s="11">
        <f>43+18-2</f>
        <v>59</v>
      </c>
      <c r="V93" s="56" t="s">
        <v>712</v>
      </c>
      <c r="W93" s="35" t="str">
        <f t="shared" si="2"/>
        <v>OK</v>
      </c>
      <c r="X93" s="38" t="str">
        <f t="shared" si="4"/>
        <v/>
      </c>
      <c r="Y93" s="3"/>
      <c r="Z93" s="3"/>
    </row>
    <row r="94" spans="1:26" ht="14.4" hidden="1" outlineLevel="1" x14ac:dyDescent="0.3">
      <c r="A94" s="3"/>
      <c r="B94" s="9" t="s">
        <v>520</v>
      </c>
      <c r="C94" s="53">
        <v>10</v>
      </c>
      <c r="D94" s="53" t="s">
        <v>95</v>
      </c>
      <c r="E94" s="11">
        <f>SUM(M94:U94)</f>
        <v>163</v>
      </c>
      <c r="F94" s="92">
        <f>E94</f>
        <v>163</v>
      </c>
      <c r="G94" s="108"/>
      <c r="H94" s="93" t="s">
        <v>37</v>
      </c>
      <c r="I94" s="54"/>
      <c r="J94" s="55"/>
      <c r="K94" s="11"/>
      <c r="L94" s="53" t="str">
        <f t="shared" si="3"/>
        <v/>
      </c>
      <c r="M94" s="11">
        <v>113.43</v>
      </c>
      <c r="N94" s="11">
        <v>24.57</v>
      </c>
      <c r="O94" s="11">
        <v>12</v>
      </c>
      <c r="P94" s="11"/>
      <c r="Q94" s="11"/>
      <c r="R94" s="11"/>
      <c r="S94" s="11"/>
      <c r="T94" s="11"/>
      <c r="U94" s="11">
        <v>13</v>
      </c>
      <c r="V94" s="56" t="s">
        <v>698</v>
      </c>
      <c r="W94" s="35" t="str">
        <f t="shared" si="2"/>
        <v>OK</v>
      </c>
      <c r="X94" s="38" t="str">
        <f t="shared" si="4"/>
        <v/>
      </c>
      <c r="Y94" s="3"/>
      <c r="Z94" s="3"/>
    </row>
    <row r="95" spans="1:26" ht="14.4" hidden="1" outlineLevel="1" x14ac:dyDescent="0.3">
      <c r="A95" s="3"/>
      <c r="B95" s="52" t="s">
        <v>521</v>
      </c>
      <c r="C95" s="53">
        <v>5</v>
      </c>
      <c r="D95" s="53" t="s">
        <v>130</v>
      </c>
      <c r="E95" s="11">
        <v>24</v>
      </c>
      <c r="F95" s="92">
        <f>SUM(M95:U95)</f>
        <v>48</v>
      </c>
      <c r="G95" s="108"/>
      <c r="H95" s="93" t="s">
        <v>37</v>
      </c>
      <c r="I95" s="54"/>
      <c r="J95" s="55"/>
      <c r="K95" s="11"/>
      <c r="L95" s="53" t="str">
        <f t="shared" si="3"/>
        <v/>
      </c>
      <c r="M95" s="11">
        <f>-12.57*2</f>
        <v>-25.14</v>
      </c>
      <c r="N95" s="11">
        <f>24.57*2</f>
        <v>49.14</v>
      </c>
      <c r="O95" s="11">
        <f>12*2</f>
        <v>24</v>
      </c>
      <c r="P95" s="11"/>
      <c r="Q95" s="11"/>
      <c r="R95" s="11"/>
      <c r="S95" s="11"/>
      <c r="T95" s="11"/>
      <c r="U95" s="11"/>
      <c r="V95" s="56"/>
      <c r="W95" s="35" t="str">
        <f t="shared" si="2"/>
        <v>OK</v>
      </c>
      <c r="X95" s="38" t="str">
        <f t="shared" si="4"/>
        <v/>
      </c>
      <c r="Y95" s="3"/>
      <c r="Z95" s="3"/>
    </row>
    <row r="96" spans="1:26" ht="14.4" hidden="1" outlineLevel="1" x14ac:dyDescent="0.3">
      <c r="A96" s="3"/>
      <c r="B96" s="9" t="s">
        <v>523</v>
      </c>
      <c r="C96" s="53">
        <v>7</v>
      </c>
      <c r="D96" s="53" t="s">
        <v>95</v>
      </c>
      <c r="E96" s="11">
        <f>SUM(M96:U96)</f>
        <v>138</v>
      </c>
      <c r="F96" s="92">
        <f>E96</f>
        <v>138</v>
      </c>
      <c r="G96" s="108"/>
      <c r="H96" s="93" t="s">
        <v>37</v>
      </c>
      <c r="I96" s="54"/>
      <c r="J96" s="55"/>
      <c r="K96" s="11"/>
      <c r="L96" s="53" t="str">
        <f t="shared" si="3"/>
        <v/>
      </c>
      <c r="M96" s="11">
        <v>88.43</v>
      </c>
      <c r="N96" s="11">
        <v>24.57</v>
      </c>
      <c r="O96" s="11">
        <v>12</v>
      </c>
      <c r="P96" s="11"/>
      <c r="Q96" s="11"/>
      <c r="R96" s="11"/>
      <c r="S96" s="11"/>
      <c r="T96" s="11"/>
      <c r="U96" s="11">
        <v>13</v>
      </c>
      <c r="V96" s="56" t="s">
        <v>698</v>
      </c>
      <c r="W96" s="35" t="str">
        <f t="shared" si="2"/>
        <v>OK</v>
      </c>
      <c r="X96" s="38" t="str">
        <f t="shared" si="4"/>
        <v/>
      </c>
      <c r="Y96" s="3"/>
      <c r="Z96" s="3"/>
    </row>
    <row r="97" spans="1:26" ht="14.4" hidden="1" outlineLevel="1" x14ac:dyDescent="0.3">
      <c r="A97" s="3"/>
      <c r="B97" s="52" t="s">
        <v>524</v>
      </c>
      <c r="C97" s="71">
        <v>11</v>
      </c>
      <c r="D97" s="53" t="s">
        <v>95</v>
      </c>
      <c r="E97" s="11">
        <v>63</v>
      </c>
      <c r="F97" s="92">
        <f>63+68</f>
        <v>131</v>
      </c>
      <c r="G97" s="108"/>
      <c r="H97" s="93" t="s">
        <v>37</v>
      </c>
      <c r="I97" s="54"/>
      <c r="J97" s="55"/>
      <c r="K97" s="11"/>
      <c r="L97" s="53" t="str">
        <f t="shared" si="3"/>
        <v/>
      </c>
      <c r="M97" s="11">
        <f>13.43*2</f>
        <v>26.86</v>
      </c>
      <c r="N97" s="11">
        <f>24.57*2</f>
        <v>49.14</v>
      </c>
      <c r="O97" s="11">
        <f>12*2</f>
        <v>24</v>
      </c>
      <c r="P97" s="11"/>
      <c r="Q97" s="11"/>
      <c r="R97" s="11"/>
      <c r="S97" s="11"/>
      <c r="T97" s="11"/>
      <c r="U97" s="11">
        <f>26+5</f>
        <v>31</v>
      </c>
      <c r="V97" s="56" t="s">
        <v>698</v>
      </c>
      <c r="W97" s="35" t="str">
        <f t="shared" si="2"/>
        <v>OK</v>
      </c>
      <c r="X97" s="38" t="str">
        <f t="shared" si="4"/>
        <v/>
      </c>
      <c r="Y97" s="3"/>
      <c r="Z97" s="3"/>
    </row>
    <row r="98" spans="1:26" ht="14.4" hidden="1" outlineLevel="1" x14ac:dyDescent="0.3">
      <c r="A98" s="3"/>
      <c r="B98" s="9" t="s">
        <v>525</v>
      </c>
      <c r="C98" s="53">
        <v>10</v>
      </c>
      <c r="D98" s="53" t="s">
        <v>95</v>
      </c>
      <c r="E98" s="11">
        <f t="shared" ref="E98:E102" si="46">SUM(M98:U98)</f>
        <v>143</v>
      </c>
      <c r="F98" s="92">
        <f t="shared" ref="F98:F99" si="47">E98</f>
        <v>143</v>
      </c>
      <c r="G98" s="108"/>
      <c r="H98" s="93" t="s">
        <v>37</v>
      </c>
      <c r="I98" s="54"/>
      <c r="J98" s="55"/>
      <c r="K98" s="11"/>
      <c r="L98" s="53" t="str">
        <f t="shared" si="3"/>
        <v/>
      </c>
      <c r="M98" s="11">
        <v>91.93</v>
      </c>
      <c r="N98" s="11">
        <v>24.57</v>
      </c>
      <c r="O98" s="11">
        <v>12</v>
      </c>
      <c r="P98" s="11">
        <v>1.5</v>
      </c>
      <c r="Q98" s="11"/>
      <c r="R98" s="11"/>
      <c r="S98" s="11"/>
      <c r="T98" s="11"/>
      <c r="U98" s="11">
        <v>13</v>
      </c>
      <c r="V98" s="56" t="s">
        <v>698</v>
      </c>
      <c r="W98" s="35" t="str">
        <f t="shared" si="2"/>
        <v>OK</v>
      </c>
      <c r="X98" s="38" t="str">
        <f t="shared" si="4"/>
        <v/>
      </c>
      <c r="Y98" s="3"/>
      <c r="Z98" s="3"/>
    </row>
    <row r="99" spans="1:26" ht="14.4" hidden="1" outlineLevel="1" x14ac:dyDescent="0.3">
      <c r="A99" s="3"/>
      <c r="B99" s="9" t="s">
        <v>526</v>
      </c>
      <c r="C99" s="53">
        <v>10</v>
      </c>
      <c r="D99" s="53" t="s">
        <v>95</v>
      </c>
      <c r="E99" s="11">
        <f t="shared" si="46"/>
        <v>143</v>
      </c>
      <c r="F99" s="92">
        <f t="shared" si="47"/>
        <v>143</v>
      </c>
      <c r="G99" s="108"/>
      <c r="H99" s="93" t="s">
        <v>37</v>
      </c>
      <c r="I99" s="54"/>
      <c r="J99" s="55"/>
      <c r="K99" s="11"/>
      <c r="L99" s="53" t="str">
        <f t="shared" si="3"/>
        <v/>
      </c>
      <c r="M99" s="11">
        <v>91.93</v>
      </c>
      <c r="N99" s="11">
        <v>24.57</v>
      </c>
      <c r="O99" s="11">
        <v>12</v>
      </c>
      <c r="P99" s="11">
        <v>1.5</v>
      </c>
      <c r="Q99" s="11"/>
      <c r="R99" s="11"/>
      <c r="S99" s="11"/>
      <c r="T99" s="11"/>
      <c r="U99" s="11">
        <v>13</v>
      </c>
      <c r="V99" s="56" t="s">
        <v>698</v>
      </c>
      <c r="W99" s="35" t="str">
        <f t="shared" si="2"/>
        <v>OK</v>
      </c>
      <c r="X99" s="38" t="str">
        <f t="shared" si="4"/>
        <v/>
      </c>
      <c r="Y99" s="3"/>
      <c r="Z99" s="3"/>
    </row>
    <row r="100" spans="1:26" ht="14.4" hidden="1" outlineLevel="1" x14ac:dyDescent="0.3">
      <c r="A100" s="3"/>
      <c r="B100" s="52" t="s">
        <v>527</v>
      </c>
      <c r="C100" s="53"/>
      <c r="D100" s="53"/>
      <c r="E100" s="11">
        <f t="shared" si="46"/>
        <v>78</v>
      </c>
      <c r="F100" s="92"/>
      <c r="G100" s="108"/>
      <c r="H100" s="93"/>
      <c r="I100" s="54"/>
      <c r="J100" s="55"/>
      <c r="K100" s="11"/>
      <c r="L100" s="53" t="str">
        <f t="shared" si="3"/>
        <v/>
      </c>
      <c r="M100" s="11">
        <v>26.43</v>
      </c>
      <c r="N100" s="11">
        <v>24.57</v>
      </c>
      <c r="O100" s="11">
        <v>12</v>
      </c>
      <c r="P100" s="11">
        <v>2</v>
      </c>
      <c r="Q100" s="11"/>
      <c r="R100" s="11"/>
      <c r="S100" s="11"/>
      <c r="T100" s="11"/>
      <c r="U100" s="11">
        <v>13</v>
      </c>
      <c r="V100" s="56" t="s">
        <v>698</v>
      </c>
      <c r="W100" s="35" t="str">
        <f t="shared" si="2"/>
        <v>Diferente</v>
      </c>
      <c r="X100" s="38">
        <f t="shared" si="4"/>
        <v>-78</v>
      </c>
      <c r="Y100" s="3"/>
      <c r="Z100" s="3"/>
    </row>
    <row r="101" spans="1:26" ht="14.4" hidden="1" outlineLevel="1" x14ac:dyDescent="0.3">
      <c r="A101" s="3"/>
      <c r="B101" s="9" t="s">
        <v>528</v>
      </c>
      <c r="C101" s="53">
        <v>24</v>
      </c>
      <c r="D101" s="53" t="s">
        <v>95</v>
      </c>
      <c r="E101" s="11">
        <f t="shared" si="46"/>
        <v>152</v>
      </c>
      <c r="F101" s="92">
        <f t="shared" ref="F101:F102" si="48">E101</f>
        <v>152</v>
      </c>
      <c r="G101" s="108"/>
      <c r="H101" s="93" t="s">
        <v>37</v>
      </c>
      <c r="I101" s="54"/>
      <c r="J101" s="55"/>
      <c r="K101" s="53"/>
      <c r="L101" s="53">
        <f t="shared" si="3"/>
        <v>1</v>
      </c>
      <c r="M101" s="11">
        <v>100.43</v>
      </c>
      <c r="N101" s="11">
        <v>24.57</v>
      </c>
      <c r="O101" s="11">
        <v>12</v>
      </c>
      <c r="P101" s="11">
        <v>2</v>
      </c>
      <c r="Q101" s="11"/>
      <c r="R101" s="11"/>
      <c r="S101" s="11"/>
      <c r="T101" s="11"/>
      <c r="U101" s="11">
        <v>13</v>
      </c>
      <c r="V101" s="56" t="s">
        <v>698</v>
      </c>
      <c r="W101" s="35" t="str">
        <f t="shared" si="2"/>
        <v>OK</v>
      </c>
      <c r="X101" s="38" t="str">
        <f t="shared" si="4"/>
        <v/>
      </c>
      <c r="Y101" s="3"/>
      <c r="Z101" s="3"/>
    </row>
    <row r="102" spans="1:26" ht="14.4" hidden="1" outlineLevel="1" x14ac:dyDescent="0.3">
      <c r="A102" s="3"/>
      <c r="B102" s="52" t="s">
        <v>713</v>
      </c>
      <c r="C102" s="53">
        <v>5</v>
      </c>
      <c r="D102" s="53" t="s">
        <v>95</v>
      </c>
      <c r="E102" s="11">
        <f t="shared" si="46"/>
        <v>70</v>
      </c>
      <c r="F102" s="92">
        <f t="shared" si="48"/>
        <v>70</v>
      </c>
      <c r="G102" s="108"/>
      <c r="H102" s="93" t="s">
        <v>37</v>
      </c>
      <c r="I102" s="54"/>
      <c r="J102" s="55"/>
      <c r="K102" s="53"/>
      <c r="L102" s="53" t="str">
        <f t="shared" si="3"/>
        <v/>
      </c>
      <c r="M102" s="11">
        <v>31.43</v>
      </c>
      <c r="N102" s="11">
        <v>24.57</v>
      </c>
      <c r="O102" s="11">
        <v>12</v>
      </c>
      <c r="P102" s="11">
        <v>2</v>
      </c>
      <c r="Q102" s="11"/>
      <c r="R102" s="11"/>
      <c r="S102" s="11"/>
      <c r="T102" s="11"/>
      <c r="U102" s="11"/>
      <c r="V102" s="56"/>
      <c r="W102" s="35" t="str">
        <f t="shared" si="2"/>
        <v>OK</v>
      </c>
      <c r="X102" s="38" t="str">
        <f t="shared" si="4"/>
        <v/>
      </c>
      <c r="Y102" s="3"/>
      <c r="Z102" s="3"/>
    </row>
    <row r="103" spans="1:26" ht="14.4" hidden="1" outlineLevel="1" x14ac:dyDescent="0.3">
      <c r="A103" s="3"/>
      <c r="B103" s="9"/>
      <c r="C103" s="53"/>
      <c r="D103" s="53"/>
      <c r="E103" s="11"/>
      <c r="F103" s="11"/>
      <c r="G103" s="108"/>
      <c r="H103" s="54"/>
      <c r="I103" s="54"/>
      <c r="J103" s="55"/>
      <c r="K103" s="53"/>
      <c r="L103" s="53" t="str">
        <f t="shared" si="3"/>
        <v/>
      </c>
      <c r="M103" s="11"/>
      <c r="N103" s="11"/>
      <c r="O103" s="11"/>
      <c r="P103" s="11"/>
      <c r="Q103" s="11"/>
      <c r="R103" s="11"/>
      <c r="S103" s="11"/>
      <c r="T103" s="11"/>
      <c r="U103" s="11"/>
      <c r="V103" s="56"/>
      <c r="W103" s="35" t="str">
        <f t="shared" si="2"/>
        <v>OK</v>
      </c>
      <c r="X103" s="38" t="str">
        <f t="shared" si="4"/>
        <v/>
      </c>
      <c r="Y103" s="3"/>
      <c r="Z103" s="3"/>
    </row>
    <row r="104" spans="1:26" ht="14.4" hidden="1" outlineLevel="1" x14ac:dyDescent="0.3">
      <c r="A104" s="3"/>
      <c r="B104" s="9"/>
      <c r="C104" s="53"/>
      <c r="D104" s="53"/>
      <c r="E104" s="11"/>
      <c r="F104" s="11"/>
      <c r="G104" s="58"/>
      <c r="H104" s="54"/>
      <c r="I104" s="54"/>
      <c r="J104" s="55"/>
      <c r="K104" s="53"/>
      <c r="L104" s="53" t="str">
        <f t="shared" si="3"/>
        <v/>
      </c>
      <c r="M104" s="11"/>
      <c r="N104" s="11"/>
      <c r="O104" s="11"/>
      <c r="P104" s="11"/>
      <c r="Q104" s="11"/>
      <c r="R104" s="11"/>
      <c r="S104" s="11"/>
      <c r="T104" s="11"/>
      <c r="U104" s="11"/>
      <c r="V104" s="56"/>
      <c r="W104" s="35" t="str">
        <f t="shared" si="2"/>
        <v>OK</v>
      </c>
      <c r="X104" s="38" t="str">
        <f t="shared" si="4"/>
        <v/>
      </c>
      <c r="Y104" s="3"/>
      <c r="Z104" s="3"/>
    </row>
    <row r="105" spans="1:26" ht="14.4" hidden="1" outlineLevel="1" x14ac:dyDescent="0.3">
      <c r="A105" s="3"/>
      <c r="B105" s="9"/>
      <c r="C105" s="53"/>
      <c r="D105" s="53"/>
      <c r="E105" s="11"/>
      <c r="F105" s="11"/>
      <c r="G105" s="58"/>
      <c r="H105" s="54"/>
      <c r="I105" s="54"/>
      <c r="J105" s="55"/>
      <c r="K105" s="53"/>
      <c r="L105" s="53" t="str">
        <f t="shared" si="3"/>
        <v/>
      </c>
      <c r="M105" s="11"/>
      <c r="N105" s="11"/>
      <c r="O105" s="11"/>
      <c r="P105" s="11"/>
      <c r="Q105" s="11"/>
      <c r="R105" s="11"/>
      <c r="S105" s="11"/>
      <c r="T105" s="11"/>
      <c r="U105" s="11"/>
      <c r="V105" s="53"/>
      <c r="W105" s="35" t="str">
        <f t="shared" si="2"/>
        <v>OK</v>
      </c>
      <c r="X105" s="38" t="str">
        <f t="shared" si="4"/>
        <v/>
      </c>
      <c r="Y105" s="3"/>
      <c r="Z105" s="3"/>
    </row>
    <row r="106" spans="1:26" ht="14.4" hidden="1" outlineLevel="1" x14ac:dyDescent="0.3">
      <c r="A106" s="3"/>
      <c r="B106" s="9"/>
      <c r="C106" s="53"/>
      <c r="D106" s="53"/>
      <c r="E106" s="11"/>
      <c r="F106" s="11"/>
      <c r="G106" s="58"/>
      <c r="H106" s="54"/>
      <c r="I106" s="54"/>
      <c r="J106" s="55"/>
      <c r="K106" s="53"/>
      <c r="L106" s="53" t="str">
        <f t="shared" si="3"/>
        <v/>
      </c>
      <c r="M106" s="11"/>
      <c r="N106" s="11"/>
      <c r="O106" s="11"/>
      <c r="P106" s="11"/>
      <c r="Q106" s="11"/>
      <c r="R106" s="11"/>
      <c r="S106" s="11"/>
      <c r="T106" s="11"/>
      <c r="U106" s="11"/>
      <c r="V106" s="53"/>
      <c r="W106" s="35" t="str">
        <f t="shared" si="2"/>
        <v>OK</v>
      </c>
      <c r="X106" s="38" t="str">
        <f t="shared" si="4"/>
        <v/>
      </c>
      <c r="Y106" s="3"/>
      <c r="Z106" s="3"/>
    </row>
    <row r="107" spans="1:26" ht="14.4" hidden="1" outlineLevel="1" x14ac:dyDescent="0.3">
      <c r="A107" s="3"/>
      <c r="B107" s="9"/>
      <c r="C107" s="53"/>
      <c r="D107" s="53"/>
      <c r="E107" s="11"/>
      <c r="F107" s="11"/>
      <c r="G107" s="58"/>
      <c r="H107" s="54"/>
      <c r="I107" s="54"/>
      <c r="J107" s="55"/>
      <c r="K107" s="53"/>
      <c r="L107" s="53" t="str">
        <f t="shared" si="3"/>
        <v/>
      </c>
      <c r="M107" s="11"/>
      <c r="N107" s="11"/>
      <c r="O107" s="11"/>
      <c r="P107" s="11"/>
      <c r="Q107" s="11"/>
      <c r="R107" s="11"/>
      <c r="S107" s="11"/>
      <c r="T107" s="11"/>
      <c r="U107" s="11"/>
      <c r="V107" s="53"/>
      <c r="W107" s="35" t="str">
        <f t="shared" si="2"/>
        <v>OK</v>
      </c>
      <c r="X107" s="38" t="str">
        <f t="shared" si="4"/>
        <v/>
      </c>
      <c r="Y107" s="3"/>
      <c r="Z107" s="3"/>
    </row>
    <row r="108" spans="1:26" ht="14.4" hidden="1" outlineLevel="1" x14ac:dyDescent="0.3">
      <c r="A108" s="3"/>
      <c r="B108" s="9"/>
      <c r="C108" s="53"/>
      <c r="D108" s="53"/>
      <c r="E108" s="11"/>
      <c r="F108" s="11"/>
      <c r="G108" s="58"/>
      <c r="H108" s="54"/>
      <c r="I108" s="54"/>
      <c r="J108" s="55"/>
      <c r="K108" s="53"/>
      <c r="L108" s="53" t="str">
        <f t="shared" si="3"/>
        <v/>
      </c>
      <c r="M108" s="11"/>
      <c r="N108" s="11"/>
      <c r="O108" s="11"/>
      <c r="P108" s="11"/>
      <c r="Q108" s="11"/>
      <c r="R108" s="11"/>
      <c r="S108" s="11"/>
      <c r="T108" s="11"/>
      <c r="U108" s="11"/>
      <c r="V108" s="53"/>
      <c r="W108" s="35" t="str">
        <f t="shared" si="2"/>
        <v>OK</v>
      </c>
      <c r="X108" s="38" t="str">
        <f t="shared" si="4"/>
        <v/>
      </c>
      <c r="Y108" s="3"/>
      <c r="Z108" s="3"/>
    </row>
    <row r="109" spans="1:26" ht="14.4" hidden="1" outlineLevel="1" x14ac:dyDescent="0.3">
      <c r="A109" s="3"/>
      <c r="B109" s="9"/>
      <c r="C109" s="53"/>
      <c r="D109" s="53"/>
      <c r="E109" s="11"/>
      <c r="F109" s="11"/>
      <c r="G109" s="58"/>
      <c r="H109" s="54"/>
      <c r="I109" s="54"/>
      <c r="J109" s="55"/>
      <c r="K109" s="53"/>
      <c r="L109" s="53" t="str">
        <f t="shared" si="3"/>
        <v/>
      </c>
      <c r="M109" s="11"/>
      <c r="N109" s="11"/>
      <c r="O109" s="11"/>
      <c r="P109" s="11"/>
      <c r="Q109" s="11"/>
      <c r="R109" s="11"/>
      <c r="S109" s="11"/>
      <c r="T109" s="11"/>
      <c r="U109" s="11"/>
      <c r="V109" s="53"/>
      <c r="W109" s="35" t="str">
        <f t="shared" si="2"/>
        <v>OK</v>
      </c>
      <c r="X109" s="38" t="str">
        <f t="shared" si="4"/>
        <v/>
      </c>
      <c r="Y109" s="3"/>
      <c r="Z109" s="3"/>
    </row>
    <row r="110" spans="1:26" ht="14.4" hidden="1" outlineLevel="1" x14ac:dyDescent="0.3">
      <c r="A110" s="3"/>
      <c r="B110" s="9"/>
      <c r="C110" s="53"/>
      <c r="D110" s="53"/>
      <c r="E110" s="11"/>
      <c r="F110" s="11"/>
      <c r="G110" s="58"/>
      <c r="H110" s="54"/>
      <c r="I110" s="54"/>
      <c r="J110" s="55"/>
      <c r="K110" s="53"/>
      <c r="L110" s="53" t="str">
        <f t="shared" si="3"/>
        <v/>
      </c>
      <c r="M110" s="11"/>
      <c r="N110" s="11"/>
      <c r="O110" s="11"/>
      <c r="P110" s="11"/>
      <c r="Q110" s="11"/>
      <c r="R110" s="11"/>
      <c r="S110" s="11"/>
      <c r="T110" s="11"/>
      <c r="U110" s="11"/>
      <c r="V110" s="53"/>
      <c r="W110" s="35" t="str">
        <f t="shared" si="2"/>
        <v>OK</v>
      </c>
      <c r="X110" s="38" t="str">
        <f t="shared" si="4"/>
        <v/>
      </c>
      <c r="Y110" s="3"/>
      <c r="Z110" s="3"/>
    </row>
    <row r="111" spans="1:26" ht="14.4" hidden="1" outlineLevel="1" x14ac:dyDescent="0.3">
      <c r="A111" s="3"/>
      <c r="B111" s="9"/>
      <c r="C111" s="53"/>
      <c r="D111" s="53"/>
      <c r="E111" s="11"/>
      <c r="F111" s="11"/>
      <c r="G111" s="58"/>
      <c r="H111" s="54"/>
      <c r="I111" s="54"/>
      <c r="J111" s="55"/>
      <c r="K111" s="53"/>
      <c r="L111" s="53" t="str">
        <f t="shared" si="3"/>
        <v/>
      </c>
      <c r="M111" s="11"/>
      <c r="N111" s="11"/>
      <c r="O111" s="11"/>
      <c r="P111" s="11"/>
      <c r="Q111" s="11"/>
      <c r="R111" s="11"/>
      <c r="S111" s="11"/>
      <c r="T111" s="11"/>
      <c r="U111" s="11"/>
      <c r="V111" s="53"/>
      <c r="W111" s="35" t="str">
        <f t="shared" si="2"/>
        <v>OK</v>
      </c>
      <c r="X111" s="38" t="str">
        <f t="shared" si="4"/>
        <v/>
      </c>
      <c r="Y111" s="3"/>
      <c r="Z111" s="3"/>
    </row>
    <row r="112" spans="1:26" ht="14.4" hidden="1" outlineLevel="1" x14ac:dyDescent="0.3">
      <c r="A112" s="3"/>
      <c r="B112" s="9"/>
      <c r="C112" s="53"/>
      <c r="D112" s="53"/>
      <c r="E112" s="11"/>
      <c r="F112" s="11"/>
      <c r="G112" s="58"/>
      <c r="H112" s="54"/>
      <c r="I112" s="54"/>
      <c r="J112" s="55"/>
      <c r="K112" s="53"/>
      <c r="L112" s="53" t="str">
        <f t="shared" si="3"/>
        <v/>
      </c>
      <c r="M112" s="11"/>
      <c r="N112" s="11"/>
      <c r="O112" s="11"/>
      <c r="P112" s="11"/>
      <c r="Q112" s="11"/>
      <c r="R112" s="11"/>
      <c r="S112" s="11"/>
      <c r="T112" s="11"/>
      <c r="U112" s="11"/>
      <c r="V112" s="53"/>
      <c r="W112" s="35" t="str">
        <f t="shared" si="2"/>
        <v>OK</v>
      </c>
      <c r="X112" s="38" t="str">
        <f t="shared" si="4"/>
        <v/>
      </c>
      <c r="Y112" s="3"/>
      <c r="Z112" s="3"/>
    </row>
    <row r="113" spans="1:26" ht="14.4" hidden="1" outlineLevel="1" x14ac:dyDescent="0.3">
      <c r="A113" s="3"/>
      <c r="B113" s="9"/>
      <c r="C113" s="53"/>
      <c r="D113" s="53"/>
      <c r="E113" s="11"/>
      <c r="F113" s="11"/>
      <c r="G113" s="58"/>
      <c r="H113" s="54"/>
      <c r="I113" s="54"/>
      <c r="J113" s="55"/>
      <c r="K113" s="53"/>
      <c r="L113" s="53" t="str">
        <f t="shared" si="3"/>
        <v/>
      </c>
      <c r="M113" s="11"/>
      <c r="N113" s="11"/>
      <c r="O113" s="11"/>
      <c r="P113" s="11"/>
      <c r="Q113" s="11"/>
      <c r="R113" s="11"/>
      <c r="S113" s="11"/>
      <c r="T113" s="11"/>
      <c r="U113" s="11"/>
      <c r="V113" s="53"/>
      <c r="W113" s="35" t="str">
        <f t="shared" si="2"/>
        <v>OK</v>
      </c>
      <c r="X113" s="38" t="str">
        <f t="shared" si="4"/>
        <v/>
      </c>
      <c r="Y113" s="3"/>
      <c r="Z113" s="3"/>
    </row>
    <row r="114" spans="1:26" ht="14.4" hidden="1" outlineLevel="1" x14ac:dyDescent="0.3">
      <c r="A114" s="3"/>
      <c r="B114" s="9"/>
      <c r="C114" s="53"/>
      <c r="D114" s="53"/>
      <c r="E114" s="11"/>
      <c r="F114" s="11"/>
      <c r="G114" s="58"/>
      <c r="H114" s="54"/>
      <c r="I114" s="54"/>
      <c r="J114" s="55"/>
      <c r="K114" s="53"/>
      <c r="L114" s="53" t="str">
        <f t="shared" si="3"/>
        <v/>
      </c>
      <c r="M114" s="11"/>
      <c r="N114" s="11"/>
      <c r="O114" s="11"/>
      <c r="P114" s="11"/>
      <c r="Q114" s="11"/>
      <c r="R114" s="11"/>
      <c r="S114" s="11"/>
      <c r="T114" s="11"/>
      <c r="U114" s="11"/>
      <c r="V114" s="53"/>
      <c r="W114" s="35" t="str">
        <f t="shared" si="2"/>
        <v>OK</v>
      </c>
      <c r="X114" s="38" t="str">
        <f t="shared" si="4"/>
        <v/>
      </c>
      <c r="Y114" s="3"/>
      <c r="Z114" s="3"/>
    </row>
    <row r="115" spans="1:26" ht="14.4" hidden="1" outlineLevel="1" x14ac:dyDescent="0.3">
      <c r="A115" s="3"/>
      <c r="B115" s="9"/>
      <c r="C115" s="53"/>
      <c r="D115" s="53"/>
      <c r="E115" s="11"/>
      <c r="F115" s="11"/>
      <c r="G115" s="58"/>
      <c r="H115" s="54"/>
      <c r="I115" s="54"/>
      <c r="J115" s="55"/>
      <c r="K115" s="53"/>
      <c r="L115" s="53" t="str">
        <f t="shared" si="3"/>
        <v/>
      </c>
      <c r="M115" s="11"/>
      <c r="N115" s="11"/>
      <c r="O115" s="11"/>
      <c r="P115" s="11"/>
      <c r="Q115" s="11"/>
      <c r="R115" s="11"/>
      <c r="S115" s="11"/>
      <c r="T115" s="11"/>
      <c r="U115" s="11"/>
      <c r="V115" s="53"/>
      <c r="W115" s="35" t="str">
        <f t="shared" si="2"/>
        <v>OK</v>
      </c>
      <c r="X115" s="38" t="str">
        <f t="shared" si="4"/>
        <v/>
      </c>
      <c r="Y115" s="3"/>
      <c r="Z115" s="3"/>
    </row>
    <row r="116" spans="1:26" ht="14.4" hidden="1" outlineLevel="1" x14ac:dyDescent="0.3">
      <c r="A116" s="3"/>
      <c r="B116" s="9"/>
      <c r="C116" s="53"/>
      <c r="D116" s="53"/>
      <c r="E116" s="11"/>
      <c r="F116" s="11"/>
      <c r="G116" s="58"/>
      <c r="H116" s="54"/>
      <c r="I116" s="54"/>
      <c r="J116" s="55"/>
      <c r="K116" s="53"/>
      <c r="L116" s="53" t="str">
        <f t="shared" si="3"/>
        <v/>
      </c>
      <c r="M116" s="11"/>
      <c r="N116" s="11"/>
      <c r="O116" s="11"/>
      <c r="P116" s="11"/>
      <c r="Q116" s="11"/>
      <c r="R116" s="11"/>
      <c r="S116" s="11"/>
      <c r="T116" s="11"/>
      <c r="U116" s="11"/>
      <c r="V116" s="53"/>
      <c r="W116" s="35" t="str">
        <f t="shared" si="2"/>
        <v>OK</v>
      </c>
      <c r="X116" s="38" t="str">
        <f t="shared" si="4"/>
        <v/>
      </c>
      <c r="Y116" s="3"/>
      <c r="Z116" s="3"/>
    </row>
    <row r="117" spans="1:26" ht="14.4" hidden="1" outlineLevel="1" x14ac:dyDescent="0.3">
      <c r="A117" s="3"/>
      <c r="B117" s="9"/>
      <c r="C117" s="53"/>
      <c r="D117" s="53"/>
      <c r="E117" s="11"/>
      <c r="F117" s="11"/>
      <c r="G117" s="58"/>
      <c r="H117" s="54"/>
      <c r="I117" s="54"/>
      <c r="J117" s="55"/>
      <c r="K117" s="53"/>
      <c r="L117" s="53" t="str">
        <f t="shared" si="3"/>
        <v/>
      </c>
      <c r="M117" s="11"/>
      <c r="N117" s="11"/>
      <c r="O117" s="11"/>
      <c r="P117" s="11"/>
      <c r="Q117" s="11"/>
      <c r="R117" s="11"/>
      <c r="S117" s="11"/>
      <c r="T117" s="11"/>
      <c r="U117" s="11"/>
      <c r="V117" s="53"/>
      <c r="W117" s="35" t="str">
        <f t="shared" si="2"/>
        <v>OK</v>
      </c>
      <c r="X117" s="38" t="str">
        <f t="shared" si="4"/>
        <v/>
      </c>
      <c r="Y117" s="3"/>
      <c r="Z117" s="3"/>
    </row>
    <row r="118" spans="1:26" ht="14.4" hidden="1" outlineLevel="1" x14ac:dyDescent="0.3">
      <c r="A118" s="3"/>
      <c r="B118" s="9"/>
      <c r="C118" s="53"/>
      <c r="D118" s="53"/>
      <c r="E118" s="11"/>
      <c r="F118" s="11"/>
      <c r="G118" s="58"/>
      <c r="H118" s="54"/>
      <c r="I118" s="54"/>
      <c r="J118" s="55"/>
      <c r="K118" s="53"/>
      <c r="L118" s="53" t="str">
        <f t="shared" si="3"/>
        <v/>
      </c>
      <c r="M118" s="11"/>
      <c r="N118" s="11"/>
      <c r="O118" s="11"/>
      <c r="P118" s="11"/>
      <c r="Q118" s="11"/>
      <c r="R118" s="11"/>
      <c r="S118" s="11"/>
      <c r="T118" s="11"/>
      <c r="U118" s="11"/>
      <c r="V118" s="53"/>
      <c r="W118" s="35" t="str">
        <f t="shared" si="2"/>
        <v>OK</v>
      </c>
      <c r="X118" s="38" t="str">
        <f t="shared" si="4"/>
        <v/>
      </c>
      <c r="Y118" s="3"/>
      <c r="Z118" s="3"/>
    </row>
    <row r="119" spans="1:26" ht="14.4" hidden="1" outlineLevel="1" x14ac:dyDescent="0.3">
      <c r="A119" s="3"/>
      <c r="B119" s="9"/>
      <c r="C119" s="53"/>
      <c r="D119" s="53"/>
      <c r="E119" s="11"/>
      <c r="F119" s="11"/>
      <c r="G119" s="58"/>
      <c r="H119" s="54"/>
      <c r="I119" s="54"/>
      <c r="J119" s="55"/>
      <c r="K119" s="53"/>
      <c r="L119" s="53" t="str">
        <f t="shared" si="3"/>
        <v/>
      </c>
      <c r="M119" s="11"/>
      <c r="N119" s="11"/>
      <c r="O119" s="11"/>
      <c r="P119" s="11"/>
      <c r="Q119" s="11"/>
      <c r="R119" s="11"/>
      <c r="S119" s="11"/>
      <c r="T119" s="11"/>
      <c r="U119" s="11"/>
      <c r="V119" s="53"/>
      <c r="W119" s="35" t="str">
        <f t="shared" si="2"/>
        <v>OK</v>
      </c>
      <c r="X119" s="38" t="str">
        <f t="shared" si="4"/>
        <v/>
      </c>
      <c r="Y119" s="3"/>
      <c r="Z119" s="3"/>
    </row>
    <row r="120" spans="1:26" ht="14.4" hidden="1" outlineLevel="1" x14ac:dyDescent="0.3">
      <c r="A120" s="3"/>
      <c r="B120" s="9"/>
      <c r="C120" s="53"/>
      <c r="D120" s="53"/>
      <c r="E120" s="11"/>
      <c r="F120" s="11"/>
      <c r="G120" s="58"/>
      <c r="H120" s="54"/>
      <c r="I120" s="54"/>
      <c r="J120" s="55"/>
      <c r="K120" s="53"/>
      <c r="L120" s="53" t="str">
        <f t="shared" si="3"/>
        <v/>
      </c>
      <c r="M120" s="11"/>
      <c r="N120" s="11"/>
      <c r="O120" s="11"/>
      <c r="P120" s="11"/>
      <c r="Q120" s="11"/>
      <c r="R120" s="11"/>
      <c r="S120" s="11"/>
      <c r="T120" s="11"/>
      <c r="U120" s="11"/>
      <c r="V120" s="53"/>
      <c r="W120" s="35" t="str">
        <f t="shared" si="2"/>
        <v>OK</v>
      </c>
      <c r="X120" s="38" t="str">
        <f t="shared" si="4"/>
        <v/>
      </c>
      <c r="Y120" s="3"/>
      <c r="Z120" s="3"/>
    </row>
    <row r="121" spans="1:26" ht="14.4" hidden="1" outlineLevel="1" x14ac:dyDescent="0.3">
      <c r="A121" s="3"/>
      <c r="B121" s="9"/>
      <c r="C121" s="53"/>
      <c r="D121" s="53"/>
      <c r="E121" s="11"/>
      <c r="F121" s="11"/>
      <c r="G121" s="58"/>
      <c r="H121" s="54"/>
      <c r="I121" s="54"/>
      <c r="J121" s="55"/>
      <c r="K121" s="53"/>
      <c r="L121" s="53" t="str">
        <f t="shared" si="3"/>
        <v/>
      </c>
      <c r="M121" s="11"/>
      <c r="N121" s="11"/>
      <c r="O121" s="11"/>
      <c r="P121" s="11"/>
      <c r="Q121" s="11"/>
      <c r="R121" s="11"/>
      <c r="S121" s="11"/>
      <c r="T121" s="11"/>
      <c r="U121" s="11"/>
      <c r="V121" s="53"/>
      <c r="W121" s="35" t="str">
        <f t="shared" si="2"/>
        <v>OK</v>
      </c>
      <c r="X121" s="38" t="str">
        <f t="shared" si="4"/>
        <v/>
      </c>
      <c r="Y121" s="3"/>
      <c r="Z121" s="3"/>
    </row>
    <row r="122" spans="1:26" ht="14.4" hidden="1" outlineLevel="1" x14ac:dyDescent="0.3">
      <c r="A122" s="3"/>
      <c r="B122" s="9"/>
      <c r="C122" s="53"/>
      <c r="D122" s="53"/>
      <c r="E122" s="11"/>
      <c r="F122" s="11"/>
      <c r="G122" s="58"/>
      <c r="H122" s="54"/>
      <c r="I122" s="54"/>
      <c r="J122" s="55"/>
      <c r="K122" s="53"/>
      <c r="L122" s="53" t="str">
        <f t="shared" si="3"/>
        <v/>
      </c>
      <c r="M122" s="11"/>
      <c r="N122" s="11"/>
      <c r="O122" s="11"/>
      <c r="P122" s="11"/>
      <c r="Q122" s="11"/>
      <c r="R122" s="11"/>
      <c r="S122" s="11"/>
      <c r="T122" s="11"/>
      <c r="U122" s="11"/>
      <c r="V122" s="53"/>
      <c r="W122" s="35" t="str">
        <f t="shared" si="2"/>
        <v>OK</v>
      </c>
      <c r="X122" s="38" t="str">
        <f t="shared" si="4"/>
        <v/>
      </c>
      <c r="Y122" s="3"/>
      <c r="Z122" s="3"/>
    </row>
    <row r="123" spans="1:26" ht="14.4" hidden="1" outlineLevel="1" x14ac:dyDescent="0.3">
      <c r="A123" s="3"/>
      <c r="B123" s="9"/>
      <c r="C123" s="53"/>
      <c r="D123" s="53"/>
      <c r="E123" s="11"/>
      <c r="F123" s="11"/>
      <c r="G123" s="58"/>
      <c r="H123" s="54"/>
      <c r="I123" s="54"/>
      <c r="J123" s="55"/>
      <c r="K123" s="53"/>
      <c r="L123" s="53" t="str">
        <f t="shared" si="3"/>
        <v/>
      </c>
      <c r="M123" s="11"/>
      <c r="N123" s="11"/>
      <c r="O123" s="11"/>
      <c r="P123" s="11"/>
      <c r="Q123" s="11"/>
      <c r="R123" s="11"/>
      <c r="S123" s="11"/>
      <c r="T123" s="11"/>
      <c r="U123" s="11"/>
      <c r="V123" s="53"/>
      <c r="W123" s="35" t="str">
        <f t="shared" si="2"/>
        <v>OK</v>
      </c>
      <c r="X123" s="38" t="str">
        <f t="shared" si="4"/>
        <v/>
      </c>
      <c r="Y123" s="3"/>
      <c r="Z123" s="3"/>
    </row>
    <row r="124" spans="1:26" ht="14.4" hidden="1" outlineLevel="1" x14ac:dyDescent="0.3">
      <c r="A124" s="3"/>
      <c r="B124" s="9"/>
      <c r="C124" s="53"/>
      <c r="D124" s="53"/>
      <c r="E124" s="11"/>
      <c r="F124" s="11"/>
      <c r="G124" s="58"/>
      <c r="H124" s="54"/>
      <c r="I124" s="54"/>
      <c r="J124" s="55"/>
      <c r="K124" s="53"/>
      <c r="L124" s="53" t="str">
        <f t="shared" si="3"/>
        <v/>
      </c>
      <c r="M124" s="11"/>
      <c r="N124" s="11"/>
      <c r="O124" s="11"/>
      <c r="P124" s="11"/>
      <c r="Q124" s="11"/>
      <c r="R124" s="11"/>
      <c r="S124" s="11"/>
      <c r="T124" s="11"/>
      <c r="U124" s="11"/>
      <c r="V124" s="53"/>
      <c r="W124" s="35" t="str">
        <f t="shared" si="2"/>
        <v>OK</v>
      </c>
      <c r="X124" s="38" t="str">
        <f t="shared" si="4"/>
        <v/>
      </c>
      <c r="Y124" s="3"/>
      <c r="Z124" s="3"/>
    </row>
    <row r="125" spans="1:26" ht="14.4" hidden="1" outlineLevel="1" x14ac:dyDescent="0.3">
      <c r="A125" s="3"/>
      <c r="B125" s="9"/>
      <c r="C125" s="53"/>
      <c r="D125" s="53"/>
      <c r="E125" s="11"/>
      <c r="F125" s="11"/>
      <c r="G125" s="58"/>
      <c r="H125" s="54"/>
      <c r="I125" s="54"/>
      <c r="J125" s="55"/>
      <c r="K125" s="53"/>
      <c r="L125" s="53" t="str">
        <f t="shared" si="3"/>
        <v/>
      </c>
      <c r="M125" s="11"/>
      <c r="N125" s="11"/>
      <c r="O125" s="11"/>
      <c r="P125" s="11"/>
      <c r="Q125" s="11"/>
      <c r="R125" s="11"/>
      <c r="S125" s="11"/>
      <c r="T125" s="11"/>
      <c r="U125" s="11"/>
      <c r="V125" s="53"/>
      <c r="W125" s="35" t="str">
        <f t="shared" si="2"/>
        <v>OK</v>
      </c>
      <c r="X125" s="38" t="str">
        <f t="shared" si="4"/>
        <v/>
      </c>
      <c r="Y125" s="3"/>
      <c r="Z125" s="3"/>
    </row>
    <row r="126" spans="1:26" ht="14.4" hidden="1" outlineLevel="1" x14ac:dyDescent="0.3">
      <c r="A126" s="3"/>
      <c r="B126" s="9"/>
      <c r="C126" s="53"/>
      <c r="D126" s="53"/>
      <c r="E126" s="11"/>
      <c r="F126" s="11"/>
      <c r="G126" s="58"/>
      <c r="H126" s="54"/>
      <c r="I126" s="54"/>
      <c r="J126" s="55"/>
      <c r="K126" s="53"/>
      <c r="L126" s="53"/>
      <c r="M126" s="11"/>
      <c r="N126" s="11"/>
      <c r="O126" s="11"/>
      <c r="P126" s="11"/>
      <c r="Q126" s="11"/>
      <c r="R126" s="11"/>
      <c r="S126" s="11"/>
      <c r="T126" s="11"/>
      <c r="U126" s="11"/>
      <c r="V126" s="53"/>
      <c r="W126" s="35" t="str">
        <f t="shared" si="2"/>
        <v>OK</v>
      </c>
      <c r="X126" s="38" t="str">
        <f t="shared" si="4"/>
        <v/>
      </c>
      <c r="Y126" s="3"/>
      <c r="Z126" s="3"/>
    </row>
    <row r="127" spans="1:26" ht="20.399999999999999" collapsed="1" x14ac:dyDescent="0.3">
      <c r="A127" s="3"/>
      <c r="B127" s="64" t="s">
        <v>63</v>
      </c>
      <c r="C127" s="47" t="s">
        <v>44</v>
      </c>
      <c r="D127" s="47" t="s">
        <v>44</v>
      </c>
      <c r="E127" s="48">
        <f t="shared" ref="E127:F127" si="49">SUM(E128,E131,,E135,E139,E143)</f>
        <v>0</v>
      </c>
      <c r="F127" s="48">
        <f t="shared" si="49"/>
        <v>4018.3199999999997</v>
      </c>
      <c r="G127" s="49" t="s">
        <v>44</v>
      </c>
      <c r="H127" s="65"/>
      <c r="I127" s="65"/>
      <c r="J127" s="3"/>
      <c r="K127" s="3"/>
      <c r="L127" s="3"/>
      <c r="M127" s="3"/>
      <c r="N127" s="3"/>
      <c r="O127" s="3"/>
      <c r="P127" s="3"/>
      <c r="Q127" s="3"/>
      <c r="R127" s="3"/>
      <c r="S127" s="3"/>
      <c r="T127" s="3"/>
      <c r="U127" s="3"/>
      <c r="V127" s="3"/>
      <c r="W127" s="35"/>
      <c r="X127" s="32"/>
      <c r="Y127" s="3"/>
      <c r="Z127" s="3"/>
    </row>
    <row r="128" spans="1:26" hidden="1" outlineLevel="1" x14ac:dyDescent="0.3">
      <c r="A128" s="3"/>
      <c r="B128" s="66" t="s">
        <v>231</v>
      </c>
      <c r="C128" s="67" t="s">
        <v>44</v>
      </c>
      <c r="D128" s="67" t="s">
        <v>44</v>
      </c>
      <c r="E128" s="68">
        <f>SUM(E129:E130)</f>
        <v>0</v>
      </c>
      <c r="F128" s="68">
        <f>SUMIF(D129:D130,"OK",F129:F130)</f>
        <v>0</v>
      </c>
      <c r="G128" s="69" t="s">
        <v>44</v>
      </c>
      <c r="H128" s="70"/>
      <c r="I128" s="70"/>
      <c r="J128" s="3"/>
      <c r="K128" s="3"/>
      <c r="L128" s="3"/>
      <c r="M128" s="3"/>
      <c r="N128" s="3"/>
      <c r="O128" s="3"/>
      <c r="P128" s="3"/>
      <c r="Q128" s="3"/>
      <c r="R128" s="3"/>
      <c r="S128" s="3"/>
      <c r="T128" s="3"/>
      <c r="U128" s="3"/>
      <c r="V128" s="3"/>
      <c r="W128" s="35"/>
      <c r="X128" s="32"/>
      <c r="Y128" s="3"/>
      <c r="Z128" s="3"/>
    </row>
    <row r="129" spans="1:26" ht="14.4" hidden="1" outlineLevel="1" x14ac:dyDescent="0.3">
      <c r="A129" s="3"/>
      <c r="B129" s="9" t="s">
        <v>232</v>
      </c>
      <c r="C129" s="53"/>
      <c r="D129" s="53"/>
      <c r="E129" s="11">
        <v>0</v>
      </c>
      <c r="F129" s="11">
        <v>0</v>
      </c>
      <c r="G129" s="58"/>
      <c r="H129" s="54" t="s">
        <v>37</v>
      </c>
      <c r="I129" s="54"/>
      <c r="J129" s="3"/>
      <c r="K129" s="3"/>
      <c r="L129" s="3"/>
      <c r="M129" s="3"/>
      <c r="N129" s="3"/>
      <c r="O129" s="3"/>
      <c r="P129" s="3"/>
      <c r="Q129" s="3"/>
      <c r="R129" s="3"/>
      <c r="S129" s="3"/>
      <c r="T129" s="3"/>
      <c r="U129" s="3"/>
      <c r="V129" s="3"/>
      <c r="W129" s="35"/>
      <c r="X129" s="32"/>
      <c r="Y129" s="3"/>
      <c r="Z129" s="3"/>
    </row>
    <row r="130" spans="1:26" ht="14.4" hidden="1" outlineLevel="1" x14ac:dyDescent="0.3">
      <c r="A130" s="3"/>
      <c r="B130" s="9" t="s">
        <v>62</v>
      </c>
      <c r="C130" s="53"/>
      <c r="D130" s="53"/>
      <c r="E130" s="11">
        <v>0</v>
      </c>
      <c r="F130" s="11">
        <v>0</v>
      </c>
      <c r="G130" s="58"/>
      <c r="H130" s="54"/>
      <c r="I130" s="54"/>
      <c r="J130" s="3"/>
      <c r="K130" s="3"/>
      <c r="L130" s="3"/>
      <c r="M130" s="3"/>
      <c r="N130" s="3"/>
      <c r="O130" s="3"/>
      <c r="P130" s="3"/>
      <c r="Q130" s="3"/>
      <c r="R130" s="3"/>
      <c r="S130" s="3"/>
      <c r="T130" s="3"/>
      <c r="U130" s="3"/>
      <c r="V130" s="3"/>
      <c r="W130" s="35"/>
      <c r="X130" s="32"/>
      <c r="Y130" s="3"/>
      <c r="Z130" s="3"/>
    </row>
    <row r="131" spans="1:26" hidden="1" outlineLevel="1" x14ac:dyDescent="0.3">
      <c r="A131" s="3"/>
      <c r="B131" s="66" t="s">
        <v>233</v>
      </c>
      <c r="C131" s="67" t="s">
        <v>44</v>
      </c>
      <c r="D131" s="67" t="s">
        <v>44</v>
      </c>
      <c r="E131" s="68">
        <f>SUM(E132:E134)</f>
        <v>0</v>
      </c>
      <c r="F131" s="68">
        <f>SUMIF(D132:D134,"OK",F132:F134)</f>
        <v>1297.32</v>
      </c>
      <c r="G131" s="69" t="s">
        <v>44</v>
      </c>
      <c r="H131" s="70"/>
      <c r="I131" s="70"/>
      <c r="J131" s="3"/>
      <c r="K131" s="3"/>
      <c r="L131" s="3"/>
      <c r="M131" s="3"/>
      <c r="N131" s="3"/>
      <c r="O131" s="3"/>
      <c r="P131" s="3"/>
      <c r="Q131" s="3"/>
      <c r="R131" s="3"/>
      <c r="S131" s="3"/>
      <c r="T131" s="3"/>
      <c r="U131" s="3"/>
      <c r="V131" s="3"/>
      <c r="W131" s="35"/>
      <c r="X131" s="32"/>
      <c r="Y131" s="3"/>
      <c r="Z131" s="3"/>
    </row>
    <row r="132" spans="1:26" ht="14.4" hidden="1" outlineLevel="1" x14ac:dyDescent="0.3">
      <c r="A132" s="3"/>
      <c r="B132" s="9" t="s">
        <v>530</v>
      </c>
      <c r="C132" s="53" t="s">
        <v>714</v>
      </c>
      <c r="D132" s="53" t="s">
        <v>95</v>
      </c>
      <c r="E132" s="11">
        <v>0</v>
      </c>
      <c r="F132" s="11">
        <v>1204</v>
      </c>
      <c r="G132" s="60"/>
      <c r="H132" s="54" t="s">
        <v>39</v>
      </c>
      <c r="I132" s="54"/>
      <c r="J132" s="3"/>
      <c r="K132" s="3"/>
      <c r="L132" s="3"/>
      <c r="M132" s="3"/>
      <c r="N132" s="3"/>
      <c r="O132" s="3"/>
      <c r="P132" s="3"/>
      <c r="Q132" s="3"/>
      <c r="R132" s="3"/>
      <c r="S132" s="3"/>
      <c r="T132" s="3"/>
      <c r="U132" s="3"/>
      <c r="V132" s="3"/>
      <c r="W132" s="35"/>
      <c r="X132" s="32"/>
      <c r="Y132" s="3"/>
      <c r="Z132" s="3"/>
    </row>
    <row r="133" spans="1:26" ht="14.4" hidden="1" outlineLevel="1" x14ac:dyDescent="0.3">
      <c r="A133" s="3"/>
      <c r="B133" s="9" t="s">
        <v>532</v>
      </c>
      <c r="C133" s="53">
        <v>15</v>
      </c>
      <c r="D133" s="53" t="s">
        <v>95</v>
      </c>
      <c r="E133" s="11">
        <v>0</v>
      </c>
      <c r="F133" s="11">
        <v>40</v>
      </c>
      <c r="G133" s="61" t="s">
        <v>715</v>
      </c>
      <c r="H133" s="54" t="s">
        <v>37</v>
      </c>
      <c r="I133" s="54"/>
      <c r="J133" s="3"/>
      <c r="K133" s="3"/>
      <c r="L133" s="3"/>
      <c r="M133" s="3"/>
      <c r="N133" s="3"/>
      <c r="O133" s="3"/>
      <c r="P133" s="3"/>
      <c r="Q133" s="3"/>
      <c r="R133" s="3"/>
      <c r="S133" s="3"/>
      <c r="T133" s="3"/>
      <c r="U133" s="3"/>
      <c r="V133" s="3"/>
      <c r="W133" s="35"/>
      <c r="X133" s="32"/>
      <c r="Y133" s="3"/>
      <c r="Z133" s="3"/>
    </row>
    <row r="134" spans="1:26" ht="14.4" hidden="1" outlineLevel="1" x14ac:dyDescent="0.3">
      <c r="A134" s="3"/>
      <c r="B134" s="9" t="s">
        <v>533</v>
      </c>
      <c r="C134" s="71">
        <v>1</v>
      </c>
      <c r="D134" s="53" t="s">
        <v>95</v>
      </c>
      <c r="E134" s="11">
        <v>0</v>
      </c>
      <c r="F134" s="11">
        <f>3+3+3+6+38.32</f>
        <v>53.32</v>
      </c>
      <c r="G134" s="60"/>
      <c r="H134" s="54" t="s">
        <v>38</v>
      </c>
      <c r="I134" s="54"/>
      <c r="J134" s="3"/>
      <c r="K134" s="3"/>
      <c r="L134" s="3"/>
      <c r="M134" s="3"/>
      <c r="N134" s="3"/>
      <c r="O134" s="3"/>
      <c r="P134" s="3"/>
      <c r="Q134" s="3"/>
      <c r="R134" s="3"/>
      <c r="S134" s="3"/>
      <c r="T134" s="3"/>
      <c r="U134" s="3"/>
      <c r="V134" s="3"/>
      <c r="W134" s="35"/>
      <c r="X134" s="32"/>
      <c r="Y134" s="3"/>
      <c r="Z134" s="3"/>
    </row>
    <row r="135" spans="1:26" hidden="1" outlineLevel="1" x14ac:dyDescent="0.3">
      <c r="A135" s="3"/>
      <c r="B135" s="66" t="s">
        <v>652</v>
      </c>
      <c r="C135" s="67" t="s">
        <v>44</v>
      </c>
      <c r="D135" s="67" t="s">
        <v>44</v>
      </c>
      <c r="E135" s="68">
        <f>SUM(E136:E138)</f>
        <v>0</v>
      </c>
      <c r="F135" s="68">
        <f>SUMIF(D136:D138,"OK",F136:F138)</f>
        <v>0</v>
      </c>
      <c r="G135" s="69" t="s">
        <v>44</v>
      </c>
      <c r="H135" s="70"/>
      <c r="I135" s="70"/>
      <c r="J135" s="3"/>
      <c r="K135" s="3"/>
      <c r="L135" s="3"/>
      <c r="M135" s="3"/>
      <c r="N135" s="3"/>
      <c r="O135" s="3"/>
      <c r="P135" s="3"/>
      <c r="Q135" s="3"/>
      <c r="R135" s="3"/>
      <c r="S135" s="3"/>
      <c r="T135" s="3"/>
      <c r="U135" s="3"/>
      <c r="V135" s="3"/>
      <c r="W135" s="35"/>
      <c r="X135" s="32"/>
      <c r="Y135" s="3"/>
      <c r="Z135" s="3"/>
    </row>
    <row r="136" spans="1:26" ht="14.4" hidden="1" outlineLevel="1" x14ac:dyDescent="0.3">
      <c r="A136" s="3"/>
      <c r="B136" s="9" t="s">
        <v>64</v>
      </c>
      <c r="C136" s="53"/>
      <c r="D136" s="53"/>
      <c r="E136" s="11">
        <v>0</v>
      </c>
      <c r="F136" s="11">
        <v>0</v>
      </c>
      <c r="G136" s="60"/>
      <c r="H136" s="54"/>
      <c r="I136" s="54"/>
      <c r="J136" s="3"/>
      <c r="K136" s="3"/>
      <c r="L136" s="3"/>
      <c r="M136" s="3"/>
      <c r="N136" s="3"/>
      <c r="O136" s="3"/>
      <c r="P136" s="3"/>
      <c r="Q136" s="3"/>
      <c r="R136" s="3"/>
      <c r="S136" s="3"/>
      <c r="T136" s="3"/>
      <c r="U136" s="3"/>
      <c r="V136" s="3"/>
      <c r="W136" s="35"/>
      <c r="X136" s="32"/>
      <c r="Y136" s="3"/>
      <c r="Z136" s="3"/>
    </row>
    <row r="137" spans="1:26" ht="14.4" hidden="1" outlineLevel="1" x14ac:dyDescent="0.3">
      <c r="A137" s="3"/>
      <c r="B137" s="9" t="s">
        <v>533</v>
      </c>
      <c r="C137" s="53"/>
      <c r="D137" s="53"/>
      <c r="E137" s="11">
        <v>0</v>
      </c>
      <c r="F137" s="11">
        <v>0</v>
      </c>
      <c r="G137" s="58"/>
      <c r="H137" s="54"/>
      <c r="I137" s="54"/>
      <c r="J137" s="3"/>
      <c r="K137" s="3"/>
      <c r="L137" s="3"/>
      <c r="M137" s="3"/>
      <c r="N137" s="3"/>
      <c r="O137" s="3"/>
      <c r="P137" s="3"/>
      <c r="Q137" s="3"/>
      <c r="R137" s="3"/>
      <c r="S137" s="3"/>
      <c r="T137" s="3"/>
      <c r="U137" s="3"/>
      <c r="V137" s="3"/>
      <c r="W137" s="35"/>
      <c r="X137" s="32"/>
      <c r="Y137" s="3"/>
      <c r="Z137" s="3"/>
    </row>
    <row r="138" spans="1:26" ht="14.4" hidden="1" outlineLevel="1" x14ac:dyDescent="0.3">
      <c r="A138" s="3"/>
      <c r="B138" s="9" t="s">
        <v>716</v>
      </c>
      <c r="C138" s="53"/>
      <c r="D138" s="53"/>
      <c r="E138" s="11">
        <v>0</v>
      </c>
      <c r="F138" s="11">
        <v>0</v>
      </c>
      <c r="G138" s="58"/>
      <c r="H138" s="54"/>
      <c r="I138" s="54"/>
      <c r="J138" s="3"/>
      <c r="K138" s="3"/>
      <c r="L138" s="3"/>
      <c r="M138" s="3"/>
      <c r="N138" s="3"/>
      <c r="O138" s="3"/>
      <c r="P138" s="3"/>
      <c r="Q138" s="3"/>
      <c r="R138" s="3"/>
      <c r="S138" s="3"/>
      <c r="T138" s="3"/>
      <c r="U138" s="3"/>
      <c r="V138" s="3"/>
      <c r="W138" s="35"/>
      <c r="X138" s="32"/>
      <c r="Y138" s="3"/>
      <c r="Z138" s="3"/>
    </row>
    <row r="139" spans="1:26" hidden="1" outlineLevel="1" x14ac:dyDescent="0.3">
      <c r="A139" s="3"/>
      <c r="B139" s="66" t="s">
        <v>65</v>
      </c>
      <c r="C139" s="67" t="s">
        <v>44</v>
      </c>
      <c r="D139" s="67" t="s">
        <v>44</v>
      </c>
      <c r="E139" s="68">
        <f>SUM(E140:E142)</f>
        <v>0</v>
      </c>
      <c r="F139" s="68">
        <f>SUMIF(D140:D142,"OK",F140:F142)</f>
        <v>46</v>
      </c>
      <c r="G139" s="69" t="s">
        <v>44</v>
      </c>
      <c r="H139" s="70"/>
      <c r="I139" s="70"/>
      <c r="J139" s="3"/>
      <c r="K139" s="3"/>
      <c r="L139" s="3"/>
      <c r="M139" s="3"/>
      <c r="N139" s="3"/>
      <c r="O139" s="3"/>
      <c r="P139" s="3"/>
      <c r="Q139" s="3"/>
      <c r="R139" s="3"/>
      <c r="S139" s="3"/>
      <c r="T139" s="3"/>
      <c r="U139" s="3"/>
      <c r="V139" s="3"/>
      <c r="W139" s="35"/>
      <c r="X139" s="32"/>
      <c r="Y139" s="3"/>
      <c r="Z139" s="3"/>
    </row>
    <row r="140" spans="1:26" ht="14.4" hidden="1" outlineLevel="1" x14ac:dyDescent="0.3">
      <c r="A140" s="3"/>
      <c r="B140" s="9" t="s">
        <v>717</v>
      </c>
      <c r="C140" s="53">
        <v>6</v>
      </c>
      <c r="D140" s="53" t="s">
        <v>95</v>
      </c>
      <c r="E140" s="11">
        <v>0</v>
      </c>
      <c r="F140" s="11">
        <f>46</f>
        <v>46</v>
      </c>
      <c r="G140" s="61" t="s">
        <v>718</v>
      </c>
      <c r="H140" s="54" t="s">
        <v>37</v>
      </c>
      <c r="I140" s="54"/>
      <c r="J140" s="3"/>
      <c r="K140" s="3"/>
      <c r="L140" s="3"/>
      <c r="M140" s="3"/>
      <c r="N140" s="3"/>
      <c r="O140" s="3"/>
      <c r="P140" s="3"/>
      <c r="Q140" s="3"/>
      <c r="R140" s="3"/>
      <c r="S140" s="3"/>
      <c r="T140" s="3"/>
      <c r="U140" s="3"/>
      <c r="V140" s="3"/>
      <c r="W140" s="35"/>
      <c r="X140" s="32"/>
      <c r="Y140" s="3"/>
      <c r="Z140" s="3"/>
    </row>
    <row r="141" spans="1:26" ht="14.4" hidden="1" outlineLevel="1" x14ac:dyDescent="0.3">
      <c r="A141" s="3"/>
      <c r="B141" s="9" t="s">
        <v>64</v>
      </c>
      <c r="C141" s="53"/>
      <c r="D141" s="53"/>
      <c r="E141" s="11">
        <v>0</v>
      </c>
      <c r="F141" s="11">
        <v>0</v>
      </c>
      <c r="G141" s="58"/>
      <c r="H141" s="54"/>
      <c r="I141" s="54"/>
      <c r="J141" s="3"/>
      <c r="K141" s="3"/>
      <c r="L141" s="3"/>
      <c r="M141" s="3"/>
      <c r="N141" s="3"/>
      <c r="O141" s="3"/>
      <c r="P141" s="3"/>
      <c r="Q141" s="3"/>
      <c r="R141" s="3"/>
      <c r="S141" s="3"/>
      <c r="T141" s="3"/>
      <c r="U141" s="3"/>
      <c r="V141" s="3"/>
      <c r="W141" s="35"/>
      <c r="X141" s="32"/>
      <c r="Y141" s="3"/>
      <c r="Z141" s="3"/>
    </row>
    <row r="142" spans="1:26" ht="14.4" hidden="1" outlineLevel="1" x14ac:dyDescent="0.3">
      <c r="A142" s="3"/>
      <c r="B142" s="9" t="s">
        <v>62</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idden="1" outlineLevel="1" x14ac:dyDescent="0.3">
      <c r="A143" s="3"/>
      <c r="B143" s="66" t="s">
        <v>63</v>
      </c>
      <c r="C143" s="67" t="s">
        <v>44</v>
      </c>
      <c r="D143" s="67" t="s">
        <v>44</v>
      </c>
      <c r="E143" s="68">
        <f>SUM(E144:E146)</f>
        <v>0</v>
      </c>
      <c r="F143" s="68">
        <f>SUMIF(D144:D146,"OK",F144:F146)</f>
        <v>2675</v>
      </c>
      <c r="G143" s="69" t="s">
        <v>44</v>
      </c>
      <c r="H143" s="70"/>
      <c r="I143" s="70"/>
      <c r="J143" s="3"/>
      <c r="K143" s="3"/>
      <c r="L143" s="3"/>
      <c r="M143" s="3"/>
      <c r="N143" s="3"/>
      <c r="O143" s="3"/>
      <c r="P143" s="3"/>
      <c r="Q143" s="3"/>
      <c r="R143" s="3"/>
      <c r="S143" s="3"/>
      <c r="T143" s="3"/>
      <c r="U143" s="3"/>
      <c r="V143" s="3"/>
      <c r="W143" s="35"/>
      <c r="X143" s="32"/>
      <c r="Y143" s="3"/>
      <c r="Z143" s="3"/>
    </row>
    <row r="144" spans="1:26" ht="14.4" hidden="1" outlineLevel="1" x14ac:dyDescent="0.3">
      <c r="A144" s="3"/>
      <c r="B144" s="9" t="s">
        <v>538</v>
      </c>
      <c r="C144" s="53">
        <v>10</v>
      </c>
      <c r="D144" s="53" t="s">
        <v>95</v>
      </c>
      <c r="E144" s="11">
        <v>0</v>
      </c>
      <c r="F144" s="11">
        <f>65+130</f>
        <v>195</v>
      </c>
      <c r="G144" s="61" t="s">
        <v>719</v>
      </c>
      <c r="H144" s="54" t="s">
        <v>37</v>
      </c>
      <c r="I144" s="54"/>
      <c r="J144" s="3"/>
      <c r="K144" s="3"/>
      <c r="L144" s="3"/>
      <c r="M144" s="3"/>
      <c r="N144" s="3"/>
      <c r="O144" s="3"/>
      <c r="P144" s="3"/>
      <c r="Q144" s="3"/>
      <c r="R144" s="3"/>
      <c r="S144" s="3"/>
      <c r="T144" s="3"/>
      <c r="U144" s="3"/>
      <c r="V144" s="3"/>
      <c r="W144" s="35"/>
      <c r="X144" s="32"/>
      <c r="Y144" s="3"/>
      <c r="Z144" s="3"/>
    </row>
    <row r="145" spans="1:26" ht="14.4" hidden="1" outlineLevel="1" x14ac:dyDescent="0.3">
      <c r="A145" s="3"/>
      <c r="B145" s="9" t="s">
        <v>538</v>
      </c>
      <c r="C145" s="53" t="s">
        <v>714</v>
      </c>
      <c r="D145" s="53" t="s">
        <v>95</v>
      </c>
      <c r="E145" s="11">
        <v>0</v>
      </c>
      <c r="F145" s="11">
        <f>65+65+200+65+220+130+175+65+65+65+65+65+260+65+150+65+65+65+130+65+65+110+130+65</f>
        <v>2480</v>
      </c>
      <c r="G145" s="58"/>
      <c r="H145" s="54" t="s">
        <v>38</v>
      </c>
      <c r="I145" s="54"/>
      <c r="J145" s="3"/>
      <c r="K145" s="3"/>
      <c r="L145" s="3"/>
      <c r="M145" s="3"/>
      <c r="N145" s="3"/>
      <c r="O145" s="3"/>
      <c r="P145" s="3"/>
      <c r="Q145" s="3"/>
      <c r="R145" s="3"/>
      <c r="S145" s="3"/>
      <c r="T145" s="3"/>
      <c r="U145" s="3"/>
      <c r="V145" s="3"/>
      <c r="W145" s="35"/>
      <c r="X145" s="32"/>
      <c r="Y145" s="3"/>
      <c r="Z145" s="3"/>
    </row>
    <row r="146" spans="1:26" ht="14.4" hidden="1" outlineLevel="1" x14ac:dyDescent="0.3">
      <c r="A146" s="3"/>
      <c r="B146" s="9" t="s">
        <v>62</v>
      </c>
      <c r="C146" s="53"/>
      <c r="D146" s="53"/>
      <c r="E146" s="11">
        <v>0</v>
      </c>
      <c r="F146" s="11">
        <v>0</v>
      </c>
      <c r="G146" s="58"/>
      <c r="H146" s="54"/>
      <c r="I146" s="54"/>
      <c r="J146" s="3"/>
      <c r="K146" s="3"/>
      <c r="L146" s="3"/>
      <c r="M146" s="3"/>
      <c r="N146" s="3"/>
      <c r="O146" s="3"/>
      <c r="P146" s="3"/>
      <c r="Q146" s="3"/>
      <c r="R146" s="3"/>
      <c r="S146" s="3"/>
      <c r="T146" s="3"/>
      <c r="U146" s="3"/>
      <c r="V146" s="3"/>
      <c r="W146" s="35"/>
      <c r="X146" s="32"/>
      <c r="Y146" s="3"/>
      <c r="Z146" s="3"/>
    </row>
    <row r="147" spans="1:26" ht="20.399999999999999" collapsed="1" x14ac:dyDescent="0.3">
      <c r="A147" s="3"/>
      <c r="B147" s="64" t="s">
        <v>240</v>
      </c>
      <c r="C147" s="47" t="s">
        <v>44</v>
      </c>
      <c r="D147" s="47" t="s">
        <v>44</v>
      </c>
      <c r="E147" s="48">
        <f t="shared" ref="E147:F147" si="50">SUM(E148,E153,E158,E162)</f>
        <v>0</v>
      </c>
      <c r="F147" s="48">
        <f t="shared" si="50"/>
        <v>2762.8</v>
      </c>
      <c r="G147" s="49" t="s">
        <v>44</v>
      </c>
      <c r="H147" s="65"/>
      <c r="I147" s="65"/>
      <c r="J147" s="3"/>
      <c r="K147" s="3"/>
      <c r="L147" s="3"/>
      <c r="M147" s="3"/>
      <c r="N147" s="3"/>
      <c r="O147" s="3"/>
      <c r="P147" s="3"/>
      <c r="Q147" s="3"/>
      <c r="R147" s="3"/>
      <c r="S147" s="3"/>
      <c r="T147" s="3"/>
      <c r="U147" s="3"/>
      <c r="V147" s="3"/>
      <c r="W147" s="35"/>
      <c r="X147" s="32"/>
      <c r="Y147" s="3"/>
      <c r="Z147" s="3"/>
    </row>
    <row r="148" spans="1:26" hidden="1" outlineLevel="1" x14ac:dyDescent="0.3">
      <c r="A148" s="3"/>
      <c r="B148" s="66" t="s">
        <v>241</v>
      </c>
      <c r="C148" s="67" t="s">
        <v>44</v>
      </c>
      <c r="D148" s="67" t="s">
        <v>44</v>
      </c>
      <c r="E148" s="68">
        <f>SUM(E149:E152)</f>
        <v>0</v>
      </c>
      <c r="F148" s="68">
        <f>SUMIF(D149:D152,"OK",F149:F152)</f>
        <v>633</v>
      </c>
      <c r="G148" s="69" t="s">
        <v>44</v>
      </c>
      <c r="H148" s="70"/>
      <c r="I148" s="70"/>
      <c r="J148" s="3"/>
      <c r="K148" s="3"/>
      <c r="L148" s="3"/>
      <c r="M148" s="3"/>
      <c r="N148" s="3"/>
      <c r="O148" s="3"/>
      <c r="P148" s="3"/>
      <c r="Q148" s="3"/>
      <c r="R148" s="3"/>
      <c r="S148" s="3"/>
      <c r="T148" s="3"/>
      <c r="U148" s="3"/>
      <c r="V148" s="3"/>
      <c r="W148" s="35"/>
      <c r="X148" s="32"/>
      <c r="Y148" s="3"/>
      <c r="Z148" s="3"/>
    </row>
    <row r="149" spans="1:26" ht="14.4" hidden="1" outlineLevel="1" x14ac:dyDescent="0.3">
      <c r="A149" s="3"/>
      <c r="B149" s="9" t="s">
        <v>242</v>
      </c>
      <c r="C149" s="53">
        <v>1</v>
      </c>
      <c r="D149" s="53" t="s">
        <v>95</v>
      </c>
      <c r="E149" s="11">
        <v>0</v>
      </c>
      <c r="F149" s="11">
        <f>5+10+20+20+30+10+5+50+9+15+30+10+10+10+5+30+1</f>
        <v>270</v>
      </c>
      <c r="G149" s="58"/>
      <c r="H149" s="54" t="s">
        <v>37</v>
      </c>
      <c r="I149" s="54"/>
      <c r="J149" s="3"/>
      <c r="K149" s="3"/>
      <c r="L149" s="3"/>
      <c r="M149" s="3"/>
      <c r="N149" s="3"/>
      <c r="O149" s="3"/>
      <c r="P149" s="3"/>
      <c r="Q149" s="3"/>
      <c r="R149" s="3"/>
      <c r="S149" s="3"/>
      <c r="T149" s="3"/>
      <c r="U149" s="3"/>
      <c r="V149" s="3"/>
      <c r="W149" s="35"/>
      <c r="X149" s="32"/>
      <c r="Y149" s="3"/>
      <c r="Z149" s="3"/>
    </row>
    <row r="150" spans="1:26" ht="14.4" hidden="1" outlineLevel="1" x14ac:dyDescent="0.3">
      <c r="A150" s="3"/>
      <c r="B150" s="9" t="s">
        <v>243</v>
      </c>
      <c r="C150" s="53">
        <v>1</v>
      </c>
      <c r="D150" s="53" t="s">
        <v>95</v>
      </c>
      <c r="E150" s="11">
        <v>0</v>
      </c>
      <c r="F150" s="11">
        <v>0</v>
      </c>
      <c r="G150" s="58"/>
      <c r="H150" s="54" t="s">
        <v>36</v>
      </c>
      <c r="I150" s="54"/>
      <c r="J150" s="3"/>
      <c r="K150" s="3"/>
      <c r="L150" s="3"/>
      <c r="M150" s="3"/>
      <c r="N150" s="3"/>
      <c r="O150" s="3"/>
      <c r="P150" s="3"/>
      <c r="Q150" s="3"/>
      <c r="R150" s="3"/>
      <c r="S150" s="3"/>
      <c r="T150" s="3"/>
      <c r="U150" s="3"/>
      <c r="V150" s="3"/>
      <c r="W150" s="35"/>
      <c r="X150" s="32"/>
      <c r="Y150" s="3"/>
      <c r="Z150" s="3"/>
    </row>
    <row r="151" spans="1:26" ht="14.4" hidden="1" outlineLevel="1" x14ac:dyDescent="0.3">
      <c r="A151" s="3"/>
      <c r="B151" s="9" t="s">
        <v>244</v>
      </c>
      <c r="C151" s="53">
        <v>15</v>
      </c>
      <c r="D151" s="53" t="s">
        <v>95</v>
      </c>
      <c r="E151" s="11">
        <v>0</v>
      </c>
      <c r="F151" s="11">
        <f>30+20+10+5+50+10+30+3+5+30+10+20+20+30</f>
        <v>273</v>
      </c>
      <c r="G151" s="58"/>
      <c r="H151" s="54" t="s">
        <v>37</v>
      </c>
      <c r="I151" s="54"/>
      <c r="J151" s="3"/>
      <c r="K151" s="3"/>
      <c r="L151" s="3"/>
      <c r="M151" s="3"/>
      <c r="N151" s="3"/>
      <c r="O151" s="3"/>
      <c r="P151" s="3"/>
      <c r="Q151" s="3"/>
      <c r="R151" s="3"/>
      <c r="S151" s="3"/>
      <c r="T151" s="3"/>
      <c r="U151" s="3"/>
      <c r="V151" s="3"/>
      <c r="W151" s="35"/>
      <c r="X151" s="32"/>
      <c r="Y151" s="3"/>
      <c r="Z151" s="3"/>
    </row>
    <row r="152" spans="1:26" ht="14.4" hidden="1" outlineLevel="1" x14ac:dyDescent="0.3">
      <c r="A152" s="3"/>
      <c r="B152" s="9" t="s">
        <v>245</v>
      </c>
      <c r="C152" s="53">
        <v>15</v>
      </c>
      <c r="D152" s="53" t="s">
        <v>95</v>
      </c>
      <c r="E152" s="11">
        <v>0</v>
      </c>
      <c r="F152" s="11">
        <v>90</v>
      </c>
      <c r="G152" s="58"/>
      <c r="H152" s="54" t="s">
        <v>36</v>
      </c>
      <c r="I152" s="54"/>
      <c r="J152" s="3"/>
      <c r="K152" s="3"/>
      <c r="L152" s="3"/>
      <c r="M152" s="3"/>
      <c r="N152" s="3"/>
      <c r="O152" s="3"/>
      <c r="P152" s="3"/>
      <c r="Q152" s="3"/>
      <c r="R152" s="3"/>
      <c r="S152" s="3"/>
      <c r="T152" s="3"/>
      <c r="U152" s="3"/>
      <c r="V152" s="3"/>
      <c r="W152" s="35"/>
      <c r="X152" s="32"/>
      <c r="Y152" s="3"/>
      <c r="Z152" s="3"/>
    </row>
    <row r="153" spans="1:26" hidden="1" outlineLevel="1" x14ac:dyDescent="0.3">
      <c r="A153" s="3"/>
      <c r="B153" s="66" t="s">
        <v>246</v>
      </c>
      <c r="C153" s="67" t="s">
        <v>44</v>
      </c>
      <c r="D153" s="67" t="s">
        <v>44</v>
      </c>
      <c r="E153" s="68">
        <f>SUM(E154:E157)</f>
        <v>0</v>
      </c>
      <c r="F153" s="68">
        <f>SUMIF(D154:D157,"OK",F154:F157)</f>
        <v>1104.01</v>
      </c>
      <c r="G153" s="69" t="s">
        <v>44</v>
      </c>
      <c r="H153" s="70"/>
      <c r="I153" s="70"/>
      <c r="J153" s="3"/>
      <c r="K153" s="3"/>
      <c r="L153" s="3"/>
      <c r="M153" s="3"/>
      <c r="N153" s="3"/>
      <c r="O153" s="3"/>
      <c r="P153" s="3"/>
      <c r="Q153" s="3"/>
      <c r="R153" s="3"/>
      <c r="S153" s="3"/>
      <c r="T153" s="3"/>
      <c r="U153" s="3"/>
      <c r="V153" s="3"/>
      <c r="W153" s="35"/>
      <c r="X153" s="32"/>
      <c r="Y153" s="3"/>
      <c r="Z153" s="3"/>
    </row>
    <row r="154" spans="1:26" ht="14.4" hidden="1" outlineLevel="1" x14ac:dyDescent="0.3">
      <c r="A154" s="3"/>
      <c r="B154" s="9" t="s">
        <v>242</v>
      </c>
      <c r="C154" s="53">
        <v>1</v>
      </c>
      <c r="D154" s="53" t="s">
        <v>95</v>
      </c>
      <c r="E154" s="11">
        <v>0</v>
      </c>
      <c r="F154" s="11">
        <f>20+10+10+20+10+30+20+10+30+10+10+20+10+20+30+30+20+10.01+20+20+10+50+20+20+30+30+20</f>
        <v>540.01</v>
      </c>
      <c r="G154" s="60"/>
      <c r="H154" s="54" t="s">
        <v>37</v>
      </c>
      <c r="I154" s="54"/>
      <c r="J154" s="3"/>
      <c r="K154" s="3"/>
      <c r="L154" s="3"/>
      <c r="M154" s="3"/>
      <c r="N154" s="3"/>
      <c r="O154" s="3"/>
      <c r="P154" s="3"/>
      <c r="Q154" s="3"/>
      <c r="R154" s="3"/>
      <c r="S154" s="3"/>
      <c r="T154" s="3"/>
      <c r="U154" s="3"/>
      <c r="V154" s="3"/>
      <c r="W154" s="35"/>
      <c r="X154" s="32"/>
      <c r="Y154" s="3"/>
      <c r="Z154" s="3"/>
    </row>
    <row r="155" spans="1:26" ht="14.4" hidden="1" outlineLevel="1" x14ac:dyDescent="0.3">
      <c r="A155" s="3"/>
      <c r="B155" s="9" t="s">
        <v>243</v>
      </c>
      <c r="C155" s="53">
        <v>1</v>
      </c>
      <c r="D155" s="53" t="s">
        <v>95</v>
      </c>
      <c r="E155" s="11">
        <v>0</v>
      </c>
      <c r="F155" s="11">
        <v>40</v>
      </c>
      <c r="G155" s="58"/>
      <c r="H155" s="54" t="s">
        <v>36</v>
      </c>
      <c r="I155" s="54"/>
      <c r="J155" s="3"/>
      <c r="K155" s="3"/>
      <c r="L155" s="3"/>
      <c r="M155" s="3"/>
      <c r="N155" s="3"/>
      <c r="O155" s="3"/>
      <c r="P155" s="3"/>
      <c r="Q155" s="3"/>
      <c r="R155" s="3"/>
      <c r="S155" s="3"/>
      <c r="T155" s="3"/>
      <c r="U155" s="3"/>
      <c r="V155" s="3"/>
      <c r="W155" s="35"/>
      <c r="X155" s="32"/>
      <c r="Y155" s="3"/>
      <c r="Z155" s="3"/>
    </row>
    <row r="156" spans="1:26" ht="14.4" hidden="1" outlineLevel="1" x14ac:dyDescent="0.3">
      <c r="A156" s="3"/>
      <c r="B156" s="9" t="s">
        <v>244</v>
      </c>
      <c r="C156" s="53" t="s">
        <v>720</v>
      </c>
      <c r="D156" s="53" t="s">
        <v>95</v>
      </c>
      <c r="E156" s="11">
        <v>0</v>
      </c>
      <c r="F156" s="11">
        <f>10+10+30+10+20+50+20+20+20+10+20+30+30+10+10+10+30+10+10+40+34+10+20+10+30</f>
        <v>504</v>
      </c>
      <c r="G156" s="58"/>
      <c r="H156" s="54" t="s">
        <v>37</v>
      </c>
      <c r="I156" s="54"/>
      <c r="J156" s="3"/>
      <c r="K156" s="3"/>
      <c r="L156" s="3"/>
      <c r="M156" s="3"/>
      <c r="N156" s="3"/>
      <c r="O156" s="3"/>
      <c r="P156" s="3"/>
      <c r="Q156" s="3"/>
      <c r="R156" s="3"/>
      <c r="S156" s="3"/>
      <c r="T156" s="3"/>
      <c r="U156" s="3"/>
      <c r="V156" s="3"/>
      <c r="W156" s="35"/>
      <c r="X156" s="32"/>
      <c r="Y156" s="3"/>
      <c r="Z156" s="3"/>
    </row>
    <row r="157" spans="1:26" ht="14.4" hidden="1" outlineLevel="1" x14ac:dyDescent="0.3">
      <c r="A157" s="3"/>
      <c r="B157" s="9" t="s">
        <v>245</v>
      </c>
      <c r="C157" s="53">
        <v>15</v>
      </c>
      <c r="D157" s="53" t="s">
        <v>95</v>
      </c>
      <c r="E157" s="11">
        <v>0</v>
      </c>
      <c r="F157" s="11">
        <v>20</v>
      </c>
      <c r="G157" s="58"/>
      <c r="H157" s="54" t="s">
        <v>36</v>
      </c>
      <c r="I157" s="54"/>
      <c r="J157" s="3"/>
      <c r="K157" s="3"/>
      <c r="L157" s="3"/>
      <c r="M157" s="3"/>
      <c r="N157" s="3"/>
      <c r="O157" s="3"/>
      <c r="P157" s="3"/>
      <c r="Q157" s="3"/>
      <c r="R157" s="3"/>
      <c r="S157" s="3"/>
      <c r="T157" s="3"/>
      <c r="U157" s="3"/>
      <c r="V157" s="3"/>
      <c r="W157" s="35"/>
      <c r="X157" s="32"/>
      <c r="Y157" s="3"/>
      <c r="Z157" s="3"/>
    </row>
    <row r="158" spans="1:26" hidden="1" outlineLevel="1" x14ac:dyDescent="0.3">
      <c r="A158" s="3"/>
      <c r="B158" s="66" t="s">
        <v>247</v>
      </c>
      <c r="C158" s="67" t="s">
        <v>44</v>
      </c>
      <c r="D158" s="67" t="s">
        <v>44</v>
      </c>
      <c r="E158" s="68">
        <f>SUM(E159:E161)</f>
        <v>0</v>
      </c>
      <c r="F158" s="68">
        <f>SUMIF(D159:D161,"OK",F159:F161)</f>
        <v>0</v>
      </c>
      <c r="G158" s="69" t="s">
        <v>44</v>
      </c>
      <c r="H158" s="70"/>
      <c r="I158" s="70"/>
      <c r="J158" s="3"/>
      <c r="K158" s="3"/>
      <c r="L158" s="3"/>
      <c r="M158" s="3"/>
      <c r="N158" s="3"/>
      <c r="O158" s="3"/>
      <c r="P158" s="3"/>
      <c r="Q158" s="3"/>
      <c r="R158" s="3"/>
      <c r="S158" s="3"/>
      <c r="T158" s="3"/>
      <c r="U158" s="3"/>
      <c r="V158" s="3"/>
      <c r="W158" s="35"/>
      <c r="X158" s="32"/>
      <c r="Y158" s="3"/>
      <c r="Z158" s="3"/>
    </row>
    <row r="159" spans="1:26" ht="14.4" hidden="1" outlineLevel="1" x14ac:dyDescent="0.3">
      <c r="A159" s="3"/>
      <c r="B159" s="9" t="s">
        <v>43</v>
      </c>
      <c r="C159" s="71"/>
      <c r="D159" s="53"/>
      <c r="E159" s="11">
        <v>0</v>
      </c>
      <c r="F159" s="11">
        <v>0</v>
      </c>
      <c r="G159" s="60"/>
      <c r="H159" s="54"/>
      <c r="I159" s="54"/>
      <c r="J159" s="3"/>
      <c r="K159" s="3"/>
      <c r="L159" s="3"/>
      <c r="M159" s="3"/>
      <c r="N159" s="3"/>
      <c r="O159" s="3"/>
      <c r="P159" s="3"/>
      <c r="Q159" s="3"/>
      <c r="R159" s="3"/>
      <c r="S159" s="3"/>
      <c r="T159" s="3"/>
      <c r="U159" s="3"/>
      <c r="V159" s="3"/>
      <c r="W159" s="35"/>
      <c r="X159" s="32"/>
      <c r="Y159" s="3"/>
      <c r="Z159" s="3"/>
    </row>
    <row r="160" spans="1:26" ht="14.4" hidden="1" outlineLevel="1" x14ac:dyDescent="0.3">
      <c r="A160" s="3"/>
      <c r="B160" s="9" t="s">
        <v>43</v>
      </c>
      <c r="C160" s="71"/>
      <c r="D160" s="53"/>
      <c r="E160" s="11">
        <v>0</v>
      </c>
      <c r="F160" s="11">
        <v>0</v>
      </c>
      <c r="G160" s="60"/>
      <c r="H160" s="54"/>
      <c r="I160" s="54"/>
      <c r="J160" s="3"/>
      <c r="K160" s="3"/>
      <c r="L160" s="3"/>
      <c r="M160" s="3"/>
      <c r="N160" s="3"/>
      <c r="O160" s="3"/>
      <c r="P160" s="3"/>
      <c r="Q160" s="3"/>
      <c r="R160" s="3"/>
      <c r="S160" s="3"/>
      <c r="T160" s="3"/>
      <c r="U160" s="3"/>
      <c r="V160" s="3"/>
      <c r="W160" s="35"/>
      <c r="X160" s="32"/>
      <c r="Y160" s="3"/>
      <c r="Z160" s="3"/>
    </row>
    <row r="161" spans="1:26" ht="14.4" hidden="1" outlineLevel="1" x14ac:dyDescent="0.3">
      <c r="A161" s="3"/>
      <c r="B161" s="9" t="s">
        <v>43</v>
      </c>
      <c r="C161" s="53"/>
      <c r="D161" s="53"/>
      <c r="E161" s="11">
        <v>0</v>
      </c>
      <c r="F161" s="11">
        <v>0</v>
      </c>
      <c r="G161" s="61"/>
      <c r="H161" s="54"/>
      <c r="I161" s="54"/>
      <c r="J161" s="3"/>
      <c r="K161" s="3"/>
      <c r="L161" s="3"/>
      <c r="M161" s="3"/>
      <c r="N161" s="3"/>
      <c r="O161" s="3"/>
      <c r="P161" s="3"/>
      <c r="Q161" s="3"/>
      <c r="R161" s="3"/>
      <c r="S161" s="3"/>
      <c r="T161" s="3"/>
      <c r="U161" s="3"/>
      <c r="V161" s="3"/>
      <c r="W161" s="35"/>
      <c r="X161" s="32"/>
      <c r="Y161" s="3"/>
      <c r="Z161" s="3"/>
    </row>
    <row r="162" spans="1:26" hidden="1" outlineLevel="1" x14ac:dyDescent="0.3">
      <c r="A162" s="3"/>
      <c r="B162" s="66" t="s">
        <v>62</v>
      </c>
      <c r="C162" s="67" t="s">
        <v>44</v>
      </c>
      <c r="D162" s="67" t="s">
        <v>44</v>
      </c>
      <c r="E162" s="68">
        <f>SUM(E163:E168)</f>
        <v>0</v>
      </c>
      <c r="F162" s="68">
        <f>SUMIF(D163:D168,"OK",F163:F168)</f>
        <v>1025.79</v>
      </c>
      <c r="G162" s="69" t="s">
        <v>44</v>
      </c>
      <c r="H162" s="70"/>
      <c r="I162" s="70"/>
      <c r="J162" s="3"/>
      <c r="K162" s="3"/>
      <c r="L162" s="3"/>
      <c r="M162" s="3"/>
      <c r="N162" s="3"/>
      <c r="O162" s="3"/>
      <c r="P162" s="3"/>
      <c r="Q162" s="3"/>
      <c r="R162" s="3"/>
      <c r="S162" s="3"/>
      <c r="T162" s="3"/>
      <c r="U162" s="3"/>
      <c r="V162" s="3"/>
      <c r="W162" s="35"/>
      <c r="X162" s="32"/>
      <c r="Y162" s="3"/>
      <c r="Z162" s="3"/>
    </row>
    <row r="163" spans="1:26" ht="14.4" hidden="1" outlineLevel="1" x14ac:dyDescent="0.3">
      <c r="A163" s="3"/>
      <c r="B163" s="9" t="s">
        <v>721</v>
      </c>
      <c r="C163" s="71">
        <v>3</v>
      </c>
      <c r="D163" s="53" t="s">
        <v>95</v>
      </c>
      <c r="E163" s="11">
        <v>0</v>
      </c>
      <c r="F163" s="11">
        <f>60</f>
        <v>60</v>
      </c>
      <c r="G163" s="57" t="s">
        <v>722</v>
      </c>
      <c r="H163" s="54" t="s">
        <v>37</v>
      </c>
      <c r="I163" s="54"/>
      <c r="J163" s="3"/>
      <c r="K163" s="3"/>
      <c r="L163" s="3"/>
      <c r="M163" s="3"/>
      <c r="N163" s="3"/>
      <c r="O163" s="3"/>
      <c r="P163" s="3"/>
      <c r="Q163" s="3"/>
      <c r="R163" s="3"/>
      <c r="S163" s="3"/>
      <c r="T163" s="3"/>
      <c r="U163" s="3"/>
      <c r="V163" s="3"/>
      <c r="W163" s="35"/>
      <c r="X163" s="32"/>
      <c r="Y163" s="3"/>
      <c r="Z163" s="3"/>
    </row>
    <row r="164" spans="1:26" ht="14.4" hidden="1" outlineLevel="1" x14ac:dyDescent="0.3">
      <c r="A164" s="3"/>
      <c r="B164" s="9" t="s">
        <v>723</v>
      </c>
      <c r="C164" s="71">
        <v>8</v>
      </c>
      <c r="D164" s="53" t="s">
        <v>95</v>
      </c>
      <c r="E164" s="11">
        <v>0</v>
      </c>
      <c r="F164" s="11">
        <f>50</f>
        <v>50</v>
      </c>
      <c r="G164" s="61" t="s">
        <v>724</v>
      </c>
      <c r="H164" s="54" t="s">
        <v>37</v>
      </c>
      <c r="I164" s="54"/>
      <c r="J164" s="3"/>
      <c r="K164" s="3"/>
      <c r="L164" s="3"/>
      <c r="M164" s="3"/>
      <c r="N164" s="3"/>
      <c r="O164" s="3"/>
      <c r="P164" s="3"/>
      <c r="Q164" s="3"/>
      <c r="R164" s="3"/>
      <c r="S164" s="3"/>
      <c r="T164" s="3"/>
      <c r="U164" s="3"/>
      <c r="V164" s="3"/>
      <c r="W164" s="35"/>
      <c r="X164" s="32"/>
      <c r="Y164" s="3"/>
      <c r="Z164" s="3"/>
    </row>
    <row r="165" spans="1:26" ht="48" hidden="1" outlineLevel="1" x14ac:dyDescent="0.3">
      <c r="A165" s="3"/>
      <c r="B165" s="9" t="s">
        <v>725</v>
      </c>
      <c r="C165" s="53" t="s">
        <v>726</v>
      </c>
      <c r="D165" s="53" t="s">
        <v>95</v>
      </c>
      <c r="E165" s="11">
        <v>0</v>
      </c>
      <c r="F165" s="11">
        <f>60+40+50+10+30+10+40+10+10+30+10+20+30+30+10+30+10+20</f>
        <v>450</v>
      </c>
      <c r="G165" s="60" t="s">
        <v>727</v>
      </c>
      <c r="H165" s="54" t="s">
        <v>37</v>
      </c>
      <c r="I165" s="54"/>
      <c r="J165" s="3"/>
      <c r="K165" s="3"/>
      <c r="L165" s="3"/>
      <c r="M165" s="3"/>
      <c r="N165" s="3"/>
      <c r="O165" s="3"/>
      <c r="P165" s="3"/>
      <c r="Q165" s="3"/>
      <c r="R165" s="3"/>
      <c r="S165" s="3"/>
      <c r="T165" s="3"/>
      <c r="U165" s="3"/>
      <c r="V165" s="3"/>
      <c r="W165" s="35"/>
      <c r="X165" s="32"/>
      <c r="Y165" s="3"/>
      <c r="Z165" s="3"/>
    </row>
    <row r="166" spans="1:26" ht="36" hidden="1" outlineLevel="1" x14ac:dyDescent="0.3">
      <c r="A166" s="3"/>
      <c r="B166" s="9" t="s">
        <v>728</v>
      </c>
      <c r="C166" s="53" t="s">
        <v>729</v>
      </c>
      <c r="D166" s="53" t="s">
        <v>95</v>
      </c>
      <c r="E166" s="11">
        <v>0</v>
      </c>
      <c r="F166" s="11">
        <f>30+20+20+30+30+10+10+10+50+20+30</f>
        <v>260</v>
      </c>
      <c r="G166" s="60" t="s">
        <v>730</v>
      </c>
      <c r="H166" s="54" t="s">
        <v>37</v>
      </c>
      <c r="I166" s="54"/>
      <c r="J166" s="3"/>
      <c r="K166" s="3"/>
      <c r="L166" s="3"/>
      <c r="M166" s="3"/>
      <c r="N166" s="3"/>
      <c r="O166" s="3"/>
      <c r="P166" s="3"/>
      <c r="Q166" s="3"/>
      <c r="R166" s="3"/>
      <c r="S166" s="3"/>
      <c r="T166" s="3"/>
      <c r="U166" s="3"/>
      <c r="V166" s="3"/>
      <c r="W166" s="35"/>
      <c r="X166" s="32"/>
      <c r="Y166" s="3"/>
      <c r="Z166" s="3"/>
    </row>
    <row r="167" spans="1:26" ht="24" hidden="1" outlineLevel="1" x14ac:dyDescent="0.3">
      <c r="A167" s="3"/>
      <c r="B167" s="9" t="s">
        <v>731</v>
      </c>
      <c r="C167" s="53">
        <v>20</v>
      </c>
      <c r="D167" s="53" t="s">
        <v>95</v>
      </c>
      <c r="E167" s="11">
        <v>0</v>
      </c>
      <c r="F167" s="11">
        <v>15.79</v>
      </c>
      <c r="G167" s="60" t="s">
        <v>732</v>
      </c>
      <c r="H167" s="54" t="s">
        <v>37</v>
      </c>
      <c r="I167" s="54"/>
      <c r="J167" s="3"/>
      <c r="K167" s="3"/>
      <c r="L167" s="3"/>
      <c r="M167" s="3"/>
      <c r="N167" s="3"/>
      <c r="O167" s="3"/>
      <c r="P167" s="3"/>
      <c r="Q167" s="3"/>
      <c r="R167" s="3"/>
      <c r="S167" s="3"/>
      <c r="T167" s="3"/>
      <c r="U167" s="3"/>
      <c r="V167" s="3"/>
      <c r="W167" s="35"/>
      <c r="X167" s="32"/>
      <c r="Y167" s="3"/>
      <c r="Z167" s="3"/>
    </row>
    <row r="168" spans="1:26" ht="14.4" hidden="1" outlineLevel="1" x14ac:dyDescent="0.3">
      <c r="A168" s="3"/>
      <c r="B168" s="9" t="s">
        <v>733</v>
      </c>
      <c r="C168" s="53">
        <v>28</v>
      </c>
      <c r="D168" s="53" t="s">
        <v>95</v>
      </c>
      <c r="E168" s="11">
        <v>0</v>
      </c>
      <c r="F168" s="11">
        <v>190</v>
      </c>
      <c r="G168" s="60"/>
      <c r="H168" s="54" t="s">
        <v>37</v>
      </c>
      <c r="I168" s="54"/>
      <c r="J168" s="3"/>
      <c r="K168" s="3"/>
      <c r="L168" s="3"/>
      <c r="M168" s="3"/>
      <c r="N168" s="3"/>
      <c r="O168" s="3"/>
      <c r="P168" s="3"/>
      <c r="Q168" s="3"/>
      <c r="R168" s="3"/>
      <c r="S168" s="3"/>
      <c r="T168" s="3"/>
      <c r="U168" s="3"/>
      <c r="V168" s="3"/>
      <c r="W168" s="35"/>
      <c r="X168" s="32"/>
      <c r="Y168" s="3"/>
      <c r="Z168" s="3"/>
    </row>
    <row r="169" spans="1:26" ht="20.399999999999999" collapsed="1" x14ac:dyDescent="0.3">
      <c r="A169" s="3"/>
      <c r="B169" s="64" t="s">
        <v>64</v>
      </c>
      <c r="C169" s="47" t="s">
        <v>44</v>
      </c>
      <c r="D169" s="47" t="s">
        <v>44</v>
      </c>
      <c r="E169" s="48">
        <f>SUM(E170:E172)</f>
        <v>0</v>
      </c>
      <c r="F169" s="48">
        <f>SUMIF(D170:D172,"OK",F170:F172)</f>
        <v>0</v>
      </c>
      <c r="G169" s="49" t="s">
        <v>44</v>
      </c>
      <c r="H169" s="65"/>
      <c r="I169" s="65"/>
      <c r="J169" s="3"/>
      <c r="K169" s="3"/>
      <c r="L169" s="3"/>
      <c r="M169" s="3"/>
      <c r="N169" s="3"/>
      <c r="O169" s="3"/>
      <c r="P169" s="3"/>
      <c r="Q169" s="3"/>
      <c r="R169" s="3"/>
      <c r="S169" s="3"/>
      <c r="T169" s="3"/>
      <c r="U169" s="3"/>
      <c r="V169" s="3"/>
      <c r="W169" s="35"/>
      <c r="X169" s="32"/>
      <c r="Y169" s="3"/>
      <c r="Z169" s="3"/>
    </row>
    <row r="170" spans="1:26" ht="14.4" hidden="1" outlineLevel="1" x14ac:dyDescent="0.3">
      <c r="A170" s="3"/>
      <c r="B170" s="9" t="s">
        <v>734</v>
      </c>
      <c r="C170" s="53"/>
      <c r="D170" s="53"/>
      <c r="E170" s="11">
        <v>0</v>
      </c>
      <c r="F170" s="11">
        <v>0</v>
      </c>
      <c r="G170" s="60"/>
      <c r="H170" s="54"/>
      <c r="I170" s="54"/>
      <c r="J170" s="3"/>
      <c r="K170" s="3"/>
      <c r="L170" s="3"/>
      <c r="M170" s="3"/>
      <c r="N170" s="3"/>
      <c r="O170" s="3"/>
      <c r="P170" s="3"/>
      <c r="Q170" s="3"/>
      <c r="R170" s="3"/>
      <c r="S170" s="3"/>
      <c r="T170" s="3"/>
      <c r="U170" s="3"/>
      <c r="V170" s="3"/>
      <c r="W170" s="35"/>
      <c r="X170" s="32"/>
      <c r="Y170" s="3"/>
      <c r="Z170" s="3"/>
    </row>
    <row r="171" spans="1:26" ht="14.4" hidden="1" outlineLevel="1" x14ac:dyDescent="0.3">
      <c r="A171" s="3"/>
      <c r="B171" s="9" t="s">
        <v>735</v>
      </c>
      <c r="C171" s="53"/>
      <c r="D171" s="53"/>
      <c r="E171" s="11">
        <v>0</v>
      </c>
      <c r="F171" s="11">
        <v>0</v>
      </c>
      <c r="G171" s="61"/>
      <c r="H171" s="54"/>
      <c r="I171" s="54"/>
      <c r="J171" s="3"/>
      <c r="K171" s="3"/>
      <c r="L171" s="3"/>
      <c r="M171" s="3"/>
      <c r="N171" s="3"/>
      <c r="O171" s="3"/>
      <c r="P171" s="3"/>
      <c r="Q171" s="3"/>
      <c r="R171" s="3"/>
      <c r="S171" s="3"/>
      <c r="T171" s="3"/>
      <c r="U171" s="3"/>
      <c r="V171" s="3"/>
      <c r="W171" s="35"/>
      <c r="X171" s="32"/>
      <c r="Y171" s="3"/>
      <c r="Z171" s="3"/>
    </row>
    <row r="172" spans="1:26" ht="14.4" hidden="1" outlineLevel="1" x14ac:dyDescent="0.3">
      <c r="A172" s="3"/>
      <c r="B172" s="9" t="s">
        <v>736</v>
      </c>
      <c r="C172" s="53"/>
      <c r="D172" s="53"/>
      <c r="E172" s="11">
        <v>0</v>
      </c>
      <c r="F172" s="11">
        <v>0</v>
      </c>
      <c r="G172" s="58"/>
      <c r="H172" s="54"/>
      <c r="I172" s="54"/>
      <c r="J172" s="3"/>
      <c r="K172" s="3"/>
      <c r="L172" s="3"/>
      <c r="M172" s="3"/>
      <c r="N172" s="3"/>
      <c r="O172" s="3"/>
      <c r="P172" s="3"/>
      <c r="Q172" s="3"/>
      <c r="R172" s="3"/>
      <c r="S172" s="3"/>
      <c r="T172" s="3"/>
      <c r="U172" s="3"/>
      <c r="V172" s="3"/>
      <c r="W172" s="35"/>
      <c r="X172" s="32"/>
      <c r="Y172" s="3"/>
      <c r="Z172" s="3"/>
    </row>
    <row r="173" spans="1:26" ht="20.399999999999999" collapsed="1" x14ac:dyDescent="0.3">
      <c r="A173" s="3"/>
      <c r="B173" s="64" t="s">
        <v>260</v>
      </c>
      <c r="C173" s="47" t="s">
        <v>44</v>
      </c>
      <c r="D173" s="47" t="s">
        <v>44</v>
      </c>
      <c r="E173" s="48">
        <f>SUM(E174:E180)</f>
        <v>0</v>
      </c>
      <c r="F173" s="48">
        <f>SUMIF(D174:D180,"OK",F174:F180)</f>
        <v>2.2799999999999998</v>
      </c>
      <c r="G173" s="49" t="s">
        <v>44</v>
      </c>
      <c r="H173" s="65"/>
      <c r="I173" s="65"/>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261</v>
      </c>
      <c r="C174" s="53"/>
      <c r="D174" s="53"/>
      <c r="E174" s="11">
        <v>0</v>
      </c>
      <c r="F174" s="11">
        <v>0</v>
      </c>
      <c r="G174" s="58"/>
      <c r="H174" s="54" t="s">
        <v>37</v>
      </c>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262</v>
      </c>
      <c r="C175" s="53">
        <v>24</v>
      </c>
      <c r="D175" s="53" t="s">
        <v>95</v>
      </c>
      <c r="E175" s="11">
        <v>0</v>
      </c>
      <c r="F175" s="11">
        <v>2.2799999999999998</v>
      </c>
      <c r="G175" s="60"/>
      <c r="H175" s="54" t="s">
        <v>38</v>
      </c>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264</v>
      </c>
      <c r="C176" s="53"/>
      <c r="D176" s="53"/>
      <c r="E176" s="11">
        <v>0</v>
      </c>
      <c r="F176" s="11">
        <v>0</v>
      </c>
      <c r="G176" s="58"/>
      <c r="H176" s="54" t="s">
        <v>235</v>
      </c>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265</v>
      </c>
      <c r="C177" s="53"/>
      <c r="D177" s="53"/>
      <c r="E177" s="11">
        <v>0</v>
      </c>
      <c r="F177" s="11">
        <v>0</v>
      </c>
      <c r="G177" s="58"/>
      <c r="H177" s="54" t="s">
        <v>266</v>
      </c>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267</v>
      </c>
      <c r="C178" s="53"/>
      <c r="D178" s="53"/>
      <c r="E178" s="11">
        <v>0</v>
      </c>
      <c r="F178" s="11">
        <v>0</v>
      </c>
      <c r="G178" s="58"/>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268</v>
      </c>
      <c r="C179" s="53"/>
      <c r="D179" s="53"/>
      <c r="E179" s="11">
        <v>0</v>
      </c>
      <c r="F179" s="11">
        <v>0</v>
      </c>
      <c r="G179" s="58"/>
      <c r="H179" s="54"/>
      <c r="I179" s="54"/>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269</v>
      </c>
      <c r="C180" s="53"/>
      <c r="D180" s="53"/>
      <c r="E180" s="11">
        <v>0</v>
      </c>
      <c r="F180" s="11">
        <v>0</v>
      </c>
      <c r="G180" s="58"/>
      <c r="H180" s="54"/>
      <c r="I180" s="54"/>
      <c r="J180" s="3"/>
      <c r="K180" s="3"/>
      <c r="L180" s="3"/>
      <c r="M180" s="3"/>
      <c r="N180" s="3"/>
      <c r="O180" s="3"/>
      <c r="P180" s="3"/>
      <c r="Q180" s="3"/>
      <c r="R180" s="3"/>
      <c r="S180" s="3"/>
      <c r="T180" s="3"/>
      <c r="U180" s="3"/>
      <c r="V180" s="3"/>
      <c r="W180" s="35"/>
      <c r="X180" s="32"/>
      <c r="Y180" s="3"/>
      <c r="Z180" s="3"/>
    </row>
    <row r="181" spans="1:26" ht="15.75" customHeight="1" collapsed="1" x14ac:dyDescent="0.3">
      <c r="A181" s="3"/>
      <c r="B181" s="3"/>
      <c r="C181" s="28"/>
      <c r="D181" s="28"/>
      <c r="E181" s="28"/>
      <c r="F181" s="28"/>
      <c r="G181" s="112"/>
      <c r="H181" s="28"/>
      <c r="I181" s="28"/>
      <c r="J181" s="28"/>
      <c r="K181" s="28"/>
      <c r="L181" s="28"/>
      <c r="M181" s="28"/>
      <c r="N181" s="28"/>
      <c r="O181" s="28"/>
      <c r="P181" s="28"/>
      <c r="Q181" s="28"/>
      <c r="R181" s="28"/>
      <c r="S181" s="28"/>
      <c r="T181" s="28"/>
      <c r="U181" s="28"/>
      <c r="V181" s="28"/>
      <c r="W181" s="35"/>
      <c r="X181" s="32"/>
    </row>
    <row r="182" spans="1:26" ht="15.75" customHeight="1" x14ac:dyDescent="0.3">
      <c r="A182" s="3"/>
      <c r="B182" s="3"/>
      <c r="C182" s="28"/>
      <c r="D182" s="28"/>
      <c r="E182" s="28"/>
      <c r="F182" s="101"/>
      <c r="G182" s="112"/>
      <c r="H182" s="28"/>
      <c r="I182" s="28"/>
      <c r="J182" s="28"/>
      <c r="K182" s="28"/>
      <c r="L182" s="28"/>
      <c r="M182" s="28"/>
      <c r="N182" s="28"/>
      <c r="O182" s="28"/>
      <c r="P182" s="28"/>
      <c r="Q182" s="28"/>
      <c r="R182" s="28"/>
      <c r="S182" s="28"/>
      <c r="T182" s="28"/>
      <c r="U182" s="28"/>
      <c r="V182" s="28"/>
      <c r="W182" s="35"/>
      <c r="X182" s="32"/>
    </row>
    <row r="183" spans="1:26" ht="15.75" customHeight="1" x14ac:dyDescent="0.3">
      <c r="A183" s="3"/>
      <c r="B183" s="3"/>
      <c r="C183" s="28"/>
      <c r="D183" s="28"/>
      <c r="E183" s="28"/>
      <c r="F183" s="28"/>
      <c r="G183" s="112"/>
      <c r="H183" s="28"/>
      <c r="I183" s="28"/>
      <c r="J183" s="28"/>
      <c r="K183" s="28"/>
      <c r="L183" s="28"/>
      <c r="M183" s="28"/>
      <c r="N183" s="28"/>
      <c r="O183" s="28"/>
      <c r="P183" s="28"/>
      <c r="Q183" s="28"/>
      <c r="R183" s="28"/>
      <c r="S183" s="28"/>
      <c r="T183" s="28"/>
      <c r="U183" s="28"/>
      <c r="V183" s="28"/>
      <c r="W183" s="35"/>
      <c r="X183" s="32"/>
    </row>
    <row r="184" spans="1:26" ht="15.75" customHeight="1" x14ac:dyDescent="0.3">
      <c r="A184" s="3"/>
      <c r="B184" s="3"/>
      <c r="C184" s="28"/>
      <c r="D184" s="28"/>
      <c r="E184" s="28"/>
      <c r="F184" s="28"/>
      <c r="G184" s="112"/>
      <c r="H184" s="28"/>
      <c r="I184" s="28"/>
      <c r="J184" s="28"/>
      <c r="K184" s="28"/>
      <c r="L184" s="28"/>
      <c r="M184" s="28"/>
      <c r="N184" s="28"/>
      <c r="O184" s="28"/>
      <c r="P184" s="28"/>
      <c r="Q184" s="28"/>
      <c r="R184" s="28"/>
      <c r="S184" s="28"/>
      <c r="T184" s="28"/>
      <c r="U184" s="28"/>
      <c r="V184" s="28"/>
      <c r="W184" s="35"/>
      <c r="X184" s="32"/>
    </row>
    <row r="185" spans="1:26" ht="15.75" customHeight="1" x14ac:dyDescent="0.3">
      <c r="A185" s="3"/>
      <c r="B185" s="3"/>
      <c r="C185" s="28"/>
      <c r="D185" s="28"/>
      <c r="E185" s="28"/>
      <c r="F185" s="28"/>
      <c r="G185" s="112"/>
      <c r="H185" s="28"/>
      <c r="I185" s="28"/>
      <c r="J185" s="28"/>
      <c r="K185" s="28"/>
      <c r="L185" s="28"/>
      <c r="M185" s="28"/>
      <c r="N185" s="28"/>
      <c r="O185" s="28"/>
      <c r="P185" s="28"/>
      <c r="Q185" s="28"/>
      <c r="R185" s="28"/>
      <c r="S185" s="28"/>
      <c r="T185" s="28"/>
      <c r="U185" s="28"/>
      <c r="V185" s="28"/>
      <c r="W185" s="35"/>
      <c r="X185" s="32"/>
    </row>
    <row r="186" spans="1:26" ht="15.75" customHeight="1" x14ac:dyDescent="0.3">
      <c r="A186" s="3"/>
      <c r="B186" s="3"/>
      <c r="C186" s="28"/>
      <c r="D186" s="28"/>
      <c r="E186" s="28"/>
      <c r="F186" s="28"/>
      <c r="G186" s="112"/>
      <c r="H186" s="28"/>
      <c r="I186" s="28"/>
      <c r="J186" s="28"/>
      <c r="K186" s="28"/>
      <c r="L186" s="28"/>
      <c r="M186" s="28"/>
      <c r="N186" s="28"/>
      <c r="O186" s="28"/>
      <c r="P186" s="28"/>
      <c r="Q186" s="28"/>
      <c r="R186" s="28"/>
      <c r="S186" s="28"/>
      <c r="T186" s="28"/>
      <c r="U186" s="28"/>
      <c r="V186" s="28"/>
      <c r="W186" s="35"/>
      <c r="X186" s="32"/>
    </row>
    <row r="187" spans="1:26" ht="15.75" customHeight="1" x14ac:dyDescent="0.3">
      <c r="A187" s="3"/>
      <c r="B187" s="3"/>
      <c r="C187" s="28"/>
      <c r="D187" s="28"/>
      <c r="E187" s="28"/>
      <c r="F187" s="28"/>
      <c r="G187" s="112"/>
      <c r="H187" s="28"/>
      <c r="I187" s="28"/>
      <c r="J187" s="28"/>
      <c r="K187" s="28"/>
      <c r="L187" s="28"/>
      <c r="M187" s="28"/>
      <c r="N187" s="28"/>
      <c r="O187" s="28"/>
      <c r="P187" s="28"/>
      <c r="Q187" s="28"/>
      <c r="R187" s="28"/>
      <c r="S187" s="28"/>
      <c r="T187" s="28"/>
      <c r="U187" s="28"/>
      <c r="V187" s="28"/>
      <c r="W187" s="35"/>
      <c r="X187" s="32"/>
    </row>
    <row r="188" spans="1:26" ht="15.75" customHeight="1" x14ac:dyDescent="0.3">
      <c r="A188" s="3"/>
      <c r="B188" s="3"/>
      <c r="C188" s="28"/>
      <c r="D188" s="28"/>
      <c r="E188" s="28"/>
      <c r="F188" s="28"/>
      <c r="G188" s="112"/>
      <c r="H188" s="28"/>
      <c r="I188" s="28"/>
      <c r="J188" s="28"/>
      <c r="K188" s="28"/>
      <c r="L188" s="28"/>
      <c r="M188" s="28"/>
      <c r="N188" s="28"/>
      <c r="O188" s="28"/>
      <c r="P188" s="28"/>
      <c r="Q188" s="28"/>
      <c r="R188" s="28"/>
      <c r="S188" s="28"/>
      <c r="T188" s="28"/>
      <c r="U188" s="28"/>
      <c r="V188" s="28"/>
      <c r="W188" s="35"/>
      <c r="X188" s="32"/>
    </row>
    <row r="189" spans="1:26" ht="15.75" customHeight="1" x14ac:dyDescent="0.3">
      <c r="A189" s="3"/>
      <c r="B189" s="3"/>
      <c r="C189" s="28"/>
      <c r="D189" s="28"/>
      <c r="E189" s="28"/>
      <c r="F189" s="28"/>
      <c r="G189" s="112"/>
      <c r="H189" s="28"/>
      <c r="I189" s="28"/>
      <c r="J189" s="28"/>
      <c r="K189" s="28"/>
      <c r="L189" s="28"/>
      <c r="M189" s="28"/>
      <c r="N189" s="28"/>
      <c r="O189" s="28"/>
      <c r="P189" s="28"/>
      <c r="Q189" s="28"/>
      <c r="R189" s="28"/>
      <c r="S189" s="28"/>
      <c r="T189" s="28"/>
      <c r="U189" s="28"/>
      <c r="V189" s="28"/>
      <c r="W189" s="35"/>
      <c r="X189" s="32"/>
    </row>
    <row r="190" spans="1:26" ht="15.75" customHeight="1" x14ac:dyDescent="0.3">
      <c r="A190" s="3"/>
      <c r="B190" s="3"/>
      <c r="C190" s="28"/>
      <c r="D190" s="28"/>
      <c r="E190" s="28"/>
      <c r="F190" s="28"/>
      <c r="G190" s="112"/>
      <c r="H190" s="28"/>
      <c r="I190" s="28"/>
      <c r="J190" s="28"/>
      <c r="K190" s="28"/>
      <c r="L190" s="28"/>
      <c r="M190" s="28"/>
      <c r="N190" s="28"/>
      <c r="O190" s="28"/>
      <c r="P190" s="28"/>
      <c r="Q190" s="28"/>
      <c r="R190" s="28"/>
      <c r="S190" s="28"/>
      <c r="T190" s="28"/>
      <c r="U190" s="28"/>
      <c r="V190" s="28"/>
      <c r="W190" s="35"/>
      <c r="X190" s="32"/>
    </row>
    <row r="191" spans="1:26" ht="15.75" customHeight="1" x14ac:dyDescent="0.3">
      <c r="A191" s="3"/>
      <c r="B191" s="3"/>
      <c r="C191" s="28"/>
      <c r="D191" s="28"/>
      <c r="E191" s="28"/>
      <c r="F191" s="28"/>
      <c r="G191" s="112"/>
      <c r="H191" s="28"/>
      <c r="I191" s="28"/>
      <c r="J191" s="28"/>
      <c r="K191" s="28"/>
      <c r="L191" s="28"/>
      <c r="M191" s="28"/>
      <c r="N191" s="28"/>
      <c r="O191" s="28"/>
      <c r="P191" s="28"/>
      <c r="Q191" s="28"/>
      <c r="R191" s="28"/>
      <c r="S191" s="28"/>
      <c r="T191" s="28"/>
      <c r="U191" s="28"/>
      <c r="V191" s="28"/>
      <c r="W191" s="35"/>
      <c r="X191" s="32"/>
    </row>
    <row r="192" spans="1:26" ht="15.75" customHeight="1" x14ac:dyDescent="0.3">
      <c r="A192" s="3"/>
      <c r="B192" s="3"/>
      <c r="C192" s="28"/>
      <c r="D192" s="28"/>
      <c r="E192" s="28"/>
      <c r="F192" s="28"/>
      <c r="G192" s="112"/>
      <c r="H192" s="28"/>
      <c r="I192" s="28"/>
      <c r="J192" s="28"/>
      <c r="K192" s="28"/>
      <c r="L192" s="28"/>
      <c r="M192" s="28"/>
      <c r="N192" s="28"/>
      <c r="O192" s="28"/>
      <c r="P192" s="28"/>
      <c r="Q192" s="28"/>
      <c r="R192" s="28"/>
      <c r="S192" s="28"/>
      <c r="T192" s="28"/>
      <c r="U192" s="28"/>
      <c r="V192" s="28"/>
      <c r="W192" s="35"/>
      <c r="X192" s="32"/>
    </row>
    <row r="193" spans="1:24" ht="15.75" customHeight="1" x14ac:dyDescent="0.3">
      <c r="A193" s="3"/>
      <c r="B193" s="3"/>
      <c r="C193" s="28"/>
      <c r="D193" s="28"/>
      <c r="E193" s="28"/>
      <c r="F193" s="28"/>
      <c r="G193" s="112"/>
      <c r="H193" s="28"/>
      <c r="I193" s="28"/>
      <c r="J193" s="28"/>
      <c r="K193" s="28"/>
      <c r="L193" s="28"/>
      <c r="M193" s="28"/>
      <c r="N193" s="28"/>
      <c r="O193" s="28"/>
      <c r="P193" s="28"/>
      <c r="Q193" s="28"/>
      <c r="R193" s="28"/>
      <c r="S193" s="28"/>
      <c r="T193" s="28"/>
      <c r="U193" s="28"/>
      <c r="V193" s="28"/>
      <c r="W193" s="35"/>
      <c r="X193" s="32"/>
    </row>
    <row r="194" spans="1:24" ht="15.75" customHeight="1" x14ac:dyDescent="0.3">
      <c r="A194" s="3"/>
      <c r="B194" s="3"/>
      <c r="C194" s="28"/>
      <c r="D194" s="28"/>
      <c r="E194" s="28"/>
      <c r="F194" s="28"/>
      <c r="G194" s="112"/>
      <c r="H194" s="28"/>
      <c r="I194" s="28"/>
      <c r="J194" s="28"/>
      <c r="K194" s="28"/>
      <c r="L194" s="28"/>
      <c r="M194" s="28"/>
      <c r="N194" s="28"/>
      <c r="O194" s="28"/>
      <c r="P194" s="28"/>
      <c r="Q194" s="28"/>
      <c r="R194" s="28"/>
      <c r="S194" s="28"/>
      <c r="T194" s="28"/>
      <c r="U194" s="28"/>
      <c r="V194" s="28"/>
      <c r="W194" s="35"/>
      <c r="X194" s="32"/>
    </row>
    <row r="195" spans="1:24" ht="15.75" customHeight="1" x14ac:dyDescent="0.3">
      <c r="A195" s="3"/>
      <c r="B195" s="3"/>
      <c r="C195" s="28"/>
      <c r="D195" s="28"/>
      <c r="E195" s="28"/>
      <c r="F195" s="28"/>
      <c r="G195" s="112"/>
      <c r="H195" s="28"/>
      <c r="I195" s="28"/>
      <c r="J195" s="28"/>
      <c r="K195" s="28"/>
      <c r="L195" s="28"/>
      <c r="M195" s="28"/>
      <c r="N195" s="28"/>
      <c r="O195" s="28"/>
      <c r="P195" s="28"/>
      <c r="Q195" s="28"/>
      <c r="R195" s="28"/>
      <c r="S195" s="28"/>
      <c r="T195" s="28"/>
      <c r="U195" s="28"/>
      <c r="V195" s="28"/>
      <c r="W195" s="35"/>
      <c r="X195" s="32"/>
    </row>
    <row r="196" spans="1:24" ht="15.75" customHeight="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4" ht="15.75" customHeight="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4"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4"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4"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4"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4"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4"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4"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4"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4"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4"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4"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row r="382" spans="1:24" ht="15.75" customHeight="1" x14ac:dyDescent="0.3"/>
    <row r="383" spans="1:24" ht="15.75" customHeight="1" x14ac:dyDescent="0.3"/>
    <row r="384" spans="1:2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80" xr:uid="{00000000-0009-0000-0000-000009000000}"/>
  <mergeCells count="21">
    <mergeCell ref="G39:G42"/>
    <mergeCell ref="G44:G45"/>
    <mergeCell ref="G46:G47"/>
    <mergeCell ref="G48:G49"/>
    <mergeCell ref="G15:G16"/>
    <mergeCell ref="G17:G18"/>
    <mergeCell ref="G19:G20"/>
    <mergeCell ref="G21:G22"/>
    <mergeCell ref="G23:G24"/>
    <mergeCell ref="G27:G28"/>
    <mergeCell ref="G29:G30"/>
    <mergeCell ref="G11:G12"/>
    <mergeCell ref="G13:G14"/>
    <mergeCell ref="G31:G32"/>
    <mergeCell ref="G33:G34"/>
    <mergeCell ref="G37:G38"/>
    <mergeCell ref="B2:B3"/>
    <mergeCell ref="B4:B5"/>
    <mergeCell ref="H4:H5"/>
    <mergeCell ref="I4:I5"/>
    <mergeCell ref="G7:G10"/>
  </mergeCells>
  <conditionalFormatting sqref="W6:W126">
    <cfRule type="cellIs" dxfId="29" priority="1" operator="equal">
      <formula>"Diferente"</formula>
    </cfRule>
    <cfRule type="cellIs" dxfId="28" priority="2" operator="equal">
      <formula>"OK"</formula>
    </cfRule>
  </conditionalFormatting>
  <dataValidations count="1">
    <dataValidation type="list" allowBlank="1" showErrorMessage="1" sqref="D7:D126 D129:D130 D132:D134 D136:D138 D140:D142 D144:D146 D149:D152 D154:D157 D159:D161 D163:D168 D170:D172 D174:D180" xr:uid="{00000000-0002-0000-09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'Plano de contas DG'!$C$5:$C$38</xm:f>
          </x14:formula1>
          <xm:sqref>I6:I180</xm:sqref>
        </x14:dataValidation>
        <x14:dataValidation type="list" allowBlank="1" showErrorMessage="1" xr:uid="{00000000-0002-0000-0900-000001000000}">
          <x14:formula1>
            <xm:f>Caixa!$B$5:$B$8</xm:f>
          </x14:formula1>
          <xm:sqref>H7:H126 H129:H130 H132:H134 H136:H138 H140:H142 H144:H146 H149:H152 H154:H157 H159:H161 H163:H168 H170:H172 H174:H180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Z1002"/>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SUBTOTAL(9,E16,E63,E38,E147,E174,E180,E93,E6,E34,E236,E277,E186,E196,E206,E216,E226,E119)</f>
        <v>0</v>
      </c>
      <c r="F4" s="18">
        <f>SUBTOTAL(9,F16,F63,F38,F137,F147,F174,F180,F93,F6,F34,F236,F277,F186,F196,F206,F216,F226,F119)</f>
        <v>23123.13</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849.79000000000008</v>
      </c>
      <c r="G6" s="78"/>
      <c r="H6" s="78"/>
      <c r="I6" s="79"/>
      <c r="J6" s="78"/>
      <c r="K6" s="28"/>
      <c r="L6" s="28"/>
      <c r="M6" s="28"/>
      <c r="N6" s="28"/>
      <c r="O6" s="28"/>
      <c r="P6" s="28"/>
      <c r="Q6" s="28"/>
      <c r="R6" s="28"/>
      <c r="S6" s="28"/>
      <c r="T6" s="28"/>
      <c r="U6" s="3"/>
      <c r="W6" s="3"/>
      <c r="X6" s="3"/>
      <c r="Y6" s="3"/>
      <c r="Z6" s="3"/>
    </row>
    <row r="7" spans="1:26" ht="14.4" hidden="1" outlineLevel="1" x14ac:dyDescent="0.3">
      <c r="A7" s="3"/>
      <c r="B7" s="9" t="s">
        <v>274</v>
      </c>
      <c r="C7" s="53">
        <v>1</v>
      </c>
      <c r="D7" s="53" t="s">
        <v>95</v>
      </c>
      <c r="E7" s="11">
        <v>0</v>
      </c>
      <c r="F7" s="11">
        <v>286.63</v>
      </c>
      <c r="G7" s="80"/>
      <c r="H7" s="56" t="s">
        <v>37</v>
      </c>
      <c r="I7" s="102" t="s">
        <v>737</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56"/>
      <c r="H8" s="56"/>
      <c r="I8" s="80"/>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56"/>
      <c r="H9" s="56"/>
      <c r="I9" s="102"/>
      <c r="J9" s="56"/>
      <c r="K9" s="28"/>
      <c r="L9" s="28"/>
      <c r="M9" s="28"/>
      <c r="N9" s="28"/>
      <c r="O9" s="28"/>
      <c r="P9" s="28"/>
      <c r="Q9" s="28"/>
      <c r="R9" s="28"/>
      <c r="S9" s="28"/>
      <c r="T9" s="28"/>
      <c r="U9" s="3"/>
      <c r="W9" s="3"/>
      <c r="X9" s="3"/>
      <c r="Y9" s="3"/>
      <c r="Z9" s="3"/>
    </row>
    <row r="10" spans="1:26" ht="14.4" hidden="1" outlineLevel="1" x14ac:dyDescent="0.3">
      <c r="A10" s="3"/>
      <c r="B10" s="9" t="s">
        <v>282</v>
      </c>
      <c r="C10" s="53">
        <v>17</v>
      </c>
      <c r="D10" s="53" t="s">
        <v>95</v>
      </c>
      <c r="E10" s="11">
        <v>0</v>
      </c>
      <c r="F10" s="11">
        <v>84.82</v>
      </c>
      <c r="G10" s="80" t="s">
        <v>738</v>
      </c>
      <c r="H10" s="56" t="s">
        <v>37</v>
      </c>
      <c r="I10" s="102" t="s">
        <v>739</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53">
        <v>18</v>
      </c>
      <c r="D11" s="53" t="s">
        <v>95</v>
      </c>
      <c r="E11" s="11">
        <v>0</v>
      </c>
      <c r="F11" s="11">
        <v>374.25</v>
      </c>
      <c r="G11" s="80" t="s">
        <v>740</v>
      </c>
      <c r="H11" s="56" t="s">
        <v>37</v>
      </c>
      <c r="I11" s="102" t="s">
        <v>741</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53">
        <v>18</v>
      </c>
      <c r="D12" s="53" t="s">
        <v>95</v>
      </c>
      <c r="E12" s="11">
        <v>0</v>
      </c>
      <c r="F12" s="11">
        <v>49.1</v>
      </c>
      <c r="G12" s="80" t="s">
        <v>742</v>
      </c>
      <c r="H12" s="56" t="s">
        <v>37</v>
      </c>
      <c r="I12" s="102" t="s">
        <v>743</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v>1</v>
      </c>
      <c r="D14" s="53" t="s">
        <v>95</v>
      </c>
      <c r="E14" s="11">
        <v>0</v>
      </c>
      <c r="F14" s="11">
        <v>54.99</v>
      </c>
      <c r="G14" s="56"/>
      <c r="H14" s="56" t="s">
        <v>37</v>
      </c>
      <c r="I14" s="102" t="s">
        <v>744</v>
      </c>
      <c r="J14" s="80"/>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80"/>
      <c r="H15" s="56"/>
      <c r="I15" s="102"/>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4132.9800000000005</v>
      </c>
      <c r="G16" s="78"/>
      <c r="H16" s="78"/>
      <c r="I16" s="79"/>
      <c r="J16" s="78"/>
      <c r="K16" s="28"/>
      <c r="L16" s="28"/>
      <c r="M16" s="28"/>
      <c r="N16" s="28"/>
      <c r="O16" s="28"/>
      <c r="P16" s="28"/>
      <c r="Q16" s="28"/>
      <c r="R16" s="28"/>
      <c r="S16" s="28"/>
      <c r="T16" s="28"/>
      <c r="U16" s="3"/>
    </row>
    <row r="17" spans="1:22" ht="14.4" hidden="1" outlineLevel="1" x14ac:dyDescent="0.3">
      <c r="A17" s="3"/>
      <c r="B17" s="9" t="s">
        <v>562</v>
      </c>
      <c r="C17" s="53">
        <v>27</v>
      </c>
      <c r="D17" s="53" t="s">
        <v>95</v>
      </c>
      <c r="E17" s="11">
        <v>0</v>
      </c>
      <c r="F17" s="11">
        <v>1380.48</v>
      </c>
      <c r="G17" s="242" t="s">
        <v>745</v>
      </c>
      <c r="H17" s="56" t="s">
        <v>37</v>
      </c>
      <c r="I17" s="239" t="s">
        <v>746</v>
      </c>
      <c r="J17" s="56"/>
      <c r="K17" s="28"/>
      <c r="L17" s="28"/>
      <c r="M17" s="28"/>
      <c r="N17" s="28"/>
      <c r="O17" s="28"/>
      <c r="P17" s="28"/>
      <c r="Q17" s="28"/>
      <c r="R17" s="28"/>
      <c r="S17" s="28"/>
      <c r="T17" s="28"/>
      <c r="U17" s="3"/>
    </row>
    <row r="18" spans="1:22" ht="14.4" hidden="1" outlineLevel="1" x14ac:dyDescent="0.3">
      <c r="A18" s="3"/>
      <c r="B18" s="9" t="s">
        <v>564</v>
      </c>
      <c r="C18" s="53">
        <v>27</v>
      </c>
      <c r="D18" s="53" t="s">
        <v>95</v>
      </c>
      <c r="E18" s="11">
        <v>0</v>
      </c>
      <c r="F18" s="11">
        <v>786.24</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27</v>
      </c>
      <c r="D19" s="53" t="s">
        <v>95</v>
      </c>
      <c r="E19" s="11">
        <v>0</v>
      </c>
      <c r="F19" s="11">
        <v>96</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27</v>
      </c>
      <c r="D20" s="53" t="s">
        <v>95</v>
      </c>
      <c r="E20" s="11">
        <v>0</v>
      </c>
      <c r="F20" s="11">
        <v>96</v>
      </c>
      <c r="G20" s="213"/>
      <c r="H20" s="56" t="s">
        <v>37</v>
      </c>
      <c r="I20" s="213"/>
      <c r="J20" s="56"/>
      <c r="K20" s="28"/>
      <c r="L20" s="28"/>
      <c r="M20" s="28"/>
      <c r="N20" s="28"/>
      <c r="O20" s="28"/>
      <c r="P20" s="28"/>
      <c r="Q20" s="28"/>
      <c r="R20" s="28"/>
      <c r="S20" s="28"/>
      <c r="T20" s="28"/>
      <c r="U20" s="3"/>
    </row>
    <row r="21" spans="1:22" ht="14.4" hidden="1" outlineLevel="1" x14ac:dyDescent="0.3">
      <c r="A21" s="3"/>
      <c r="B21" s="9" t="s">
        <v>567</v>
      </c>
      <c r="C21" s="53">
        <v>27</v>
      </c>
      <c r="D21" s="53" t="s">
        <v>95</v>
      </c>
      <c r="E21" s="11">
        <v>0</v>
      </c>
      <c r="F21" s="11">
        <v>384</v>
      </c>
      <c r="G21" s="214"/>
      <c r="H21" s="56" t="s">
        <v>37</v>
      </c>
      <c r="I21" s="214"/>
      <c r="J21" s="56"/>
      <c r="K21" s="28"/>
      <c r="L21" s="28"/>
      <c r="M21" s="28"/>
      <c r="N21" s="28"/>
      <c r="O21" s="28"/>
      <c r="P21" s="28"/>
      <c r="Q21" s="28"/>
      <c r="R21" s="28"/>
      <c r="S21" s="28"/>
      <c r="T21" s="28"/>
      <c r="U21" s="3"/>
    </row>
    <row r="22" spans="1:22" ht="14.4" hidden="1" outlineLevel="1" x14ac:dyDescent="0.3">
      <c r="A22" s="3"/>
      <c r="B22" s="9" t="s">
        <v>568</v>
      </c>
      <c r="C22" s="53">
        <v>14</v>
      </c>
      <c r="D22" s="53" t="s">
        <v>95</v>
      </c>
      <c r="E22" s="11">
        <v>0</v>
      </c>
      <c r="F22" s="11">
        <v>313.92</v>
      </c>
      <c r="G22" s="242" t="s">
        <v>747</v>
      </c>
      <c r="H22" s="56" t="s">
        <v>37</v>
      </c>
      <c r="I22" s="239" t="s">
        <v>748</v>
      </c>
      <c r="J22" s="56"/>
      <c r="K22" s="28"/>
      <c r="L22" s="28"/>
      <c r="M22" s="28"/>
      <c r="N22" s="28"/>
      <c r="O22" s="28"/>
      <c r="P22" s="28"/>
      <c r="Q22" s="28"/>
      <c r="R22" s="28"/>
      <c r="S22" s="28"/>
      <c r="T22" s="28"/>
      <c r="U22" s="3"/>
      <c r="V22" s="14"/>
    </row>
    <row r="23" spans="1:22" ht="14.4" hidden="1" outlineLevel="1" x14ac:dyDescent="0.3">
      <c r="A23" s="3"/>
      <c r="B23" s="9" t="s">
        <v>571</v>
      </c>
      <c r="C23" s="53">
        <v>14</v>
      </c>
      <c r="D23" s="53" t="s">
        <v>95</v>
      </c>
      <c r="E23" s="11">
        <v>0</v>
      </c>
      <c r="F23" s="11">
        <v>360</v>
      </c>
      <c r="G23" s="213"/>
      <c r="H23" s="56" t="s">
        <v>37</v>
      </c>
      <c r="I23" s="213"/>
      <c r="J23" s="56"/>
      <c r="K23" s="28"/>
      <c r="L23" s="28"/>
      <c r="M23" s="28"/>
      <c r="N23" s="28"/>
      <c r="O23" s="28"/>
      <c r="P23" s="28"/>
      <c r="Q23" s="28"/>
      <c r="R23" s="28"/>
      <c r="S23" s="28"/>
      <c r="T23" s="28"/>
      <c r="U23" s="3"/>
      <c r="V23" s="14"/>
    </row>
    <row r="24" spans="1:22" ht="14.4" hidden="1" outlineLevel="1" x14ac:dyDescent="0.3">
      <c r="A24" s="3"/>
      <c r="B24" s="9" t="s">
        <v>572</v>
      </c>
      <c r="C24" s="53">
        <v>14</v>
      </c>
      <c r="D24" s="53" t="s">
        <v>95</v>
      </c>
      <c r="E24" s="11">
        <v>0</v>
      </c>
      <c r="F24" s="11">
        <v>446.4</v>
      </c>
      <c r="G24" s="213"/>
      <c r="H24" s="56" t="s">
        <v>37</v>
      </c>
      <c r="I24" s="213"/>
      <c r="J24" s="56"/>
      <c r="K24" s="28"/>
      <c r="L24" s="28"/>
      <c r="M24" s="28"/>
      <c r="N24" s="28"/>
      <c r="O24" s="28"/>
      <c r="P24" s="28"/>
      <c r="Q24" s="28"/>
      <c r="R24" s="28"/>
      <c r="S24" s="28"/>
      <c r="T24" s="28"/>
      <c r="U24" s="3"/>
      <c r="V24" s="14"/>
    </row>
    <row r="25" spans="1:22" ht="14.4" hidden="1" outlineLevel="1" x14ac:dyDescent="0.3">
      <c r="A25" s="3"/>
      <c r="B25" s="9" t="s">
        <v>573</v>
      </c>
      <c r="C25" s="53">
        <v>14</v>
      </c>
      <c r="D25" s="53" t="s">
        <v>95</v>
      </c>
      <c r="E25" s="11">
        <v>0</v>
      </c>
      <c r="F25" s="11">
        <v>31.68</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576</v>
      </c>
      <c r="C28" s="53"/>
      <c r="D28" s="53"/>
      <c r="E28" s="11">
        <v>0</v>
      </c>
      <c r="F28" s="11">
        <v>0</v>
      </c>
      <c r="G28" s="214"/>
      <c r="H28" s="56"/>
      <c r="I28" s="214"/>
      <c r="J28" s="56"/>
      <c r="K28" s="28"/>
      <c r="L28" s="28"/>
      <c r="M28" s="28"/>
      <c r="N28" s="28"/>
      <c r="O28" s="28"/>
      <c r="P28" s="28"/>
      <c r="Q28" s="28"/>
      <c r="R28" s="28"/>
      <c r="S28" s="28"/>
      <c r="T28" s="28"/>
      <c r="U28" s="3"/>
      <c r="V28" s="14"/>
    </row>
    <row r="29" spans="1:22" ht="14.4" hidden="1" outlineLevel="1" x14ac:dyDescent="0.3">
      <c r="A29" s="3"/>
      <c r="B29" s="9" t="s">
        <v>293</v>
      </c>
      <c r="C29" s="53">
        <v>14</v>
      </c>
      <c r="D29" s="53" t="s">
        <v>95</v>
      </c>
      <c r="E29" s="11">
        <v>0</v>
      </c>
      <c r="F29" s="11">
        <v>84</v>
      </c>
      <c r="G29" s="56"/>
      <c r="H29" s="56" t="s">
        <v>37</v>
      </c>
      <c r="I29" s="102" t="s">
        <v>749</v>
      </c>
      <c r="J29" s="56"/>
      <c r="K29" s="28"/>
      <c r="L29" s="28"/>
      <c r="M29" s="28"/>
      <c r="N29" s="28"/>
      <c r="O29" s="28"/>
      <c r="P29" s="28"/>
      <c r="Q29" s="28"/>
      <c r="R29" s="28"/>
      <c r="S29" s="28"/>
      <c r="T29" s="28"/>
      <c r="U29" s="3"/>
      <c r="V29" s="14"/>
    </row>
    <row r="30" spans="1:22" ht="14.4" hidden="1" outlineLevel="1" x14ac:dyDescent="0.3">
      <c r="A30" s="3"/>
      <c r="B30" s="9" t="s">
        <v>295</v>
      </c>
      <c r="C30" s="53"/>
      <c r="D30" s="53"/>
      <c r="E30" s="11">
        <v>0</v>
      </c>
      <c r="F30" s="11">
        <v>0</v>
      </c>
      <c r="G30" s="80"/>
      <c r="H30" s="56"/>
      <c r="I30" s="102"/>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02"/>
      <c r="J31" s="56"/>
      <c r="K31" s="28"/>
      <c r="L31" s="28"/>
      <c r="M31" s="28"/>
      <c r="N31" s="28"/>
      <c r="O31" s="28"/>
      <c r="P31" s="28"/>
      <c r="Q31" s="28"/>
      <c r="R31" s="28"/>
      <c r="S31" s="28"/>
      <c r="T31" s="28"/>
      <c r="U31" s="3"/>
    </row>
    <row r="32" spans="1:22" ht="14.4" hidden="1" outlineLevel="1" x14ac:dyDescent="0.3">
      <c r="A32" s="3"/>
      <c r="B32" s="9" t="s">
        <v>750</v>
      </c>
      <c r="C32" s="53">
        <v>14</v>
      </c>
      <c r="D32" s="53" t="s">
        <v>95</v>
      </c>
      <c r="E32" s="11">
        <v>0</v>
      </c>
      <c r="F32" s="11">
        <v>154.26</v>
      </c>
      <c r="G32" s="80" t="s">
        <v>751</v>
      </c>
      <c r="H32" s="56" t="s">
        <v>37</v>
      </c>
      <c r="I32" s="102" t="s">
        <v>752</v>
      </c>
      <c r="J32" s="56"/>
      <c r="K32" s="28"/>
      <c r="L32" s="28"/>
      <c r="M32" s="28"/>
      <c r="N32" s="28"/>
      <c r="O32" s="28"/>
      <c r="P32" s="28"/>
      <c r="Q32" s="28"/>
      <c r="R32" s="28"/>
      <c r="S32" s="28"/>
      <c r="T32" s="28"/>
      <c r="U32" s="3"/>
    </row>
    <row r="33" spans="1:26" ht="14.4" hidden="1"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20.399999999999999" collapsed="1" x14ac:dyDescent="0.3">
      <c r="A34" s="3"/>
      <c r="B34" s="75" t="s">
        <v>301</v>
      </c>
      <c r="C34" s="76" t="s">
        <v>44</v>
      </c>
      <c r="D34" s="76" t="s">
        <v>44</v>
      </c>
      <c r="E34" s="77">
        <f>SUM(E35:E37)</f>
        <v>0</v>
      </c>
      <c r="F34" s="77">
        <f>SUMIF(D35:D37,"OK",F35:F37)</f>
        <v>0.51</v>
      </c>
      <c r="G34" s="78"/>
      <c r="H34" s="78"/>
      <c r="I34" s="79"/>
      <c r="J34" s="78"/>
      <c r="K34" s="28"/>
      <c r="L34" s="28"/>
      <c r="M34" s="28"/>
      <c r="N34" s="28"/>
      <c r="O34" s="28"/>
      <c r="P34" s="28"/>
      <c r="Q34" s="28"/>
      <c r="R34" s="28"/>
      <c r="S34" s="28"/>
      <c r="T34" s="28"/>
      <c r="U34" s="3"/>
      <c r="W34" s="3"/>
      <c r="X34" s="3"/>
      <c r="Y34" s="3"/>
      <c r="Z34" s="3"/>
    </row>
    <row r="35" spans="1:26" ht="14.4" hidden="1" outlineLevel="1" x14ac:dyDescent="0.3">
      <c r="A35" s="3"/>
      <c r="B35" s="9" t="s">
        <v>584</v>
      </c>
      <c r="C35" s="53">
        <v>24</v>
      </c>
      <c r="D35" s="53" t="s">
        <v>95</v>
      </c>
      <c r="E35" s="11">
        <v>0</v>
      </c>
      <c r="F35" s="11">
        <v>0.51</v>
      </c>
      <c r="G35" s="56"/>
      <c r="H35" s="56" t="s">
        <v>38</v>
      </c>
      <c r="I35" s="102" t="s">
        <v>753</v>
      </c>
      <c r="J35" s="56"/>
      <c r="K35" s="28"/>
      <c r="L35" s="28"/>
      <c r="M35" s="28"/>
      <c r="N35" s="28"/>
      <c r="O35" s="28"/>
      <c r="P35" s="28"/>
      <c r="Q35" s="28"/>
      <c r="R35" s="28"/>
      <c r="S35" s="28"/>
      <c r="T35" s="28"/>
      <c r="U35" s="3"/>
      <c r="W35" s="3"/>
      <c r="X35" s="3"/>
      <c r="Y35" s="3"/>
      <c r="Z35" s="3"/>
    </row>
    <row r="36" spans="1:26" ht="14.4" hidden="1" outlineLevel="1" x14ac:dyDescent="0.3">
      <c r="A36" s="3"/>
      <c r="B36" s="9" t="s">
        <v>754</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4.4" hidden="1" outlineLevel="1" x14ac:dyDescent="0.3">
      <c r="A37" s="3"/>
      <c r="B37" s="9" t="s">
        <v>306</v>
      </c>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collapsed="1" x14ac:dyDescent="0.3">
      <c r="A38" s="3"/>
      <c r="B38" s="75" t="s">
        <v>307</v>
      </c>
      <c r="C38" s="76" t="s">
        <v>44</v>
      </c>
      <c r="D38" s="76" t="s">
        <v>44</v>
      </c>
      <c r="E38" s="77">
        <f>SUM(E39:E62)</f>
        <v>0</v>
      </c>
      <c r="F38" s="77">
        <f>SUMIF(D39:D62,"OK",F39:F62)</f>
        <v>4759.87</v>
      </c>
      <c r="G38" s="78"/>
      <c r="H38" s="78"/>
      <c r="I38" s="79"/>
      <c r="J38" s="78"/>
      <c r="K38" s="28"/>
      <c r="L38" s="28"/>
      <c r="M38" s="28"/>
      <c r="N38" s="28"/>
      <c r="O38" s="28"/>
      <c r="P38" s="28"/>
      <c r="Q38" s="28"/>
      <c r="R38" s="28"/>
      <c r="S38" s="28"/>
      <c r="T38" s="28"/>
      <c r="U38" s="3"/>
      <c r="W38" s="3"/>
      <c r="X38" s="3"/>
      <c r="Y38" s="3"/>
      <c r="Z38" s="3"/>
    </row>
    <row r="39" spans="1:26" ht="14.4" hidden="1" outlineLevel="1" x14ac:dyDescent="0.3">
      <c r="A39" s="3"/>
      <c r="B39" s="9" t="s">
        <v>308</v>
      </c>
      <c r="C39" s="53">
        <v>26</v>
      </c>
      <c r="D39" s="53" t="s">
        <v>95</v>
      </c>
      <c r="E39" s="11">
        <v>0</v>
      </c>
      <c r="F39" s="11">
        <v>1366.01</v>
      </c>
      <c r="G39" s="56"/>
      <c r="H39" s="56" t="s">
        <v>37</v>
      </c>
      <c r="I39" s="102" t="s">
        <v>755</v>
      </c>
      <c r="J39" s="56"/>
      <c r="K39" s="28"/>
      <c r="L39" s="28"/>
      <c r="M39" s="28"/>
      <c r="N39" s="28"/>
      <c r="O39" s="28"/>
      <c r="P39" s="28"/>
      <c r="Q39" s="28"/>
      <c r="R39" s="28"/>
      <c r="S39" s="28"/>
      <c r="T39" s="28"/>
      <c r="U39" s="3"/>
      <c r="W39" s="3"/>
      <c r="X39" s="3"/>
      <c r="Y39" s="3"/>
      <c r="Z39" s="3"/>
    </row>
    <row r="40" spans="1:26" ht="14.4" hidden="1" outlineLevel="1" x14ac:dyDescent="0.3">
      <c r="A40" s="3"/>
      <c r="B40" s="9" t="s">
        <v>590</v>
      </c>
      <c r="C40" s="53">
        <v>16</v>
      </c>
      <c r="D40" s="53" t="s">
        <v>95</v>
      </c>
      <c r="E40" s="11">
        <v>0</v>
      </c>
      <c r="F40" s="11">
        <v>650</v>
      </c>
      <c r="G40" s="56"/>
      <c r="H40" s="56" t="s">
        <v>37</v>
      </c>
      <c r="I40" s="102" t="s">
        <v>756</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hidden="1" outlineLevel="1" x14ac:dyDescent="0.3">
      <c r="A43" s="3"/>
      <c r="B43" s="9" t="s">
        <v>315</v>
      </c>
      <c r="C43" s="53">
        <v>17</v>
      </c>
      <c r="D43" s="53" t="s">
        <v>95</v>
      </c>
      <c r="E43" s="11">
        <v>0</v>
      </c>
      <c r="F43" s="11">
        <v>84.9</v>
      </c>
      <c r="G43" s="56"/>
      <c r="H43" s="56" t="s">
        <v>37</v>
      </c>
      <c r="I43" s="102" t="s">
        <v>758</v>
      </c>
      <c r="J43" s="56"/>
      <c r="K43" s="28"/>
      <c r="L43" s="28"/>
      <c r="M43" s="28"/>
      <c r="N43" s="28"/>
      <c r="O43" s="28"/>
      <c r="P43" s="28"/>
      <c r="Q43" s="28"/>
      <c r="R43" s="28"/>
      <c r="S43" s="28"/>
      <c r="T43" s="28"/>
      <c r="U43" s="3"/>
      <c r="W43" s="3"/>
      <c r="X43" s="3"/>
      <c r="Y43" s="3"/>
      <c r="Z43" s="3"/>
    </row>
    <row r="44" spans="1:26" ht="14.4" hidden="1" outlineLevel="1" x14ac:dyDescent="0.3">
      <c r="A44" s="3"/>
      <c r="B44" s="9" t="s">
        <v>593</v>
      </c>
      <c r="C44" s="53">
        <v>28</v>
      </c>
      <c r="D44" s="53" t="s">
        <v>95</v>
      </c>
      <c r="E44" s="11">
        <v>0</v>
      </c>
      <c r="F44" s="11">
        <v>518</v>
      </c>
      <c r="G44" s="80" t="s">
        <v>759</v>
      </c>
      <c r="H44" s="56" t="s">
        <v>39</v>
      </c>
      <c r="I44" s="102" t="s">
        <v>760</v>
      </c>
      <c r="J44" s="56"/>
      <c r="K44" s="28"/>
      <c r="L44" s="28"/>
      <c r="M44" s="28"/>
      <c r="N44" s="28"/>
      <c r="O44" s="28"/>
      <c r="P44" s="28"/>
      <c r="Q44" s="28"/>
      <c r="R44" s="28"/>
      <c r="S44" s="28"/>
      <c r="T44" s="28"/>
      <c r="U44" s="3"/>
      <c r="W44" s="3"/>
      <c r="X44" s="3"/>
      <c r="Y44" s="3"/>
      <c r="Z44" s="3"/>
    </row>
    <row r="45" spans="1:26" ht="14.4" hidden="1" outlineLevel="1" x14ac:dyDescent="0.3">
      <c r="A45" s="3"/>
      <c r="B45" s="9" t="s">
        <v>596</v>
      </c>
      <c r="C45" s="53">
        <v>28</v>
      </c>
      <c r="D45" s="53" t="s">
        <v>95</v>
      </c>
      <c r="E45" s="11">
        <v>0</v>
      </c>
      <c r="F45" s="11">
        <v>212.9</v>
      </c>
      <c r="G45" s="80" t="s">
        <v>594</v>
      </c>
      <c r="H45" s="56" t="s">
        <v>37</v>
      </c>
      <c r="I45" s="102" t="s">
        <v>761</v>
      </c>
      <c r="J45" s="56"/>
      <c r="K45" s="28"/>
      <c r="L45" s="28"/>
      <c r="M45" s="28"/>
      <c r="N45" s="28"/>
      <c r="O45" s="28"/>
      <c r="P45" s="28"/>
      <c r="Q45" s="28"/>
      <c r="R45" s="28"/>
      <c r="S45" s="28"/>
      <c r="T45" s="28"/>
      <c r="U45" s="3"/>
      <c r="W45" s="3"/>
      <c r="X45" s="3"/>
      <c r="Y45" s="3"/>
      <c r="Z45" s="3"/>
    </row>
    <row r="46" spans="1:26" ht="14.4" hidden="1" outlineLevel="1" x14ac:dyDescent="0.3">
      <c r="A46" s="3"/>
      <c r="B46" s="9" t="s">
        <v>762</v>
      </c>
      <c r="C46" s="53">
        <v>1</v>
      </c>
      <c r="D46" s="53" t="s">
        <v>95</v>
      </c>
      <c r="E46" s="11">
        <v>0</v>
      </c>
      <c r="F46" s="11">
        <v>89.9</v>
      </c>
      <c r="G46" s="56"/>
      <c r="H46" s="56" t="s">
        <v>37</v>
      </c>
      <c r="I46" s="102" t="s">
        <v>763</v>
      </c>
      <c r="J46" s="56"/>
      <c r="K46" s="28"/>
      <c r="L46" s="28"/>
      <c r="M46" s="28"/>
      <c r="N46" s="28"/>
      <c r="O46" s="28"/>
      <c r="P46" s="28"/>
      <c r="Q46" s="28"/>
      <c r="R46" s="28"/>
      <c r="S46" s="28"/>
      <c r="T46" s="28"/>
      <c r="U46" s="3"/>
      <c r="W46" s="3"/>
      <c r="X46" s="3"/>
      <c r="Y46" s="3"/>
      <c r="Z46" s="3"/>
    </row>
    <row r="47" spans="1:26" ht="14.4" hidden="1" outlineLevel="1" x14ac:dyDescent="0.3">
      <c r="A47" s="3"/>
      <c r="B47" s="9" t="s">
        <v>764</v>
      </c>
      <c r="C47" s="53">
        <v>9</v>
      </c>
      <c r="D47" s="53" t="s">
        <v>95</v>
      </c>
      <c r="E47" s="11">
        <v>0</v>
      </c>
      <c r="F47" s="11">
        <v>340</v>
      </c>
      <c r="G47" s="56"/>
      <c r="H47" s="56" t="s">
        <v>37</v>
      </c>
      <c r="I47" s="102" t="s">
        <v>765</v>
      </c>
      <c r="J47" s="56"/>
      <c r="K47" s="28"/>
      <c r="L47" s="28"/>
      <c r="M47" s="28"/>
      <c r="N47" s="28"/>
      <c r="O47" s="28"/>
      <c r="P47" s="28"/>
      <c r="Q47" s="28"/>
      <c r="R47" s="28"/>
      <c r="S47" s="28"/>
      <c r="T47" s="28"/>
      <c r="U47" s="3"/>
      <c r="W47" s="3"/>
      <c r="X47" s="3"/>
      <c r="Y47" s="3"/>
      <c r="Z47" s="3"/>
    </row>
    <row r="48" spans="1:26" ht="14.4" hidden="1" outlineLevel="1" x14ac:dyDescent="0.3">
      <c r="A48" s="3"/>
      <c r="B48" s="9" t="s">
        <v>764</v>
      </c>
      <c r="C48" s="53">
        <v>9</v>
      </c>
      <c r="D48" s="53" t="s">
        <v>95</v>
      </c>
      <c r="E48" s="11">
        <v>0</v>
      </c>
      <c r="F48" s="11">
        <v>155.16</v>
      </c>
      <c r="G48" s="80"/>
      <c r="H48" s="56" t="s">
        <v>37</v>
      </c>
      <c r="I48" s="102" t="s">
        <v>766</v>
      </c>
      <c r="J48" s="56"/>
      <c r="K48" s="28"/>
      <c r="L48" s="28"/>
      <c r="M48" s="28"/>
      <c r="N48" s="28"/>
      <c r="O48" s="28"/>
      <c r="P48" s="28"/>
      <c r="Q48" s="28"/>
      <c r="R48" s="28"/>
      <c r="S48" s="28"/>
      <c r="T48" s="28"/>
      <c r="U48" s="3"/>
      <c r="W48" s="3"/>
      <c r="X48" s="3"/>
      <c r="Y48" s="3"/>
      <c r="Z48" s="3"/>
    </row>
    <row r="49" spans="1:26" ht="14.4" hidden="1" outlineLevel="1" x14ac:dyDescent="0.3">
      <c r="A49" s="3"/>
      <c r="B49" s="9" t="s">
        <v>767</v>
      </c>
      <c r="C49" s="53">
        <v>17</v>
      </c>
      <c r="D49" s="53" t="s">
        <v>95</v>
      </c>
      <c r="E49" s="11">
        <v>0</v>
      </c>
      <c r="F49" s="11">
        <f>175</f>
        <v>175</v>
      </c>
      <c r="G49" s="80" t="s">
        <v>768</v>
      </c>
      <c r="H49" s="56" t="s">
        <v>37</v>
      </c>
      <c r="I49" s="102" t="s">
        <v>769</v>
      </c>
      <c r="J49" s="56"/>
      <c r="K49" s="28"/>
      <c r="L49" s="28"/>
      <c r="M49" s="28"/>
      <c r="N49" s="28"/>
      <c r="O49" s="28"/>
      <c r="P49" s="28"/>
      <c r="Q49" s="28"/>
      <c r="R49" s="28"/>
      <c r="S49" s="28"/>
      <c r="T49" s="28"/>
      <c r="U49" s="3"/>
      <c r="W49" s="3"/>
      <c r="X49" s="3"/>
      <c r="Y49" s="3"/>
      <c r="Z49" s="3"/>
    </row>
    <row r="50" spans="1:26" ht="14.4" hidden="1" outlineLevel="1" x14ac:dyDescent="0.3">
      <c r="A50" s="3"/>
      <c r="B50" s="9" t="s">
        <v>728</v>
      </c>
      <c r="C50" s="53">
        <v>17</v>
      </c>
      <c r="D50" s="53" t="s">
        <v>95</v>
      </c>
      <c r="E50" s="11">
        <v>0</v>
      </c>
      <c r="F50" s="11">
        <v>499</v>
      </c>
      <c r="G50" s="56"/>
      <c r="H50" s="56" t="s">
        <v>37</v>
      </c>
      <c r="I50" s="102" t="s">
        <v>770</v>
      </c>
      <c r="J50" s="56"/>
      <c r="K50" s="28"/>
      <c r="L50" s="28"/>
      <c r="M50" s="28"/>
      <c r="N50" s="28"/>
      <c r="O50" s="28"/>
      <c r="P50" s="28"/>
      <c r="Q50" s="28"/>
      <c r="R50" s="28"/>
      <c r="S50" s="28"/>
      <c r="T50" s="28"/>
      <c r="U50" s="3"/>
      <c r="W50" s="3"/>
      <c r="X50" s="3"/>
      <c r="Y50" s="3"/>
      <c r="Z50" s="3"/>
    </row>
    <row r="51" spans="1:26" ht="14.4" hidden="1" outlineLevel="1" x14ac:dyDescent="0.3">
      <c r="A51" s="3"/>
      <c r="B51" s="9" t="s">
        <v>771</v>
      </c>
      <c r="C51" s="53">
        <v>13</v>
      </c>
      <c r="D51" s="53" t="s">
        <v>95</v>
      </c>
      <c r="E51" s="11">
        <v>0</v>
      </c>
      <c r="F51" s="11">
        <v>189</v>
      </c>
      <c r="G51" s="56" t="s">
        <v>772</v>
      </c>
      <c r="H51" s="56" t="s">
        <v>37</v>
      </c>
      <c r="I51" s="102" t="s">
        <v>773</v>
      </c>
      <c r="J51" s="56"/>
      <c r="K51" s="28"/>
      <c r="L51" s="28"/>
      <c r="M51" s="28"/>
      <c r="N51" s="28"/>
      <c r="O51" s="28"/>
      <c r="P51" s="28"/>
      <c r="Q51" s="28"/>
      <c r="R51" s="28"/>
      <c r="S51" s="28"/>
      <c r="T51" s="28"/>
      <c r="U51" s="3"/>
      <c r="W51" s="3"/>
      <c r="X51" s="3"/>
      <c r="Y51" s="3"/>
      <c r="Z51" s="3"/>
    </row>
    <row r="52" spans="1:26" ht="14.4" hidden="1" outlineLevel="1" x14ac:dyDescent="0.3">
      <c r="A52" s="3"/>
      <c r="B52" s="9" t="s">
        <v>774</v>
      </c>
      <c r="C52" s="53">
        <v>21</v>
      </c>
      <c r="D52" s="53" t="s">
        <v>95</v>
      </c>
      <c r="E52" s="11">
        <v>0</v>
      </c>
      <c r="F52" s="11">
        <v>100</v>
      </c>
      <c r="G52" s="80"/>
      <c r="H52" s="56" t="s">
        <v>37</v>
      </c>
      <c r="I52" s="102" t="s">
        <v>775</v>
      </c>
      <c r="J52" s="56"/>
      <c r="K52" s="28"/>
      <c r="L52" s="28"/>
      <c r="M52" s="28"/>
      <c r="N52" s="28"/>
      <c r="O52" s="28"/>
      <c r="P52" s="28"/>
      <c r="Q52" s="28"/>
      <c r="R52" s="28"/>
      <c r="S52" s="28"/>
      <c r="T52" s="28"/>
      <c r="U52" s="3"/>
      <c r="W52" s="3"/>
      <c r="X52" s="3"/>
      <c r="Y52" s="3"/>
      <c r="Z52" s="3"/>
    </row>
    <row r="53" spans="1:26" ht="14.4" hidden="1" outlineLevel="1" x14ac:dyDescent="0.3">
      <c r="A53" s="3"/>
      <c r="B53" s="9" t="s">
        <v>776</v>
      </c>
      <c r="C53" s="53">
        <v>21</v>
      </c>
      <c r="D53" s="53" t="s">
        <v>95</v>
      </c>
      <c r="E53" s="11">
        <v>0</v>
      </c>
      <c r="F53" s="11">
        <v>380</v>
      </c>
      <c r="G53" s="80" t="s">
        <v>768</v>
      </c>
      <c r="H53" s="56" t="s">
        <v>37</v>
      </c>
      <c r="I53" s="102" t="s">
        <v>777</v>
      </c>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collapsed="1" x14ac:dyDescent="0.3">
      <c r="A63" s="3"/>
      <c r="B63" s="75" t="s">
        <v>330</v>
      </c>
      <c r="C63" s="76" t="s">
        <v>44</v>
      </c>
      <c r="D63" s="76" t="s">
        <v>44</v>
      </c>
      <c r="E63" s="77">
        <f>SUM(E64:E92)</f>
        <v>0</v>
      </c>
      <c r="F63" s="77">
        <f>SUMIF(D64:D92,"OK",F64:F92)</f>
        <v>3437.6100000000006</v>
      </c>
      <c r="G63" s="78"/>
      <c r="H63" s="78"/>
      <c r="I63" s="79"/>
      <c r="J63" s="78"/>
      <c r="K63" s="28"/>
      <c r="L63" s="28"/>
      <c r="M63" s="28"/>
      <c r="N63" s="28"/>
      <c r="O63" s="28"/>
      <c r="P63" s="28"/>
      <c r="Q63" s="28"/>
      <c r="R63" s="28"/>
      <c r="S63" s="28"/>
      <c r="T63" s="28"/>
      <c r="U63" s="3"/>
    </row>
    <row r="64" spans="1:26" ht="14.4" hidden="1" outlineLevel="1" x14ac:dyDescent="0.3">
      <c r="A64" s="3"/>
      <c r="B64" s="9" t="s">
        <v>603</v>
      </c>
      <c r="C64" s="71">
        <v>3</v>
      </c>
      <c r="D64" s="53" t="s">
        <v>95</v>
      </c>
      <c r="E64" s="11">
        <v>0</v>
      </c>
      <c r="F64" s="11">
        <v>70</v>
      </c>
      <c r="G64" s="80" t="s">
        <v>614</v>
      </c>
      <c r="H64" s="56" t="s">
        <v>37</v>
      </c>
      <c r="I64" s="102" t="s">
        <v>778</v>
      </c>
      <c r="J64" s="80"/>
      <c r="K64" s="28"/>
      <c r="L64" s="28"/>
      <c r="M64" s="28"/>
      <c r="N64" s="28"/>
      <c r="O64" s="28"/>
      <c r="P64" s="28"/>
      <c r="Q64" s="28"/>
      <c r="R64" s="28"/>
      <c r="S64" s="28"/>
      <c r="T64" s="28"/>
      <c r="U64" s="3"/>
      <c r="V64" s="14"/>
    </row>
    <row r="65" spans="1:22" ht="14.4" hidden="1" outlineLevel="1" x14ac:dyDescent="0.3">
      <c r="A65" s="3"/>
      <c r="B65" s="9" t="s">
        <v>603</v>
      </c>
      <c r="C65" s="71">
        <v>3</v>
      </c>
      <c r="D65" s="53" t="s">
        <v>95</v>
      </c>
      <c r="E65" s="11">
        <v>0</v>
      </c>
      <c r="F65" s="11">
        <v>60.32</v>
      </c>
      <c r="G65" s="80" t="s">
        <v>779</v>
      </c>
      <c r="H65" s="56" t="s">
        <v>37</v>
      </c>
      <c r="I65" s="102" t="s">
        <v>780</v>
      </c>
      <c r="J65" s="80"/>
      <c r="K65" s="28"/>
      <c r="L65" s="28"/>
      <c r="M65" s="28"/>
      <c r="N65" s="28"/>
      <c r="O65" s="28"/>
      <c r="P65" s="28"/>
      <c r="Q65" s="28"/>
      <c r="R65" s="28"/>
      <c r="S65" s="28"/>
      <c r="T65" s="28"/>
      <c r="U65" s="3"/>
      <c r="V65" s="14"/>
    </row>
    <row r="66" spans="1:22" ht="14.4" hidden="1" outlineLevel="1" x14ac:dyDescent="0.3">
      <c r="A66" s="3"/>
      <c r="B66" s="9" t="s">
        <v>603</v>
      </c>
      <c r="C66" s="71">
        <v>4</v>
      </c>
      <c r="D66" s="53" t="s">
        <v>95</v>
      </c>
      <c r="E66" s="11">
        <v>0</v>
      </c>
      <c r="F66" s="11">
        <v>45</v>
      </c>
      <c r="G66" s="80" t="s">
        <v>606</v>
      </c>
      <c r="H66" s="56" t="s">
        <v>37</v>
      </c>
      <c r="I66" s="102" t="s">
        <v>781</v>
      </c>
      <c r="J66" s="80"/>
      <c r="K66" s="28"/>
      <c r="L66" s="28"/>
      <c r="M66" s="28"/>
      <c r="N66" s="28"/>
      <c r="O66" s="28"/>
      <c r="P66" s="28"/>
      <c r="Q66" s="28"/>
      <c r="R66" s="28"/>
      <c r="S66" s="28"/>
      <c r="T66" s="28"/>
      <c r="U66" s="3"/>
      <c r="V66" s="14"/>
    </row>
    <row r="67" spans="1:22" ht="48" hidden="1" outlineLevel="1" x14ac:dyDescent="0.3">
      <c r="A67" s="3"/>
      <c r="B67" s="9" t="s">
        <v>603</v>
      </c>
      <c r="C67" s="71">
        <v>1</v>
      </c>
      <c r="D67" s="53" t="s">
        <v>95</v>
      </c>
      <c r="E67" s="11">
        <v>0</v>
      </c>
      <c r="F67" s="11">
        <v>95.65</v>
      </c>
      <c r="G67" s="80" t="s">
        <v>782</v>
      </c>
      <c r="H67" s="56" t="s">
        <v>37</v>
      </c>
      <c r="I67" s="102" t="s">
        <v>783</v>
      </c>
      <c r="J67" s="80"/>
      <c r="K67" s="28"/>
      <c r="L67" s="28"/>
      <c r="M67" s="28"/>
      <c r="N67" s="28"/>
      <c r="O67" s="28"/>
      <c r="P67" s="28"/>
      <c r="Q67" s="28"/>
      <c r="R67" s="28"/>
      <c r="S67" s="28"/>
      <c r="T67" s="28"/>
      <c r="U67" s="3"/>
      <c r="V67" s="14"/>
    </row>
    <row r="68" spans="1:22" ht="48" hidden="1" outlineLevel="1" x14ac:dyDescent="0.3">
      <c r="A68" s="3"/>
      <c r="B68" s="9" t="s">
        <v>603</v>
      </c>
      <c r="C68" s="71">
        <v>1</v>
      </c>
      <c r="D68" s="53" t="s">
        <v>95</v>
      </c>
      <c r="E68" s="11">
        <v>0</v>
      </c>
      <c r="F68" s="11">
        <v>148.25</v>
      </c>
      <c r="G68" s="80" t="s">
        <v>782</v>
      </c>
      <c r="H68" s="56" t="s">
        <v>37</v>
      </c>
      <c r="I68" s="102" t="s">
        <v>784</v>
      </c>
      <c r="J68" s="80"/>
      <c r="K68" s="28"/>
      <c r="L68" s="28"/>
      <c r="M68" s="28"/>
      <c r="N68" s="28"/>
      <c r="O68" s="28"/>
      <c r="P68" s="28"/>
      <c r="Q68" s="28"/>
      <c r="R68" s="28"/>
      <c r="S68" s="28"/>
      <c r="T68" s="28"/>
      <c r="U68" s="3"/>
      <c r="V68" s="14"/>
    </row>
    <row r="69" spans="1:22" ht="14.4" hidden="1" outlineLevel="1" x14ac:dyDescent="0.3">
      <c r="A69" s="3"/>
      <c r="B69" s="9" t="s">
        <v>603</v>
      </c>
      <c r="C69" s="71"/>
      <c r="D69" s="53"/>
      <c r="E69" s="11">
        <v>0</v>
      </c>
      <c r="F69" s="11">
        <v>0</v>
      </c>
      <c r="G69" s="80"/>
      <c r="H69" s="56"/>
      <c r="I69" s="102"/>
      <c r="J69" s="80"/>
      <c r="K69" s="28"/>
      <c r="L69" s="28"/>
      <c r="M69" s="28"/>
      <c r="N69" s="28"/>
      <c r="O69" s="28"/>
      <c r="P69" s="28"/>
      <c r="Q69" s="28"/>
      <c r="R69" s="28"/>
      <c r="S69" s="28"/>
      <c r="T69" s="28"/>
      <c r="U69" s="3"/>
      <c r="V69" s="14"/>
    </row>
    <row r="70" spans="1:22" ht="14.4" hidden="1" outlineLevel="1" x14ac:dyDescent="0.3">
      <c r="A70" s="3"/>
      <c r="B70" s="9" t="s">
        <v>603</v>
      </c>
      <c r="C70" s="71"/>
      <c r="D70" s="53"/>
      <c r="E70" s="11">
        <v>0</v>
      </c>
      <c r="F70" s="11">
        <v>0</v>
      </c>
      <c r="G70" s="80"/>
      <c r="H70" s="56"/>
      <c r="I70" s="102"/>
      <c r="J70" s="80"/>
      <c r="K70" s="28"/>
      <c r="L70" s="28"/>
      <c r="M70" s="28"/>
      <c r="N70" s="28"/>
      <c r="O70" s="28"/>
      <c r="P70" s="28"/>
      <c r="Q70" s="28"/>
      <c r="R70" s="28"/>
      <c r="S70" s="28"/>
      <c r="T70" s="28"/>
      <c r="U70" s="3"/>
      <c r="V70" s="14"/>
    </row>
    <row r="71" spans="1:22" ht="14.4" hidden="1" outlineLevel="1" x14ac:dyDescent="0.3">
      <c r="A71" s="3"/>
      <c r="B71" s="9" t="s">
        <v>603</v>
      </c>
      <c r="C71" s="71"/>
      <c r="D71" s="53"/>
      <c r="E71" s="11">
        <v>0</v>
      </c>
      <c r="F71" s="11">
        <v>0</v>
      </c>
      <c r="G71" s="80"/>
      <c r="H71" s="56"/>
      <c r="I71" s="102"/>
      <c r="J71" s="80"/>
      <c r="K71" s="28"/>
      <c r="L71" s="28"/>
      <c r="M71" s="28"/>
      <c r="N71" s="28"/>
      <c r="O71" s="28"/>
      <c r="P71" s="28"/>
      <c r="Q71" s="28"/>
      <c r="R71" s="28"/>
      <c r="S71" s="28"/>
      <c r="T71" s="28"/>
      <c r="U71" s="3"/>
      <c r="V71" s="14"/>
    </row>
    <row r="72" spans="1:22" ht="14.4" hidden="1" outlineLevel="1" x14ac:dyDescent="0.3">
      <c r="A72" s="3"/>
      <c r="B72" s="9" t="s">
        <v>613</v>
      </c>
      <c r="C72" s="71">
        <v>15</v>
      </c>
      <c r="D72" s="53" t="s">
        <v>95</v>
      </c>
      <c r="E72" s="11">
        <v>0</v>
      </c>
      <c r="F72" s="11">
        <v>316.76</v>
      </c>
      <c r="G72" s="80"/>
      <c r="H72" s="56" t="s">
        <v>37</v>
      </c>
      <c r="I72" s="102" t="s">
        <v>785</v>
      </c>
      <c r="J72" s="80"/>
      <c r="K72" s="28"/>
      <c r="L72" s="28"/>
      <c r="M72" s="28"/>
      <c r="N72" s="28"/>
      <c r="O72" s="28"/>
      <c r="P72" s="28"/>
      <c r="Q72" s="28"/>
      <c r="R72" s="28"/>
      <c r="S72" s="28"/>
      <c r="T72" s="28"/>
      <c r="U72" s="3"/>
      <c r="V72" s="14"/>
    </row>
    <row r="73" spans="1:22" ht="14.4" hidden="1" outlineLevel="1" x14ac:dyDescent="0.3">
      <c r="A73" s="3"/>
      <c r="B73" s="9" t="s">
        <v>613</v>
      </c>
      <c r="C73" s="71">
        <v>15</v>
      </c>
      <c r="D73" s="53" t="s">
        <v>95</v>
      </c>
      <c r="E73" s="11">
        <v>0</v>
      </c>
      <c r="F73" s="11">
        <v>140</v>
      </c>
      <c r="G73" s="80" t="s">
        <v>614</v>
      </c>
      <c r="H73" s="56" t="s">
        <v>37</v>
      </c>
      <c r="I73" s="102" t="s">
        <v>786</v>
      </c>
      <c r="J73" s="80"/>
      <c r="K73" s="28"/>
      <c r="L73" s="28"/>
      <c r="M73" s="28"/>
      <c r="N73" s="28"/>
      <c r="O73" s="28"/>
      <c r="P73" s="28"/>
      <c r="Q73" s="28"/>
      <c r="R73" s="28"/>
      <c r="S73" s="28"/>
      <c r="T73" s="28"/>
      <c r="U73" s="3"/>
      <c r="V73" s="14"/>
    </row>
    <row r="74" spans="1:22" ht="14.4" hidden="1" outlineLevel="1" x14ac:dyDescent="0.3">
      <c r="A74" s="3"/>
      <c r="B74" s="9" t="s">
        <v>630</v>
      </c>
      <c r="C74" s="71">
        <v>15</v>
      </c>
      <c r="D74" s="53" t="s">
        <v>95</v>
      </c>
      <c r="E74" s="11">
        <v>0</v>
      </c>
      <c r="F74" s="11">
        <v>131.69</v>
      </c>
      <c r="G74" s="80"/>
      <c r="H74" s="56" t="s">
        <v>37</v>
      </c>
      <c r="I74" s="102" t="s">
        <v>787</v>
      </c>
      <c r="J74" s="80"/>
      <c r="K74" s="28"/>
      <c r="L74" s="28"/>
      <c r="M74" s="28"/>
      <c r="N74" s="28"/>
      <c r="O74" s="28"/>
      <c r="P74" s="28"/>
      <c r="Q74" s="28"/>
      <c r="R74" s="28"/>
      <c r="S74" s="28"/>
      <c r="T74" s="28"/>
      <c r="U74" s="3"/>
      <c r="V74" s="14"/>
    </row>
    <row r="75" spans="1:22" ht="14.4" hidden="1" outlineLevel="1" x14ac:dyDescent="0.3">
      <c r="A75" s="3"/>
      <c r="B75" s="9" t="s">
        <v>613</v>
      </c>
      <c r="C75" s="71">
        <v>20</v>
      </c>
      <c r="D75" s="53" t="s">
        <v>95</v>
      </c>
      <c r="E75" s="11">
        <v>0</v>
      </c>
      <c r="F75" s="11">
        <v>45</v>
      </c>
      <c r="G75" s="80" t="s">
        <v>788</v>
      </c>
      <c r="H75" s="56" t="s">
        <v>37</v>
      </c>
      <c r="I75" s="102" t="s">
        <v>781</v>
      </c>
      <c r="J75" s="80"/>
      <c r="K75" s="28"/>
      <c r="L75" s="28"/>
      <c r="M75" s="28"/>
      <c r="N75" s="28"/>
      <c r="O75" s="28"/>
      <c r="P75" s="28"/>
      <c r="Q75" s="28"/>
      <c r="R75" s="28"/>
      <c r="S75" s="28"/>
      <c r="T75" s="28"/>
      <c r="U75" s="3"/>
      <c r="V75" s="14"/>
    </row>
    <row r="76" spans="1:22" ht="14.4" hidden="1" outlineLevel="1" x14ac:dyDescent="0.3">
      <c r="A76" s="3"/>
      <c r="B76" s="9" t="s">
        <v>789</v>
      </c>
      <c r="C76" s="71">
        <v>28</v>
      </c>
      <c r="D76" s="53" t="s">
        <v>95</v>
      </c>
      <c r="E76" s="11">
        <v>0</v>
      </c>
      <c r="F76" s="11">
        <v>335</v>
      </c>
      <c r="G76" s="80" t="s">
        <v>790</v>
      </c>
      <c r="H76" s="56" t="s">
        <v>37</v>
      </c>
      <c r="I76" s="102" t="s">
        <v>791</v>
      </c>
      <c r="J76" s="80"/>
      <c r="K76" s="28"/>
      <c r="L76" s="28"/>
      <c r="M76" s="28"/>
      <c r="N76" s="28"/>
      <c r="O76" s="28"/>
      <c r="P76" s="28"/>
      <c r="Q76" s="28"/>
      <c r="R76" s="28"/>
      <c r="S76" s="28"/>
      <c r="T76" s="28"/>
      <c r="U76" s="3"/>
      <c r="V76" s="14"/>
    </row>
    <row r="77" spans="1:22" ht="14.4" hidden="1" outlineLevel="1" x14ac:dyDescent="0.3">
      <c r="A77" s="3"/>
      <c r="B77" s="9" t="s">
        <v>613</v>
      </c>
      <c r="C77" s="71"/>
      <c r="D77" s="53"/>
      <c r="E77" s="11">
        <v>0</v>
      </c>
      <c r="F77" s="11">
        <v>0</v>
      </c>
      <c r="G77" s="80"/>
      <c r="H77" s="56"/>
      <c r="I77" s="102"/>
      <c r="J77" s="80"/>
      <c r="K77" s="28"/>
      <c r="L77" s="28"/>
      <c r="M77" s="28"/>
      <c r="N77" s="28"/>
      <c r="O77" s="28"/>
      <c r="P77" s="28"/>
      <c r="Q77" s="28"/>
      <c r="R77" s="28"/>
      <c r="S77" s="28"/>
      <c r="T77" s="28"/>
      <c r="U77" s="3"/>
      <c r="V77" s="14"/>
    </row>
    <row r="78" spans="1:22" ht="14.4" hidden="1" outlineLevel="1" x14ac:dyDescent="0.3">
      <c r="A78" s="3"/>
      <c r="B78" s="9" t="s">
        <v>613</v>
      </c>
      <c r="C78" s="71"/>
      <c r="D78" s="53"/>
      <c r="E78" s="11">
        <v>0</v>
      </c>
      <c r="F78" s="11">
        <v>0</v>
      </c>
      <c r="G78" s="80"/>
      <c r="H78" s="56"/>
      <c r="I78" s="102"/>
      <c r="J78" s="80"/>
      <c r="K78" s="28"/>
      <c r="L78" s="28"/>
      <c r="M78" s="28"/>
      <c r="N78" s="28"/>
      <c r="O78" s="28"/>
      <c r="P78" s="28"/>
      <c r="Q78" s="28"/>
      <c r="R78" s="28"/>
      <c r="S78" s="28"/>
      <c r="T78" s="28"/>
      <c r="U78" s="3"/>
      <c r="V78" s="14"/>
    </row>
    <row r="79" spans="1:22" ht="14.4" hidden="1" outlineLevel="1" x14ac:dyDescent="0.3">
      <c r="A79" s="3"/>
      <c r="B79" s="9" t="s">
        <v>613</v>
      </c>
      <c r="C79" s="71"/>
      <c r="D79" s="53"/>
      <c r="E79" s="11">
        <v>0</v>
      </c>
      <c r="F79" s="11">
        <v>0</v>
      </c>
      <c r="G79" s="80"/>
      <c r="H79" s="56"/>
      <c r="I79" s="102"/>
      <c r="J79" s="80"/>
      <c r="K79" s="28"/>
      <c r="L79" s="28"/>
      <c r="M79" s="28"/>
      <c r="N79" s="28"/>
      <c r="O79" s="28"/>
      <c r="P79" s="28"/>
      <c r="Q79" s="28"/>
      <c r="R79" s="28"/>
      <c r="S79" s="28"/>
      <c r="T79" s="28"/>
      <c r="U79" s="3"/>
      <c r="V79" s="14"/>
    </row>
    <row r="80" spans="1:22" ht="48" hidden="1" outlineLevel="1" x14ac:dyDescent="0.3">
      <c r="A80" s="3"/>
      <c r="B80" s="9" t="s">
        <v>331</v>
      </c>
      <c r="C80" s="71">
        <v>1</v>
      </c>
      <c r="D80" s="53" t="s">
        <v>95</v>
      </c>
      <c r="E80" s="11">
        <v>0</v>
      </c>
      <c r="F80" s="11">
        <v>145.57</v>
      </c>
      <c r="G80" s="80" t="s">
        <v>782</v>
      </c>
      <c r="H80" s="56" t="s">
        <v>37</v>
      </c>
      <c r="I80" s="102" t="s">
        <v>792</v>
      </c>
      <c r="J80" s="56"/>
      <c r="K80" s="28"/>
      <c r="L80" s="28"/>
      <c r="M80" s="28"/>
      <c r="N80" s="28"/>
      <c r="O80" s="28"/>
      <c r="P80" s="28"/>
      <c r="Q80" s="28"/>
      <c r="R80" s="28"/>
      <c r="S80" s="28"/>
      <c r="T80" s="28"/>
      <c r="U80" s="3"/>
    </row>
    <row r="81" spans="1:26" ht="14.4" hidden="1" outlineLevel="1" x14ac:dyDescent="0.3">
      <c r="A81" s="3"/>
      <c r="B81" s="9" t="s">
        <v>331</v>
      </c>
      <c r="C81" s="53">
        <v>10</v>
      </c>
      <c r="D81" s="53" t="s">
        <v>95</v>
      </c>
      <c r="E81" s="11">
        <v>0</v>
      </c>
      <c r="F81" s="11">
        <v>267.7</v>
      </c>
      <c r="G81" s="56"/>
      <c r="H81" s="56" t="s">
        <v>37</v>
      </c>
      <c r="I81" s="102" t="s">
        <v>793</v>
      </c>
      <c r="J81" s="56"/>
      <c r="K81" s="28"/>
      <c r="L81" s="28"/>
      <c r="M81" s="28"/>
      <c r="N81" s="28"/>
      <c r="O81" s="28"/>
      <c r="P81" s="28"/>
      <c r="Q81" s="28"/>
      <c r="R81" s="28"/>
      <c r="S81" s="28"/>
      <c r="T81" s="28"/>
      <c r="U81" s="3"/>
    </row>
    <row r="82" spans="1:26" ht="14.4" hidden="1" outlineLevel="1" x14ac:dyDescent="0.3">
      <c r="A82" s="3"/>
      <c r="B82" s="9" t="s">
        <v>331</v>
      </c>
      <c r="C82" s="71">
        <v>15</v>
      </c>
      <c r="D82" s="53" t="s">
        <v>95</v>
      </c>
      <c r="E82" s="11">
        <v>0</v>
      </c>
      <c r="F82" s="11">
        <v>98.95</v>
      </c>
      <c r="G82" s="80" t="s">
        <v>794</v>
      </c>
      <c r="H82" s="56" t="s">
        <v>37</v>
      </c>
      <c r="I82" s="102" t="s">
        <v>795</v>
      </c>
      <c r="J82" s="80"/>
      <c r="K82" s="28"/>
      <c r="L82" s="28"/>
      <c r="M82" s="28"/>
      <c r="N82" s="28"/>
      <c r="O82" s="28"/>
      <c r="P82" s="28"/>
      <c r="Q82" s="28"/>
      <c r="R82" s="28"/>
      <c r="S82" s="28"/>
      <c r="T82" s="28"/>
      <c r="U82" s="3"/>
      <c r="V82" s="14"/>
    </row>
    <row r="83" spans="1:26" ht="14.4" hidden="1" outlineLevel="1" x14ac:dyDescent="0.3">
      <c r="A83" s="3"/>
      <c r="B83" s="9" t="s">
        <v>331</v>
      </c>
      <c r="C83" s="71">
        <v>14</v>
      </c>
      <c r="D83" s="53" t="s">
        <v>95</v>
      </c>
      <c r="E83" s="11">
        <v>0</v>
      </c>
      <c r="F83" s="11">
        <v>164.9</v>
      </c>
      <c r="G83" s="80" t="s">
        <v>796</v>
      </c>
      <c r="H83" s="56" t="s">
        <v>37</v>
      </c>
      <c r="I83" s="102" t="s">
        <v>797</v>
      </c>
      <c r="J83" s="80"/>
      <c r="K83" s="28"/>
      <c r="L83" s="28"/>
      <c r="M83" s="28"/>
      <c r="N83" s="28"/>
      <c r="O83" s="28"/>
      <c r="P83" s="28"/>
      <c r="Q83" s="28"/>
      <c r="R83" s="28"/>
      <c r="S83" s="28"/>
      <c r="T83" s="28"/>
      <c r="U83" s="3"/>
      <c r="V83" s="14"/>
    </row>
    <row r="84" spans="1:26" ht="14.4" hidden="1" outlineLevel="1" x14ac:dyDescent="0.3">
      <c r="A84" s="3"/>
      <c r="B84" s="9" t="s">
        <v>331</v>
      </c>
      <c r="C84" s="71"/>
      <c r="D84" s="53"/>
      <c r="E84" s="11">
        <v>0</v>
      </c>
      <c r="F84" s="11">
        <v>0</v>
      </c>
      <c r="G84" s="80"/>
      <c r="H84" s="56"/>
      <c r="I84" s="102"/>
      <c r="J84" s="80"/>
      <c r="K84" s="28"/>
      <c r="L84" s="28"/>
      <c r="M84" s="28"/>
      <c r="N84" s="28"/>
      <c r="O84" s="28"/>
      <c r="P84" s="28"/>
      <c r="Q84" s="28"/>
      <c r="R84" s="28"/>
      <c r="S84" s="28"/>
      <c r="T84" s="28"/>
      <c r="U84" s="3"/>
      <c r="V84" s="14"/>
    </row>
    <row r="85" spans="1:26" ht="14.4" hidden="1" outlineLevel="1" x14ac:dyDescent="0.3">
      <c r="A85" s="3"/>
      <c r="B85" s="9" t="s">
        <v>335</v>
      </c>
      <c r="C85" s="71">
        <v>28</v>
      </c>
      <c r="D85" s="53" t="s">
        <v>95</v>
      </c>
      <c r="E85" s="11">
        <v>0</v>
      </c>
      <c r="F85" s="11">
        <v>184</v>
      </c>
      <c r="G85" s="80"/>
      <c r="H85" s="56" t="s">
        <v>37</v>
      </c>
      <c r="I85" s="102" t="s">
        <v>798</v>
      </c>
      <c r="J85" s="80"/>
      <c r="K85" s="28"/>
      <c r="L85" s="28"/>
      <c r="M85" s="28"/>
      <c r="N85" s="28"/>
      <c r="O85" s="28"/>
      <c r="P85" s="28"/>
      <c r="Q85" s="28"/>
      <c r="R85" s="28"/>
      <c r="S85" s="28"/>
      <c r="T85" s="28"/>
      <c r="U85" s="3"/>
      <c r="V85" s="14"/>
    </row>
    <row r="86" spans="1:26" ht="14.4" hidden="1" outlineLevel="1" x14ac:dyDescent="0.3">
      <c r="A86" s="3"/>
      <c r="B86" s="9" t="s">
        <v>335</v>
      </c>
      <c r="C86" s="53"/>
      <c r="D86" s="53"/>
      <c r="E86" s="11">
        <v>0</v>
      </c>
      <c r="F86" s="11">
        <v>0</v>
      </c>
      <c r="G86" s="113"/>
      <c r="H86" s="56"/>
      <c r="I86" s="102"/>
      <c r="J86" s="56"/>
      <c r="K86" s="28"/>
      <c r="L86" s="28"/>
      <c r="M86" s="28"/>
      <c r="N86" s="28"/>
      <c r="O86" s="28"/>
      <c r="P86" s="28"/>
      <c r="Q86" s="28"/>
      <c r="R86" s="28"/>
      <c r="S86" s="28"/>
      <c r="T86" s="28"/>
      <c r="U86" s="3"/>
    </row>
    <row r="87" spans="1:26" ht="14.4" hidden="1" outlineLevel="1" x14ac:dyDescent="0.3">
      <c r="A87" s="3"/>
      <c r="B87" s="9" t="s">
        <v>628</v>
      </c>
      <c r="C87" s="53">
        <v>1</v>
      </c>
      <c r="D87" s="53" t="s">
        <v>95</v>
      </c>
      <c r="E87" s="11">
        <v>0</v>
      </c>
      <c r="F87" s="11">
        <v>331.4</v>
      </c>
      <c r="G87" s="56"/>
      <c r="H87" s="56" t="s">
        <v>37</v>
      </c>
      <c r="I87" s="102" t="s">
        <v>799</v>
      </c>
      <c r="J87" s="56"/>
      <c r="K87" s="28"/>
      <c r="L87" s="28"/>
      <c r="M87" s="28"/>
      <c r="N87" s="28"/>
      <c r="O87" s="28"/>
      <c r="P87" s="28"/>
      <c r="Q87" s="28"/>
      <c r="R87" s="28"/>
      <c r="S87" s="28"/>
      <c r="T87" s="28"/>
      <c r="U87" s="3"/>
    </row>
    <row r="88" spans="1:26" ht="14.4" hidden="1" outlineLevel="1" x14ac:dyDescent="0.3">
      <c r="A88" s="3"/>
      <c r="B88" s="9" t="s">
        <v>628</v>
      </c>
      <c r="C88" s="71">
        <v>5</v>
      </c>
      <c r="D88" s="53" t="s">
        <v>95</v>
      </c>
      <c r="E88" s="11">
        <v>0</v>
      </c>
      <c r="F88" s="11">
        <v>48.38</v>
      </c>
      <c r="G88" s="80"/>
      <c r="H88" s="56" t="s">
        <v>37</v>
      </c>
      <c r="I88" s="102" t="s">
        <v>800</v>
      </c>
      <c r="J88" s="80"/>
      <c r="K88" s="28"/>
      <c r="L88" s="28"/>
      <c r="M88" s="28"/>
      <c r="N88" s="28"/>
      <c r="O88" s="28"/>
      <c r="P88" s="28"/>
      <c r="Q88" s="28"/>
      <c r="R88" s="28"/>
      <c r="S88" s="28"/>
      <c r="T88" s="28"/>
      <c r="U88" s="3"/>
    </row>
    <row r="89" spans="1:26" ht="14.4" hidden="1" outlineLevel="1" x14ac:dyDescent="0.3">
      <c r="A89" s="3"/>
      <c r="B89" s="9" t="s">
        <v>628</v>
      </c>
      <c r="C89" s="71">
        <v>8</v>
      </c>
      <c r="D89" s="53" t="s">
        <v>95</v>
      </c>
      <c r="E89" s="11">
        <v>0</v>
      </c>
      <c r="F89" s="11">
        <v>225.49</v>
      </c>
      <c r="G89" s="80"/>
      <c r="H89" s="56" t="s">
        <v>37</v>
      </c>
      <c r="I89" s="102" t="s">
        <v>801</v>
      </c>
      <c r="J89" s="80"/>
      <c r="K89" s="28"/>
      <c r="L89" s="28"/>
      <c r="M89" s="28"/>
      <c r="N89" s="28"/>
      <c r="O89" s="28"/>
      <c r="P89" s="28"/>
      <c r="Q89" s="28"/>
      <c r="R89" s="28"/>
      <c r="S89" s="28"/>
      <c r="T89" s="28"/>
      <c r="U89" s="3"/>
    </row>
    <row r="90" spans="1:26" ht="14.4" hidden="1" outlineLevel="1" x14ac:dyDescent="0.3">
      <c r="A90" s="3"/>
      <c r="B90" s="9" t="s">
        <v>630</v>
      </c>
      <c r="C90" s="71">
        <v>15</v>
      </c>
      <c r="D90" s="53" t="s">
        <v>95</v>
      </c>
      <c r="E90" s="11">
        <v>0</v>
      </c>
      <c r="F90" s="11">
        <v>405.61</v>
      </c>
      <c r="G90" s="80"/>
      <c r="H90" s="56" t="s">
        <v>37</v>
      </c>
      <c r="I90" s="102" t="s">
        <v>802</v>
      </c>
      <c r="J90" s="56"/>
      <c r="K90" s="28"/>
      <c r="L90" s="28"/>
      <c r="M90" s="28"/>
      <c r="N90" s="28"/>
      <c r="O90" s="28"/>
      <c r="P90" s="28"/>
      <c r="Q90" s="28"/>
      <c r="R90" s="28"/>
      <c r="S90" s="28"/>
      <c r="T90" s="28"/>
      <c r="U90" s="3"/>
      <c r="W90" s="3"/>
      <c r="X90" s="3"/>
      <c r="Y90" s="3"/>
      <c r="Z90" s="3"/>
    </row>
    <row r="91" spans="1:26" ht="48" hidden="1" outlineLevel="1" x14ac:dyDescent="0.3">
      <c r="A91" s="3"/>
      <c r="B91" s="9" t="s">
        <v>632</v>
      </c>
      <c r="C91" s="71">
        <v>1</v>
      </c>
      <c r="D91" s="53" t="s">
        <v>95</v>
      </c>
      <c r="E91" s="11">
        <v>0</v>
      </c>
      <c r="F91" s="11">
        <v>59.94</v>
      </c>
      <c r="G91" s="80" t="s">
        <v>782</v>
      </c>
      <c r="H91" s="56" t="s">
        <v>37</v>
      </c>
      <c r="I91" s="102" t="s">
        <v>803</v>
      </c>
      <c r="J91" s="56"/>
      <c r="K91" s="28"/>
      <c r="L91" s="28"/>
      <c r="M91" s="28"/>
      <c r="N91" s="28"/>
      <c r="O91" s="28"/>
      <c r="P91" s="28"/>
      <c r="Q91" s="28"/>
      <c r="R91" s="28"/>
      <c r="S91" s="28"/>
      <c r="T91" s="28"/>
      <c r="U91" s="3"/>
      <c r="W91" s="3"/>
      <c r="X91" s="3"/>
      <c r="Y91" s="3"/>
      <c r="Z91" s="3"/>
    </row>
    <row r="92" spans="1:26" ht="14.4" hidden="1" outlineLevel="1" x14ac:dyDescent="0.3">
      <c r="A92" s="3"/>
      <c r="B92" s="9" t="s">
        <v>632</v>
      </c>
      <c r="C92" s="53">
        <v>9</v>
      </c>
      <c r="D92" s="53" t="s">
        <v>95</v>
      </c>
      <c r="E92" s="11">
        <v>0</v>
      </c>
      <c r="F92" s="11">
        <v>118</v>
      </c>
      <c r="G92" s="80" t="s">
        <v>804</v>
      </c>
      <c r="H92" s="56" t="s">
        <v>37</v>
      </c>
      <c r="I92" s="102" t="s">
        <v>805</v>
      </c>
      <c r="J92" s="56"/>
      <c r="K92" s="28"/>
      <c r="L92" s="28"/>
      <c r="M92" s="28"/>
      <c r="N92" s="28"/>
      <c r="O92" s="28"/>
      <c r="P92" s="28"/>
      <c r="Q92" s="28"/>
      <c r="R92" s="28"/>
      <c r="S92" s="28"/>
      <c r="T92" s="28"/>
      <c r="U92" s="3"/>
      <c r="W92" s="3"/>
      <c r="X92" s="3"/>
      <c r="Y92" s="3"/>
      <c r="Z92" s="3"/>
    </row>
    <row r="93" spans="1:26" ht="20.399999999999999" collapsed="1" x14ac:dyDescent="0.3">
      <c r="A93" s="3"/>
      <c r="B93" s="75" t="s">
        <v>349</v>
      </c>
      <c r="C93" s="76" t="s">
        <v>44</v>
      </c>
      <c r="D93" s="76" t="s">
        <v>44</v>
      </c>
      <c r="E93" s="77">
        <f t="shared" ref="E93:F93" si="0">SUM(E94,E110,E115)</f>
        <v>0</v>
      </c>
      <c r="F93" s="77">
        <f t="shared" si="0"/>
        <v>0</v>
      </c>
      <c r="G93" s="78"/>
      <c r="H93" s="78"/>
      <c r="I93" s="79"/>
      <c r="J93" s="78"/>
      <c r="K93" s="28"/>
      <c r="L93" s="28"/>
      <c r="M93" s="28"/>
      <c r="N93" s="28"/>
      <c r="O93" s="28"/>
      <c r="P93" s="28"/>
      <c r="Q93" s="28"/>
      <c r="R93" s="28"/>
      <c r="S93" s="28"/>
      <c r="T93" s="28"/>
      <c r="U93" s="3"/>
      <c r="W93" s="3"/>
      <c r="X93" s="3"/>
      <c r="Y93" s="3"/>
      <c r="Z93" s="3"/>
    </row>
    <row r="94" spans="1:26" hidden="1" outlineLevel="1" x14ac:dyDescent="0.3">
      <c r="A94" s="3"/>
      <c r="B94" s="82" t="s">
        <v>350</v>
      </c>
      <c r="C94" s="83"/>
      <c r="D94" s="83"/>
      <c r="E94" s="84">
        <f>SUM(E95:E108)</f>
        <v>0</v>
      </c>
      <c r="F94" s="84">
        <f>SUMIF(D95:D109,"OK",F95:F109)</f>
        <v>0</v>
      </c>
      <c r="G94" s="85"/>
      <c r="H94" s="85"/>
      <c r="I94" s="86"/>
      <c r="J94" s="85"/>
      <c r="K94" s="28"/>
      <c r="L94" s="28"/>
      <c r="M94" s="28"/>
      <c r="N94" s="28"/>
      <c r="O94" s="28"/>
      <c r="P94" s="28"/>
      <c r="Q94" s="28"/>
      <c r="R94" s="28"/>
      <c r="S94" s="28"/>
      <c r="T94" s="28"/>
      <c r="U94" s="3"/>
      <c r="W94" s="3"/>
      <c r="X94" s="3"/>
      <c r="Y94" s="3"/>
      <c r="Z94" s="3"/>
    </row>
    <row r="95" spans="1:26" ht="14.4" hidden="1" outlineLevel="1" x14ac:dyDescent="0.3">
      <c r="A95" s="3"/>
      <c r="B95" s="9" t="s">
        <v>806</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hidden="1" outlineLevel="1" x14ac:dyDescent="0.3">
      <c r="A96" s="3"/>
      <c r="B96" s="9" t="s">
        <v>807</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hidden="1" outlineLevel="1" x14ac:dyDescent="0.3">
      <c r="A97" s="3"/>
      <c r="B97" s="9" t="s">
        <v>808</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hidden="1" outlineLevel="1" x14ac:dyDescent="0.3">
      <c r="A98" s="3"/>
      <c r="B98" s="9" t="s">
        <v>807</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hidden="1" outlineLevel="1" x14ac:dyDescent="0.3">
      <c r="A99" s="3"/>
      <c r="B99" s="9" t="s">
        <v>807</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hidden="1" outlineLevel="1" x14ac:dyDescent="0.3">
      <c r="A100" s="3"/>
      <c r="B100" s="9" t="s">
        <v>809</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810</v>
      </c>
      <c r="C101" s="53"/>
      <c r="D101" s="53"/>
      <c r="E101" s="11">
        <v>0</v>
      </c>
      <c r="F101" s="11">
        <v>0</v>
      </c>
      <c r="G101" s="56"/>
      <c r="H101" s="56"/>
      <c r="I101" s="102"/>
      <c r="J101" s="56"/>
      <c r="K101" s="28"/>
      <c r="L101" s="28"/>
      <c r="M101" s="28"/>
      <c r="N101" s="28"/>
      <c r="O101" s="28"/>
      <c r="P101" s="28"/>
      <c r="Q101" s="28"/>
      <c r="R101" s="28"/>
      <c r="S101" s="28"/>
      <c r="T101" s="28"/>
      <c r="U101" s="3"/>
      <c r="W101" s="3"/>
      <c r="X101" s="3"/>
      <c r="Y101" s="3"/>
      <c r="Z101" s="3"/>
    </row>
    <row r="102" spans="1:26" ht="14.4" hidden="1" outlineLevel="1" x14ac:dyDescent="0.3">
      <c r="A102" s="3"/>
      <c r="B102" s="9" t="s">
        <v>810</v>
      </c>
      <c r="C102" s="53"/>
      <c r="D102" s="53"/>
      <c r="E102" s="11">
        <v>0</v>
      </c>
      <c r="F102" s="11">
        <v>0</v>
      </c>
      <c r="G102" s="56"/>
      <c r="H102" s="56"/>
      <c r="I102" s="102"/>
      <c r="J102" s="56"/>
      <c r="K102" s="28"/>
      <c r="L102" s="28"/>
      <c r="M102" s="28"/>
      <c r="N102" s="28"/>
      <c r="O102" s="28"/>
      <c r="P102" s="28"/>
      <c r="Q102" s="28"/>
      <c r="R102" s="28"/>
      <c r="S102" s="28"/>
      <c r="T102" s="28"/>
      <c r="U102" s="3"/>
      <c r="W102" s="3"/>
      <c r="X102" s="3"/>
      <c r="Y102" s="3"/>
      <c r="Z102" s="3"/>
    </row>
    <row r="103" spans="1:26" ht="14.4" hidden="1" outlineLevel="1" x14ac:dyDescent="0.3">
      <c r="A103" s="3"/>
      <c r="B103" s="9" t="s">
        <v>811</v>
      </c>
      <c r="C103" s="53"/>
      <c r="D103" s="53"/>
      <c r="E103" s="11">
        <v>0</v>
      </c>
      <c r="F103" s="11">
        <v>0</v>
      </c>
      <c r="G103" s="56"/>
      <c r="H103" s="56"/>
      <c r="I103" s="102"/>
      <c r="J103" s="56"/>
      <c r="K103" s="28"/>
      <c r="L103" s="28"/>
      <c r="M103" s="28"/>
      <c r="N103" s="28"/>
      <c r="O103" s="28"/>
      <c r="P103" s="28"/>
      <c r="Q103" s="28"/>
      <c r="R103" s="28"/>
      <c r="S103" s="28"/>
      <c r="T103" s="28"/>
      <c r="U103" s="3"/>
      <c r="W103" s="3"/>
      <c r="X103" s="3"/>
      <c r="Y103" s="3"/>
      <c r="Z103" s="3"/>
    </row>
    <row r="104" spans="1:26" ht="14.4" hidden="1" outlineLevel="1" x14ac:dyDescent="0.3">
      <c r="A104" s="3"/>
      <c r="B104" s="9" t="s">
        <v>807</v>
      </c>
      <c r="C104" s="53"/>
      <c r="D104" s="53"/>
      <c r="E104" s="11">
        <v>0</v>
      </c>
      <c r="F104" s="11">
        <v>0</v>
      </c>
      <c r="G104" s="56"/>
      <c r="H104" s="56"/>
      <c r="I104" s="102"/>
      <c r="J104" s="56"/>
      <c r="K104" s="28"/>
      <c r="L104" s="28"/>
      <c r="M104" s="28"/>
      <c r="N104" s="28"/>
      <c r="O104" s="28"/>
      <c r="P104" s="28"/>
      <c r="Q104" s="28"/>
      <c r="R104" s="28"/>
      <c r="S104" s="28"/>
      <c r="T104" s="28"/>
      <c r="U104" s="3"/>
      <c r="W104" s="3"/>
      <c r="X104" s="3"/>
      <c r="Y104" s="3"/>
      <c r="Z104" s="3"/>
    </row>
    <row r="105" spans="1:26" ht="14.4" hidden="1" outlineLevel="1" x14ac:dyDescent="0.3">
      <c r="A105" s="3"/>
      <c r="B105" s="9" t="s">
        <v>807</v>
      </c>
      <c r="C105" s="53"/>
      <c r="D105" s="53"/>
      <c r="E105" s="11">
        <v>0</v>
      </c>
      <c r="F105" s="11">
        <v>0</v>
      </c>
      <c r="G105" s="56"/>
      <c r="H105" s="56"/>
      <c r="I105" s="102"/>
      <c r="J105" s="56"/>
      <c r="K105" s="28"/>
      <c r="L105" s="28"/>
      <c r="M105" s="28"/>
      <c r="N105" s="28"/>
      <c r="O105" s="28"/>
      <c r="P105" s="28"/>
      <c r="Q105" s="28"/>
      <c r="R105" s="28"/>
      <c r="S105" s="28"/>
      <c r="T105" s="28"/>
      <c r="U105" s="3"/>
      <c r="W105" s="3"/>
      <c r="X105" s="3"/>
      <c r="Y105" s="3"/>
      <c r="Z105" s="3"/>
    </row>
    <row r="106" spans="1:26" ht="14.4" hidden="1" outlineLevel="1" x14ac:dyDescent="0.3">
      <c r="A106" s="3"/>
      <c r="B106" s="9" t="s">
        <v>807</v>
      </c>
      <c r="C106" s="53"/>
      <c r="D106" s="53"/>
      <c r="E106" s="11">
        <v>0</v>
      </c>
      <c r="F106" s="11">
        <v>0</v>
      </c>
      <c r="G106" s="56"/>
      <c r="H106" s="56"/>
      <c r="I106" s="102"/>
      <c r="J106" s="56"/>
      <c r="K106" s="28"/>
      <c r="L106" s="28"/>
      <c r="M106" s="28"/>
      <c r="N106" s="28"/>
      <c r="O106" s="28"/>
      <c r="P106" s="28"/>
      <c r="Q106" s="28"/>
      <c r="R106" s="28"/>
      <c r="S106" s="28"/>
      <c r="T106" s="28"/>
      <c r="U106" s="3"/>
      <c r="W106" s="3"/>
      <c r="X106" s="3"/>
      <c r="Y106" s="3"/>
      <c r="Z106" s="3"/>
    </row>
    <row r="107" spans="1:26" ht="14.4" hidden="1" outlineLevel="1" x14ac:dyDescent="0.3">
      <c r="A107" s="3"/>
      <c r="B107" s="9" t="s">
        <v>335</v>
      </c>
      <c r="C107" s="53"/>
      <c r="D107" s="53"/>
      <c r="E107" s="11">
        <v>0</v>
      </c>
      <c r="F107" s="11">
        <v>0</v>
      </c>
      <c r="G107" s="56"/>
      <c r="H107" s="56"/>
      <c r="I107" s="102"/>
      <c r="J107" s="56"/>
      <c r="K107" s="28"/>
      <c r="L107" s="28"/>
      <c r="M107" s="28"/>
      <c r="N107" s="28"/>
      <c r="O107" s="28"/>
      <c r="P107" s="28"/>
      <c r="Q107" s="28"/>
      <c r="R107" s="28"/>
      <c r="S107" s="28"/>
      <c r="T107" s="28"/>
      <c r="U107" s="3"/>
      <c r="W107" s="3"/>
      <c r="X107" s="3"/>
      <c r="Y107" s="3"/>
      <c r="Z107" s="3"/>
    </row>
    <row r="108" spans="1:26" ht="14.4" hidden="1" outlineLevel="1" x14ac:dyDescent="0.3">
      <c r="A108" s="3"/>
      <c r="B108" s="9" t="s">
        <v>342</v>
      </c>
      <c r="C108" s="53"/>
      <c r="D108" s="53"/>
      <c r="E108" s="11">
        <v>0</v>
      </c>
      <c r="F108" s="11">
        <v>0</v>
      </c>
      <c r="G108" s="56"/>
      <c r="H108" s="56"/>
      <c r="I108" s="102"/>
      <c r="J108" s="56"/>
      <c r="K108" s="28"/>
      <c r="L108" s="28"/>
      <c r="M108" s="28"/>
      <c r="N108" s="28"/>
      <c r="O108" s="28"/>
      <c r="P108" s="28"/>
      <c r="Q108" s="28"/>
      <c r="R108" s="28"/>
      <c r="S108" s="28"/>
      <c r="T108" s="28"/>
      <c r="U108" s="3"/>
      <c r="W108" s="3"/>
      <c r="X108" s="3"/>
      <c r="Y108" s="3"/>
      <c r="Z108" s="3"/>
    </row>
    <row r="109" spans="1:26" ht="14.4" hidden="1" outlineLevel="1" x14ac:dyDescent="0.3">
      <c r="A109" s="3"/>
      <c r="B109" s="9" t="s">
        <v>812</v>
      </c>
      <c r="C109" s="53"/>
      <c r="D109" s="53"/>
      <c r="E109" s="11">
        <v>0</v>
      </c>
      <c r="F109" s="11">
        <v>0</v>
      </c>
      <c r="G109" s="56"/>
      <c r="H109" s="56"/>
      <c r="I109" s="102"/>
      <c r="J109" s="56"/>
      <c r="K109" s="28"/>
      <c r="L109" s="28"/>
      <c r="M109" s="28"/>
      <c r="N109" s="28"/>
      <c r="O109" s="28"/>
      <c r="P109" s="28"/>
      <c r="Q109" s="28"/>
      <c r="R109" s="28"/>
      <c r="S109" s="28"/>
      <c r="T109" s="28"/>
      <c r="U109" s="3"/>
      <c r="W109" s="3"/>
      <c r="X109" s="3"/>
      <c r="Y109" s="3"/>
      <c r="Z109" s="3"/>
    </row>
    <row r="110" spans="1:26" hidden="1" outlineLevel="1" x14ac:dyDescent="0.3">
      <c r="A110" s="3"/>
      <c r="B110" s="82" t="s">
        <v>353</v>
      </c>
      <c r="C110" s="83"/>
      <c r="D110" s="83"/>
      <c r="E110" s="84">
        <f>SUM(E111:E114)</f>
        <v>0</v>
      </c>
      <c r="F110" s="84">
        <f>SUMIF(D111:D114,"OK",F111:F114)</f>
        <v>0</v>
      </c>
      <c r="G110" s="85"/>
      <c r="H110" s="85"/>
      <c r="I110" s="86"/>
      <c r="J110" s="85"/>
      <c r="K110" s="28"/>
      <c r="L110" s="28"/>
      <c r="M110" s="28"/>
      <c r="N110" s="28"/>
      <c r="O110" s="28"/>
      <c r="P110" s="28"/>
      <c r="Q110" s="28"/>
      <c r="R110" s="28"/>
      <c r="S110" s="28"/>
      <c r="T110" s="28"/>
      <c r="U110" s="3"/>
      <c r="W110" s="3"/>
      <c r="X110" s="3"/>
      <c r="Y110" s="3"/>
      <c r="Z110" s="3"/>
    </row>
    <row r="111" spans="1:26" ht="14.4" hidden="1" outlineLevel="1" x14ac:dyDescent="0.3">
      <c r="A111" s="3"/>
      <c r="B111" s="9" t="s">
        <v>813</v>
      </c>
      <c r="C111" s="53"/>
      <c r="D111" s="53"/>
      <c r="E111" s="11">
        <v>0</v>
      </c>
      <c r="F111" s="11">
        <v>0</v>
      </c>
      <c r="G111" s="56"/>
      <c r="H111" s="56"/>
      <c r="I111" s="102"/>
      <c r="J111" s="56"/>
      <c r="K111" s="28"/>
      <c r="L111" s="28"/>
      <c r="M111" s="28"/>
      <c r="N111" s="28"/>
      <c r="O111" s="28"/>
      <c r="P111" s="28"/>
      <c r="Q111" s="28"/>
      <c r="R111" s="28"/>
      <c r="S111" s="28"/>
      <c r="T111" s="28"/>
      <c r="U111" s="3"/>
      <c r="W111" s="3"/>
      <c r="X111" s="3"/>
      <c r="Y111" s="3"/>
      <c r="Z111" s="3"/>
    </row>
    <row r="112" spans="1:26" ht="14.4" hidden="1" outlineLevel="1" x14ac:dyDescent="0.3">
      <c r="A112" s="3"/>
      <c r="B112" s="9" t="s">
        <v>814</v>
      </c>
      <c r="C112" s="53"/>
      <c r="D112" s="53"/>
      <c r="E112" s="11">
        <v>0</v>
      </c>
      <c r="F112" s="11">
        <v>0</v>
      </c>
      <c r="G112" s="56"/>
      <c r="H112" s="56"/>
      <c r="I112" s="102"/>
      <c r="J112" s="56"/>
      <c r="K112" s="28"/>
      <c r="L112" s="28"/>
      <c r="M112" s="28"/>
      <c r="N112" s="28"/>
      <c r="O112" s="28"/>
      <c r="P112" s="28"/>
      <c r="Q112" s="28"/>
      <c r="R112" s="28"/>
      <c r="S112" s="28"/>
      <c r="T112" s="28"/>
      <c r="U112" s="3"/>
      <c r="W112" s="3"/>
      <c r="X112" s="3"/>
      <c r="Y112" s="3"/>
      <c r="Z112" s="3"/>
    </row>
    <row r="113" spans="1:26" ht="14.4" hidden="1" outlineLevel="1" x14ac:dyDescent="0.3">
      <c r="A113" s="3"/>
      <c r="B113" s="9" t="s">
        <v>815</v>
      </c>
      <c r="C113" s="53"/>
      <c r="D113" s="53"/>
      <c r="E113" s="11">
        <v>0</v>
      </c>
      <c r="F113" s="11">
        <v>0</v>
      </c>
      <c r="G113" s="56"/>
      <c r="H113" s="56"/>
      <c r="I113" s="102"/>
      <c r="J113" s="56"/>
      <c r="K113" s="28"/>
      <c r="L113" s="28"/>
      <c r="M113" s="28"/>
      <c r="N113" s="28"/>
      <c r="O113" s="28"/>
      <c r="P113" s="28"/>
      <c r="Q113" s="28"/>
      <c r="R113" s="28"/>
      <c r="S113" s="28"/>
      <c r="T113" s="28"/>
      <c r="U113" s="3"/>
      <c r="W113" s="3"/>
      <c r="X113" s="3"/>
      <c r="Y113" s="3"/>
      <c r="Z113" s="3"/>
    </row>
    <row r="114" spans="1:26" ht="14.4" hidden="1" outlineLevel="1" x14ac:dyDescent="0.3">
      <c r="A114" s="3"/>
      <c r="B114" s="114" t="s">
        <v>816</v>
      </c>
      <c r="C114" s="53"/>
      <c r="D114" s="53"/>
      <c r="E114" s="11">
        <v>0</v>
      </c>
      <c r="F114" s="11">
        <v>0</v>
      </c>
      <c r="G114" s="80"/>
      <c r="H114" s="56"/>
      <c r="I114" s="102"/>
      <c r="J114" s="56"/>
      <c r="K114" s="28"/>
      <c r="L114" s="28"/>
      <c r="M114" s="28"/>
      <c r="N114" s="28"/>
      <c r="O114" s="28"/>
      <c r="P114" s="28"/>
      <c r="Q114" s="28"/>
      <c r="R114" s="28"/>
      <c r="S114" s="28"/>
      <c r="T114" s="28"/>
      <c r="U114" s="3"/>
      <c r="W114" s="3"/>
      <c r="X114" s="3"/>
      <c r="Y114" s="3"/>
      <c r="Z114" s="3"/>
    </row>
    <row r="115" spans="1:26" hidden="1" outlineLevel="1" x14ac:dyDescent="0.3">
      <c r="A115" s="3"/>
      <c r="B115" s="82" t="s">
        <v>357</v>
      </c>
      <c r="C115" s="83"/>
      <c r="D115" s="83"/>
      <c r="E115" s="84">
        <f>SUM(E116:E118)</f>
        <v>0</v>
      </c>
      <c r="F115" s="84">
        <f>SUMIF(D116:D118,"OK",F116:F118)</f>
        <v>0</v>
      </c>
      <c r="G115" s="85"/>
      <c r="H115" s="85"/>
      <c r="I115" s="86"/>
      <c r="J115" s="85"/>
      <c r="K115" s="28"/>
      <c r="L115" s="28"/>
      <c r="M115" s="28"/>
      <c r="N115" s="28"/>
      <c r="O115" s="28"/>
      <c r="P115" s="28"/>
      <c r="Q115" s="28"/>
      <c r="R115" s="28"/>
      <c r="S115" s="28"/>
      <c r="T115" s="28"/>
      <c r="U115" s="3"/>
      <c r="W115" s="3"/>
      <c r="X115" s="3"/>
      <c r="Y115" s="3"/>
      <c r="Z115" s="3"/>
    </row>
    <row r="116" spans="1:26" ht="14.4" hidden="1" outlineLevel="1" x14ac:dyDescent="0.3">
      <c r="A116" s="3"/>
      <c r="B116" s="9" t="s">
        <v>354</v>
      </c>
      <c r="C116" s="53"/>
      <c r="D116" s="53"/>
      <c r="E116" s="11">
        <v>0</v>
      </c>
      <c r="F116" s="11">
        <v>0</v>
      </c>
      <c r="G116" s="56"/>
      <c r="H116" s="56"/>
      <c r="I116" s="80"/>
      <c r="J116" s="56"/>
      <c r="K116" s="28"/>
      <c r="L116" s="28"/>
      <c r="M116" s="28"/>
      <c r="N116" s="28"/>
      <c r="O116" s="28"/>
      <c r="P116" s="28"/>
      <c r="Q116" s="28"/>
      <c r="R116" s="28"/>
      <c r="S116" s="28"/>
      <c r="T116" s="28"/>
      <c r="U116" s="3"/>
      <c r="W116" s="3"/>
      <c r="X116" s="3"/>
      <c r="Y116" s="3"/>
      <c r="Z116" s="3"/>
    </row>
    <row r="117" spans="1:26" ht="14.4" hidden="1" outlineLevel="1" x14ac:dyDescent="0.3">
      <c r="A117" s="3"/>
      <c r="B117" s="9" t="s">
        <v>355</v>
      </c>
      <c r="C117" s="53"/>
      <c r="D117" s="53"/>
      <c r="E117" s="11">
        <v>0</v>
      </c>
      <c r="F117" s="11">
        <v>0</v>
      </c>
      <c r="G117" s="56"/>
      <c r="H117" s="56"/>
      <c r="I117" s="80"/>
      <c r="J117" s="56"/>
      <c r="K117" s="28"/>
      <c r="L117" s="28"/>
      <c r="M117" s="28"/>
      <c r="N117" s="28"/>
      <c r="O117" s="28"/>
      <c r="P117" s="28"/>
      <c r="Q117" s="28"/>
      <c r="R117" s="28"/>
      <c r="S117" s="28"/>
      <c r="T117" s="28"/>
      <c r="U117" s="3"/>
      <c r="W117" s="3"/>
      <c r="X117" s="3"/>
      <c r="Y117" s="3"/>
      <c r="Z117" s="3"/>
    </row>
    <row r="118" spans="1:26" ht="14.4" hidden="1" outlineLevel="1" x14ac:dyDescent="0.3">
      <c r="A118" s="3"/>
      <c r="B118" s="9" t="s">
        <v>356</v>
      </c>
      <c r="C118" s="53"/>
      <c r="D118" s="53"/>
      <c r="E118" s="11">
        <v>0</v>
      </c>
      <c r="F118" s="11">
        <v>0</v>
      </c>
      <c r="G118" s="56"/>
      <c r="H118" s="56"/>
      <c r="I118" s="80"/>
      <c r="J118" s="56"/>
      <c r="K118" s="28"/>
      <c r="L118" s="28"/>
      <c r="M118" s="28"/>
      <c r="N118" s="28"/>
      <c r="O118" s="28"/>
      <c r="P118" s="28"/>
      <c r="Q118" s="28"/>
      <c r="R118" s="28"/>
      <c r="S118" s="28"/>
      <c r="T118" s="28"/>
      <c r="U118" s="3"/>
      <c r="W118" s="3"/>
      <c r="X118" s="3"/>
      <c r="Y118" s="3"/>
      <c r="Z118" s="3"/>
    </row>
    <row r="119" spans="1:26" ht="20.399999999999999" collapsed="1" x14ac:dyDescent="0.3">
      <c r="A119" s="3"/>
      <c r="B119" s="75" t="s">
        <v>358</v>
      </c>
      <c r="C119" s="76" t="s">
        <v>44</v>
      </c>
      <c r="D119" s="76" t="s">
        <v>44</v>
      </c>
      <c r="E119" s="77">
        <f t="shared" ref="E119:F119" si="1">SUM(E120,E126)</f>
        <v>0</v>
      </c>
      <c r="F119" s="77">
        <f t="shared" si="1"/>
        <v>1795.81</v>
      </c>
      <c r="G119" s="78"/>
      <c r="H119" s="78"/>
      <c r="I119" s="79"/>
      <c r="J119" s="78"/>
      <c r="K119" s="28"/>
      <c r="L119" s="28"/>
      <c r="M119" s="28"/>
      <c r="N119" s="28"/>
      <c r="O119" s="28"/>
      <c r="P119" s="28"/>
      <c r="Q119" s="28"/>
      <c r="R119" s="28"/>
      <c r="S119" s="28"/>
      <c r="T119" s="28"/>
      <c r="U119" s="3"/>
      <c r="W119" s="3"/>
      <c r="X119" s="3"/>
      <c r="Y119" s="3"/>
      <c r="Z119" s="3"/>
    </row>
    <row r="120" spans="1:26" hidden="1" outlineLevel="1" x14ac:dyDescent="0.3">
      <c r="A120" s="3"/>
      <c r="B120" s="82" t="s">
        <v>359</v>
      </c>
      <c r="C120" s="83"/>
      <c r="D120" s="83"/>
      <c r="E120" s="84">
        <f>SUM(E121:E125)</f>
        <v>0</v>
      </c>
      <c r="F120" s="84">
        <f>SUMIF(D121:D125,"OK",F121:F125)</f>
        <v>0</v>
      </c>
      <c r="G120" s="85"/>
      <c r="H120" s="85"/>
      <c r="I120" s="86"/>
      <c r="J120" s="85"/>
      <c r="K120" s="28"/>
      <c r="L120" s="28"/>
      <c r="M120" s="28"/>
      <c r="N120" s="28"/>
      <c r="O120" s="28"/>
      <c r="P120" s="28"/>
      <c r="Q120" s="28"/>
      <c r="R120" s="28"/>
      <c r="S120" s="28"/>
      <c r="T120" s="28"/>
      <c r="U120" s="3"/>
      <c r="W120" s="3"/>
      <c r="X120" s="3"/>
      <c r="Y120" s="3"/>
      <c r="Z120" s="3"/>
    </row>
    <row r="121" spans="1:26" ht="14.4" hidden="1" outlineLevel="1" x14ac:dyDescent="0.3">
      <c r="A121" s="3"/>
      <c r="B121" s="9" t="s">
        <v>338</v>
      </c>
      <c r="C121" s="53"/>
      <c r="D121" s="53"/>
      <c r="E121" s="11">
        <v>0</v>
      </c>
      <c r="F121" s="11">
        <v>0</v>
      </c>
      <c r="G121" s="56"/>
      <c r="H121" s="56"/>
      <c r="I121" s="80"/>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360</v>
      </c>
      <c r="C122" s="53"/>
      <c r="D122" s="53"/>
      <c r="E122" s="11">
        <v>0</v>
      </c>
      <c r="F122" s="11">
        <v>0</v>
      </c>
      <c r="G122" s="56"/>
      <c r="H122" s="56"/>
      <c r="I122" s="80"/>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354</v>
      </c>
      <c r="C123" s="53"/>
      <c r="D123" s="53"/>
      <c r="E123" s="11">
        <v>0</v>
      </c>
      <c r="F123" s="11">
        <v>0</v>
      </c>
      <c r="G123" s="56"/>
      <c r="H123" s="56"/>
      <c r="I123" s="80"/>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355</v>
      </c>
      <c r="C124" s="53"/>
      <c r="D124" s="53"/>
      <c r="E124" s="11">
        <v>0</v>
      </c>
      <c r="F124" s="11">
        <v>0</v>
      </c>
      <c r="G124" s="56"/>
      <c r="H124" s="56"/>
      <c r="I124" s="80"/>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356</v>
      </c>
      <c r="C125" s="53"/>
      <c r="D125" s="53"/>
      <c r="E125" s="11">
        <v>0</v>
      </c>
      <c r="F125" s="11">
        <v>0</v>
      </c>
      <c r="G125" s="56"/>
      <c r="H125" s="56"/>
      <c r="I125" s="80"/>
      <c r="J125" s="56"/>
      <c r="K125" s="28"/>
      <c r="L125" s="28"/>
      <c r="M125" s="28"/>
      <c r="N125" s="28"/>
      <c r="O125" s="28"/>
      <c r="P125" s="28"/>
      <c r="Q125" s="28"/>
      <c r="R125" s="28"/>
      <c r="S125" s="28"/>
      <c r="T125" s="28"/>
      <c r="U125" s="3"/>
      <c r="W125" s="3"/>
      <c r="X125" s="3"/>
      <c r="Y125" s="3"/>
      <c r="Z125" s="3"/>
    </row>
    <row r="126" spans="1:26" hidden="1" outlineLevel="1" x14ac:dyDescent="0.3">
      <c r="A126" s="3"/>
      <c r="B126" s="82" t="s">
        <v>817</v>
      </c>
      <c r="C126" s="83"/>
      <c r="D126" s="83"/>
      <c r="E126" s="84">
        <f>SUM(E127:E136)</f>
        <v>0</v>
      </c>
      <c r="F126" s="84">
        <f>SUMIF(D127:D136,"OK",F127:F136)</f>
        <v>1795.81</v>
      </c>
      <c r="G126" s="85"/>
      <c r="H126" s="85"/>
      <c r="I126" s="86"/>
      <c r="J126" s="85"/>
      <c r="K126" s="28"/>
      <c r="L126" s="28"/>
      <c r="M126" s="28"/>
      <c r="N126" s="28"/>
      <c r="O126" s="28"/>
      <c r="P126" s="28"/>
      <c r="Q126" s="28"/>
      <c r="R126" s="28"/>
      <c r="S126" s="28"/>
      <c r="T126" s="28"/>
      <c r="U126" s="3"/>
      <c r="W126" s="3"/>
      <c r="X126" s="3"/>
      <c r="Y126" s="3"/>
      <c r="Z126" s="3"/>
    </row>
    <row r="127" spans="1:26" ht="14.4" hidden="1" outlineLevel="1" x14ac:dyDescent="0.3">
      <c r="A127" s="3"/>
      <c r="B127" s="9" t="s">
        <v>818</v>
      </c>
      <c r="C127" s="53"/>
      <c r="D127" s="53"/>
      <c r="E127" s="11">
        <v>0</v>
      </c>
      <c r="F127" s="11">
        <v>0</v>
      </c>
      <c r="G127" s="80"/>
      <c r="H127" s="56"/>
      <c r="I127" s="102"/>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819</v>
      </c>
      <c r="C128" s="53">
        <v>8</v>
      </c>
      <c r="D128" s="53" t="s">
        <v>95</v>
      </c>
      <c r="E128" s="11">
        <v>0</v>
      </c>
      <c r="F128" s="11">
        <v>434.68</v>
      </c>
      <c r="G128" s="80" t="s">
        <v>820</v>
      </c>
      <c r="H128" s="56" t="s">
        <v>37</v>
      </c>
      <c r="I128" s="102" t="s">
        <v>821</v>
      </c>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822</v>
      </c>
      <c r="C129" s="53">
        <v>8</v>
      </c>
      <c r="D129" s="53" t="s">
        <v>95</v>
      </c>
      <c r="E129" s="11">
        <v>0</v>
      </c>
      <c r="F129" s="11">
        <v>390</v>
      </c>
      <c r="G129" s="56" t="s">
        <v>823</v>
      </c>
      <c r="H129" s="56" t="s">
        <v>37</v>
      </c>
      <c r="I129" s="102" t="s">
        <v>824</v>
      </c>
      <c r="J129" s="56"/>
      <c r="K129" s="28"/>
      <c r="L129" s="28"/>
      <c r="M129" s="28"/>
      <c r="N129" s="28"/>
      <c r="O129" s="28"/>
      <c r="P129" s="28"/>
      <c r="Q129" s="28"/>
      <c r="R129" s="28"/>
      <c r="S129" s="28"/>
      <c r="T129" s="28"/>
      <c r="U129" s="3"/>
      <c r="W129" s="3"/>
      <c r="X129" s="3"/>
      <c r="Y129" s="3"/>
      <c r="Z129" s="3"/>
    </row>
    <row r="130" spans="1:26" ht="24" hidden="1" outlineLevel="1" x14ac:dyDescent="0.3">
      <c r="A130" s="3"/>
      <c r="B130" s="9" t="s">
        <v>825</v>
      </c>
      <c r="C130" s="53">
        <v>8</v>
      </c>
      <c r="D130" s="53" t="s">
        <v>95</v>
      </c>
      <c r="E130" s="11">
        <v>0</v>
      </c>
      <c r="F130" s="11">
        <v>45.51</v>
      </c>
      <c r="G130" s="80" t="s">
        <v>826</v>
      </c>
      <c r="H130" s="56" t="s">
        <v>37</v>
      </c>
      <c r="I130" s="102" t="s">
        <v>827</v>
      </c>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828</v>
      </c>
      <c r="C131" s="53">
        <v>9</v>
      </c>
      <c r="D131" s="53" t="s">
        <v>95</v>
      </c>
      <c r="E131" s="11">
        <v>0</v>
      </c>
      <c r="F131" s="11">
        <v>265.02999999999997</v>
      </c>
      <c r="G131" s="56" t="s">
        <v>829</v>
      </c>
      <c r="H131" s="56" t="s">
        <v>37</v>
      </c>
      <c r="I131" s="102" t="s">
        <v>830</v>
      </c>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828</v>
      </c>
      <c r="C132" s="53">
        <v>9</v>
      </c>
      <c r="D132" s="53" t="s">
        <v>95</v>
      </c>
      <c r="E132" s="11">
        <v>0</v>
      </c>
      <c r="F132" s="11">
        <v>60.08</v>
      </c>
      <c r="G132" s="56" t="s">
        <v>829</v>
      </c>
      <c r="H132" s="56" t="s">
        <v>37</v>
      </c>
      <c r="I132" s="102" t="s">
        <v>831</v>
      </c>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832</v>
      </c>
      <c r="C133" s="53">
        <v>10</v>
      </c>
      <c r="D133" s="53" t="s">
        <v>95</v>
      </c>
      <c r="E133" s="11">
        <v>0</v>
      </c>
      <c r="F133" s="11">
        <v>150</v>
      </c>
      <c r="G133" s="56" t="s">
        <v>833</v>
      </c>
      <c r="H133" s="56" t="s">
        <v>37</v>
      </c>
      <c r="I133" s="102" t="s">
        <v>834</v>
      </c>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367</v>
      </c>
      <c r="C134" s="53">
        <v>10</v>
      </c>
      <c r="D134" s="53" t="s">
        <v>95</v>
      </c>
      <c r="E134" s="11">
        <v>0</v>
      </c>
      <c r="F134" s="11">
        <v>265</v>
      </c>
      <c r="G134" s="56" t="s">
        <v>829</v>
      </c>
      <c r="H134" s="56" t="s">
        <v>37</v>
      </c>
      <c r="I134" s="102" t="s">
        <v>835</v>
      </c>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836</v>
      </c>
      <c r="C135" s="53">
        <v>11</v>
      </c>
      <c r="D135" s="53" t="s">
        <v>95</v>
      </c>
      <c r="E135" s="11">
        <v>0</v>
      </c>
      <c r="F135" s="11">
        <v>70.510000000000005</v>
      </c>
      <c r="G135" s="56" t="s">
        <v>833</v>
      </c>
      <c r="H135" s="56" t="s">
        <v>37</v>
      </c>
      <c r="I135" s="102" t="s">
        <v>837</v>
      </c>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838</v>
      </c>
      <c r="C136" s="53">
        <v>12</v>
      </c>
      <c r="D136" s="53" t="s">
        <v>95</v>
      </c>
      <c r="E136" s="11">
        <v>0</v>
      </c>
      <c r="F136" s="11">
        <v>115</v>
      </c>
      <c r="G136" s="56" t="s">
        <v>839</v>
      </c>
      <c r="H136" s="56" t="s">
        <v>37</v>
      </c>
      <c r="I136" s="102" t="s">
        <v>781</v>
      </c>
      <c r="J136" s="56"/>
      <c r="K136" s="28"/>
      <c r="L136" s="28"/>
      <c r="M136" s="28"/>
      <c r="N136" s="28"/>
      <c r="O136" s="28"/>
      <c r="P136" s="28"/>
      <c r="Q136" s="28"/>
      <c r="R136" s="28"/>
      <c r="S136" s="28"/>
      <c r="T136" s="28"/>
      <c r="U136" s="3"/>
      <c r="W136" s="3"/>
      <c r="X136" s="3"/>
      <c r="Y136" s="3"/>
      <c r="Z136" s="3"/>
    </row>
    <row r="137" spans="1:26" ht="20.399999999999999" collapsed="1" x14ac:dyDescent="0.3">
      <c r="A137" s="3"/>
      <c r="B137" s="75" t="s">
        <v>88</v>
      </c>
      <c r="C137" s="76" t="s">
        <v>44</v>
      </c>
      <c r="D137" s="76" t="s">
        <v>44</v>
      </c>
      <c r="E137" s="77">
        <f>SUM(E138:E146)</f>
        <v>0</v>
      </c>
      <c r="F137" s="77">
        <f>SUMIF(D138:D146,"OK",F138:F146)</f>
        <v>513.21</v>
      </c>
      <c r="G137" s="78"/>
      <c r="H137" s="78"/>
      <c r="I137" s="79"/>
      <c r="J137" s="78"/>
      <c r="K137" s="28"/>
      <c r="L137" s="28"/>
      <c r="M137" s="28"/>
      <c r="N137" s="28"/>
      <c r="O137" s="28"/>
      <c r="P137" s="28"/>
      <c r="Q137" s="28"/>
      <c r="R137" s="28"/>
      <c r="S137" s="28"/>
      <c r="T137" s="28"/>
      <c r="U137" s="3"/>
      <c r="W137" s="3"/>
      <c r="X137" s="3"/>
      <c r="Y137" s="3"/>
      <c r="Z137" s="3"/>
    </row>
    <row r="138" spans="1:26" ht="14.4" hidden="1" outlineLevel="1" x14ac:dyDescent="0.3">
      <c r="A138" s="3"/>
      <c r="B138" s="9" t="s">
        <v>840</v>
      </c>
      <c r="C138" s="71">
        <v>14</v>
      </c>
      <c r="D138" s="53" t="s">
        <v>95</v>
      </c>
      <c r="E138" s="11">
        <v>0</v>
      </c>
      <c r="F138" s="11">
        <v>513.21</v>
      </c>
      <c r="G138" s="80" t="s">
        <v>841</v>
      </c>
      <c r="H138" s="56" t="s">
        <v>37</v>
      </c>
      <c r="I138" s="102" t="s">
        <v>842</v>
      </c>
      <c r="J138" s="80"/>
      <c r="K138" s="28"/>
      <c r="L138" s="28"/>
      <c r="M138" s="28"/>
      <c r="N138" s="28"/>
      <c r="O138" s="28"/>
      <c r="P138" s="28"/>
      <c r="Q138" s="28"/>
      <c r="R138" s="28"/>
      <c r="S138" s="28"/>
      <c r="T138" s="28"/>
      <c r="U138" s="3"/>
      <c r="W138" s="3"/>
      <c r="X138" s="3"/>
      <c r="Y138" s="3"/>
      <c r="Z138" s="3"/>
    </row>
    <row r="139" spans="1:26" ht="14.4" hidden="1" outlineLevel="1" x14ac:dyDescent="0.3">
      <c r="A139" s="3"/>
      <c r="B139" s="9" t="s">
        <v>355</v>
      </c>
      <c r="C139" s="53"/>
      <c r="D139" s="53"/>
      <c r="E139" s="11">
        <v>0</v>
      </c>
      <c r="F139" s="11">
        <v>0</v>
      </c>
      <c r="G139" s="80"/>
      <c r="H139" s="56"/>
      <c r="I139" s="102"/>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356</v>
      </c>
      <c r="C140" s="53"/>
      <c r="D140" s="53"/>
      <c r="E140" s="11">
        <v>0</v>
      </c>
      <c r="F140" s="11">
        <v>0</v>
      </c>
      <c r="G140" s="56"/>
      <c r="H140" s="56"/>
      <c r="I140" s="80"/>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370</v>
      </c>
      <c r="C141" s="53"/>
      <c r="D141" s="53"/>
      <c r="E141" s="11">
        <v>0</v>
      </c>
      <c r="F141" s="11">
        <v>0</v>
      </c>
      <c r="G141" s="56"/>
      <c r="H141" s="56"/>
      <c r="I141" s="80"/>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328</v>
      </c>
      <c r="C142" s="53"/>
      <c r="D142" s="53"/>
      <c r="E142" s="11">
        <v>0</v>
      </c>
      <c r="F142" s="11">
        <v>0</v>
      </c>
      <c r="G142" s="56"/>
      <c r="H142" s="56"/>
      <c r="I142" s="80"/>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329</v>
      </c>
      <c r="C143" s="53"/>
      <c r="D143" s="53"/>
      <c r="E143" s="11">
        <v>0</v>
      </c>
      <c r="F143" s="11">
        <v>0</v>
      </c>
      <c r="G143" s="56"/>
      <c r="H143" s="56"/>
      <c r="I143" s="80"/>
      <c r="J143" s="56"/>
      <c r="K143" s="28"/>
      <c r="L143" s="28"/>
      <c r="M143" s="28"/>
      <c r="N143" s="28"/>
      <c r="O143" s="28"/>
      <c r="P143" s="28"/>
      <c r="Q143" s="28"/>
      <c r="R143" s="28"/>
      <c r="S143" s="28"/>
      <c r="T143" s="28"/>
      <c r="U143" s="3"/>
      <c r="W143" s="3"/>
      <c r="X143" s="3"/>
      <c r="Y143" s="3"/>
      <c r="Z143" s="3"/>
    </row>
    <row r="144" spans="1:26" ht="14.4" hidden="1" outlineLevel="1" x14ac:dyDescent="0.3">
      <c r="A144" s="3"/>
      <c r="B144" s="9" t="s">
        <v>371</v>
      </c>
      <c r="C144" s="53"/>
      <c r="D144" s="53"/>
      <c r="E144" s="11">
        <v>0</v>
      </c>
      <c r="F144" s="11">
        <v>0</v>
      </c>
      <c r="G144" s="56"/>
      <c r="H144" s="56"/>
      <c r="I144" s="80"/>
      <c r="J144" s="56"/>
      <c r="K144" s="28"/>
      <c r="L144" s="28"/>
      <c r="M144" s="28"/>
      <c r="N144" s="28"/>
      <c r="O144" s="28"/>
      <c r="P144" s="28"/>
      <c r="Q144" s="28"/>
      <c r="R144" s="28"/>
      <c r="S144" s="28"/>
      <c r="T144" s="28"/>
      <c r="U144" s="3"/>
      <c r="W144" s="3"/>
      <c r="X144" s="3"/>
      <c r="Y144" s="3"/>
      <c r="Z144" s="3"/>
    </row>
    <row r="145" spans="1:26" ht="14.4" hidden="1" outlineLevel="1" x14ac:dyDescent="0.3">
      <c r="A145" s="3"/>
      <c r="B145" s="9" t="s">
        <v>372</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14.4" hidden="1" outlineLevel="1" x14ac:dyDescent="0.3">
      <c r="A146" s="3"/>
      <c r="B146" s="9" t="s">
        <v>373</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20.399999999999999" collapsed="1" x14ac:dyDescent="0.3">
      <c r="A147" s="3"/>
      <c r="B147" s="75" t="s">
        <v>89</v>
      </c>
      <c r="C147" s="76" t="s">
        <v>44</v>
      </c>
      <c r="D147" s="76" t="s">
        <v>44</v>
      </c>
      <c r="E147" s="77">
        <f t="shared" ref="E147:F147" si="2">SUM(E148,E156,E162,E168)</f>
        <v>0</v>
      </c>
      <c r="F147" s="77">
        <f t="shared" si="2"/>
        <v>5921.8499999999995</v>
      </c>
      <c r="G147" s="78"/>
      <c r="H147" s="78"/>
      <c r="I147" s="79"/>
      <c r="J147" s="78"/>
      <c r="K147" s="28"/>
      <c r="L147" s="28"/>
      <c r="M147" s="28"/>
      <c r="N147" s="28"/>
      <c r="O147" s="28"/>
      <c r="P147" s="28"/>
      <c r="Q147" s="28"/>
      <c r="R147" s="28"/>
      <c r="S147" s="28"/>
      <c r="T147" s="28"/>
      <c r="U147" s="3"/>
      <c r="W147" s="3"/>
      <c r="X147" s="3"/>
      <c r="Y147" s="3"/>
      <c r="Z147" s="3"/>
    </row>
    <row r="148" spans="1:26" hidden="1" outlineLevel="1" x14ac:dyDescent="0.3">
      <c r="A148" s="3"/>
      <c r="B148" s="82" t="s">
        <v>381</v>
      </c>
      <c r="C148" s="83"/>
      <c r="D148" s="83"/>
      <c r="E148" s="84">
        <f>SUM(E149:E154)</f>
        <v>0</v>
      </c>
      <c r="F148" s="84">
        <f>SUMIF(D149:D155,"OK",F149:F155)</f>
        <v>5921.8499999999995</v>
      </c>
      <c r="G148" s="85"/>
      <c r="H148" s="85"/>
      <c r="I148" s="86"/>
      <c r="J148" s="85"/>
      <c r="K148" s="28"/>
      <c r="L148" s="28"/>
      <c r="M148" s="28"/>
      <c r="N148" s="28"/>
      <c r="O148" s="28"/>
      <c r="P148" s="28"/>
      <c r="Q148" s="28"/>
      <c r="R148" s="28"/>
      <c r="S148" s="28"/>
      <c r="T148" s="28"/>
      <c r="U148" s="3"/>
      <c r="W148" s="3"/>
      <c r="X148" s="3"/>
      <c r="Y148" s="3"/>
      <c r="Z148" s="3"/>
    </row>
    <row r="149" spans="1:26" ht="14.4" hidden="1" outlineLevel="1" x14ac:dyDescent="0.3">
      <c r="A149" s="3"/>
      <c r="B149" s="9" t="s">
        <v>843</v>
      </c>
      <c r="C149" s="53">
        <v>1</v>
      </c>
      <c r="D149" s="53" t="s">
        <v>95</v>
      </c>
      <c r="E149" s="11">
        <v>0</v>
      </c>
      <c r="F149" s="11">
        <v>45</v>
      </c>
      <c r="G149" s="56"/>
      <c r="H149" s="56" t="s">
        <v>37</v>
      </c>
      <c r="I149" s="102" t="s">
        <v>844</v>
      </c>
      <c r="J149" s="56"/>
      <c r="K149" s="28"/>
      <c r="L149" s="28"/>
      <c r="M149" s="28"/>
      <c r="N149" s="28"/>
      <c r="O149" s="28"/>
      <c r="P149" s="28"/>
      <c r="Q149" s="28"/>
      <c r="R149" s="28"/>
      <c r="S149" s="28"/>
      <c r="T149" s="28"/>
      <c r="U149" s="3"/>
      <c r="W149" s="3"/>
      <c r="X149" s="3"/>
      <c r="Y149" s="3"/>
      <c r="Z149" s="3"/>
    </row>
    <row r="150" spans="1:26" ht="14.4" hidden="1" outlineLevel="1" x14ac:dyDescent="0.3">
      <c r="A150" s="3"/>
      <c r="B150" s="9" t="s">
        <v>845</v>
      </c>
      <c r="C150" s="53">
        <v>6</v>
      </c>
      <c r="D150" s="53" t="s">
        <v>95</v>
      </c>
      <c r="E150" s="11">
        <v>0</v>
      </c>
      <c r="F150" s="11">
        <v>537</v>
      </c>
      <c r="G150" s="56" t="s">
        <v>846</v>
      </c>
      <c r="H150" s="56" t="s">
        <v>37</v>
      </c>
      <c r="I150" s="102" t="s">
        <v>847</v>
      </c>
      <c r="J150" s="56"/>
      <c r="K150" s="28"/>
      <c r="L150" s="28"/>
      <c r="M150" s="28"/>
      <c r="N150" s="28"/>
      <c r="O150" s="28"/>
      <c r="P150" s="28"/>
      <c r="Q150" s="28"/>
      <c r="R150" s="28"/>
      <c r="S150" s="28"/>
      <c r="T150" s="28"/>
      <c r="U150" s="3"/>
      <c r="W150" s="3"/>
      <c r="X150" s="3"/>
      <c r="Y150" s="3"/>
      <c r="Z150" s="3"/>
    </row>
    <row r="151" spans="1:26" ht="14.4" hidden="1" outlineLevel="1" x14ac:dyDescent="0.3">
      <c r="A151" s="3"/>
      <c r="B151" s="9" t="s">
        <v>848</v>
      </c>
      <c r="C151" s="53">
        <v>6</v>
      </c>
      <c r="D151" s="53" t="s">
        <v>95</v>
      </c>
      <c r="E151" s="11">
        <v>0</v>
      </c>
      <c r="F151" s="11">
        <v>689.6</v>
      </c>
      <c r="G151" s="56" t="s">
        <v>849</v>
      </c>
      <c r="H151" s="56" t="s">
        <v>37</v>
      </c>
      <c r="I151" s="102" t="s">
        <v>850</v>
      </c>
      <c r="J151" s="56"/>
      <c r="K151" s="28"/>
      <c r="L151" s="28"/>
      <c r="M151" s="28"/>
      <c r="N151" s="28"/>
      <c r="O151" s="28"/>
      <c r="P151" s="28"/>
      <c r="Q151" s="28"/>
      <c r="R151" s="28"/>
      <c r="S151" s="28"/>
      <c r="T151" s="28"/>
      <c r="U151" s="3"/>
      <c r="W151" s="3"/>
      <c r="X151" s="3"/>
      <c r="Y151" s="3"/>
      <c r="Z151" s="3"/>
    </row>
    <row r="152" spans="1:26" ht="14.4" hidden="1" outlineLevel="1" x14ac:dyDescent="0.3">
      <c r="A152" s="3"/>
      <c r="B152" s="9" t="s">
        <v>851</v>
      </c>
      <c r="C152" s="53">
        <v>6</v>
      </c>
      <c r="D152" s="53" t="s">
        <v>95</v>
      </c>
      <c r="E152" s="11">
        <v>0</v>
      </c>
      <c r="F152" s="11">
        <v>665.08</v>
      </c>
      <c r="G152" s="56" t="s">
        <v>852</v>
      </c>
      <c r="H152" s="56" t="s">
        <v>37</v>
      </c>
      <c r="I152" s="102" t="s">
        <v>853</v>
      </c>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854</v>
      </c>
      <c r="C153" s="53">
        <v>14</v>
      </c>
      <c r="D153" s="53" t="s">
        <v>95</v>
      </c>
      <c r="E153" s="11">
        <v>0</v>
      </c>
      <c r="F153" s="11">
        <v>210.12</v>
      </c>
      <c r="G153" s="56" t="s">
        <v>855</v>
      </c>
      <c r="H153" s="56" t="s">
        <v>37</v>
      </c>
      <c r="I153" s="102" t="s">
        <v>856</v>
      </c>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857</v>
      </c>
      <c r="C154" s="53">
        <v>14</v>
      </c>
      <c r="D154" s="53" t="s">
        <v>95</v>
      </c>
      <c r="E154" s="11">
        <v>0</v>
      </c>
      <c r="F154" s="11">
        <v>2727</v>
      </c>
      <c r="G154" s="56" t="s">
        <v>858</v>
      </c>
      <c r="H154" s="56" t="s">
        <v>37</v>
      </c>
      <c r="I154" s="102" t="s">
        <v>859</v>
      </c>
      <c r="J154" s="56"/>
      <c r="K154" s="28"/>
      <c r="L154" s="28"/>
      <c r="M154" s="28"/>
      <c r="N154" s="28"/>
      <c r="O154" s="28"/>
      <c r="P154" s="28"/>
      <c r="Q154" s="28"/>
      <c r="R154" s="28"/>
      <c r="S154" s="28"/>
      <c r="T154" s="28"/>
      <c r="U154" s="3"/>
      <c r="W154" s="3"/>
      <c r="X154" s="3"/>
      <c r="Y154" s="3"/>
      <c r="Z154" s="3"/>
    </row>
    <row r="155" spans="1:26" ht="24" hidden="1" outlineLevel="1" x14ac:dyDescent="0.3">
      <c r="A155" s="3"/>
      <c r="B155" s="114" t="s">
        <v>860</v>
      </c>
      <c r="C155" s="53">
        <v>20</v>
      </c>
      <c r="D155" s="53" t="s">
        <v>95</v>
      </c>
      <c r="E155" s="11">
        <v>0</v>
      </c>
      <c r="F155" s="11">
        <v>1048.05</v>
      </c>
      <c r="G155" s="80" t="s">
        <v>861</v>
      </c>
      <c r="H155" s="56" t="s">
        <v>37</v>
      </c>
      <c r="I155" s="102" t="s">
        <v>862</v>
      </c>
      <c r="J155" s="56"/>
      <c r="K155" s="28"/>
      <c r="L155" s="28"/>
      <c r="M155" s="28"/>
      <c r="N155" s="28"/>
      <c r="O155" s="28"/>
      <c r="P155" s="28"/>
      <c r="Q155" s="28"/>
      <c r="R155" s="28"/>
      <c r="S155" s="28"/>
      <c r="T155" s="28"/>
      <c r="U155" s="3"/>
      <c r="W155" s="3"/>
      <c r="X155" s="3"/>
      <c r="Y155" s="3"/>
      <c r="Z155" s="3"/>
    </row>
    <row r="156" spans="1:26" hidden="1" outlineLevel="1" x14ac:dyDescent="0.3">
      <c r="A156" s="3"/>
      <c r="B156" s="82" t="s">
        <v>644</v>
      </c>
      <c r="C156" s="83"/>
      <c r="D156" s="83"/>
      <c r="E156" s="84">
        <f>SUM(E157:E161)</f>
        <v>0</v>
      </c>
      <c r="F156" s="84">
        <f>SUMIF(D157:D161,"OK",F157:F161)</f>
        <v>0</v>
      </c>
      <c r="G156" s="85"/>
      <c r="H156" s="85"/>
      <c r="I156" s="86"/>
      <c r="J156" s="85"/>
      <c r="K156" s="28"/>
      <c r="L156" s="28"/>
      <c r="M156" s="28"/>
      <c r="N156" s="28"/>
      <c r="O156" s="28"/>
      <c r="P156" s="28"/>
      <c r="Q156" s="28"/>
      <c r="R156" s="28"/>
      <c r="S156" s="28"/>
      <c r="T156" s="28"/>
      <c r="U156" s="3"/>
      <c r="W156" s="3"/>
      <c r="X156" s="3"/>
      <c r="Y156" s="3"/>
      <c r="Z156" s="3"/>
    </row>
    <row r="157" spans="1:26" ht="14.4" hidden="1" outlineLevel="1" x14ac:dyDescent="0.3">
      <c r="A157" s="3"/>
      <c r="B157" s="9" t="s">
        <v>354</v>
      </c>
      <c r="C157" s="53"/>
      <c r="D157" s="53"/>
      <c r="E157" s="11">
        <v>0</v>
      </c>
      <c r="F157" s="11">
        <v>0</v>
      </c>
      <c r="G157" s="56"/>
      <c r="H157" s="56"/>
      <c r="I157" s="80"/>
      <c r="J157" s="56"/>
      <c r="K157" s="28"/>
      <c r="L157" s="28"/>
      <c r="M157" s="28"/>
      <c r="N157" s="28"/>
      <c r="O157" s="28"/>
      <c r="P157" s="28"/>
      <c r="Q157" s="28"/>
      <c r="R157" s="28"/>
      <c r="S157" s="28"/>
      <c r="T157" s="28"/>
      <c r="U157" s="3"/>
      <c r="W157" s="3"/>
      <c r="X157" s="3"/>
      <c r="Y157" s="3"/>
      <c r="Z157" s="3"/>
    </row>
    <row r="158" spans="1:26" ht="14.4" hidden="1" outlineLevel="1" x14ac:dyDescent="0.3">
      <c r="A158" s="3"/>
      <c r="B158" s="9" t="s">
        <v>355</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356</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370</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ht="14.4" hidden="1" outlineLevel="1" x14ac:dyDescent="0.3">
      <c r="A161" s="3"/>
      <c r="B161" s="9" t="s">
        <v>328</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hidden="1" outlineLevel="1" x14ac:dyDescent="0.3">
      <c r="A162" s="3"/>
      <c r="B162" s="82" t="s">
        <v>382</v>
      </c>
      <c r="C162" s="83"/>
      <c r="D162" s="83"/>
      <c r="E162" s="84">
        <f>SUM(E163:E167)</f>
        <v>0</v>
      </c>
      <c r="F162" s="84">
        <f>SUMIF(D163:D167,"OK",F163:F167)</f>
        <v>0</v>
      </c>
      <c r="G162" s="85"/>
      <c r="H162" s="85"/>
      <c r="I162" s="86"/>
      <c r="J162" s="85"/>
      <c r="K162" s="28"/>
      <c r="L162" s="28"/>
      <c r="M162" s="28"/>
      <c r="N162" s="28"/>
      <c r="O162" s="28"/>
      <c r="P162" s="28"/>
      <c r="Q162" s="28"/>
      <c r="R162" s="28"/>
      <c r="S162" s="28"/>
      <c r="T162" s="28"/>
      <c r="U162" s="3"/>
      <c r="W162" s="3"/>
      <c r="X162" s="3"/>
      <c r="Y162" s="3"/>
      <c r="Z162" s="3"/>
    </row>
    <row r="163" spans="1:26" ht="14.4" hidden="1" outlineLevel="1" x14ac:dyDescent="0.3">
      <c r="A163" s="3"/>
      <c r="B163" s="9" t="s">
        <v>354</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4.4" hidden="1" outlineLevel="1" x14ac:dyDescent="0.3">
      <c r="A164" s="3"/>
      <c r="B164" s="9" t="s">
        <v>355</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4.4" hidden="1" outlineLevel="1" x14ac:dyDescent="0.3">
      <c r="A165" s="3"/>
      <c r="B165" s="9" t="s">
        <v>356</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4.4" hidden="1" outlineLevel="1" x14ac:dyDescent="0.3">
      <c r="A166" s="3"/>
      <c r="B166" s="9" t="s">
        <v>370</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328</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idden="1" outlineLevel="1" x14ac:dyDescent="0.3">
      <c r="A168" s="3"/>
      <c r="B168" s="82" t="s">
        <v>383</v>
      </c>
      <c r="C168" s="83"/>
      <c r="D168" s="83"/>
      <c r="E168" s="84">
        <f>SUM(E169:E173)</f>
        <v>0</v>
      </c>
      <c r="F168" s="84">
        <f>SUMIF(D169:D173,"OK",F169:F173)</f>
        <v>0</v>
      </c>
      <c r="G168" s="85"/>
      <c r="H168" s="85"/>
      <c r="I168" s="86"/>
      <c r="J168" s="85"/>
      <c r="K168" s="28"/>
      <c r="L168" s="28"/>
      <c r="M168" s="28"/>
      <c r="N168" s="28"/>
      <c r="O168" s="28"/>
      <c r="P168" s="28"/>
      <c r="Q168" s="28"/>
      <c r="R168" s="28"/>
      <c r="S168" s="28"/>
      <c r="T168" s="28"/>
      <c r="U168" s="3"/>
      <c r="W168" s="3"/>
      <c r="X168" s="3"/>
      <c r="Y168" s="3"/>
      <c r="Z168" s="3"/>
    </row>
    <row r="169" spans="1:26" ht="14.4" hidden="1" outlineLevel="1" x14ac:dyDescent="0.3">
      <c r="A169" s="3"/>
      <c r="B169" s="9" t="s">
        <v>354</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hidden="1" outlineLevel="1" x14ac:dyDescent="0.3">
      <c r="A170" s="3"/>
      <c r="B170" s="9" t="s">
        <v>355</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4.4" hidden="1" outlineLevel="1" x14ac:dyDescent="0.3">
      <c r="A171" s="3"/>
      <c r="B171" s="9" t="s">
        <v>356</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370</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328</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20.399999999999999" collapsed="1" x14ac:dyDescent="0.3">
      <c r="A174" s="3"/>
      <c r="B174" s="75" t="s">
        <v>384</v>
      </c>
      <c r="C174" s="76" t="s">
        <v>44</v>
      </c>
      <c r="D174" s="76" t="s">
        <v>44</v>
      </c>
      <c r="E174" s="77">
        <f>SUM(E175:E179)</f>
        <v>0</v>
      </c>
      <c r="F174" s="77">
        <f>SUMIF(D175:D179,"OK",F175:F179)</f>
        <v>0</v>
      </c>
      <c r="G174" s="78"/>
      <c r="H174" s="78"/>
      <c r="I174" s="79"/>
      <c r="J174" s="78"/>
      <c r="K174" s="28"/>
      <c r="L174" s="28"/>
      <c r="M174" s="28"/>
      <c r="N174" s="28"/>
      <c r="O174" s="28"/>
      <c r="P174" s="28"/>
      <c r="Q174" s="28"/>
      <c r="R174" s="28"/>
      <c r="S174" s="28"/>
      <c r="T174" s="28"/>
      <c r="U174" s="3"/>
      <c r="W174" s="3"/>
      <c r="X174" s="3"/>
      <c r="Y174" s="3"/>
      <c r="Z174" s="3"/>
    </row>
    <row r="175" spans="1:26" ht="14.4" hidden="1" outlineLevel="1" x14ac:dyDescent="0.3">
      <c r="A175" s="3"/>
      <c r="B175" s="9" t="s">
        <v>354</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4.4" hidden="1" outlineLevel="1" x14ac:dyDescent="0.3">
      <c r="A176" s="3"/>
      <c r="B176" s="9" t="s">
        <v>355</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14.4" hidden="1" outlineLevel="1" x14ac:dyDescent="0.3">
      <c r="A177" s="3"/>
      <c r="B177" s="9" t="s">
        <v>356</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4.4" hidden="1" outlineLevel="1" x14ac:dyDescent="0.3">
      <c r="A178" s="3"/>
      <c r="B178" s="9" t="s">
        <v>370</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328</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20.399999999999999" collapsed="1" x14ac:dyDescent="0.3">
      <c r="A180" s="3"/>
      <c r="B180" s="75" t="s">
        <v>385</v>
      </c>
      <c r="C180" s="76" t="s">
        <v>44</v>
      </c>
      <c r="D180" s="76" t="s">
        <v>44</v>
      </c>
      <c r="E180" s="77">
        <f>SUM(E181:E185)</f>
        <v>0</v>
      </c>
      <c r="F180" s="77">
        <f>SUMIF(D181:D185,"OK",F181:F185)</f>
        <v>94</v>
      </c>
      <c r="G180" s="78"/>
      <c r="H180" s="78"/>
      <c r="I180" s="79"/>
      <c r="J180" s="78"/>
      <c r="K180" s="28"/>
      <c r="L180" s="28"/>
      <c r="M180" s="28"/>
      <c r="N180" s="28"/>
      <c r="O180" s="28"/>
      <c r="P180" s="28"/>
      <c r="Q180" s="28"/>
      <c r="R180" s="28"/>
      <c r="S180" s="28"/>
      <c r="T180" s="28"/>
      <c r="U180" s="3"/>
      <c r="W180" s="3"/>
      <c r="X180" s="3"/>
      <c r="Y180" s="3"/>
      <c r="Z180" s="3"/>
    </row>
    <row r="181" spans="1:26" ht="14.4" hidden="1" outlineLevel="1" x14ac:dyDescent="0.3">
      <c r="A181" s="3"/>
      <c r="B181" s="9" t="s">
        <v>863</v>
      </c>
      <c r="C181" s="71">
        <v>8</v>
      </c>
      <c r="D181" s="53" t="s">
        <v>95</v>
      </c>
      <c r="E181" s="11">
        <v>0</v>
      </c>
      <c r="F181" s="11">
        <v>64</v>
      </c>
      <c r="G181" s="80"/>
      <c r="H181" s="56" t="s">
        <v>37</v>
      </c>
      <c r="I181" s="102" t="s">
        <v>864</v>
      </c>
      <c r="J181" s="56"/>
      <c r="K181" s="28"/>
      <c r="L181" s="28"/>
      <c r="M181" s="28"/>
      <c r="N181" s="28"/>
      <c r="O181" s="28"/>
      <c r="P181" s="28"/>
      <c r="Q181" s="28"/>
      <c r="R181" s="28"/>
      <c r="S181" s="28"/>
      <c r="T181" s="28"/>
      <c r="U181" s="3"/>
      <c r="W181" s="3"/>
      <c r="X181" s="3"/>
      <c r="Y181" s="3"/>
      <c r="Z181" s="3"/>
    </row>
    <row r="182" spans="1:26" ht="14.4" hidden="1" outlineLevel="1" x14ac:dyDescent="0.3">
      <c r="A182" s="3"/>
      <c r="B182" s="9" t="s">
        <v>865</v>
      </c>
      <c r="C182" s="53">
        <v>26</v>
      </c>
      <c r="D182" s="53" t="s">
        <v>95</v>
      </c>
      <c r="E182" s="11">
        <v>0</v>
      </c>
      <c r="F182" s="11">
        <v>30</v>
      </c>
      <c r="G182" s="80"/>
      <c r="H182" s="56" t="s">
        <v>37</v>
      </c>
      <c r="I182" s="102" t="s">
        <v>866</v>
      </c>
      <c r="J182" s="80"/>
      <c r="K182" s="28"/>
      <c r="L182" s="28"/>
      <c r="M182" s="28"/>
      <c r="N182" s="28"/>
      <c r="O182" s="28"/>
      <c r="P182" s="28"/>
      <c r="Q182" s="28"/>
      <c r="R182" s="28"/>
      <c r="S182" s="28"/>
      <c r="T182" s="28"/>
      <c r="U182" s="3"/>
      <c r="W182" s="3"/>
      <c r="X182" s="3"/>
      <c r="Y182" s="3"/>
      <c r="Z182" s="3"/>
    </row>
    <row r="183" spans="1:26" ht="14.4" hidden="1" outlineLevel="1" x14ac:dyDescent="0.3">
      <c r="A183" s="3"/>
      <c r="B183" s="9" t="s">
        <v>356</v>
      </c>
      <c r="C183" s="53"/>
      <c r="D183" s="53"/>
      <c r="E183" s="11">
        <v>0</v>
      </c>
      <c r="F183" s="11">
        <v>0</v>
      </c>
      <c r="G183" s="56"/>
      <c r="H183" s="56"/>
      <c r="I183" s="80"/>
      <c r="J183" s="56"/>
      <c r="K183" s="28"/>
      <c r="L183" s="28"/>
      <c r="M183" s="28"/>
      <c r="N183" s="28"/>
      <c r="O183" s="28"/>
      <c r="P183" s="28"/>
      <c r="Q183" s="28"/>
      <c r="R183" s="28"/>
      <c r="S183" s="28"/>
      <c r="T183" s="28"/>
      <c r="U183" s="3"/>
      <c r="W183" s="3"/>
      <c r="X183" s="3"/>
      <c r="Y183" s="3"/>
      <c r="Z183" s="3"/>
    </row>
    <row r="184" spans="1:26" ht="14.4" hidden="1" outlineLevel="1" x14ac:dyDescent="0.3">
      <c r="A184" s="3"/>
      <c r="B184" s="9" t="s">
        <v>370</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328</v>
      </c>
      <c r="C185" s="53"/>
      <c r="D185" s="53"/>
      <c r="E185" s="11">
        <v>0</v>
      </c>
      <c r="F185" s="11">
        <v>0</v>
      </c>
      <c r="G185" s="56"/>
      <c r="H185" s="56"/>
      <c r="I185" s="80"/>
      <c r="J185" s="56"/>
      <c r="K185" s="28"/>
      <c r="L185" s="28"/>
      <c r="M185" s="28"/>
      <c r="N185" s="28"/>
      <c r="O185" s="28"/>
      <c r="P185" s="28"/>
      <c r="Q185" s="28"/>
      <c r="R185" s="28"/>
      <c r="S185" s="28"/>
      <c r="T185" s="28"/>
      <c r="U185" s="3"/>
      <c r="W185" s="3"/>
      <c r="X185" s="3"/>
      <c r="Y185" s="3"/>
      <c r="Z185" s="3"/>
    </row>
    <row r="186" spans="1:26" ht="20.399999999999999" collapsed="1" x14ac:dyDescent="0.3">
      <c r="A186" s="3"/>
      <c r="B186" s="75" t="s">
        <v>395</v>
      </c>
      <c r="C186" s="76" t="s">
        <v>44</v>
      </c>
      <c r="D186" s="76" t="s">
        <v>44</v>
      </c>
      <c r="E186" s="77">
        <f>SUM(E187:E195)</f>
        <v>0</v>
      </c>
      <c r="F186" s="77">
        <f>SUMIF(D187:D195,"OK",F187:F195)</f>
        <v>100</v>
      </c>
      <c r="G186" s="78"/>
      <c r="H186" s="78"/>
      <c r="I186" s="79"/>
      <c r="J186" s="78"/>
      <c r="K186" s="28"/>
      <c r="L186" s="28"/>
      <c r="M186" s="28"/>
      <c r="N186" s="28"/>
      <c r="O186" s="28"/>
      <c r="P186" s="28"/>
      <c r="Q186" s="28"/>
      <c r="R186" s="28"/>
      <c r="S186" s="28"/>
      <c r="T186" s="28"/>
      <c r="U186" s="3"/>
      <c r="W186" s="3"/>
      <c r="X186" s="3"/>
      <c r="Y186" s="3"/>
      <c r="Z186" s="3"/>
    </row>
    <row r="187" spans="1:26" ht="14.4" hidden="1" outlineLevel="1" x14ac:dyDescent="0.3">
      <c r="A187" s="3"/>
      <c r="B187" s="9" t="s">
        <v>867</v>
      </c>
      <c r="C187" s="53">
        <v>11</v>
      </c>
      <c r="D187" s="53" t="s">
        <v>95</v>
      </c>
      <c r="E187" s="11">
        <v>0</v>
      </c>
      <c r="F187" s="11">
        <v>100</v>
      </c>
      <c r="G187" s="56"/>
      <c r="H187" s="56" t="s">
        <v>37</v>
      </c>
      <c r="I187" s="102" t="s">
        <v>868</v>
      </c>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355</v>
      </c>
      <c r="C188" s="53"/>
      <c r="D188" s="53"/>
      <c r="E188" s="11">
        <v>0</v>
      </c>
      <c r="F188" s="11">
        <v>0</v>
      </c>
      <c r="G188" s="56"/>
      <c r="H188" s="56"/>
      <c r="I188" s="102"/>
      <c r="J188" s="56"/>
      <c r="K188" s="28"/>
      <c r="L188" s="28"/>
      <c r="M188" s="28"/>
      <c r="N188" s="28"/>
      <c r="O188" s="28"/>
      <c r="P188" s="28"/>
      <c r="Q188" s="28"/>
      <c r="R188" s="28"/>
      <c r="S188" s="28"/>
      <c r="T188" s="28"/>
      <c r="U188" s="3"/>
      <c r="W188" s="3"/>
      <c r="X188" s="3"/>
      <c r="Y188" s="3"/>
      <c r="Z188" s="3"/>
    </row>
    <row r="189" spans="1:26" ht="14.4" hidden="1" outlineLevel="1" x14ac:dyDescent="0.3">
      <c r="A189" s="3"/>
      <c r="B189" s="9" t="s">
        <v>356</v>
      </c>
      <c r="C189" s="53"/>
      <c r="D189" s="53"/>
      <c r="E189" s="11">
        <v>0</v>
      </c>
      <c r="F189" s="11">
        <v>0</v>
      </c>
      <c r="G189" s="56"/>
      <c r="H189" s="56"/>
      <c r="I189" s="80"/>
      <c r="J189" s="56"/>
      <c r="K189" s="28"/>
      <c r="L189" s="28"/>
      <c r="M189" s="28"/>
      <c r="N189" s="28"/>
      <c r="O189" s="28"/>
      <c r="P189" s="28"/>
      <c r="Q189" s="28"/>
      <c r="R189" s="28"/>
      <c r="S189" s="28"/>
      <c r="T189" s="28"/>
      <c r="U189" s="3"/>
      <c r="W189" s="3"/>
      <c r="X189" s="3"/>
      <c r="Y189" s="3"/>
      <c r="Z189" s="3"/>
    </row>
    <row r="190" spans="1:26" ht="14.4" hidden="1" outlineLevel="1" x14ac:dyDescent="0.3">
      <c r="A190" s="3"/>
      <c r="B190" s="9" t="s">
        <v>370</v>
      </c>
      <c r="C190" s="53"/>
      <c r="D190" s="53"/>
      <c r="E190" s="11">
        <v>0</v>
      </c>
      <c r="F190" s="11">
        <v>0</v>
      </c>
      <c r="G190" s="56"/>
      <c r="H190" s="56"/>
      <c r="I190" s="80"/>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328</v>
      </c>
      <c r="C191" s="53"/>
      <c r="D191" s="53"/>
      <c r="E191" s="11">
        <v>0</v>
      </c>
      <c r="F191" s="11">
        <v>0</v>
      </c>
      <c r="G191" s="56"/>
      <c r="H191" s="56"/>
      <c r="I191" s="80"/>
      <c r="J191" s="56"/>
      <c r="K191" s="28"/>
      <c r="L191" s="28"/>
      <c r="M191" s="28"/>
      <c r="N191" s="28"/>
      <c r="O191" s="28"/>
      <c r="P191" s="28"/>
      <c r="Q191" s="28"/>
      <c r="R191" s="28"/>
      <c r="S191" s="28"/>
      <c r="T191" s="28"/>
      <c r="U191" s="3"/>
      <c r="W191" s="3"/>
      <c r="X191" s="3"/>
      <c r="Y191" s="3"/>
      <c r="Z191" s="3"/>
    </row>
    <row r="192" spans="1:26" ht="14.4" hidden="1" outlineLevel="1" x14ac:dyDescent="0.3">
      <c r="A192" s="3"/>
      <c r="B192" s="9" t="s">
        <v>329</v>
      </c>
      <c r="C192" s="53"/>
      <c r="D192" s="53"/>
      <c r="E192" s="11">
        <v>0</v>
      </c>
      <c r="F192" s="11">
        <v>0</v>
      </c>
      <c r="G192" s="56"/>
      <c r="H192" s="56"/>
      <c r="I192" s="80"/>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371</v>
      </c>
      <c r="C193" s="53"/>
      <c r="D193" s="53"/>
      <c r="E193" s="11">
        <v>0</v>
      </c>
      <c r="F193" s="11">
        <v>0</v>
      </c>
      <c r="G193" s="56"/>
      <c r="H193" s="56"/>
      <c r="I193" s="80"/>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372</v>
      </c>
      <c r="C194" s="53"/>
      <c r="D194" s="53"/>
      <c r="E194" s="11">
        <v>0</v>
      </c>
      <c r="F194" s="11">
        <v>0</v>
      </c>
      <c r="G194" s="56"/>
      <c r="H194" s="56"/>
      <c r="I194" s="80"/>
      <c r="J194" s="56"/>
      <c r="K194" s="28"/>
      <c r="L194" s="28"/>
      <c r="M194" s="28"/>
      <c r="N194" s="28"/>
      <c r="O194" s="28"/>
      <c r="P194" s="28"/>
      <c r="Q194" s="28"/>
      <c r="R194" s="28"/>
      <c r="S194" s="28"/>
      <c r="T194" s="28"/>
      <c r="U194" s="3"/>
      <c r="W194" s="3"/>
      <c r="X194" s="3"/>
      <c r="Y194" s="3"/>
      <c r="Z194" s="3"/>
    </row>
    <row r="195" spans="1:26" ht="14.4" hidden="1" outlineLevel="1" x14ac:dyDescent="0.3">
      <c r="A195" s="3"/>
      <c r="B195" s="9" t="s">
        <v>373</v>
      </c>
      <c r="C195" s="53"/>
      <c r="D195" s="53"/>
      <c r="E195" s="11">
        <v>0</v>
      </c>
      <c r="F195" s="11">
        <v>0</v>
      </c>
      <c r="G195" s="56"/>
      <c r="H195" s="56"/>
      <c r="I195" s="80"/>
      <c r="J195" s="56"/>
      <c r="K195" s="28"/>
      <c r="L195" s="28"/>
      <c r="M195" s="28"/>
      <c r="N195" s="28"/>
      <c r="O195" s="28"/>
      <c r="P195" s="28"/>
      <c r="Q195" s="28"/>
      <c r="R195" s="28"/>
      <c r="S195" s="28"/>
      <c r="T195" s="28"/>
      <c r="U195" s="3"/>
      <c r="W195" s="3"/>
      <c r="X195" s="3"/>
      <c r="Y195" s="3"/>
      <c r="Z195" s="3"/>
    </row>
    <row r="196" spans="1:26" ht="20.399999999999999" collapsed="1" x14ac:dyDescent="0.3">
      <c r="A196" s="3"/>
      <c r="B196" s="75" t="s">
        <v>402</v>
      </c>
      <c r="C196" s="76" t="s">
        <v>44</v>
      </c>
      <c r="D196" s="76" t="s">
        <v>44</v>
      </c>
      <c r="E196" s="77">
        <f>SUM(E197:E205)</f>
        <v>0</v>
      </c>
      <c r="F196" s="77">
        <f>SUMIF(D197:D205,"OK",F197:F205)</f>
        <v>0</v>
      </c>
      <c r="G196" s="78"/>
      <c r="H196" s="78"/>
      <c r="I196" s="79"/>
      <c r="J196" s="78"/>
      <c r="K196" s="28"/>
      <c r="L196" s="28"/>
      <c r="M196" s="28"/>
      <c r="N196" s="28"/>
      <c r="O196" s="28"/>
      <c r="P196" s="28"/>
      <c r="Q196" s="28"/>
      <c r="R196" s="28"/>
      <c r="S196" s="28"/>
      <c r="T196" s="28"/>
      <c r="U196" s="3"/>
      <c r="W196" s="3"/>
      <c r="X196" s="3"/>
      <c r="Y196" s="3"/>
      <c r="Z196" s="3"/>
    </row>
    <row r="197" spans="1:26" ht="14.4" hidden="1" outlineLevel="1" x14ac:dyDescent="0.3">
      <c r="A197" s="3"/>
      <c r="B197" s="9" t="s">
        <v>869</v>
      </c>
      <c r="C197" s="53"/>
      <c r="D197" s="53"/>
      <c r="E197" s="11">
        <v>0</v>
      </c>
      <c r="F197" s="11">
        <v>0</v>
      </c>
      <c r="G197" s="56"/>
      <c r="H197" s="56"/>
      <c r="I197" s="102"/>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869</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869</v>
      </c>
      <c r="C199" s="53"/>
      <c r="D199" s="53"/>
      <c r="E199" s="11">
        <v>0</v>
      </c>
      <c r="F199" s="11">
        <v>0</v>
      </c>
      <c r="G199" s="56"/>
      <c r="H199" s="56"/>
      <c r="I199" s="102"/>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869</v>
      </c>
      <c r="C200" s="53"/>
      <c r="D200" s="53"/>
      <c r="E200" s="11">
        <v>0</v>
      </c>
      <c r="F200" s="11">
        <v>0</v>
      </c>
      <c r="G200" s="56"/>
      <c r="H200" s="56"/>
      <c r="I200" s="102"/>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869</v>
      </c>
      <c r="C201" s="53"/>
      <c r="D201" s="53"/>
      <c r="E201" s="11">
        <v>0</v>
      </c>
      <c r="F201" s="11">
        <v>0</v>
      </c>
      <c r="G201" s="56"/>
      <c r="H201" s="56"/>
      <c r="I201" s="102"/>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870</v>
      </c>
      <c r="C202" s="53"/>
      <c r="D202" s="53"/>
      <c r="E202" s="11">
        <v>0</v>
      </c>
      <c r="F202" s="11">
        <v>0</v>
      </c>
      <c r="G202" s="56"/>
      <c r="H202" s="56"/>
      <c r="I202" s="102"/>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871</v>
      </c>
      <c r="C203" s="53"/>
      <c r="D203" s="53"/>
      <c r="E203" s="11">
        <v>0</v>
      </c>
      <c r="F203" s="11">
        <v>0</v>
      </c>
      <c r="G203" s="56"/>
      <c r="H203" s="56"/>
      <c r="I203" s="102"/>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872</v>
      </c>
      <c r="C204" s="53"/>
      <c r="D204" s="53"/>
      <c r="E204" s="11">
        <v>0</v>
      </c>
      <c r="F204" s="11">
        <v>0</v>
      </c>
      <c r="G204" s="80"/>
      <c r="H204" s="56"/>
      <c r="I204" s="102"/>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80"/>
      <c r="H205" s="56"/>
      <c r="I205" s="102"/>
      <c r="J205" s="56"/>
      <c r="K205" s="28"/>
      <c r="L205" s="28"/>
      <c r="M205" s="28"/>
      <c r="N205" s="28"/>
      <c r="O205" s="28"/>
      <c r="P205" s="28"/>
      <c r="Q205" s="28"/>
      <c r="R205" s="28"/>
      <c r="S205" s="28"/>
      <c r="T205" s="28"/>
      <c r="U205" s="3"/>
      <c r="W205" s="3"/>
      <c r="X205" s="3"/>
      <c r="Y205" s="3"/>
      <c r="Z205" s="3"/>
    </row>
    <row r="206" spans="1:26" ht="20.399999999999999" collapsed="1" x14ac:dyDescent="0.3">
      <c r="A206" s="3"/>
      <c r="B206" s="75" t="s">
        <v>403</v>
      </c>
      <c r="C206" s="76" t="s">
        <v>44</v>
      </c>
      <c r="D206" s="76" t="s">
        <v>44</v>
      </c>
      <c r="E206" s="77">
        <f>SUM(E207:E215)</f>
        <v>0</v>
      </c>
      <c r="F206" s="77">
        <f>SUMIF(D207:D215,"OK",F207:F215)</f>
        <v>0</v>
      </c>
      <c r="G206" s="78"/>
      <c r="H206" s="78"/>
      <c r="I206" s="79"/>
      <c r="J206" s="78"/>
      <c r="K206" s="28"/>
      <c r="L206" s="28"/>
      <c r="M206" s="28"/>
      <c r="N206" s="28"/>
      <c r="O206" s="28"/>
      <c r="P206" s="28"/>
      <c r="Q206" s="28"/>
      <c r="R206" s="28"/>
      <c r="S206" s="28"/>
      <c r="T206" s="28"/>
      <c r="U206" s="3"/>
      <c r="W206" s="3"/>
      <c r="X206" s="3"/>
      <c r="Y206" s="3"/>
      <c r="Z206" s="3"/>
    </row>
    <row r="207" spans="1:26" ht="14.4" hidden="1" outlineLevel="1" x14ac:dyDescent="0.3">
      <c r="A207" s="3"/>
      <c r="B207" s="9" t="s">
        <v>354</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355</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356</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370</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328</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329</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371</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372</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4.4" hidden="1" outlineLevel="1" x14ac:dyDescent="0.3">
      <c r="A215" s="3"/>
      <c r="B215" s="9" t="s">
        <v>373</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20.399999999999999" collapsed="1" x14ac:dyDescent="0.3">
      <c r="A216" s="3"/>
      <c r="B216" s="75" t="s">
        <v>404</v>
      </c>
      <c r="C216" s="76" t="s">
        <v>44</v>
      </c>
      <c r="D216" s="76" t="s">
        <v>44</v>
      </c>
      <c r="E216" s="77">
        <f>SUM(E217:E225)</f>
        <v>0</v>
      </c>
      <c r="F216" s="77">
        <f>SUMIF(D217:D225,"OK",F217:F225)</f>
        <v>0</v>
      </c>
      <c r="G216" s="78"/>
      <c r="H216" s="78"/>
      <c r="I216" s="79"/>
      <c r="J216" s="78"/>
      <c r="K216" s="28"/>
      <c r="L216" s="28"/>
      <c r="M216" s="28"/>
      <c r="N216" s="28"/>
      <c r="O216" s="28"/>
      <c r="P216" s="28"/>
      <c r="Q216" s="28"/>
      <c r="R216" s="28"/>
      <c r="S216" s="28"/>
      <c r="T216" s="28"/>
      <c r="U216" s="3"/>
      <c r="W216" s="3"/>
      <c r="X216" s="3"/>
      <c r="Y216" s="3"/>
      <c r="Z216" s="3"/>
    </row>
    <row r="217" spans="1:26" ht="14.4" hidden="1" outlineLevel="1" x14ac:dyDescent="0.3">
      <c r="A217" s="3"/>
      <c r="B217" s="9" t="s">
        <v>354</v>
      </c>
      <c r="C217" s="53"/>
      <c r="D217" s="53"/>
      <c r="E217" s="11">
        <v>0</v>
      </c>
      <c r="F217" s="11">
        <v>0</v>
      </c>
      <c r="G217" s="80"/>
      <c r="H217" s="56"/>
      <c r="I217" s="102"/>
      <c r="J217" s="56"/>
      <c r="K217" s="28"/>
      <c r="L217" s="28"/>
      <c r="M217" s="28"/>
      <c r="N217" s="28"/>
      <c r="O217" s="28"/>
      <c r="P217" s="28"/>
      <c r="Q217" s="28"/>
      <c r="R217" s="28"/>
      <c r="S217" s="28"/>
      <c r="T217" s="28"/>
      <c r="U217" s="3"/>
      <c r="W217" s="3"/>
      <c r="X217" s="3"/>
      <c r="Y217" s="3"/>
      <c r="Z217" s="3"/>
    </row>
    <row r="218" spans="1:26" ht="14.4" hidden="1" outlineLevel="1" x14ac:dyDescent="0.3">
      <c r="A218" s="3"/>
      <c r="B218" s="9" t="s">
        <v>355</v>
      </c>
      <c r="C218" s="53"/>
      <c r="D218" s="53"/>
      <c r="E218" s="11">
        <v>0</v>
      </c>
      <c r="F218" s="11">
        <v>0</v>
      </c>
      <c r="G218" s="56"/>
      <c r="H218" s="56"/>
      <c r="I218" s="80"/>
      <c r="J218" s="56"/>
      <c r="K218" s="28"/>
      <c r="L218" s="28"/>
      <c r="M218" s="28"/>
      <c r="N218" s="28"/>
      <c r="O218" s="28"/>
      <c r="P218" s="28"/>
      <c r="Q218" s="28"/>
      <c r="R218" s="28"/>
      <c r="S218" s="28"/>
      <c r="T218" s="28"/>
      <c r="U218" s="3"/>
      <c r="W218" s="3"/>
      <c r="X218" s="3"/>
      <c r="Y218" s="3"/>
      <c r="Z218" s="3"/>
    </row>
    <row r="219" spans="1:26" ht="14.4" hidden="1" outlineLevel="1" x14ac:dyDescent="0.3">
      <c r="A219" s="3"/>
      <c r="B219" s="9" t="s">
        <v>356</v>
      </c>
      <c r="C219" s="53"/>
      <c r="D219" s="53"/>
      <c r="E219" s="11">
        <v>0</v>
      </c>
      <c r="F219" s="11">
        <v>0</v>
      </c>
      <c r="G219" s="56"/>
      <c r="H219" s="56"/>
      <c r="I219" s="80"/>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370</v>
      </c>
      <c r="C220" s="53"/>
      <c r="D220" s="53"/>
      <c r="E220" s="11">
        <v>0</v>
      </c>
      <c r="F220" s="11">
        <v>0</v>
      </c>
      <c r="G220" s="56"/>
      <c r="H220" s="56"/>
      <c r="I220" s="80"/>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328</v>
      </c>
      <c r="C221" s="53"/>
      <c r="D221" s="53"/>
      <c r="E221" s="11">
        <v>0</v>
      </c>
      <c r="F221" s="11">
        <v>0</v>
      </c>
      <c r="G221" s="56"/>
      <c r="H221" s="56"/>
      <c r="I221" s="80"/>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329</v>
      </c>
      <c r="C222" s="53"/>
      <c r="D222" s="53"/>
      <c r="E222" s="11">
        <v>0</v>
      </c>
      <c r="F222" s="11">
        <v>0</v>
      </c>
      <c r="G222" s="56"/>
      <c r="H222" s="56"/>
      <c r="I222" s="80"/>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371</v>
      </c>
      <c r="C223" s="53"/>
      <c r="D223" s="53"/>
      <c r="E223" s="11">
        <v>0</v>
      </c>
      <c r="F223" s="11">
        <v>0</v>
      </c>
      <c r="G223" s="56"/>
      <c r="H223" s="56"/>
      <c r="I223" s="80"/>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372</v>
      </c>
      <c r="C224" s="53"/>
      <c r="D224" s="53"/>
      <c r="E224" s="11">
        <v>0</v>
      </c>
      <c r="F224" s="11">
        <v>0</v>
      </c>
      <c r="G224" s="56"/>
      <c r="H224" s="56"/>
      <c r="I224" s="80"/>
      <c r="J224" s="56"/>
      <c r="K224" s="28"/>
      <c r="L224" s="28"/>
      <c r="M224" s="28"/>
      <c r="N224" s="28"/>
      <c r="O224" s="28"/>
      <c r="P224" s="28"/>
      <c r="Q224" s="28"/>
      <c r="R224" s="28"/>
      <c r="S224" s="28"/>
      <c r="T224" s="28"/>
      <c r="U224" s="3"/>
      <c r="W224" s="3"/>
      <c r="X224" s="3"/>
      <c r="Y224" s="3"/>
      <c r="Z224" s="3"/>
    </row>
    <row r="225" spans="1:26" ht="14.4" hidden="1" outlineLevel="1" x14ac:dyDescent="0.3">
      <c r="A225" s="3"/>
      <c r="B225" s="9" t="s">
        <v>373</v>
      </c>
      <c r="C225" s="53"/>
      <c r="D225" s="53"/>
      <c r="E225" s="11">
        <v>0</v>
      </c>
      <c r="F225" s="11">
        <v>0</v>
      </c>
      <c r="G225" s="56"/>
      <c r="H225" s="56"/>
      <c r="I225" s="80"/>
      <c r="J225" s="56"/>
      <c r="K225" s="28"/>
      <c r="L225" s="28"/>
      <c r="M225" s="28"/>
      <c r="N225" s="28"/>
      <c r="O225" s="28"/>
      <c r="P225" s="28"/>
      <c r="Q225" s="28"/>
      <c r="R225" s="28"/>
      <c r="S225" s="28"/>
      <c r="T225" s="28"/>
      <c r="U225" s="3"/>
      <c r="W225" s="3"/>
      <c r="X225" s="3"/>
      <c r="Y225" s="3"/>
      <c r="Z225" s="3"/>
    </row>
    <row r="226" spans="1:26" ht="20.399999999999999" collapsed="1" x14ac:dyDescent="0.3">
      <c r="A226" s="3"/>
      <c r="B226" s="75" t="s">
        <v>406</v>
      </c>
      <c r="C226" s="76" t="s">
        <v>44</v>
      </c>
      <c r="D226" s="76" t="s">
        <v>44</v>
      </c>
      <c r="E226" s="77">
        <f>SUM(E227:E235)</f>
        <v>0</v>
      </c>
      <c r="F226" s="77">
        <f>SUMIF(D227:D235,"OK",F227:F235)</f>
        <v>0</v>
      </c>
      <c r="G226" s="78"/>
      <c r="H226" s="78"/>
      <c r="I226" s="79"/>
      <c r="J226" s="78"/>
      <c r="K226" s="28"/>
      <c r="L226" s="28"/>
      <c r="M226" s="28"/>
      <c r="N226" s="28"/>
      <c r="O226" s="28"/>
      <c r="P226" s="28"/>
      <c r="Q226" s="28"/>
      <c r="R226" s="28"/>
      <c r="S226" s="28"/>
      <c r="T226" s="28"/>
      <c r="U226" s="3"/>
      <c r="W226" s="3"/>
      <c r="X226" s="3"/>
      <c r="Y226" s="3"/>
      <c r="Z226" s="3"/>
    </row>
    <row r="227" spans="1:26" ht="14.4" hidden="1" outlineLevel="1" x14ac:dyDescent="0.3">
      <c r="A227" s="3"/>
      <c r="B227" s="9" t="s">
        <v>354</v>
      </c>
      <c r="C227" s="53"/>
      <c r="D227" s="53"/>
      <c r="E227" s="11">
        <v>0</v>
      </c>
      <c r="F227" s="11">
        <v>0</v>
      </c>
      <c r="G227" s="56"/>
      <c r="H227" s="56"/>
      <c r="I227" s="80"/>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355</v>
      </c>
      <c r="C228" s="53"/>
      <c r="D228" s="53"/>
      <c r="E228" s="11">
        <v>0</v>
      </c>
      <c r="F228" s="11">
        <v>0</v>
      </c>
      <c r="G228" s="56"/>
      <c r="H228" s="56"/>
      <c r="I228" s="80"/>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356</v>
      </c>
      <c r="C229" s="53"/>
      <c r="D229" s="53"/>
      <c r="E229" s="11">
        <v>0</v>
      </c>
      <c r="F229" s="11">
        <v>0</v>
      </c>
      <c r="G229" s="56"/>
      <c r="H229" s="56"/>
      <c r="I229" s="80"/>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370</v>
      </c>
      <c r="C230" s="53"/>
      <c r="D230" s="53"/>
      <c r="E230" s="11">
        <v>0</v>
      </c>
      <c r="F230" s="11">
        <v>0</v>
      </c>
      <c r="G230" s="56"/>
      <c r="H230" s="56"/>
      <c r="I230" s="80"/>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328</v>
      </c>
      <c r="C231" s="53"/>
      <c r="D231" s="53"/>
      <c r="E231" s="11">
        <v>0</v>
      </c>
      <c r="F231" s="11">
        <v>0</v>
      </c>
      <c r="G231" s="56"/>
      <c r="H231" s="56"/>
      <c r="I231" s="80"/>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329</v>
      </c>
      <c r="C232" s="53"/>
      <c r="D232" s="53"/>
      <c r="E232" s="11">
        <v>0</v>
      </c>
      <c r="F232" s="11">
        <v>0</v>
      </c>
      <c r="G232" s="56"/>
      <c r="H232" s="56"/>
      <c r="I232" s="80"/>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371</v>
      </c>
      <c r="C233" s="53"/>
      <c r="D233" s="53"/>
      <c r="E233" s="11">
        <v>0</v>
      </c>
      <c r="F233" s="11">
        <v>0</v>
      </c>
      <c r="G233" s="56"/>
      <c r="H233" s="56"/>
      <c r="I233" s="80"/>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372</v>
      </c>
      <c r="C234" s="53"/>
      <c r="D234" s="53"/>
      <c r="E234" s="11">
        <v>0</v>
      </c>
      <c r="F234" s="11">
        <v>0</v>
      </c>
      <c r="G234" s="56"/>
      <c r="H234" s="56"/>
      <c r="I234" s="80"/>
      <c r="J234" s="56"/>
      <c r="K234" s="28"/>
      <c r="L234" s="28"/>
      <c r="M234" s="28"/>
      <c r="N234" s="28"/>
      <c r="O234" s="28"/>
      <c r="P234" s="28"/>
      <c r="Q234" s="28"/>
      <c r="R234" s="28"/>
      <c r="S234" s="28"/>
      <c r="T234" s="28"/>
      <c r="U234" s="3"/>
      <c r="W234" s="3"/>
      <c r="X234" s="3"/>
      <c r="Y234" s="3"/>
      <c r="Z234" s="3"/>
    </row>
    <row r="235" spans="1:26" ht="14.4" hidden="1" outlineLevel="1" x14ac:dyDescent="0.3">
      <c r="A235" s="3"/>
      <c r="B235" s="9" t="s">
        <v>373</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20.399999999999999" collapsed="1" x14ac:dyDescent="0.3">
      <c r="A236" s="3"/>
      <c r="B236" s="75" t="s">
        <v>409</v>
      </c>
      <c r="C236" s="76" t="s">
        <v>44</v>
      </c>
      <c r="D236" s="76" t="s">
        <v>44</v>
      </c>
      <c r="E236" s="77">
        <f t="shared" ref="E236:F236" si="3">SUM(E237,E247,E257,E267)</f>
        <v>0</v>
      </c>
      <c r="F236" s="77">
        <f t="shared" si="3"/>
        <v>1463.5</v>
      </c>
      <c r="G236" s="78"/>
      <c r="H236" s="78"/>
      <c r="I236" s="79"/>
      <c r="J236" s="78"/>
      <c r="K236" s="28"/>
      <c r="L236" s="28"/>
      <c r="M236" s="28"/>
      <c r="N236" s="28"/>
      <c r="O236" s="28"/>
      <c r="P236" s="28"/>
      <c r="Q236" s="28"/>
      <c r="R236" s="28"/>
      <c r="S236" s="28"/>
      <c r="T236" s="28"/>
      <c r="U236" s="3"/>
      <c r="W236" s="3"/>
      <c r="X236" s="3"/>
      <c r="Y236" s="3"/>
      <c r="Z236" s="3"/>
    </row>
    <row r="237" spans="1:26" hidden="1" outlineLevel="1" x14ac:dyDescent="0.3">
      <c r="A237" s="3"/>
      <c r="B237" s="82" t="s">
        <v>233</v>
      </c>
      <c r="C237" s="83"/>
      <c r="D237" s="83"/>
      <c r="E237" s="84">
        <f>SUM(E238:E246)</f>
        <v>0</v>
      </c>
      <c r="F237" s="84">
        <f>SUMIF(D238:D246,"OK",F238:F246)</f>
        <v>0</v>
      </c>
      <c r="G237" s="85"/>
      <c r="H237" s="85"/>
      <c r="I237" s="86"/>
      <c r="J237" s="85"/>
      <c r="K237" s="28"/>
      <c r="L237" s="28"/>
      <c r="M237" s="28"/>
      <c r="N237" s="28"/>
      <c r="O237" s="28"/>
      <c r="P237" s="28"/>
      <c r="Q237" s="28"/>
      <c r="R237" s="28"/>
      <c r="S237" s="28"/>
      <c r="T237" s="28"/>
      <c r="U237" s="3"/>
      <c r="W237" s="3"/>
      <c r="X237" s="3"/>
      <c r="Y237" s="3"/>
      <c r="Z237" s="3"/>
    </row>
    <row r="238" spans="1:26" ht="14.4" hidden="1" outlineLevel="1" x14ac:dyDescent="0.3">
      <c r="A238" s="3"/>
      <c r="B238" s="9" t="s">
        <v>354</v>
      </c>
      <c r="C238" s="53"/>
      <c r="D238" s="53"/>
      <c r="E238" s="11">
        <v>0</v>
      </c>
      <c r="F238" s="11">
        <v>0</v>
      </c>
      <c r="G238" s="56"/>
      <c r="H238" s="56"/>
      <c r="I238" s="115"/>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355</v>
      </c>
      <c r="C239" s="53"/>
      <c r="D239" s="53"/>
      <c r="E239" s="11">
        <v>0</v>
      </c>
      <c r="F239" s="11">
        <v>0</v>
      </c>
      <c r="G239" s="56"/>
      <c r="H239" s="56"/>
      <c r="I239" s="115"/>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356</v>
      </c>
      <c r="C240" s="53"/>
      <c r="D240" s="53"/>
      <c r="E240" s="11">
        <v>0</v>
      </c>
      <c r="F240" s="11">
        <v>0</v>
      </c>
      <c r="G240" s="56"/>
      <c r="H240" s="56"/>
      <c r="I240" s="115"/>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370</v>
      </c>
      <c r="C241" s="53"/>
      <c r="D241" s="53"/>
      <c r="E241" s="11">
        <v>0</v>
      </c>
      <c r="F241" s="11">
        <v>0</v>
      </c>
      <c r="G241" s="56"/>
      <c r="H241" s="56"/>
      <c r="I241" s="102"/>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328</v>
      </c>
      <c r="C242" s="53"/>
      <c r="D242" s="53"/>
      <c r="E242" s="11">
        <v>0</v>
      </c>
      <c r="F242" s="11">
        <v>0</v>
      </c>
      <c r="G242" s="56"/>
      <c r="H242" s="56"/>
      <c r="I242" s="102"/>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329</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371</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372</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373</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idden="1" outlineLevel="1" x14ac:dyDescent="0.3">
      <c r="A247" s="3"/>
      <c r="B247" s="82" t="s">
        <v>63</v>
      </c>
      <c r="C247" s="83"/>
      <c r="D247" s="83"/>
      <c r="E247" s="84">
        <f>SUM(E248:E256)</f>
        <v>0</v>
      </c>
      <c r="F247" s="84">
        <f>SUMIF(D248:D256,"OK",F248:F256)</f>
        <v>1463.5</v>
      </c>
      <c r="G247" s="85"/>
      <c r="H247" s="85"/>
      <c r="I247" s="86"/>
      <c r="J247" s="85"/>
      <c r="K247" s="28"/>
      <c r="L247" s="28"/>
      <c r="M247" s="28"/>
      <c r="N247" s="28"/>
      <c r="O247" s="28"/>
      <c r="P247" s="28"/>
      <c r="Q247" s="28"/>
      <c r="R247" s="28"/>
      <c r="S247" s="28"/>
      <c r="T247" s="28"/>
      <c r="U247" s="3"/>
      <c r="W247" s="3"/>
      <c r="X247" s="3"/>
      <c r="Y247" s="3"/>
      <c r="Z247" s="3"/>
    </row>
    <row r="248" spans="1:26" ht="14.4" hidden="1" outlineLevel="1" x14ac:dyDescent="0.3">
      <c r="A248" s="3"/>
      <c r="B248" s="9" t="s">
        <v>873</v>
      </c>
      <c r="C248" s="53">
        <v>4</v>
      </c>
      <c r="D248" s="53" t="s">
        <v>95</v>
      </c>
      <c r="E248" s="11">
        <v>0</v>
      </c>
      <c r="F248" s="11">
        <v>83</v>
      </c>
      <c r="G248" s="56" t="s">
        <v>874</v>
      </c>
      <c r="H248" s="56" t="s">
        <v>37</v>
      </c>
      <c r="I248" s="102" t="s">
        <v>875</v>
      </c>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876</v>
      </c>
      <c r="C249" s="53">
        <v>5</v>
      </c>
      <c r="D249" s="53" t="s">
        <v>95</v>
      </c>
      <c r="E249" s="11">
        <v>0</v>
      </c>
      <c r="F249" s="11">
        <v>914.5</v>
      </c>
      <c r="G249" s="56"/>
      <c r="H249" s="56" t="s">
        <v>37</v>
      </c>
      <c r="I249" s="102" t="s">
        <v>877</v>
      </c>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878</v>
      </c>
      <c r="C250" s="53">
        <v>8</v>
      </c>
      <c r="D250" s="53" t="s">
        <v>95</v>
      </c>
      <c r="E250" s="11">
        <v>0</v>
      </c>
      <c r="F250" s="11">
        <v>466</v>
      </c>
      <c r="G250" s="56" t="s">
        <v>879</v>
      </c>
      <c r="H250" s="56" t="s">
        <v>37</v>
      </c>
      <c r="I250" s="102" t="s">
        <v>880</v>
      </c>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370</v>
      </c>
      <c r="C251" s="53"/>
      <c r="D251" s="53"/>
      <c r="E251" s="11">
        <v>0</v>
      </c>
      <c r="F251" s="11">
        <v>0</v>
      </c>
      <c r="G251" s="56"/>
      <c r="H251" s="56"/>
      <c r="I251" s="102"/>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328</v>
      </c>
      <c r="C252" s="53"/>
      <c r="D252" s="53"/>
      <c r="E252" s="11">
        <v>0</v>
      </c>
      <c r="F252" s="11">
        <v>0</v>
      </c>
      <c r="G252" s="56"/>
      <c r="H252" s="56"/>
      <c r="I252" s="102"/>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329</v>
      </c>
      <c r="C253" s="53"/>
      <c r="D253" s="53"/>
      <c r="E253" s="11">
        <v>0</v>
      </c>
      <c r="F253" s="11">
        <v>0</v>
      </c>
      <c r="G253" s="56"/>
      <c r="H253" s="56"/>
      <c r="I253" s="102"/>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371</v>
      </c>
      <c r="C254" s="53"/>
      <c r="D254" s="53"/>
      <c r="E254" s="11">
        <v>0</v>
      </c>
      <c r="F254" s="11">
        <v>0</v>
      </c>
      <c r="G254" s="56"/>
      <c r="H254" s="56"/>
      <c r="I254" s="102"/>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372</v>
      </c>
      <c r="C255" s="53"/>
      <c r="D255" s="53"/>
      <c r="E255" s="11">
        <v>0</v>
      </c>
      <c r="F255" s="11">
        <v>0</v>
      </c>
      <c r="G255" s="56"/>
      <c r="H255" s="56"/>
      <c r="I255" s="102"/>
      <c r="J255" s="56"/>
      <c r="K255" s="28"/>
      <c r="L255" s="28"/>
      <c r="M255" s="28"/>
      <c r="N255" s="28"/>
      <c r="O255" s="28"/>
      <c r="P255" s="28"/>
      <c r="Q255" s="28"/>
      <c r="R255" s="28"/>
      <c r="S255" s="28"/>
      <c r="T255" s="28"/>
      <c r="U255" s="3"/>
      <c r="W255" s="3"/>
      <c r="X255" s="3"/>
      <c r="Y255" s="3"/>
      <c r="Z255" s="3"/>
    </row>
    <row r="256" spans="1:26" ht="14.4" hidden="1" outlineLevel="1" x14ac:dyDescent="0.3">
      <c r="A256" s="3"/>
      <c r="B256" s="9" t="s">
        <v>373</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idden="1" outlineLevel="1" x14ac:dyDescent="0.3">
      <c r="A257" s="3"/>
      <c r="B257" s="82" t="s">
        <v>63</v>
      </c>
      <c r="C257" s="83"/>
      <c r="D257" s="83"/>
      <c r="E257" s="84">
        <f>SUM(E258:E266)</f>
        <v>0</v>
      </c>
      <c r="F257" s="84">
        <f>SUMIF(D258:D266,"OK",F258:F266)</f>
        <v>0</v>
      </c>
      <c r="G257" s="85"/>
      <c r="H257" s="85"/>
      <c r="I257" s="86"/>
      <c r="J257" s="85"/>
      <c r="K257" s="28"/>
      <c r="L257" s="28"/>
      <c r="M257" s="28"/>
      <c r="N257" s="28"/>
      <c r="O257" s="28"/>
      <c r="P257" s="28"/>
      <c r="Q257" s="28"/>
      <c r="R257" s="28"/>
      <c r="S257" s="28"/>
      <c r="T257" s="28"/>
      <c r="U257" s="3"/>
      <c r="W257" s="3"/>
      <c r="X257" s="3"/>
      <c r="Y257" s="3"/>
      <c r="Z257" s="3"/>
    </row>
    <row r="258" spans="1:26" ht="14.4" hidden="1" outlineLevel="1" x14ac:dyDescent="0.3">
      <c r="A258" s="3"/>
      <c r="B258" s="9" t="s">
        <v>354</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355</v>
      </c>
      <c r="C259" s="53"/>
      <c r="D259" s="53"/>
      <c r="E259" s="11">
        <v>0</v>
      </c>
      <c r="F259" s="11">
        <v>0</v>
      </c>
      <c r="G259" s="56"/>
      <c r="H259" s="56"/>
      <c r="I259" s="80"/>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356</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370</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328</v>
      </c>
      <c r="C262" s="53"/>
      <c r="D262" s="53"/>
      <c r="E262" s="11">
        <v>0</v>
      </c>
      <c r="F262" s="11">
        <v>0</v>
      </c>
      <c r="G262" s="56"/>
      <c r="H262" s="56"/>
      <c r="I262" s="80"/>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329</v>
      </c>
      <c r="C263" s="53"/>
      <c r="D263" s="53"/>
      <c r="E263" s="11">
        <v>0</v>
      </c>
      <c r="F263" s="11">
        <v>0</v>
      </c>
      <c r="G263" s="56"/>
      <c r="H263" s="56"/>
      <c r="I263" s="80"/>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371</v>
      </c>
      <c r="C264" s="53"/>
      <c r="D264" s="53"/>
      <c r="E264" s="11">
        <v>0</v>
      </c>
      <c r="F264" s="11">
        <v>0</v>
      </c>
      <c r="G264" s="56"/>
      <c r="H264" s="56"/>
      <c r="I264" s="80"/>
      <c r="J264" s="56"/>
      <c r="K264" s="28"/>
      <c r="L264" s="28"/>
      <c r="M264" s="28"/>
      <c r="N264" s="28"/>
      <c r="O264" s="28"/>
      <c r="P264" s="28"/>
      <c r="Q264" s="28"/>
      <c r="R264" s="28"/>
      <c r="S264" s="28"/>
      <c r="T264" s="28"/>
      <c r="U264" s="3"/>
      <c r="W264" s="3"/>
      <c r="X264" s="3"/>
      <c r="Y264" s="3"/>
      <c r="Z264" s="3"/>
    </row>
    <row r="265" spans="1:26" ht="14.4" hidden="1" outlineLevel="1" x14ac:dyDescent="0.3">
      <c r="A265" s="3"/>
      <c r="B265" s="9" t="s">
        <v>372</v>
      </c>
      <c r="C265" s="53"/>
      <c r="D265" s="53"/>
      <c r="E265" s="11">
        <v>0</v>
      </c>
      <c r="F265" s="11">
        <v>0</v>
      </c>
      <c r="G265" s="56"/>
      <c r="H265" s="56"/>
      <c r="I265" s="80"/>
      <c r="J265" s="56"/>
      <c r="K265" s="28"/>
      <c r="L265" s="28"/>
      <c r="M265" s="28"/>
      <c r="N265" s="28"/>
      <c r="O265" s="28"/>
      <c r="P265" s="28"/>
      <c r="Q265" s="28"/>
      <c r="R265" s="28"/>
      <c r="S265" s="28"/>
      <c r="T265" s="28"/>
      <c r="U265" s="3"/>
      <c r="W265" s="3"/>
      <c r="X265" s="3"/>
      <c r="Y265" s="3"/>
      <c r="Z265" s="3"/>
    </row>
    <row r="266" spans="1:26" ht="14.4" hidden="1" outlineLevel="1" x14ac:dyDescent="0.3">
      <c r="A266" s="3"/>
      <c r="B266" s="9" t="s">
        <v>373</v>
      </c>
      <c r="C266" s="53"/>
      <c r="D266" s="53"/>
      <c r="E266" s="11">
        <v>0</v>
      </c>
      <c r="F266" s="11">
        <v>0</v>
      </c>
      <c r="G266" s="56"/>
      <c r="H266" s="56"/>
      <c r="I266" s="80"/>
      <c r="J266" s="56"/>
      <c r="K266" s="28"/>
      <c r="L266" s="28"/>
      <c r="M266" s="28"/>
      <c r="N266" s="28"/>
      <c r="O266" s="28"/>
      <c r="P266" s="28"/>
      <c r="Q266" s="28"/>
      <c r="R266" s="28"/>
      <c r="S266" s="28"/>
      <c r="T266" s="28"/>
      <c r="U266" s="3"/>
      <c r="W266" s="3"/>
      <c r="X266" s="3"/>
      <c r="Y266" s="3"/>
      <c r="Z266" s="3"/>
    </row>
    <row r="267" spans="1:26" hidden="1" outlineLevel="1" x14ac:dyDescent="0.3">
      <c r="A267" s="3"/>
      <c r="B267" s="82" t="s">
        <v>63</v>
      </c>
      <c r="C267" s="83"/>
      <c r="D267" s="83"/>
      <c r="E267" s="84">
        <f>SUM(E268:E276)</f>
        <v>0</v>
      </c>
      <c r="F267" s="84">
        <f>SUMIF(D268:D276,"OK",F268:F276)</f>
        <v>0</v>
      </c>
      <c r="G267" s="85"/>
      <c r="H267" s="85"/>
      <c r="I267" s="86"/>
      <c r="J267" s="85"/>
      <c r="K267" s="28"/>
      <c r="L267" s="28"/>
      <c r="M267" s="28"/>
      <c r="N267" s="28"/>
      <c r="O267" s="28"/>
      <c r="P267" s="28"/>
      <c r="Q267" s="28"/>
      <c r="R267" s="28"/>
      <c r="S267" s="28"/>
      <c r="T267" s="28"/>
      <c r="U267" s="3"/>
      <c r="W267" s="3"/>
      <c r="X267" s="3"/>
      <c r="Y267" s="3"/>
      <c r="Z267" s="3"/>
    </row>
    <row r="268" spans="1:26" ht="14.4" hidden="1" outlineLevel="1" x14ac:dyDescent="0.3">
      <c r="A268" s="3"/>
      <c r="B268" s="9" t="s">
        <v>354</v>
      </c>
      <c r="C268" s="53"/>
      <c r="D268" s="53"/>
      <c r="E268" s="11">
        <v>0</v>
      </c>
      <c r="F268" s="11">
        <v>0</v>
      </c>
      <c r="G268" s="56"/>
      <c r="H268" s="56"/>
      <c r="I268" s="80"/>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355</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t="14.4" hidden="1" outlineLevel="1" x14ac:dyDescent="0.3">
      <c r="A270" s="3"/>
      <c r="B270" s="9" t="s">
        <v>356</v>
      </c>
      <c r="C270" s="53"/>
      <c r="D270" s="53"/>
      <c r="E270" s="11">
        <v>0</v>
      </c>
      <c r="F270" s="11">
        <v>0</v>
      </c>
      <c r="G270" s="56"/>
      <c r="H270" s="56"/>
      <c r="I270" s="80"/>
      <c r="J270" s="56"/>
      <c r="K270" s="28"/>
      <c r="L270" s="28"/>
      <c r="M270" s="28"/>
      <c r="N270" s="28"/>
      <c r="O270" s="28"/>
      <c r="P270" s="28"/>
      <c r="Q270" s="28"/>
      <c r="R270" s="28"/>
      <c r="S270" s="28"/>
      <c r="T270" s="28"/>
      <c r="U270" s="3"/>
      <c r="W270" s="3"/>
      <c r="X270" s="3"/>
      <c r="Y270" s="3"/>
      <c r="Z270" s="3"/>
    </row>
    <row r="271" spans="1:26" ht="14.4" hidden="1" outlineLevel="1" x14ac:dyDescent="0.3">
      <c r="A271" s="3"/>
      <c r="B271" s="9" t="s">
        <v>370</v>
      </c>
      <c r="C271" s="53"/>
      <c r="D271" s="53"/>
      <c r="E271" s="11">
        <v>0</v>
      </c>
      <c r="F271" s="11">
        <v>0</v>
      </c>
      <c r="G271" s="56"/>
      <c r="H271" s="56"/>
      <c r="I271" s="80"/>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328</v>
      </c>
      <c r="C272" s="53"/>
      <c r="D272" s="53"/>
      <c r="E272" s="11">
        <v>0</v>
      </c>
      <c r="F272" s="11">
        <v>0</v>
      </c>
      <c r="G272" s="56"/>
      <c r="H272" s="56"/>
      <c r="I272" s="80"/>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329</v>
      </c>
      <c r="C273" s="53"/>
      <c r="D273" s="53"/>
      <c r="E273" s="11">
        <v>0</v>
      </c>
      <c r="F273" s="11">
        <v>0</v>
      </c>
      <c r="G273" s="56"/>
      <c r="H273" s="56"/>
      <c r="I273" s="80"/>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371</v>
      </c>
      <c r="C274" s="53"/>
      <c r="D274" s="53"/>
      <c r="E274" s="11">
        <v>0</v>
      </c>
      <c r="F274" s="11">
        <v>0</v>
      </c>
      <c r="G274" s="56"/>
      <c r="H274" s="56"/>
      <c r="I274" s="80"/>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372</v>
      </c>
      <c r="C275" s="53"/>
      <c r="D275" s="53"/>
      <c r="E275" s="11">
        <v>0</v>
      </c>
      <c r="F275" s="11">
        <v>0</v>
      </c>
      <c r="G275" s="56"/>
      <c r="H275" s="56"/>
      <c r="I275" s="80"/>
      <c r="J275" s="56"/>
      <c r="K275" s="28"/>
      <c r="L275" s="28"/>
      <c r="M275" s="28"/>
      <c r="N275" s="28"/>
      <c r="O275" s="28"/>
      <c r="P275" s="28"/>
      <c r="Q275" s="28"/>
      <c r="R275" s="28"/>
      <c r="S275" s="28"/>
      <c r="T275" s="28"/>
      <c r="U275" s="3"/>
      <c r="W275" s="3"/>
      <c r="X275" s="3"/>
      <c r="Y275" s="3"/>
      <c r="Z275" s="3"/>
    </row>
    <row r="276" spans="1:26" ht="14.4" hidden="1" outlineLevel="1" x14ac:dyDescent="0.3">
      <c r="A276" s="3"/>
      <c r="B276" s="9" t="s">
        <v>373</v>
      </c>
      <c r="C276" s="53"/>
      <c r="D276" s="53"/>
      <c r="E276" s="11">
        <v>0</v>
      </c>
      <c r="F276" s="11">
        <v>0</v>
      </c>
      <c r="G276" s="56"/>
      <c r="H276" s="56"/>
      <c r="I276" s="80"/>
      <c r="J276" s="56"/>
      <c r="K276" s="28"/>
      <c r="L276" s="28"/>
      <c r="M276" s="28"/>
      <c r="N276" s="28"/>
      <c r="O276" s="28"/>
      <c r="P276" s="28"/>
      <c r="Q276" s="28"/>
      <c r="R276" s="28"/>
      <c r="S276" s="28"/>
      <c r="T276" s="28"/>
      <c r="U276" s="3"/>
      <c r="W276" s="3"/>
      <c r="X276" s="3"/>
      <c r="Y276" s="3"/>
      <c r="Z276" s="3"/>
    </row>
    <row r="277" spans="1:26" ht="20.399999999999999" collapsed="1" x14ac:dyDescent="0.3">
      <c r="A277" s="3"/>
      <c r="B277" s="75" t="s">
        <v>412</v>
      </c>
      <c r="C277" s="76" t="s">
        <v>44</v>
      </c>
      <c r="D277" s="76" t="s">
        <v>44</v>
      </c>
      <c r="E277" s="77">
        <f>SUM(E278:E288)</f>
        <v>0</v>
      </c>
      <c r="F277" s="77">
        <f>SUMIF(D278:D288,"OK",F278:F288)</f>
        <v>54</v>
      </c>
      <c r="G277" s="78"/>
      <c r="H277" s="78"/>
      <c r="I277" s="79"/>
      <c r="J277" s="78"/>
      <c r="K277" s="28"/>
      <c r="L277" s="28"/>
      <c r="M277" s="28"/>
      <c r="N277" s="28"/>
      <c r="O277" s="28"/>
      <c r="P277" s="28"/>
      <c r="Q277" s="28"/>
      <c r="R277" s="28"/>
      <c r="S277" s="28"/>
      <c r="T277" s="28"/>
      <c r="U277" s="3"/>
      <c r="W277" s="3"/>
      <c r="X277" s="3"/>
      <c r="Y277" s="3"/>
      <c r="Z277" s="3"/>
    </row>
    <row r="278" spans="1:26" ht="15.75" hidden="1" customHeight="1" outlineLevel="1" x14ac:dyDescent="0.3">
      <c r="A278" s="3"/>
      <c r="B278" s="9" t="s">
        <v>413</v>
      </c>
      <c r="C278" s="53"/>
      <c r="D278" s="53"/>
      <c r="E278" s="11">
        <v>0</v>
      </c>
      <c r="F278" s="11">
        <v>0</v>
      </c>
      <c r="G278" s="56"/>
      <c r="H278" s="56"/>
      <c r="I278" s="80"/>
      <c r="J278" s="56"/>
      <c r="K278" s="28"/>
      <c r="L278" s="28"/>
      <c r="M278" s="28"/>
      <c r="N278" s="28"/>
      <c r="O278" s="28"/>
      <c r="P278" s="28"/>
      <c r="Q278" s="28"/>
      <c r="R278" s="28"/>
      <c r="S278" s="28"/>
      <c r="T278" s="28"/>
      <c r="U278" s="3"/>
      <c r="W278" s="3"/>
      <c r="X278" s="3"/>
      <c r="Y278" s="3"/>
      <c r="Z278" s="3"/>
    </row>
    <row r="279" spans="1:26" ht="15.75" hidden="1" customHeight="1" outlineLevel="1" x14ac:dyDescent="0.3">
      <c r="A279" s="3"/>
      <c r="B279" s="9" t="s">
        <v>414</v>
      </c>
      <c r="C279" s="53">
        <v>12</v>
      </c>
      <c r="D279" s="53" t="s">
        <v>95</v>
      </c>
      <c r="E279" s="11">
        <v>0</v>
      </c>
      <c r="F279" s="11">
        <v>54</v>
      </c>
      <c r="G279" s="80"/>
      <c r="H279" s="56" t="s">
        <v>37</v>
      </c>
      <c r="I279" s="102" t="s">
        <v>881</v>
      </c>
      <c r="J279" s="56"/>
      <c r="K279" s="28"/>
      <c r="L279" s="28"/>
      <c r="M279" s="28"/>
      <c r="N279" s="28"/>
      <c r="O279" s="28"/>
      <c r="P279" s="28"/>
      <c r="Q279" s="28"/>
      <c r="R279" s="28"/>
      <c r="S279" s="28"/>
      <c r="T279" s="28"/>
      <c r="U279" s="3"/>
      <c r="W279" s="3"/>
      <c r="X279" s="3"/>
      <c r="Y279" s="3"/>
      <c r="Z279" s="3"/>
    </row>
    <row r="280" spans="1:26" ht="15.75" hidden="1" customHeight="1" outlineLevel="1" x14ac:dyDescent="0.3">
      <c r="A280" s="3"/>
      <c r="B280" s="9" t="s">
        <v>414</v>
      </c>
      <c r="C280" s="53"/>
      <c r="D280" s="53"/>
      <c r="E280" s="11">
        <v>0</v>
      </c>
      <c r="F280" s="11">
        <v>0</v>
      </c>
      <c r="G280" s="56"/>
      <c r="H280" s="56"/>
      <c r="I280" s="102"/>
      <c r="J280" s="56"/>
      <c r="K280" s="28"/>
      <c r="L280" s="28"/>
      <c r="M280" s="28"/>
      <c r="N280" s="28"/>
      <c r="O280" s="28"/>
      <c r="P280" s="28"/>
      <c r="Q280" s="28"/>
      <c r="R280" s="28"/>
      <c r="S280" s="28"/>
      <c r="T280" s="28"/>
      <c r="U280" s="3"/>
      <c r="W280" s="3"/>
      <c r="X280" s="3"/>
      <c r="Y280" s="3"/>
      <c r="Z280" s="3"/>
    </row>
    <row r="281" spans="1:26" ht="15.75" hidden="1" customHeight="1" outlineLevel="1" x14ac:dyDescent="0.3">
      <c r="A281" s="3"/>
      <c r="B281" s="9" t="s">
        <v>415</v>
      </c>
      <c r="C281" s="53"/>
      <c r="D281" s="53"/>
      <c r="E281" s="11">
        <v>0</v>
      </c>
      <c r="F281" s="11">
        <v>0</v>
      </c>
      <c r="G281" s="56"/>
      <c r="H281" s="56"/>
      <c r="I281" s="80"/>
      <c r="J281" s="56"/>
      <c r="K281" s="28"/>
      <c r="L281" s="28"/>
      <c r="M281" s="28"/>
      <c r="N281" s="28"/>
      <c r="O281" s="28"/>
      <c r="P281" s="28"/>
      <c r="Q281" s="28"/>
      <c r="R281" s="28"/>
      <c r="S281" s="28"/>
      <c r="T281" s="28"/>
      <c r="U281" s="3"/>
      <c r="W281" s="3"/>
      <c r="X281" s="3"/>
      <c r="Y281" s="3"/>
      <c r="Z281" s="3"/>
    </row>
    <row r="282" spans="1:26" ht="15.75" hidden="1" customHeight="1" outlineLevel="1" x14ac:dyDescent="0.3">
      <c r="A282" s="3"/>
      <c r="B282" s="9" t="s">
        <v>416</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ht="15.75" hidden="1" customHeight="1" outlineLevel="1" x14ac:dyDescent="0.3">
      <c r="A283" s="3"/>
      <c r="B283" s="9" t="s">
        <v>417</v>
      </c>
      <c r="C283" s="53"/>
      <c r="D283" s="53"/>
      <c r="E283" s="11">
        <v>0</v>
      </c>
      <c r="F283" s="11">
        <v>0</v>
      </c>
      <c r="G283" s="56"/>
      <c r="H283" s="56"/>
      <c r="I283" s="80"/>
      <c r="J283" s="56"/>
      <c r="K283" s="28"/>
      <c r="L283" s="28"/>
      <c r="M283" s="28"/>
      <c r="N283" s="28"/>
      <c r="O283" s="28"/>
      <c r="P283" s="28"/>
      <c r="Q283" s="28"/>
      <c r="R283" s="28"/>
      <c r="S283" s="28"/>
      <c r="T283" s="28"/>
      <c r="U283" s="3"/>
      <c r="W283" s="3"/>
      <c r="X283" s="3"/>
      <c r="Y283" s="3"/>
      <c r="Z283" s="3"/>
    </row>
    <row r="284" spans="1:26" ht="15.75" hidden="1" customHeight="1" outlineLevel="1" x14ac:dyDescent="0.3">
      <c r="A284" s="3"/>
      <c r="B284" s="9" t="s">
        <v>418</v>
      </c>
      <c r="C284" s="53"/>
      <c r="D284" s="53"/>
      <c r="E284" s="11">
        <v>0</v>
      </c>
      <c r="F284" s="11">
        <v>0</v>
      </c>
      <c r="G284" s="56"/>
      <c r="H284" s="56"/>
      <c r="I284" s="80"/>
      <c r="J284" s="56"/>
      <c r="K284" s="28"/>
      <c r="L284" s="28"/>
      <c r="M284" s="28"/>
      <c r="N284" s="28"/>
      <c r="O284" s="28"/>
      <c r="P284" s="28"/>
      <c r="Q284" s="28"/>
      <c r="R284" s="28"/>
      <c r="S284" s="28"/>
      <c r="T284" s="28"/>
      <c r="U284" s="3"/>
      <c r="W284" s="3"/>
      <c r="X284" s="3"/>
      <c r="Y284" s="3"/>
      <c r="Z284" s="3"/>
    </row>
    <row r="285" spans="1:26" ht="15.75" hidden="1" customHeight="1" outlineLevel="1" x14ac:dyDescent="0.3">
      <c r="A285" s="3"/>
      <c r="B285" s="9" t="s">
        <v>419</v>
      </c>
      <c r="C285" s="53"/>
      <c r="D285" s="53"/>
      <c r="E285" s="11">
        <v>0</v>
      </c>
      <c r="F285" s="11">
        <v>0</v>
      </c>
      <c r="G285" s="56"/>
      <c r="H285" s="56"/>
      <c r="I285" s="80"/>
      <c r="J285" s="56"/>
      <c r="K285" s="28"/>
      <c r="L285" s="28"/>
      <c r="M285" s="28"/>
      <c r="N285" s="28"/>
      <c r="O285" s="28"/>
      <c r="P285" s="28"/>
      <c r="Q285" s="28"/>
      <c r="R285" s="28"/>
      <c r="S285" s="28"/>
      <c r="T285" s="28"/>
      <c r="U285" s="3"/>
      <c r="W285" s="3"/>
      <c r="X285" s="3"/>
      <c r="Y285" s="3"/>
      <c r="Z285" s="3"/>
    </row>
    <row r="286" spans="1:26" ht="15.75" hidden="1" customHeight="1" outlineLevel="1" x14ac:dyDescent="0.3">
      <c r="A286" s="3"/>
      <c r="B286" s="9" t="s">
        <v>420</v>
      </c>
      <c r="C286" s="53"/>
      <c r="D286" s="53"/>
      <c r="E286" s="11">
        <v>0</v>
      </c>
      <c r="F286" s="11">
        <v>0</v>
      </c>
      <c r="G286" s="56"/>
      <c r="H286" s="56"/>
      <c r="I286" s="80"/>
      <c r="J286" s="56"/>
      <c r="K286" s="28"/>
      <c r="L286" s="28"/>
      <c r="M286" s="28"/>
      <c r="N286" s="28"/>
      <c r="O286" s="28"/>
      <c r="P286" s="28"/>
      <c r="Q286" s="28"/>
      <c r="R286" s="28"/>
      <c r="S286" s="28"/>
      <c r="T286" s="28"/>
      <c r="U286" s="3"/>
      <c r="W286" s="3"/>
      <c r="X286" s="3"/>
      <c r="Y286" s="3"/>
      <c r="Z286" s="3"/>
    </row>
    <row r="287" spans="1:26" ht="15.75" hidden="1" customHeight="1" outlineLevel="1" x14ac:dyDescent="0.3">
      <c r="A287" s="3"/>
      <c r="B287" s="9" t="s">
        <v>421</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5.75" hidden="1" customHeight="1" outlineLevel="1" x14ac:dyDescent="0.3">
      <c r="A288" s="3"/>
      <c r="B288" s="9" t="s">
        <v>66</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1" ht="15.75" customHeight="1" collapsed="1" x14ac:dyDescent="0.3">
      <c r="A289" s="3"/>
      <c r="B289" s="3"/>
      <c r="C289" s="28"/>
      <c r="D289" s="28"/>
      <c r="E289" s="28"/>
      <c r="F289" s="28"/>
      <c r="G289" s="89"/>
      <c r="H289" s="89"/>
      <c r="I289" s="90"/>
      <c r="J289" s="89"/>
      <c r="K289" s="28"/>
      <c r="L289" s="28"/>
      <c r="M289" s="28"/>
      <c r="N289" s="28"/>
      <c r="O289" s="28"/>
      <c r="P289" s="28"/>
      <c r="Q289" s="28"/>
      <c r="R289" s="28"/>
      <c r="S289" s="28"/>
      <c r="T289" s="28"/>
      <c r="U289" s="3"/>
    </row>
    <row r="290" spans="1:21" ht="15.75" customHeight="1" x14ac:dyDescent="0.3">
      <c r="A290" s="3"/>
      <c r="B290" s="3"/>
      <c r="C290" s="28"/>
      <c r="D290" s="28"/>
      <c r="E290" s="28"/>
      <c r="F290" s="28"/>
      <c r="G290" s="89"/>
      <c r="H290" s="89"/>
      <c r="I290" s="90"/>
      <c r="J290" s="89"/>
      <c r="K290" s="28"/>
      <c r="L290" s="28"/>
      <c r="M290" s="28"/>
      <c r="N290" s="28"/>
      <c r="O290" s="28"/>
      <c r="P290" s="28"/>
      <c r="Q290" s="28"/>
      <c r="R290" s="28"/>
      <c r="S290" s="28"/>
      <c r="T290" s="28"/>
      <c r="U290" s="3"/>
    </row>
    <row r="291" spans="1:21" ht="15.75" customHeight="1" x14ac:dyDescent="0.3">
      <c r="A291" s="3"/>
      <c r="B291" s="3"/>
      <c r="C291" s="28"/>
      <c r="D291" s="28"/>
      <c r="E291" s="28"/>
      <c r="F291" s="28"/>
      <c r="G291" s="89"/>
      <c r="H291" s="89"/>
      <c r="I291" s="90"/>
      <c r="J291" s="89"/>
      <c r="K291" s="28"/>
      <c r="L291" s="28"/>
      <c r="M291" s="28"/>
      <c r="N291" s="28"/>
      <c r="O291" s="28"/>
      <c r="P291" s="28"/>
      <c r="Q291" s="28"/>
      <c r="R291" s="28"/>
      <c r="S291" s="28"/>
      <c r="T291" s="28"/>
      <c r="U291" s="3"/>
    </row>
    <row r="292" spans="1:21" ht="15.75" customHeight="1" x14ac:dyDescent="0.3">
      <c r="A292" s="3"/>
      <c r="B292" s="3"/>
      <c r="C292" s="28"/>
      <c r="D292" s="28"/>
      <c r="E292" s="28"/>
      <c r="F292" s="28"/>
      <c r="G292" s="89"/>
      <c r="H292" s="89"/>
      <c r="I292" s="90"/>
      <c r="J292" s="89"/>
      <c r="K292" s="28"/>
      <c r="L292" s="28"/>
      <c r="M292" s="28"/>
      <c r="N292" s="28"/>
      <c r="O292" s="28"/>
      <c r="P292" s="28"/>
      <c r="Q292" s="28"/>
      <c r="R292" s="28"/>
      <c r="S292" s="28"/>
      <c r="T292" s="28"/>
      <c r="U292" s="3"/>
    </row>
    <row r="293" spans="1:21" ht="15.75" customHeight="1" x14ac:dyDescent="0.3">
      <c r="A293" s="3"/>
      <c r="B293" s="3"/>
      <c r="C293" s="28"/>
      <c r="D293" s="28"/>
      <c r="E293" s="28"/>
      <c r="F293" s="28"/>
      <c r="G293" s="89"/>
      <c r="H293" s="89"/>
      <c r="I293" s="90"/>
      <c r="J293" s="89"/>
      <c r="K293" s="28"/>
      <c r="L293" s="28"/>
      <c r="M293" s="28"/>
      <c r="N293" s="28"/>
      <c r="O293" s="28"/>
      <c r="P293" s="28"/>
      <c r="Q293" s="28"/>
      <c r="R293" s="28"/>
      <c r="S293" s="28"/>
      <c r="T293" s="28"/>
      <c r="U293" s="3"/>
    </row>
    <row r="294" spans="1:21" ht="15.75" customHeight="1" x14ac:dyDescent="0.3">
      <c r="A294" s="3"/>
      <c r="B294" s="3"/>
      <c r="C294" s="28"/>
      <c r="D294" s="28"/>
      <c r="E294" s="28"/>
      <c r="F294" s="28"/>
      <c r="G294" s="89"/>
      <c r="H294" s="89"/>
      <c r="I294" s="90"/>
      <c r="J294" s="89"/>
      <c r="K294" s="28"/>
      <c r="L294" s="28"/>
      <c r="M294" s="28"/>
      <c r="N294" s="28"/>
      <c r="O294" s="28"/>
      <c r="P294" s="28"/>
      <c r="Q294" s="28"/>
      <c r="R294" s="28"/>
      <c r="S294" s="28"/>
      <c r="T294" s="28"/>
      <c r="U294" s="3"/>
    </row>
    <row r="295" spans="1:21" ht="15.75" customHeight="1" x14ac:dyDescent="0.3">
      <c r="A295" s="3"/>
      <c r="B295" s="3"/>
      <c r="C295" s="28"/>
      <c r="D295" s="28"/>
      <c r="E295" s="28"/>
      <c r="F295" s="28"/>
      <c r="G295" s="89"/>
      <c r="H295" s="89"/>
      <c r="I295" s="90"/>
      <c r="J295" s="89"/>
      <c r="K295" s="28"/>
      <c r="L295" s="28"/>
      <c r="M295" s="28"/>
      <c r="N295" s="28"/>
      <c r="O295" s="28"/>
      <c r="P295" s="28"/>
      <c r="Q295" s="28"/>
      <c r="R295" s="28"/>
      <c r="S295" s="28"/>
      <c r="T295" s="28"/>
      <c r="U295" s="3"/>
    </row>
    <row r="296" spans="1:21" ht="15.75" customHeight="1" x14ac:dyDescent="0.3">
      <c r="A296" s="3"/>
      <c r="B296" s="3"/>
      <c r="C296" s="28"/>
      <c r="D296" s="28"/>
      <c r="E296" s="28"/>
      <c r="F296" s="28"/>
      <c r="G296" s="89"/>
      <c r="H296" s="89"/>
      <c r="I296" s="90"/>
      <c r="J296" s="89"/>
      <c r="K296" s="28"/>
      <c r="L296" s="28"/>
      <c r="M296" s="28"/>
      <c r="N296" s="28"/>
      <c r="O296" s="28"/>
      <c r="P296" s="28"/>
      <c r="Q296" s="28"/>
      <c r="R296" s="28"/>
      <c r="S296" s="28"/>
      <c r="T296" s="28"/>
      <c r="U296" s="3"/>
    </row>
    <row r="297" spans="1:21" ht="15.75" customHeight="1" x14ac:dyDescent="0.3">
      <c r="A297" s="3"/>
      <c r="B297" s="3"/>
      <c r="C297" s="28"/>
      <c r="D297" s="28"/>
      <c r="E297" s="28"/>
      <c r="F297" s="28"/>
      <c r="G297" s="89"/>
      <c r="H297" s="89"/>
      <c r="I297" s="90"/>
      <c r="J297" s="89"/>
      <c r="K297" s="28"/>
      <c r="L297" s="28"/>
      <c r="M297" s="28"/>
      <c r="N297" s="28"/>
      <c r="O297" s="28"/>
      <c r="P297" s="28"/>
      <c r="Q297" s="28"/>
      <c r="R297" s="28"/>
      <c r="S297" s="28"/>
      <c r="T297" s="28"/>
      <c r="U297" s="3"/>
    </row>
    <row r="298" spans="1:21" ht="15.75" customHeight="1" x14ac:dyDescent="0.3">
      <c r="A298" s="3"/>
      <c r="B298" s="3"/>
      <c r="C298" s="28"/>
      <c r="D298" s="28"/>
      <c r="E298" s="28"/>
      <c r="F298" s="28"/>
      <c r="G298" s="89"/>
      <c r="H298" s="89"/>
      <c r="I298" s="90"/>
      <c r="J298" s="89"/>
      <c r="K298" s="28"/>
      <c r="L298" s="28"/>
      <c r="M298" s="28"/>
      <c r="N298" s="28"/>
      <c r="O298" s="28"/>
      <c r="P298" s="28"/>
      <c r="Q298" s="28"/>
      <c r="R298" s="28"/>
      <c r="S298" s="28"/>
      <c r="T298" s="28"/>
      <c r="U298" s="3"/>
    </row>
    <row r="299" spans="1:21" ht="15.75" customHeight="1" x14ac:dyDescent="0.3">
      <c r="A299" s="3"/>
      <c r="B299" s="3"/>
      <c r="C299" s="28"/>
      <c r="D299" s="28"/>
      <c r="E299" s="28"/>
      <c r="F299" s="28"/>
      <c r="G299" s="89"/>
      <c r="H299" s="89"/>
      <c r="I299" s="90"/>
      <c r="J299" s="89"/>
      <c r="K299" s="28"/>
      <c r="L299" s="28"/>
      <c r="M299" s="28"/>
      <c r="N299" s="28"/>
      <c r="O299" s="28"/>
      <c r="P299" s="28"/>
      <c r="Q299" s="28"/>
      <c r="R299" s="28"/>
      <c r="S299" s="28"/>
      <c r="T299" s="28"/>
      <c r="U299" s="3"/>
    </row>
    <row r="300" spans="1:21" ht="15.75" customHeight="1" x14ac:dyDescent="0.3">
      <c r="A300" s="3"/>
      <c r="B300" s="3"/>
      <c r="C300" s="28"/>
      <c r="D300" s="28"/>
      <c r="E300" s="28"/>
      <c r="F300" s="28"/>
      <c r="G300" s="89"/>
      <c r="H300" s="89"/>
      <c r="I300" s="90"/>
      <c r="J300" s="89"/>
      <c r="K300" s="28"/>
      <c r="L300" s="28"/>
      <c r="M300" s="28"/>
      <c r="N300" s="28"/>
      <c r="O300" s="28"/>
      <c r="P300" s="28"/>
      <c r="Q300" s="28"/>
      <c r="R300" s="28"/>
      <c r="S300" s="28"/>
      <c r="T300" s="28"/>
      <c r="U300" s="3"/>
    </row>
    <row r="301" spans="1:21" ht="15.75" customHeight="1" x14ac:dyDescent="0.3">
      <c r="A301" s="3"/>
      <c r="B301" s="3"/>
      <c r="C301" s="28"/>
      <c r="D301" s="28"/>
      <c r="E301" s="28"/>
      <c r="F301" s="28"/>
      <c r="G301" s="89"/>
      <c r="H301" s="89"/>
      <c r="I301" s="90"/>
      <c r="J301" s="89"/>
      <c r="K301" s="28"/>
      <c r="L301" s="28"/>
      <c r="M301" s="28"/>
      <c r="N301" s="28"/>
      <c r="O301" s="28"/>
      <c r="P301" s="28"/>
      <c r="Q301" s="28"/>
      <c r="R301" s="28"/>
      <c r="S301" s="28"/>
      <c r="T301" s="28"/>
      <c r="U301" s="3"/>
    </row>
    <row r="302" spans="1:21" ht="15.75" customHeight="1" x14ac:dyDescent="0.3">
      <c r="A302" s="3"/>
      <c r="B302" s="3"/>
      <c r="C302" s="28"/>
      <c r="D302" s="28"/>
      <c r="E302" s="28"/>
      <c r="F302" s="28"/>
      <c r="G302" s="89"/>
      <c r="H302" s="89"/>
      <c r="I302" s="90"/>
      <c r="J302" s="89"/>
      <c r="K302" s="28"/>
      <c r="L302" s="28"/>
      <c r="M302" s="28"/>
      <c r="N302" s="28"/>
      <c r="O302" s="28"/>
      <c r="P302" s="28"/>
      <c r="Q302" s="28"/>
      <c r="R302" s="28"/>
      <c r="S302" s="28"/>
      <c r="T302" s="28"/>
      <c r="U302" s="3"/>
    </row>
    <row r="303" spans="1:21" ht="15.75" customHeight="1" x14ac:dyDescent="0.3">
      <c r="A303" s="3"/>
      <c r="B303" s="3"/>
      <c r="C303" s="28"/>
      <c r="D303" s="28"/>
      <c r="E303" s="28"/>
      <c r="F303" s="28"/>
      <c r="G303" s="89"/>
      <c r="H303" s="89"/>
      <c r="I303" s="90"/>
      <c r="J303" s="89"/>
      <c r="K303" s="28"/>
      <c r="L303" s="28"/>
      <c r="M303" s="28"/>
      <c r="N303" s="28"/>
      <c r="O303" s="28"/>
      <c r="P303" s="28"/>
      <c r="Q303" s="28"/>
      <c r="R303" s="28"/>
      <c r="S303" s="28"/>
      <c r="T303" s="28"/>
      <c r="U303" s="3"/>
    </row>
    <row r="304" spans="1:21" ht="15.75" customHeight="1" x14ac:dyDescent="0.3">
      <c r="A304" s="3"/>
      <c r="B304" s="3"/>
      <c r="C304" s="28"/>
      <c r="D304" s="28"/>
      <c r="E304" s="28"/>
      <c r="F304" s="28"/>
      <c r="G304" s="89"/>
      <c r="H304" s="89"/>
      <c r="I304" s="90"/>
      <c r="J304" s="89"/>
      <c r="K304" s="28"/>
      <c r="L304" s="28"/>
      <c r="M304" s="28"/>
      <c r="N304" s="28"/>
      <c r="O304" s="28"/>
      <c r="P304" s="28"/>
      <c r="Q304" s="28"/>
      <c r="R304" s="28"/>
      <c r="S304" s="28"/>
      <c r="T304" s="28"/>
      <c r="U304" s="3"/>
    </row>
    <row r="305" spans="1:21" ht="15.75" customHeight="1" x14ac:dyDescent="0.3">
      <c r="A305" s="3"/>
      <c r="B305" s="3"/>
      <c r="C305" s="28"/>
      <c r="D305" s="28"/>
      <c r="E305" s="28"/>
      <c r="F305" s="28"/>
      <c r="G305" s="89"/>
      <c r="H305" s="89"/>
      <c r="I305" s="90"/>
      <c r="J305" s="89"/>
      <c r="K305" s="28"/>
      <c r="L305" s="28"/>
      <c r="M305" s="28"/>
      <c r="N305" s="28"/>
      <c r="O305" s="28"/>
      <c r="P305" s="28"/>
      <c r="Q305" s="28"/>
      <c r="R305" s="28"/>
      <c r="S305" s="28"/>
      <c r="T305" s="28"/>
      <c r="U305" s="3"/>
    </row>
    <row r="306" spans="1:21" ht="15.75" customHeight="1" x14ac:dyDescent="0.3">
      <c r="A306" s="3"/>
      <c r="B306" s="3"/>
      <c r="C306" s="28"/>
      <c r="D306" s="28"/>
      <c r="E306" s="28"/>
      <c r="F306" s="28"/>
      <c r="G306" s="89"/>
      <c r="H306" s="89"/>
      <c r="I306" s="90"/>
      <c r="J306" s="89"/>
      <c r="K306" s="28"/>
      <c r="L306" s="28"/>
      <c r="M306" s="28"/>
      <c r="N306" s="28"/>
      <c r="O306" s="28"/>
      <c r="P306" s="28"/>
      <c r="Q306" s="28"/>
      <c r="R306" s="28"/>
      <c r="S306" s="28"/>
      <c r="T306" s="28"/>
      <c r="U306" s="3"/>
    </row>
    <row r="307" spans="1:21" ht="15.75" customHeight="1" x14ac:dyDescent="0.3">
      <c r="A307" s="3"/>
      <c r="B307" s="3"/>
      <c r="C307" s="28"/>
      <c r="D307" s="28"/>
      <c r="E307" s="28"/>
      <c r="F307" s="28"/>
      <c r="G307" s="89"/>
      <c r="H307" s="89"/>
      <c r="I307" s="90"/>
      <c r="J307" s="89"/>
      <c r="K307" s="28"/>
      <c r="L307" s="28"/>
      <c r="M307" s="28"/>
      <c r="N307" s="28"/>
      <c r="O307" s="28"/>
      <c r="P307" s="28"/>
      <c r="Q307" s="28"/>
      <c r="R307" s="28"/>
      <c r="S307" s="28"/>
      <c r="T307" s="28"/>
      <c r="U307" s="3"/>
    </row>
    <row r="308" spans="1:21" ht="15.75" customHeight="1" x14ac:dyDescent="0.3">
      <c r="A308" s="3"/>
      <c r="B308" s="3"/>
      <c r="C308" s="28"/>
      <c r="D308" s="28"/>
      <c r="E308" s="28"/>
      <c r="F308" s="28"/>
      <c r="G308" s="89"/>
      <c r="H308" s="89"/>
      <c r="I308" s="90"/>
      <c r="J308" s="89"/>
      <c r="K308" s="28"/>
      <c r="L308" s="28"/>
      <c r="M308" s="28"/>
      <c r="N308" s="28"/>
      <c r="O308" s="28"/>
      <c r="P308" s="28"/>
      <c r="Q308" s="28"/>
      <c r="R308" s="28"/>
      <c r="S308" s="28"/>
      <c r="T308" s="28"/>
      <c r="U308" s="3"/>
    </row>
    <row r="309" spans="1:21" ht="15.75" customHeight="1" x14ac:dyDescent="0.3">
      <c r="A309" s="3"/>
      <c r="B309" s="3"/>
      <c r="C309" s="28"/>
      <c r="D309" s="28"/>
      <c r="E309" s="28"/>
      <c r="F309" s="28"/>
      <c r="G309" s="89"/>
      <c r="H309" s="89"/>
      <c r="I309" s="90"/>
      <c r="J309" s="89"/>
      <c r="K309" s="28"/>
      <c r="L309" s="28"/>
      <c r="M309" s="28"/>
      <c r="N309" s="28"/>
      <c r="O309" s="28"/>
      <c r="P309" s="28"/>
      <c r="Q309" s="28"/>
      <c r="R309" s="28"/>
      <c r="S309" s="28"/>
      <c r="T309" s="28"/>
      <c r="U309" s="3"/>
    </row>
    <row r="310" spans="1:21" ht="15.75" customHeight="1" x14ac:dyDescent="0.3">
      <c r="A310" s="3"/>
      <c r="B310" s="3"/>
      <c r="C310" s="28"/>
      <c r="D310" s="28"/>
      <c r="E310" s="28"/>
      <c r="F310" s="28"/>
      <c r="G310" s="89"/>
      <c r="H310" s="89"/>
      <c r="I310" s="90"/>
      <c r="J310" s="89"/>
      <c r="K310" s="28"/>
      <c r="L310" s="28"/>
      <c r="M310" s="28"/>
      <c r="N310" s="28"/>
      <c r="O310" s="28"/>
      <c r="P310" s="28"/>
      <c r="Q310" s="28"/>
      <c r="R310" s="28"/>
      <c r="S310" s="28"/>
      <c r="T310" s="28"/>
      <c r="U310" s="3"/>
    </row>
    <row r="311" spans="1:21" ht="15.75" customHeight="1" x14ac:dyDescent="0.3">
      <c r="A311" s="3"/>
      <c r="B311" s="3"/>
      <c r="C311" s="28"/>
      <c r="D311" s="28"/>
      <c r="E311" s="28"/>
      <c r="F311" s="28"/>
      <c r="G311" s="89"/>
      <c r="H311" s="89"/>
      <c r="I311" s="90"/>
      <c r="J311" s="89"/>
      <c r="K311" s="28"/>
      <c r="L311" s="28"/>
      <c r="M311" s="28"/>
      <c r="N311" s="28"/>
      <c r="O311" s="28"/>
      <c r="P311" s="28"/>
      <c r="Q311" s="28"/>
      <c r="R311" s="28"/>
      <c r="S311" s="28"/>
      <c r="T311" s="28"/>
      <c r="U311" s="3"/>
    </row>
    <row r="312" spans="1:21" ht="15.75" customHeight="1" x14ac:dyDescent="0.3">
      <c r="A312" s="3"/>
      <c r="B312" s="3"/>
      <c r="C312" s="28"/>
      <c r="D312" s="28"/>
      <c r="E312" s="28"/>
      <c r="F312" s="28"/>
      <c r="G312" s="89"/>
      <c r="H312" s="89"/>
      <c r="I312" s="90"/>
      <c r="J312" s="89"/>
      <c r="K312" s="28"/>
      <c r="L312" s="28"/>
      <c r="M312" s="28"/>
      <c r="N312" s="28"/>
      <c r="O312" s="28"/>
      <c r="P312" s="28"/>
      <c r="Q312" s="28"/>
      <c r="R312" s="28"/>
      <c r="S312" s="28"/>
      <c r="T312" s="28"/>
      <c r="U312" s="3"/>
    </row>
    <row r="313" spans="1:21" ht="15.75" customHeight="1" x14ac:dyDescent="0.3">
      <c r="A313" s="3"/>
      <c r="B313" s="3"/>
      <c r="C313" s="28"/>
      <c r="D313" s="28"/>
      <c r="E313" s="28"/>
      <c r="F313" s="28"/>
      <c r="G313" s="89"/>
      <c r="H313" s="89"/>
      <c r="I313" s="90"/>
      <c r="J313" s="89"/>
      <c r="K313" s="28"/>
      <c r="L313" s="28"/>
      <c r="M313" s="28"/>
      <c r="N313" s="28"/>
      <c r="O313" s="28"/>
      <c r="P313" s="28"/>
      <c r="Q313" s="28"/>
      <c r="R313" s="28"/>
      <c r="S313" s="28"/>
      <c r="T313" s="28"/>
      <c r="U313" s="3"/>
    </row>
    <row r="314" spans="1:21" ht="15.75" customHeight="1" x14ac:dyDescent="0.3">
      <c r="A314" s="3"/>
      <c r="B314" s="3"/>
      <c r="C314" s="28"/>
      <c r="D314" s="28"/>
      <c r="E314" s="28"/>
      <c r="F314" s="28"/>
      <c r="G314" s="89"/>
      <c r="H314" s="89"/>
      <c r="I314" s="90"/>
      <c r="J314" s="89"/>
      <c r="K314" s="28"/>
      <c r="L314" s="28"/>
      <c r="M314" s="28"/>
      <c r="N314" s="28"/>
      <c r="O314" s="28"/>
      <c r="P314" s="28"/>
      <c r="Q314" s="28"/>
      <c r="R314" s="28"/>
      <c r="S314" s="28"/>
      <c r="T314" s="28"/>
      <c r="U314" s="3"/>
    </row>
    <row r="315" spans="1:21" ht="15.75" customHeight="1" x14ac:dyDescent="0.3">
      <c r="A315" s="3"/>
      <c r="B315" s="3"/>
      <c r="C315" s="28"/>
      <c r="D315" s="28"/>
      <c r="E315" s="28"/>
      <c r="F315" s="28"/>
      <c r="G315" s="89"/>
      <c r="H315" s="89"/>
      <c r="I315" s="90"/>
      <c r="J315" s="89"/>
      <c r="K315" s="28"/>
      <c r="L315" s="28"/>
      <c r="M315" s="28"/>
      <c r="N315" s="28"/>
      <c r="O315" s="28"/>
      <c r="P315" s="28"/>
      <c r="Q315" s="28"/>
      <c r="R315" s="28"/>
      <c r="S315" s="28"/>
      <c r="T315" s="28"/>
      <c r="U315" s="3"/>
    </row>
    <row r="316" spans="1:21" ht="15.75" customHeight="1" x14ac:dyDescent="0.3">
      <c r="A316" s="3"/>
      <c r="B316" s="3"/>
      <c r="C316" s="28"/>
      <c r="D316" s="28"/>
      <c r="E316" s="28"/>
      <c r="F316" s="28"/>
      <c r="G316" s="89"/>
      <c r="H316" s="89"/>
      <c r="I316" s="90"/>
      <c r="J316" s="89"/>
      <c r="K316" s="28"/>
      <c r="L316" s="28"/>
      <c r="M316" s="28"/>
      <c r="N316" s="28"/>
      <c r="O316" s="28"/>
      <c r="P316" s="28"/>
      <c r="Q316" s="28"/>
      <c r="R316" s="28"/>
      <c r="S316" s="28"/>
      <c r="T316" s="28"/>
      <c r="U316" s="3"/>
    </row>
    <row r="317" spans="1:21" ht="15.75" customHeight="1" x14ac:dyDescent="0.3">
      <c r="A317" s="3"/>
      <c r="B317" s="3"/>
      <c r="C317" s="28"/>
      <c r="D317" s="28"/>
      <c r="E317" s="28"/>
      <c r="F317" s="28"/>
      <c r="G317" s="89"/>
      <c r="H317" s="89"/>
      <c r="I317" s="90"/>
      <c r="J317" s="89"/>
      <c r="K317" s="28"/>
      <c r="L317" s="28"/>
      <c r="M317" s="28"/>
      <c r="N317" s="28"/>
      <c r="O317" s="28"/>
      <c r="P317" s="28"/>
      <c r="Q317" s="28"/>
      <c r="R317" s="28"/>
      <c r="S317" s="28"/>
      <c r="T317" s="28"/>
      <c r="U317" s="3"/>
    </row>
    <row r="318" spans="1:21" ht="15.75" customHeight="1" x14ac:dyDescent="0.3">
      <c r="A318" s="3"/>
      <c r="B318" s="3"/>
      <c r="C318" s="28"/>
      <c r="D318" s="28"/>
      <c r="E318" s="28"/>
      <c r="F318" s="28"/>
      <c r="G318" s="89"/>
      <c r="H318" s="89"/>
      <c r="I318" s="90"/>
      <c r="J318" s="89"/>
      <c r="K318" s="28"/>
      <c r="L318" s="28"/>
      <c r="M318" s="28"/>
      <c r="N318" s="28"/>
      <c r="O318" s="28"/>
      <c r="P318" s="28"/>
      <c r="Q318" s="28"/>
      <c r="R318" s="28"/>
      <c r="S318" s="28"/>
      <c r="T318" s="28"/>
      <c r="U318" s="3"/>
    </row>
    <row r="319" spans="1:21" ht="15.75" customHeight="1" x14ac:dyDescent="0.3">
      <c r="A319" s="3"/>
      <c r="B319" s="3"/>
      <c r="C319" s="28"/>
      <c r="D319" s="28"/>
      <c r="E319" s="28"/>
      <c r="F319" s="28"/>
      <c r="G319" s="89"/>
      <c r="H319" s="89"/>
      <c r="I319" s="90"/>
      <c r="J319" s="89"/>
      <c r="K319" s="28"/>
      <c r="L319" s="28"/>
      <c r="M319" s="28"/>
      <c r="N319" s="28"/>
      <c r="O319" s="28"/>
      <c r="P319" s="28"/>
      <c r="Q319" s="28"/>
      <c r="R319" s="28"/>
      <c r="S319" s="28"/>
      <c r="T319" s="28"/>
      <c r="U319" s="3"/>
    </row>
    <row r="320" spans="1:21" ht="15.75" customHeight="1" x14ac:dyDescent="0.3">
      <c r="A320" s="3"/>
      <c r="B320" s="3"/>
      <c r="C320" s="28"/>
      <c r="D320" s="28"/>
      <c r="E320" s="28"/>
      <c r="F320" s="28"/>
      <c r="G320" s="89"/>
      <c r="H320" s="89"/>
      <c r="I320" s="90"/>
      <c r="J320" s="89"/>
      <c r="K320" s="28"/>
      <c r="L320" s="28"/>
      <c r="M320" s="28"/>
      <c r="N320" s="28"/>
      <c r="O320" s="28"/>
      <c r="P320" s="28"/>
      <c r="Q320" s="28"/>
      <c r="R320" s="28"/>
      <c r="S320" s="28"/>
      <c r="T320" s="28"/>
      <c r="U320" s="3"/>
    </row>
    <row r="321" spans="1:21" ht="15.75" customHeight="1" x14ac:dyDescent="0.3">
      <c r="A321" s="3"/>
      <c r="B321" s="3"/>
      <c r="C321" s="28"/>
      <c r="D321" s="28"/>
      <c r="E321" s="28"/>
      <c r="F321" s="28"/>
      <c r="G321" s="89"/>
      <c r="H321" s="89"/>
      <c r="I321" s="90"/>
      <c r="J321" s="89"/>
      <c r="K321" s="28"/>
      <c r="L321" s="28"/>
      <c r="M321" s="28"/>
      <c r="N321" s="28"/>
      <c r="O321" s="28"/>
      <c r="P321" s="28"/>
      <c r="Q321" s="28"/>
      <c r="R321" s="28"/>
      <c r="S321" s="28"/>
      <c r="T321" s="28"/>
      <c r="U321" s="3"/>
    </row>
    <row r="322" spans="1:21" ht="15.75" customHeight="1" x14ac:dyDescent="0.3">
      <c r="A322" s="3"/>
      <c r="B322" s="3"/>
      <c r="C322" s="28"/>
      <c r="D322" s="28"/>
      <c r="E322" s="28"/>
      <c r="F322" s="28"/>
      <c r="G322" s="89"/>
      <c r="H322" s="89"/>
      <c r="I322" s="90"/>
      <c r="J322" s="89"/>
      <c r="K322" s="28"/>
      <c r="L322" s="28"/>
      <c r="M322" s="28"/>
      <c r="N322" s="28"/>
      <c r="O322" s="28"/>
      <c r="P322" s="28"/>
      <c r="Q322" s="28"/>
      <c r="R322" s="28"/>
      <c r="S322" s="28"/>
      <c r="T322" s="28"/>
      <c r="U322" s="3"/>
    </row>
    <row r="323" spans="1:21" ht="15.75" customHeight="1" x14ac:dyDescent="0.3">
      <c r="A323" s="3"/>
      <c r="B323" s="3"/>
      <c r="C323" s="28"/>
      <c r="D323" s="28"/>
      <c r="E323" s="28"/>
      <c r="F323" s="28"/>
      <c r="G323" s="89"/>
      <c r="H323" s="89"/>
      <c r="I323" s="90"/>
      <c r="J323" s="89"/>
      <c r="K323" s="28"/>
      <c r="L323" s="28"/>
      <c r="M323" s="28"/>
      <c r="N323" s="28"/>
      <c r="O323" s="28"/>
      <c r="P323" s="28"/>
      <c r="Q323" s="28"/>
      <c r="R323" s="28"/>
      <c r="S323" s="28"/>
      <c r="T323" s="28"/>
      <c r="U323" s="3"/>
    </row>
    <row r="324" spans="1:21" ht="15.75" customHeight="1" x14ac:dyDescent="0.3">
      <c r="A324" s="3"/>
      <c r="B324" s="3"/>
      <c r="C324" s="28"/>
      <c r="D324" s="28"/>
      <c r="E324" s="28"/>
      <c r="F324" s="28"/>
      <c r="G324" s="89"/>
      <c r="H324" s="89"/>
      <c r="I324" s="90"/>
      <c r="J324" s="89"/>
      <c r="K324" s="28"/>
      <c r="L324" s="28"/>
      <c r="M324" s="28"/>
      <c r="N324" s="28"/>
      <c r="O324" s="28"/>
      <c r="P324" s="28"/>
      <c r="Q324" s="28"/>
      <c r="R324" s="28"/>
      <c r="S324" s="28"/>
      <c r="T324" s="28"/>
      <c r="U324" s="3"/>
    </row>
    <row r="325" spans="1:21" ht="15.75" customHeight="1" x14ac:dyDescent="0.3">
      <c r="A325" s="3"/>
      <c r="B325" s="3"/>
      <c r="C325" s="28"/>
      <c r="D325" s="28"/>
      <c r="E325" s="28"/>
      <c r="F325" s="28"/>
      <c r="G325" s="89"/>
      <c r="H325" s="89"/>
      <c r="I325" s="90"/>
      <c r="J325" s="89"/>
      <c r="K325" s="28"/>
      <c r="L325" s="28"/>
      <c r="M325" s="28"/>
      <c r="N325" s="28"/>
      <c r="O325" s="28"/>
      <c r="P325" s="28"/>
      <c r="Q325" s="28"/>
      <c r="R325" s="28"/>
      <c r="S325" s="28"/>
      <c r="T325" s="28"/>
      <c r="U325" s="3"/>
    </row>
    <row r="326" spans="1:21" ht="15.75" customHeight="1" x14ac:dyDescent="0.3">
      <c r="A326" s="3"/>
      <c r="B326" s="3"/>
      <c r="C326" s="28"/>
      <c r="D326" s="28"/>
      <c r="E326" s="28"/>
      <c r="F326" s="28"/>
      <c r="G326" s="89"/>
      <c r="H326" s="89"/>
      <c r="I326" s="90"/>
      <c r="J326" s="89"/>
      <c r="K326" s="28"/>
      <c r="L326" s="28"/>
      <c r="M326" s="28"/>
      <c r="N326" s="28"/>
      <c r="O326" s="28"/>
      <c r="P326" s="28"/>
      <c r="Q326" s="28"/>
      <c r="R326" s="28"/>
      <c r="S326" s="28"/>
      <c r="T326" s="28"/>
      <c r="U326" s="3"/>
    </row>
    <row r="327" spans="1:21" ht="15.75" customHeight="1" x14ac:dyDescent="0.3">
      <c r="A327" s="3"/>
      <c r="B327" s="3"/>
      <c r="C327" s="28"/>
      <c r="D327" s="28"/>
      <c r="E327" s="28"/>
      <c r="F327" s="28"/>
      <c r="G327" s="89"/>
      <c r="H327" s="89"/>
      <c r="I327" s="90"/>
      <c r="J327" s="89"/>
      <c r="K327" s="28"/>
      <c r="L327" s="28"/>
      <c r="M327" s="28"/>
      <c r="N327" s="28"/>
      <c r="O327" s="28"/>
      <c r="P327" s="28"/>
      <c r="Q327" s="28"/>
      <c r="R327" s="28"/>
      <c r="S327" s="28"/>
      <c r="T327" s="28"/>
      <c r="U327" s="3"/>
    </row>
    <row r="328" spans="1:21" ht="15.75" customHeight="1" x14ac:dyDescent="0.3">
      <c r="A328" s="3"/>
      <c r="B328" s="3"/>
      <c r="C328" s="28"/>
      <c r="D328" s="28"/>
      <c r="E328" s="28"/>
      <c r="F328" s="28"/>
      <c r="G328" s="89"/>
      <c r="H328" s="89"/>
      <c r="I328" s="90"/>
      <c r="J328" s="89"/>
      <c r="K328" s="28"/>
      <c r="L328" s="28"/>
      <c r="M328" s="28"/>
      <c r="N328" s="28"/>
      <c r="O328" s="28"/>
      <c r="P328" s="28"/>
      <c r="Q328" s="28"/>
      <c r="R328" s="28"/>
      <c r="S328" s="28"/>
      <c r="T328" s="28"/>
      <c r="U328" s="3"/>
    </row>
    <row r="329" spans="1:21" ht="15.75" customHeight="1" x14ac:dyDescent="0.3">
      <c r="A329" s="3"/>
      <c r="B329" s="3"/>
      <c r="C329" s="28"/>
      <c r="D329" s="28"/>
      <c r="E329" s="28"/>
      <c r="F329" s="28"/>
      <c r="G329" s="89"/>
      <c r="H329" s="89"/>
      <c r="I329" s="90"/>
      <c r="J329" s="89"/>
      <c r="K329" s="28"/>
      <c r="L329" s="28"/>
      <c r="M329" s="28"/>
      <c r="N329" s="28"/>
      <c r="O329" s="28"/>
      <c r="P329" s="28"/>
      <c r="Q329" s="28"/>
      <c r="R329" s="28"/>
      <c r="S329" s="28"/>
      <c r="T329" s="28"/>
      <c r="U329" s="3"/>
    </row>
    <row r="330" spans="1:21" ht="15.75" customHeight="1" x14ac:dyDescent="0.3">
      <c r="A330" s="3"/>
      <c r="B330" s="3"/>
      <c r="C330" s="28"/>
      <c r="D330" s="28"/>
      <c r="E330" s="28"/>
      <c r="F330" s="28"/>
      <c r="G330" s="89"/>
      <c r="H330" s="89"/>
      <c r="I330" s="90"/>
      <c r="J330" s="89"/>
      <c r="K330" s="28"/>
      <c r="L330" s="28"/>
      <c r="M330" s="28"/>
      <c r="N330" s="28"/>
      <c r="O330" s="28"/>
      <c r="P330" s="28"/>
      <c r="Q330" s="28"/>
      <c r="R330" s="28"/>
      <c r="S330" s="28"/>
      <c r="T330" s="28"/>
      <c r="U330" s="3"/>
    </row>
    <row r="331" spans="1:21" ht="15.75" customHeight="1" x14ac:dyDescent="0.3">
      <c r="A331" s="3"/>
      <c r="B331" s="3"/>
      <c r="C331" s="28"/>
      <c r="D331" s="28"/>
      <c r="E331" s="28"/>
      <c r="F331" s="28"/>
      <c r="G331" s="89"/>
      <c r="H331" s="89"/>
      <c r="I331" s="90"/>
      <c r="J331" s="89"/>
      <c r="K331" s="28"/>
      <c r="L331" s="28"/>
      <c r="M331" s="28"/>
      <c r="N331" s="28"/>
      <c r="O331" s="28"/>
      <c r="P331" s="28"/>
      <c r="Q331" s="28"/>
      <c r="R331" s="28"/>
      <c r="S331" s="28"/>
      <c r="T331" s="28"/>
      <c r="U331" s="3"/>
    </row>
    <row r="332" spans="1:21" ht="15.75" customHeight="1" x14ac:dyDescent="0.3">
      <c r="A332" s="3"/>
      <c r="B332" s="3"/>
      <c r="C332" s="28"/>
      <c r="D332" s="28"/>
      <c r="E332" s="28"/>
      <c r="F332" s="28"/>
      <c r="G332" s="89"/>
      <c r="H332" s="89"/>
      <c r="I332" s="90"/>
      <c r="J332" s="89"/>
      <c r="K332" s="28"/>
      <c r="L332" s="28"/>
      <c r="M332" s="28"/>
      <c r="N332" s="28"/>
      <c r="O332" s="28"/>
      <c r="P332" s="28"/>
      <c r="Q332" s="28"/>
      <c r="R332" s="28"/>
      <c r="S332" s="28"/>
      <c r="T332" s="28"/>
      <c r="U332" s="3"/>
    </row>
    <row r="333" spans="1:21" ht="15.75" customHeight="1" x14ac:dyDescent="0.3">
      <c r="A333" s="3"/>
      <c r="B333" s="3"/>
      <c r="C333" s="28"/>
      <c r="D333" s="28"/>
      <c r="E333" s="28"/>
      <c r="F333" s="28"/>
      <c r="G333" s="89"/>
      <c r="H333" s="89"/>
      <c r="I333" s="90"/>
      <c r="J333" s="89"/>
      <c r="K333" s="28"/>
      <c r="L333" s="28"/>
      <c r="M333" s="28"/>
      <c r="N333" s="28"/>
      <c r="O333" s="28"/>
      <c r="P333" s="28"/>
      <c r="Q333" s="28"/>
      <c r="R333" s="28"/>
      <c r="S333" s="28"/>
      <c r="T333" s="28"/>
      <c r="U333" s="3"/>
    </row>
    <row r="334" spans="1:21" ht="15.75" customHeight="1" x14ac:dyDescent="0.3">
      <c r="A334" s="3"/>
      <c r="B334" s="3"/>
      <c r="C334" s="28"/>
      <c r="D334" s="28"/>
      <c r="E334" s="28"/>
      <c r="F334" s="28"/>
      <c r="G334" s="89"/>
      <c r="H334" s="89"/>
      <c r="I334" s="90"/>
      <c r="J334" s="89"/>
      <c r="K334" s="28"/>
      <c r="L334" s="28"/>
      <c r="M334" s="28"/>
      <c r="N334" s="28"/>
      <c r="O334" s="28"/>
      <c r="P334" s="28"/>
      <c r="Q334" s="28"/>
      <c r="R334" s="28"/>
      <c r="S334" s="28"/>
      <c r="T334" s="28"/>
      <c r="U334" s="3"/>
    </row>
    <row r="335" spans="1:21" ht="15.75" customHeight="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1"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5.7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5.7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5.7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5.7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5.7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5.7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5.7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5.7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5.7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5.7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5.7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5.7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5.7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5.7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5.7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5.7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5.7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5.7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5.7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5.7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5.7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5.7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5.7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5.7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5.7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5.7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5.7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5.7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5.7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5.7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5.7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5.7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5.7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5.7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5.7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5.7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5.7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5.7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5.7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5.7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5.7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5.7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5.7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5.7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5.75" customHeight="1" x14ac:dyDescent="0.3"/>
    <row r="490" spans="1:21" ht="15.75" customHeight="1" x14ac:dyDescent="0.3"/>
    <row r="491" spans="1:21" ht="15.75" customHeight="1" x14ac:dyDescent="0.3"/>
    <row r="492" spans="1:21" ht="15.75" customHeight="1" x14ac:dyDescent="0.3"/>
    <row r="493" spans="1:21" ht="15.75" customHeight="1" x14ac:dyDescent="0.3"/>
    <row r="494" spans="1:21" ht="15.75" customHeight="1" x14ac:dyDescent="0.3"/>
    <row r="495" spans="1:21" ht="15.75" customHeight="1" x14ac:dyDescent="0.3"/>
    <row r="496" spans="1:21"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autoFilter ref="C5:F288" xr:uid="{00000000-0009-0000-0000-00000A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6 D138:D146 D149:D155 D157:D161 D163:D167 D169:D173 D175:D179 D181:D235 D238:D246 D248:D256 D258:D266 D268:D276 D278:D288" xr:uid="{00000000-0002-0000-0A00-000001000000}">
      <formula1>"OK,Parcial,Pendente"</formula1>
    </dataValidation>
  </dataValidations>
  <hyperlinks>
    <hyperlink ref="I7" r:id="rId1" xr:uid="{00000000-0004-0000-0A00-000000000000}"/>
    <hyperlink ref="I10" r:id="rId2" xr:uid="{00000000-0004-0000-0A00-000001000000}"/>
    <hyperlink ref="I11" r:id="rId3" xr:uid="{00000000-0004-0000-0A00-000002000000}"/>
    <hyperlink ref="I12" r:id="rId4" xr:uid="{00000000-0004-0000-0A00-000003000000}"/>
    <hyperlink ref="I14" r:id="rId5" xr:uid="{00000000-0004-0000-0A00-000004000000}"/>
    <hyperlink ref="I17" r:id="rId6" xr:uid="{00000000-0004-0000-0A00-000005000000}"/>
    <hyperlink ref="I22" r:id="rId7" xr:uid="{00000000-0004-0000-0A00-000006000000}"/>
    <hyperlink ref="I29" r:id="rId8" xr:uid="{00000000-0004-0000-0A00-000007000000}"/>
    <hyperlink ref="I32" r:id="rId9" xr:uid="{00000000-0004-0000-0A00-000008000000}"/>
    <hyperlink ref="I35" r:id="rId10" xr:uid="{00000000-0004-0000-0A00-000009000000}"/>
    <hyperlink ref="I39" r:id="rId11" xr:uid="{00000000-0004-0000-0A00-00000A000000}"/>
    <hyperlink ref="I40" r:id="rId12" xr:uid="{00000000-0004-0000-0A00-00000B000000}"/>
    <hyperlink ref="I43" r:id="rId13" xr:uid="{00000000-0004-0000-0A00-00000C000000}"/>
    <hyperlink ref="I44" r:id="rId14" xr:uid="{00000000-0004-0000-0A00-00000D000000}"/>
    <hyperlink ref="I45" r:id="rId15" xr:uid="{00000000-0004-0000-0A00-00000E000000}"/>
    <hyperlink ref="I46" r:id="rId16" xr:uid="{00000000-0004-0000-0A00-00000F000000}"/>
    <hyperlink ref="I47" r:id="rId17" xr:uid="{00000000-0004-0000-0A00-000010000000}"/>
    <hyperlink ref="I48" r:id="rId18" xr:uid="{00000000-0004-0000-0A00-000011000000}"/>
    <hyperlink ref="I49" r:id="rId19" xr:uid="{00000000-0004-0000-0A00-000012000000}"/>
    <hyperlink ref="I50" r:id="rId20" xr:uid="{00000000-0004-0000-0A00-000013000000}"/>
    <hyperlink ref="I51" r:id="rId21" xr:uid="{00000000-0004-0000-0A00-000014000000}"/>
    <hyperlink ref="I52" r:id="rId22" xr:uid="{00000000-0004-0000-0A00-000015000000}"/>
    <hyperlink ref="I53" r:id="rId23" xr:uid="{00000000-0004-0000-0A00-000016000000}"/>
    <hyperlink ref="I64" r:id="rId24" xr:uid="{00000000-0004-0000-0A00-000017000000}"/>
    <hyperlink ref="I65" r:id="rId25" xr:uid="{00000000-0004-0000-0A00-000018000000}"/>
    <hyperlink ref="I66" r:id="rId26" xr:uid="{00000000-0004-0000-0A00-000019000000}"/>
    <hyperlink ref="I67" r:id="rId27" xr:uid="{00000000-0004-0000-0A00-00001A000000}"/>
    <hyperlink ref="I68" r:id="rId28" xr:uid="{00000000-0004-0000-0A00-00001B000000}"/>
    <hyperlink ref="I72" r:id="rId29" xr:uid="{00000000-0004-0000-0A00-00001C000000}"/>
    <hyperlink ref="I73" r:id="rId30" xr:uid="{00000000-0004-0000-0A00-00001D000000}"/>
    <hyperlink ref="I74" r:id="rId31" xr:uid="{00000000-0004-0000-0A00-00001E000000}"/>
    <hyperlink ref="I75" r:id="rId32" xr:uid="{00000000-0004-0000-0A00-00001F000000}"/>
    <hyperlink ref="I76" r:id="rId33" xr:uid="{00000000-0004-0000-0A00-000020000000}"/>
    <hyperlink ref="I80" r:id="rId34" xr:uid="{00000000-0004-0000-0A00-000021000000}"/>
    <hyperlink ref="I81" r:id="rId35" xr:uid="{00000000-0004-0000-0A00-000022000000}"/>
    <hyperlink ref="I82" r:id="rId36" xr:uid="{00000000-0004-0000-0A00-000023000000}"/>
    <hyperlink ref="I83" r:id="rId37" xr:uid="{00000000-0004-0000-0A00-000024000000}"/>
    <hyperlink ref="I85" r:id="rId38" xr:uid="{00000000-0004-0000-0A00-000025000000}"/>
    <hyperlink ref="I87" r:id="rId39" xr:uid="{00000000-0004-0000-0A00-000026000000}"/>
    <hyperlink ref="I88" r:id="rId40" xr:uid="{00000000-0004-0000-0A00-000027000000}"/>
    <hyperlink ref="I89" r:id="rId41" xr:uid="{00000000-0004-0000-0A00-000028000000}"/>
    <hyperlink ref="I90" r:id="rId42" xr:uid="{00000000-0004-0000-0A00-000029000000}"/>
    <hyperlink ref="I91" r:id="rId43" xr:uid="{00000000-0004-0000-0A00-00002A000000}"/>
    <hyperlink ref="I92" r:id="rId44" xr:uid="{00000000-0004-0000-0A00-00002B000000}"/>
    <hyperlink ref="I128" r:id="rId45" xr:uid="{00000000-0004-0000-0A00-00002C000000}"/>
    <hyperlink ref="I129" r:id="rId46" xr:uid="{00000000-0004-0000-0A00-00002D000000}"/>
    <hyperlink ref="I130" r:id="rId47" xr:uid="{00000000-0004-0000-0A00-00002E000000}"/>
    <hyperlink ref="I131" r:id="rId48" xr:uid="{00000000-0004-0000-0A00-00002F000000}"/>
    <hyperlink ref="I132" r:id="rId49" xr:uid="{00000000-0004-0000-0A00-000030000000}"/>
    <hyperlink ref="I133" r:id="rId50" xr:uid="{00000000-0004-0000-0A00-000031000000}"/>
    <hyperlink ref="I134" r:id="rId51" xr:uid="{00000000-0004-0000-0A00-000032000000}"/>
    <hyperlink ref="I135" r:id="rId52" xr:uid="{00000000-0004-0000-0A00-000033000000}"/>
    <hyperlink ref="I136" r:id="rId53" xr:uid="{00000000-0004-0000-0A00-000034000000}"/>
    <hyperlink ref="I138" r:id="rId54" xr:uid="{00000000-0004-0000-0A00-000035000000}"/>
    <hyperlink ref="I149" r:id="rId55" xr:uid="{00000000-0004-0000-0A00-000036000000}"/>
    <hyperlink ref="I150" r:id="rId56" xr:uid="{00000000-0004-0000-0A00-000037000000}"/>
    <hyperlink ref="I151" r:id="rId57" xr:uid="{00000000-0004-0000-0A00-000038000000}"/>
    <hyperlink ref="I152" r:id="rId58" xr:uid="{00000000-0004-0000-0A00-000039000000}"/>
    <hyperlink ref="I153" r:id="rId59" xr:uid="{00000000-0004-0000-0A00-00003A000000}"/>
    <hyperlink ref="I154" r:id="rId60" xr:uid="{00000000-0004-0000-0A00-00003B000000}"/>
    <hyperlink ref="I155" r:id="rId61" xr:uid="{00000000-0004-0000-0A00-00003C000000}"/>
    <hyperlink ref="I181" r:id="rId62" xr:uid="{00000000-0004-0000-0A00-00003D000000}"/>
    <hyperlink ref="I182" r:id="rId63" xr:uid="{00000000-0004-0000-0A00-00003E000000}"/>
    <hyperlink ref="I187" r:id="rId64" xr:uid="{00000000-0004-0000-0A00-00003F000000}"/>
    <hyperlink ref="I248" r:id="rId65" xr:uid="{00000000-0004-0000-0A00-000040000000}"/>
    <hyperlink ref="I249" r:id="rId66" xr:uid="{00000000-0004-0000-0A00-000041000000}"/>
    <hyperlink ref="I250" r:id="rId67" xr:uid="{00000000-0004-0000-0A00-000042000000}"/>
    <hyperlink ref="I279" r:id="rId68" xr:uid="{00000000-0004-0000-0A00-000043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A00-000000000000}">
          <x14:formula1>
            <xm:f>Caixa!$B$5:$B$8</xm:f>
          </x14:formula1>
          <xm:sqref>H7:H15 H17:H33 H35:H37 H39:H62 H64:H92 H95:H109 H111:H114 H116:H118 H121:H125 H127:H136 H138:H146 H149:H155 H157:H161 H163:H167 H169:H173 H175:H179 H181:H185 H187:H195 H197:H205 H207:H215 H217:H225 H227:H235 H238:H246 H248:H256 H258:H266 H268:H276 H278:H288</xm:sqref>
        </x14:dataValidation>
        <x14:dataValidation type="list" allowBlank="1" showErrorMessage="1" xr:uid="{00000000-0002-0000-0A00-000002000000}">
          <x14:formula1>
            <xm:f>'Plano de contas DG'!$C$43:$C$145</xm:f>
          </x14:formula1>
          <xm:sqref>J218</xm:sqref>
        </x14:dataValidation>
        <x14:dataValidation type="list" allowBlank="1" showErrorMessage="1" xr:uid="{00000000-0002-0000-0A00-000003000000}">
          <x14:formula1>
            <xm:f>'Plano de contas DG'!$C$5:$C$145</xm:f>
          </x14:formula1>
          <xm:sqref>J6:J217 J219:J288</xm:sqref>
        </x14:dataValidation>
        <x14:dataValidation type="list" allowBlank="1" showErrorMessage="1" xr:uid="{00000000-0002-0000-0A00-000004000000}">
          <x14:formula1>
            <xm:f>Caixa!$B$5:$B$7</xm:f>
          </x14:formula1>
          <xm:sqref>H16 H34 H93:H94 H110 H115 H119:H120 H126 H186 H196 H206 H216 H226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3" width="10.109375" customWidth="1"/>
    <col min="4" max="4" width="10.109375" hidden="1" customWidth="1"/>
    <col min="5" max="5" width="14.109375" hidden="1" customWidth="1"/>
    <col min="6"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8.6640625" customWidth="1"/>
    <col min="26" max="26" width="11.6640625" customWidth="1"/>
  </cols>
  <sheetData>
    <row r="1" spans="1:26" ht="14.4"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SUM(E6,E127,E151,E175,E179)</f>
        <v>19818.780000000002</v>
      </c>
      <c r="F4" s="18">
        <f t="shared" si="0"/>
        <v>25745.35</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SUM(E7:E126)</f>
        <v>19818.780000000002</v>
      </c>
      <c r="F6" s="48">
        <f>SUMIF(D7:D126,"OK",F7:F126)+SUMIF(D7:D126,"Parcial",F7:F126)</f>
        <v>17374.559999999998</v>
      </c>
      <c r="G6" s="107" t="s">
        <v>44</v>
      </c>
      <c r="H6" s="50"/>
      <c r="I6" s="50"/>
      <c r="J6" s="51">
        <f>(COUNTIF(D7:D126,"Pendente")+COUNTIF(D7:D126,"Parcial"))/COUNTA(B7:B126)</f>
        <v>0.24489795918367346</v>
      </c>
      <c r="K6" s="51">
        <f>IFERROR(-(X6/E6),"Pendente info")</f>
        <v>0.17028394280576301</v>
      </c>
      <c r="L6" s="91">
        <f>SUM(L7:L105)/COUNTA(B7:B105)</f>
        <v>0.10204081632653061</v>
      </c>
      <c r="M6" s="48">
        <f t="shared" ref="M6:U6" si="1">SUMIF($D$7:$D$126,"OK",M7:M126)+SUMIF($D$7:$D$126,"Parcial",M7:M126)</f>
        <v>8869.8700000000026</v>
      </c>
      <c r="N6" s="48">
        <f t="shared" si="1"/>
        <v>1842.7499999999991</v>
      </c>
      <c r="O6" s="48">
        <f t="shared" si="1"/>
        <v>900</v>
      </c>
      <c r="P6" s="48">
        <f t="shared" si="1"/>
        <v>178.93999999999994</v>
      </c>
      <c r="Q6" s="48">
        <f t="shared" si="1"/>
        <v>170</v>
      </c>
      <c r="R6" s="48">
        <f t="shared" si="1"/>
        <v>205</v>
      </c>
      <c r="S6" s="48">
        <f t="shared" si="1"/>
        <v>262</v>
      </c>
      <c r="T6" s="48">
        <f t="shared" si="1"/>
        <v>600</v>
      </c>
      <c r="U6" s="48">
        <f t="shared" si="1"/>
        <v>4346</v>
      </c>
      <c r="V6" s="47" t="s">
        <v>44</v>
      </c>
      <c r="W6" s="35" t="str">
        <f t="shared" ref="W6:W126" si="2">IF(F6=SUM(M6:U6),"OK","Diferente")</f>
        <v>OK</v>
      </c>
      <c r="X6" s="38">
        <f>SUM(X7:X126)</f>
        <v>-3374.82</v>
      </c>
      <c r="Z6" s="3"/>
    </row>
    <row r="7" spans="1:26" ht="14.4" hidden="1" outlineLevel="1" x14ac:dyDescent="0.3">
      <c r="A7" s="3"/>
      <c r="B7" s="52" t="s">
        <v>423</v>
      </c>
      <c r="C7" s="53"/>
      <c r="D7" s="53" t="s">
        <v>95</v>
      </c>
      <c r="E7" s="11"/>
      <c r="F7" s="92"/>
      <c r="G7" s="243"/>
      <c r="H7" s="93"/>
      <c r="I7" s="54"/>
      <c r="J7" s="55"/>
      <c r="K7" s="53"/>
      <c r="L7" s="53" t="str">
        <f t="shared" ref="L7:L125" si="3">IF(C7&gt;=13,1,"")</f>
        <v/>
      </c>
      <c r="M7" s="11"/>
      <c r="N7" s="11"/>
      <c r="O7" s="11"/>
      <c r="P7" s="11"/>
      <c r="Q7" s="11"/>
      <c r="R7" s="11"/>
      <c r="S7" s="11"/>
      <c r="T7" s="11"/>
      <c r="U7" s="11"/>
      <c r="V7" s="56" t="s">
        <v>882</v>
      </c>
      <c r="W7" s="35" t="str">
        <f t="shared" si="2"/>
        <v>OK</v>
      </c>
      <c r="X7" s="38" t="str">
        <f t="shared" ref="X7:X126" si="4">IF(W7="Diferente",F7-SUM(M7:U7),"")</f>
        <v/>
      </c>
      <c r="Y7" s="3"/>
      <c r="Z7" s="116"/>
    </row>
    <row r="8" spans="1:26" ht="14.4" hidden="1" outlineLevel="1" x14ac:dyDescent="0.3">
      <c r="A8" s="3"/>
      <c r="B8" s="52" t="s">
        <v>425</v>
      </c>
      <c r="C8" s="53"/>
      <c r="D8" s="53" t="s">
        <v>95</v>
      </c>
      <c r="E8" s="11"/>
      <c r="F8" s="92"/>
      <c r="G8" s="244"/>
      <c r="H8" s="93"/>
      <c r="I8" s="54"/>
      <c r="J8" s="55"/>
      <c r="K8" s="53"/>
      <c r="L8" s="53" t="str">
        <f t="shared" si="3"/>
        <v/>
      </c>
      <c r="M8" s="11"/>
      <c r="N8" s="11"/>
      <c r="O8" s="11"/>
      <c r="P8" s="11"/>
      <c r="Q8" s="11"/>
      <c r="R8" s="11"/>
      <c r="S8" s="11"/>
      <c r="T8" s="11"/>
      <c r="U8" s="11"/>
      <c r="V8" s="56" t="s">
        <v>883</v>
      </c>
      <c r="W8" s="35" t="str">
        <f t="shared" si="2"/>
        <v>OK</v>
      </c>
      <c r="X8" s="38" t="str">
        <f t="shared" si="4"/>
        <v/>
      </c>
      <c r="Y8" s="3"/>
      <c r="Z8" s="116"/>
    </row>
    <row r="9" spans="1:26" ht="14.4" hidden="1" outlineLevel="1" x14ac:dyDescent="0.3">
      <c r="A9" s="3"/>
      <c r="B9" s="52" t="s">
        <v>426</v>
      </c>
      <c r="C9" s="53"/>
      <c r="D9" s="53" t="s">
        <v>95</v>
      </c>
      <c r="E9" s="11"/>
      <c r="F9" s="92"/>
      <c r="G9" s="244"/>
      <c r="H9" s="93"/>
      <c r="I9" s="54"/>
      <c r="J9" s="55"/>
      <c r="K9" s="53"/>
      <c r="L9" s="53" t="str">
        <f t="shared" si="3"/>
        <v/>
      </c>
      <c r="M9" s="11"/>
      <c r="N9" s="11"/>
      <c r="O9" s="11"/>
      <c r="P9" s="11"/>
      <c r="Q9" s="11"/>
      <c r="R9" s="11"/>
      <c r="S9" s="11"/>
      <c r="T9" s="11"/>
      <c r="U9" s="11"/>
      <c r="V9" s="56" t="s">
        <v>883</v>
      </c>
      <c r="W9" s="35" t="str">
        <f t="shared" si="2"/>
        <v>OK</v>
      </c>
      <c r="X9" s="38" t="str">
        <f t="shared" si="4"/>
        <v/>
      </c>
      <c r="Y9" s="3"/>
      <c r="Z9" s="116"/>
    </row>
    <row r="10" spans="1:26" ht="14.4" hidden="1" outlineLevel="1" x14ac:dyDescent="0.3">
      <c r="A10" s="3"/>
      <c r="B10" s="52" t="s">
        <v>427</v>
      </c>
      <c r="C10" s="53"/>
      <c r="D10" s="53" t="s">
        <v>95</v>
      </c>
      <c r="E10" s="11"/>
      <c r="F10" s="92"/>
      <c r="G10" s="245"/>
      <c r="H10" s="93"/>
      <c r="I10" s="54"/>
      <c r="J10" s="55"/>
      <c r="K10" s="53"/>
      <c r="L10" s="53" t="str">
        <f t="shared" si="3"/>
        <v/>
      </c>
      <c r="M10" s="11"/>
      <c r="N10" s="11"/>
      <c r="O10" s="11"/>
      <c r="P10" s="11"/>
      <c r="Q10" s="11"/>
      <c r="R10" s="11"/>
      <c r="S10" s="11"/>
      <c r="T10" s="11"/>
      <c r="U10" s="11"/>
      <c r="V10" s="56" t="s">
        <v>883</v>
      </c>
      <c r="W10" s="35" t="str">
        <f t="shared" si="2"/>
        <v>OK</v>
      </c>
      <c r="X10" s="38" t="str">
        <f t="shared" si="4"/>
        <v/>
      </c>
      <c r="Y10" s="3"/>
      <c r="Z10" s="116"/>
    </row>
    <row r="11" spans="1:26" ht="14.4" hidden="1" outlineLevel="1" x14ac:dyDescent="0.3">
      <c r="A11" s="3"/>
      <c r="B11" s="9" t="s">
        <v>428</v>
      </c>
      <c r="C11" s="53">
        <v>9</v>
      </c>
      <c r="D11" s="53" t="s">
        <v>95</v>
      </c>
      <c r="E11" s="11">
        <f t="shared" ref="E11:E14" si="5">SUM(M11:U11)</f>
        <v>218.43</v>
      </c>
      <c r="F11" s="92">
        <f t="shared" ref="F11:F12" si="6">E11</f>
        <v>218.43</v>
      </c>
      <c r="G11" s="108"/>
      <c r="H11" s="93" t="s">
        <v>37</v>
      </c>
      <c r="I11" s="54"/>
      <c r="J11" s="55"/>
      <c r="K11" s="53"/>
      <c r="L11" s="53" t="str">
        <f t="shared" si="3"/>
        <v/>
      </c>
      <c r="M11" s="11">
        <v>130</v>
      </c>
      <c r="N11" s="11">
        <v>24.57</v>
      </c>
      <c r="O11" s="11">
        <v>12</v>
      </c>
      <c r="P11" s="11">
        <v>3.86</v>
      </c>
      <c r="Q11" s="11">
        <v>5</v>
      </c>
      <c r="R11" s="11"/>
      <c r="S11" s="11"/>
      <c r="T11" s="11"/>
      <c r="U11" s="11">
        <v>43</v>
      </c>
      <c r="V11" s="56" t="s">
        <v>883</v>
      </c>
      <c r="W11" s="35" t="str">
        <f t="shared" si="2"/>
        <v>OK</v>
      </c>
      <c r="X11" s="38" t="str">
        <f t="shared" si="4"/>
        <v/>
      </c>
      <c r="Y11" s="3"/>
      <c r="Z11" s="116"/>
    </row>
    <row r="12" spans="1:26" ht="14.4" hidden="1" outlineLevel="1" x14ac:dyDescent="0.3">
      <c r="A12" s="3"/>
      <c r="B12" s="9" t="s">
        <v>429</v>
      </c>
      <c r="C12" s="53">
        <v>9</v>
      </c>
      <c r="D12" s="53" t="s">
        <v>95</v>
      </c>
      <c r="E12" s="11">
        <f t="shared" si="5"/>
        <v>226.57</v>
      </c>
      <c r="F12" s="92">
        <f t="shared" si="6"/>
        <v>226.57</v>
      </c>
      <c r="G12" s="108"/>
      <c r="H12" s="93" t="s">
        <v>37</v>
      </c>
      <c r="I12" s="54"/>
      <c r="J12" s="55"/>
      <c r="K12" s="53"/>
      <c r="L12" s="53" t="str">
        <f t="shared" si="3"/>
        <v/>
      </c>
      <c r="M12" s="11">
        <v>130</v>
      </c>
      <c r="N12" s="11">
        <v>24.57</v>
      </c>
      <c r="O12" s="11">
        <v>12</v>
      </c>
      <c r="P12" s="11">
        <v>2</v>
      </c>
      <c r="Q12" s="11"/>
      <c r="R12" s="11"/>
      <c r="S12" s="11"/>
      <c r="T12" s="11"/>
      <c r="U12" s="11">
        <v>58</v>
      </c>
      <c r="V12" s="56" t="s">
        <v>884</v>
      </c>
      <c r="W12" s="35" t="str">
        <f t="shared" si="2"/>
        <v>OK</v>
      </c>
      <c r="X12" s="38" t="str">
        <f t="shared" si="4"/>
        <v/>
      </c>
      <c r="Y12" s="3"/>
      <c r="Z12" s="116"/>
    </row>
    <row r="13" spans="1:26" ht="14.4" hidden="1" outlineLevel="1" x14ac:dyDescent="0.3">
      <c r="A13" s="3"/>
      <c r="B13" s="52" t="s">
        <v>430</v>
      </c>
      <c r="C13" s="53"/>
      <c r="D13" s="53" t="s">
        <v>105</v>
      </c>
      <c r="E13" s="11">
        <f t="shared" si="5"/>
        <v>421.49</v>
      </c>
      <c r="F13" s="92"/>
      <c r="G13" s="108"/>
      <c r="H13" s="93"/>
      <c r="I13" s="54"/>
      <c r="J13" s="55"/>
      <c r="K13" s="53"/>
      <c r="L13" s="53" t="str">
        <f t="shared" si="3"/>
        <v/>
      </c>
      <c r="M13" s="11">
        <v>130.47999999999999</v>
      </c>
      <c r="N13" s="11">
        <v>24.57</v>
      </c>
      <c r="O13" s="11">
        <v>12</v>
      </c>
      <c r="P13" s="11">
        <v>1.44</v>
      </c>
      <c r="Q13" s="11">
        <v>10</v>
      </c>
      <c r="R13" s="11">
        <v>20</v>
      </c>
      <c r="S13" s="11">
        <v>50</v>
      </c>
      <c r="T13" s="11">
        <v>50</v>
      </c>
      <c r="U13" s="11">
        <v>123</v>
      </c>
      <c r="V13" s="56" t="s">
        <v>885</v>
      </c>
      <c r="W13" s="35" t="str">
        <f t="shared" si="2"/>
        <v>Diferente</v>
      </c>
      <c r="X13" s="38">
        <f t="shared" si="4"/>
        <v>-421.49</v>
      </c>
      <c r="Y13" s="3"/>
      <c r="Z13" s="116"/>
    </row>
    <row r="14" spans="1:26" ht="14.4" hidden="1" outlineLevel="1" x14ac:dyDescent="0.3">
      <c r="A14" s="3"/>
      <c r="B14" s="52" t="s">
        <v>432</v>
      </c>
      <c r="C14" s="53"/>
      <c r="D14" s="53" t="s">
        <v>105</v>
      </c>
      <c r="E14" s="11">
        <f t="shared" si="5"/>
        <v>234.29</v>
      </c>
      <c r="F14" s="92"/>
      <c r="G14" s="108"/>
      <c r="H14" s="93"/>
      <c r="I14" s="54"/>
      <c r="J14" s="55"/>
      <c r="K14" s="53"/>
      <c r="L14" s="53" t="str">
        <f t="shared" si="3"/>
        <v/>
      </c>
      <c r="M14" s="11">
        <v>98.28</v>
      </c>
      <c r="N14" s="11">
        <v>24.57</v>
      </c>
      <c r="O14" s="11">
        <v>12</v>
      </c>
      <c r="P14" s="11">
        <v>1.44</v>
      </c>
      <c r="Q14" s="11">
        <v>5</v>
      </c>
      <c r="R14" s="11"/>
      <c r="S14" s="11"/>
      <c r="T14" s="11">
        <v>50</v>
      </c>
      <c r="U14" s="11">
        <v>43</v>
      </c>
      <c r="V14" s="56" t="s">
        <v>883</v>
      </c>
      <c r="W14" s="35" t="str">
        <f t="shared" si="2"/>
        <v>Diferente</v>
      </c>
      <c r="X14" s="38">
        <f t="shared" si="4"/>
        <v>-234.29</v>
      </c>
      <c r="Y14" s="3"/>
      <c r="Z14" s="116"/>
    </row>
    <row r="15" spans="1:26" ht="26.25" hidden="1" customHeight="1" outlineLevel="1" x14ac:dyDescent="0.3">
      <c r="A15" s="3"/>
      <c r="B15" s="9" t="s">
        <v>433</v>
      </c>
      <c r="C15" s="53">
        <v>6</v>
      </c>
      <c r="D15" s="53" t="s">
        <v>130</v>
      </c>
      <c r="E15" s="11">
        <v>371.14</v>
      </c>
      <c r="F15" s="92">
        <f t="shared" ref="F15:F16" si="7">SUM(M15:U15)</f>
        <v>685.30000000000007</v>
      </c>
      <c r="G15" s="246" t="s">
        <v>886</v>
      </c>
      <c r="H15" s="93" t="s">
        <v>37</v>
      </c>
      <c r="I15" s="54"/>
      <c r="J15" s="55"/>
      <c r="K15" s="53"/>
      <c r="L15" s="53" t="str">
        <f t="shared" si="3"/>
        <v/>
      </c>
      <c r="M15" s="11">
        <f>180.13+314.16</f>
        <v>494.29</v>
      </c>
      <c r="N15" s="11">
        <v>24.57</v>
      </c>
      <c r="O15" s="11">
        <v>12</v>
      </c>
      <c r="P15" s="11">
        <v>1.44</v>
      </c>
      <c r="Q15" s="11">
        <v>5</v>
      </c>
      <c r="R15" s="11">
        <v>5</v>
      </c>
      <c r="S15" s="11">
        <v>20</v>
      </c>
      <c r="T15" s="11"/>
      <c r="U15" s="11">
        <v>123</v>
      </c>
      <c r="V15" s="56" t="s">
        <v>885</v>
      </c>
      <c r="W15" s="35" t="str">
        <f t="shared" si="2"/>
        <v>OK</v>
      </c>
      <c r="X15" s="38" t="str">
        <f t="shared" si="4"/>
        <v/>
      </c>
      <c r="Y15" s="3"/>
      <c r="Z15" s="116"/>
    </row>
    <row r="16" spans="1:26" ht="26.25" hidden="1" customHeight="1" outlineLevel="1" x14ac:dyDescent="0.3">
      <c r="A16" s="3"/>
      <c r="B16" s="9" t="s">
        <v>434</v>
      </c>
      <c r="C16" s="53">
        <v>6</v>
      </c>
      <c r="D16" s="53" t="s">
        <v>130</v>
      </c>
      <c r="E16" s="11">
        <v>180.99</v>
      </c>
      <c r="F16" s="92">
        <f t="shared" si="7"/>
        <v>180.99</v>
      </c>
      <c r="G16" s="245"/>
      <c r="H16" s="93" t="s">
        <v>37</v>
      </c>
      <c r="I16" s="54"/>
      <c r="J16" s="55"/>
      <c r="K16" s="53"/>
      <c r="L16" s="53" t="str">
        <f t="shared" si="3"/>
        <v/>
      </c>
      <c r="M16" s="11">
        <v>89.98</v>
      </c>
      <c r="N16" s="11">
        <v>24.57</v>
      </c>
      <c r="O16" s="11">
        <v>12</v>
      </c>
      <c r="P16" s="11">
        <v>1.44</v>
      </c>
      <c r="Q16" s="11">
        <v>5</v>
      </c>
      <c r="R16" s="11">
        <v>5</v>
      </c>
      <c r="S16" s="11"/>
      <c r="T16" s="11"/>
      <c r="U16" s="11">
        <v>43</v>
      </c>
      <c r="V16" s="56" t="s">
        <v>883</v>
      </c>
      <c r="W16" s="35" t="str">
        <f t="shared" si="2"/>
        <v>OK</v>
      </c>
      <c r="X16" s="38" t="str">
        <f t="shared" si="4"/>
        <v/>
      </c>
      <c r="Y16" s="3"/>
      <c r="Z16" s="116"/>
    </row>
    <row r="17" spans="1:26" ht="14.4" hidden="1" outlineLevel="1" x14ac:dyDescent="0.3">
      <c r="A17" s="3"/>
      <c r="B17" s="52" t="s">
        <v>435</v>
      </c>
      <c r="C17" s="53">
        <v>1</v>
      </c>
      <c r="D17" s="53" t="s">
        <v>95</v>
      </c>
      <c r="E17" s="11">
        <f t="shared" ref="E17:E42" si="8">SUM(M17:U17)</f>
        <v>307.19</v>
      </c>
      <c r="F17" s="92">
        <f t="shared" ref="F17:F22" si="9">E17</f>
        <v>307.19</v>
      </c>
      <c r="G17" s="108"/>
      <c r="H17" s="93" t="s">
        <v>37</v>
      </c>
      <c r="I17" s="54"/>
      <c r="J17" s="55"/>
      <c r="K17" s="53"/>
      <c r="L17" s="53" t="str">
        <f t="shared" si="3"/>
        <v/>
      </c>
      <c r="M17" s="11">
        <v>191.18</v>
      </c>
      <c r="N17" s="11">
        <v>24.57</v>
      </c>
      <c r="O17" s="11">
        <v>12</v>
      </c>
      <c r="P17" s="11">
        <v>1.44</v>
      </c>
      <c r="Q17" s="11">
        <v>5</v>
      </c>
      <c r="R17" s="11"/>
      <c r="S17" s="11"/>
      <c r="T17" s="11"/>
      <c r="U17" s="11">
        <v>73</v>
      </c>
      <c r="V17" s="56" t="s">
        <v>882</v>
      </c>
      <c r="W17" s="35" t="str">
        <f t="shared" si="2"/>
        <v>OK</v>
      </c>
      <c r="X17" s="38" t="str">
        <f t="shared" si="4"/>
        <v/>
      </c>
      <c r="Y17" s="3"/>
      <c r="Z17" s="116"/>
    </row>
    <row r="18" spans="1:26" ht="14.4" hidden="1" outlineLevel="1" x14ac:dyDescent="0.3">
      <c r="A18" s="3"/>
      <c r="B18" s="52" t="s">
        <v>436</v>
      </c>
      <c r="C18" s="53">
        <v>1</v>
      </c>
      <c r="D18" s="53" t="s">
        <v>95</v>
      </c>
      <c r="E18" s="11">
        <f t="shared" si="8"/>
        <v>216.98999999999998</v>
      </c>
      <c r="F18" s="92">
        <f t="shared" si="9"/>
        <v>216.98999999999998</v>
      </c>
      <c r="G18" s="108"/>
      <c r="H18" s="93" t="s">
        <v>37</v>
      </c>
      <c r="I18" s="54"/>
      <c r="J18" s="55"/>
      <c r="K18" s="53"/>
      <c r="L18" s="53" t="str">
        <f t="shared" si="3"/>
        <v/>
      </c>
      <c r="M18" s="11">
        <v>135.97999999999999</v>
      </c>
      <c r="N18" s="11">
        <v>24.57</v>
      </c>
      <c r="O18" s="11">
        <v>12</v>
      </c>
      <c r="P18" s="11">
        <v>1.44</v>
      </c>
      <c r="Q18" s="11"/>
      <c r="R18" s="11"/>
      <c r="S18" s="11"/>
      <c r="T18" s="11"/>
      <c r="U18" s="11">
        <v>43</v>
      </c>
      <c r="V18" s="56" t="s">
        <v>883</v>
      </c>
      <c r="W18" s="35" t="str">
        <f t="shared" si="2"/>
        <v>OK</v>
      </c>
      <c r="X18" s="38" t="str">
        <f t="shared" si="4"/>
        <v/>
      </c>
      <c r="Y18" s="3"/>
      <c r="Z18" s="116"/>
    </row>
    <row r="19" spans="1:26" ht="14.4" hidden="1" outlineLevel="1" x14ac:dyDescent="0.3">
      <c r="A19" s="3"/>
      <c r="B19" s="9" t="s">
        <v>437</v>
      </c>
      <c r="C19" s="53">
        <v>1</v>
      </c>
      <c r="D19" s="53" t="s">
        <v>95</v>
      </c>
      <c r="E19" s="11">
        <f t="shared" si="8"/>
        <v>514.29</v>
      </c>
      <c r="F19" s="92">
        <f t="shared" si="9"/>
        <v>514.29</v>
      </c>
      <c r="G19" s="108"/>
      <c r="H19" s="93" t="s">
        <v>37</v>
      </c>
      <c r="I19" s="54"/>
      <c r="J19" s="55"/>
      <c r="K19" s="53"/>
      <c r="L19" s="53" t="str">
        <f t="shared" si="3"/>
        <v/>
      </c>
      <c r="M19" s="11">
        <v>328.28</v>
      </c>
      <c r="N19" s="11">
        <v>24.57</v>
      </c>
      <c r="O19" s="11">
        <v>12</v>
      </c>
      <c r="P19" s="11">
        <v>11.44</v>
      </c>
      <c r="Q19" s="11">
        <v>5</v>
      </c>
      <c r="R19" s="11">
        <v>10</v>
      </c>
      <c r="S19" s="11"/>
      <c r="T19" s="11">
        <v>50</v>
      </c>
      <c r="U19" s="11">
        <v>73</v>
      </c>
      <c r="V19" s="56" t="s">
        <v>882</v>
      </c>
      <c r="W19" s="35" t="str">
        <f t="shared" si="2"/>
        <v>OK</v>
      </c>
      <c r="X19" s="38" t="str">
        <f t="shared" si="4"/>
        <v/>
      </c>
      <c r="Y19" s="3"/>
      <c r="Z19" s="116"/>
    </row>
    <row r="20" spans="1:26" ht="14.4" hidden="1" outlineLevel="1" x14ac:dyDescent="0.3">
      <c r="A20" s="3"/>
      <c r="B20" s="9" t="s">
        <v>438</v>
      </c>
      <c r="C20" s="53">
        <v>1</v>
      </c>
      <c r="D20" s="53" t="s">
        <v>95</v>
      </c>
      <c r="E20" s="11">
        <f t="shared" si="8"/>
        <v>474.28999999999996</v>
      </c>
      <c r="F20" s="92">
        <f t="shared" si="9"/>
        <v>474.28999999999996</v>
      </c>
      <c r="G20" s="108"/>
      <c r="H20" s="93" t="s">
        <v>37</v>
      </c>
      <c r="I20" s="54"/>
      <c r="J20" s="55"/>
      <c r="K20" s="53"/>
      <c r="L20" s="53" t="str">
        <f t="shared" si="3"/>
        <v/>
      </c>
      <c r="M20" s="11">
        <v>328.28</v>
      </c>
      <c r="N20" s="11">
        <v>24.57</v>
      </c>
      <c r="O20" s="11">
        <v>12</v>
      </c>
      <c r="P20" s="11">
        <v>1.44</v>
      </c>
      <c r="Q20" s="11">
        <v>5</v>
      </c>
      <c r="R20" s="11">
        <v>10</v>
      </c>
      <c r="S20" s="11"/>
      <c r="T20" s="11">
        <v>50</v>
      </c>
      <c r="U20" s="11">
        <v>43</v>
      </c>
      <c r="V20" s="56" t="s">
        <v>883</v>
      </c>
      <c r="W20" s="35" t="str">
        <f t="shared" si="2"/>
        <v>OK</v>
      </c>
      <c r="X20" s="38" t="str">
        <f t="shared" si="4"/>
        <v/>
      </c>
      <c r="Y20" s="3"/>
      <c r="Z20" s="116"/>
    </row>
    <row r="21" spans="1:26" ht="14.4" hidden="1" outlineLevel="1" x14ac:dyDescent="0.3">
      <c r="A21" s="3"/>
      <c r="B21" s="52" t="s">
        <v>439</v>
      </c>
      <c r="C21" s="53">
        <v>11</v>
      </c>
      <c r="D21" s="53" t="s">
        <v>95</v>
      </c>
      <c r="E21" s="11">
        <f t="shared" si="8"/>
        <v>321.99</v>
      </c>
      <c r="F21" s="92">
        <f t="shared" si="9"/>
        <v>321.99</v>
      </c>
      <c r="G21" s="108"/>
      <c r="H21" s="93" t="s">
        <v>37</v>
      </c>
      <c r="I21" s="54"/>
      <c r="J21" s="55"/>
      <c r="K21" s="53"/>
      <c r="L21" s="53" t="str">
        <f t="shared" si="3"/>
        <v/>
      </c>
      <c r="M21" s="11">
        <v>120.98</v>
      </c>
      <c r="N21" s="11">
        <v>24.57</v>
      </c>
      <c r="O21" s="11">
        <v>12</v>
      </c>
      <c r="P21" s="11">
        <v>1.44</v>
      </c>
      <c r="Q21" s="11">
        <v>5</v>
      </c>
      <c r="R21" s="11">
        <v>5</v>
      </c>
      <c r="S21" s="11"/>
      <c r="T21" s="11">
        <v>30</v>
      </c>
      <c r="U21" s="11">
        <v>123</v>
      </c>
      <c r="V21" s="56" t="s">
        <v>885</v>
      </c>
      <c r="W21" s="35" t="str">
        <f t="shared" si="2"/>
        <v>OK</v>
      </c>
      <c r="X21" s="38" t="str">
        <f t="shared" si="4"/>
        <v/>
      </c>
      <c r="Y21" s="3"/>
      <c r="Z21" s="116"/>
    </row>
    <row r="22" spans="1:26" ht="14.4" hidden="1" outlineLevel="1" x14ac:dyDescent="0.3">
      <c r="A22" s="3"/>
      <c r="B22" s="52" t="s">
        <v>440</v>
      </c>
      <c r="C22" s="53">
        <v>11</v>
      </c>
      <c r="D22" s="53" t="s">
        <v>95</v>
      </c>
      <c r="E22" s="11">
        <f t="shared" si="8"/>
        <v>218.59</v>
      </c>
      <c r="F22" s="92">
        <f t="shared" si="9"/>
        <v>218.59</v>
      </c>
      <c r="G22" s="108"/>
      <c r="H22" s="93" t="s">
        <v>37</v>
      </c>
      <c r="I22" s="54"/>
      <c r="J22" s="55"/>
      <c r="K22" s="53"/>
      <c r="L22" s="53" t="str">
        <f t="shared" si="3"/>
        <v/>
      </c>
      <c r="M22" s="11">
        <v>102.58</v>
      </c>
      <c r="N22" s="11">
        <v>24.57</v>
      </c>
      <c r="O22" s="11">
        <v>12</v>
      </c>
      <c r="P22" s="11">
        <v>1.44</v>
      </c>
      <c r="Q22" s="11">
        <v>5</v>
      </c>
      <c r="R22" s="11"/>
      <c r="S22" s="11"/>
      <c r="T22" s="11">
        <v>30</v>
      </c>
      <c r="U22" s="11">
        <v>43</v>
      </c>
      <c r="V22" s="56" t="s">
        <v>883</v>
      </c>
      <c r="W22" s="35" t="str">
        <f t="shared" si="2"/>
        <v>OK</v>
      </c>
      <c r="X22" s="38" t="str">
        <f t="shared" si="4"/>
        <v/>
      </c>
      <c r="Y22" s="3"/>
      <c r="Z22" s="116"/>
    </row>
    <row r="23" spans="1:26" ht="14.4" hidden="1" outlineLevel="1" x14ac:dyDescent="0.3">
      <c r="A23" s="3"/>
      <c r="B23" s="9" t="s">
        <v>441</v>
      </c>
      <c r="C23" s="53"/>
      <c r="D23" s="53" t="s">
        <v>105</v>
      </c>
      <c r="E23" s="11">
        <f t="shared" si="8"/>
        <v>208.34</v>
      </c>
      <c r="F23" s="92"/>
      <c r="G23" s="108"/>
      <c r="H23" s="93"/>
      <c r="I23" s="54"/>
      <c r="J23" s="55"/>
      <c r="K23" s="11"/>
      <c r="L23" s="53" t="str">
        <f t="shared" si="3"/>
        <v/>
      </c>
      <c r="M23" s="11">
        <v>37.33</v>
      </c>
      <c r="N23" s="11">
        <v>24.57</v>
      </c>
      <c r="O23" s="11">
        <v>12</v>
      </c>
      <c r="P23" s="11">
        <v>1.44</v>
      </c>
      <c r="Q23" s="11">
        <v>5</v>
      </c>
      <c r="R23" s="11">
        <v>5</v>
      </c>
      <c r="S23" s="11"/>
      <c r="T23" s="11"/>
      <c r="U23" s="11">
        <v>123</v>
      </c>
      <c r="V23" s="56" t="s">
        <v>885</v>
      </c>
      <c r="W23" s="35" t="str">
        <f t="shared" si="2"/>
        <v>Diferente</v>
      </c>
      <c r="X23" s="38">
        <f t="shared" si="4"/>
        <v>-208.34</v>
      </c>
      <c r="Y23" s="3"/>
      <c r="Z23" s="116"/>
    </row>
    <row r="24" spans="1:26" ht="14.4" hidden="1" outlineLevel="1" x14ac:dyDescent="0.3">
      <c r="A24" s="3"/>
      <c r="B24" s="9" t="s">
        <v>442</v>
      </c>
      <c r="C24" s="53"/>
      <c r="D24" s="53" t="s">
        <v>105</v>
      </c>
      <c r="E24" s="11">
        <f t="shared" si="8"/>
        <v>159.44</v>
      </c>
      <c r="F24" s="92"/>
      <c r="G24" s="108"/>
      <c r="H24" s="93"/>
      <c r="I24" s="54"/>
      <c r="J24" s="55"/>
      <c r="K24" s="11"/>
      <c r="L24" s="53" t="str">
        <f t="shared" si="3"/>
        <v/>
      </c>
      <c r="M24" s="11">
        <v>53.43</v>
      </c>
      <c r="N24" s="11">
        <v>24.57</v>
      </c>
      <c r="O24" s="11">
        <v>12</v>
      </c>
      <c r="P24" s="11">
        <v>1.44</v>
      </c>
      <c r="Q24" s="11">
        <v>5</v>
      </c>
      <c r="R24" s="11">
        <v>5</v>
      </c>
      <c r="S24" s="11"/>
      <c r="T24" s="11">
        <v>15</v>
      </c>
      <c r="U24" s="11">
        <v>43</v>
      </c>
      <c r="V24" s="56" t="s">
        <v>883</v>
      </c>
      <c r="W24" s="35" t="str">
        <f t="shared" si="2"/>
        <v>Diferente</v>
      </c>
      <c r="X24" s="38">
        <f t="shared" si="4"/>
        <v>-159.44</v>
      </c>
      <c r="Y24" s="3"/>
      <c r="Z24" s="116"/>
    </row>
    <row r="25" spans="1:26" ht="14.4" hidden="1" outlineLevel="1" x14ac:dyDescent="0.3">
      <c r="A25" s="3"/>
      <c r="B25" s="52" t="s">
        <v>443</v>
      </c>
      <c r="C25" s="53">
        <v>11</v>
      </c>
      <c r="D25" s="53" t="s">
        <v>95</v>
      </c>
      <c r="E25" s="11">
        <f t="shared" si="8"/>
        <v>228</v>
      </c>
      <c r="F25" s="92">
        <f>E25</f>
        <v>228</v>
      </c>
      <c r="G25" s="108"/>
      <c r="H25" s="93" t="s">
        <v>37</v>
      </c>
      <c r="I25" s="54"/>
      <c r="J25" s="55"/>
      <c r="K25" s="11"/>
      <c r="L25" s="53" t="str">
        <f t="shared" si="3"/>
        <v/>
      </c>
      <c r="M25" s="11">
        <v>131.99</v>
      </c>
      <c r="N25" s="11">
        <v>24.57</v>
      </c>
      <c r="O25" s="11">
        <v>12</v>
      </c>
      <c r="P25" s="11">
        <v>6.44</v>
      </c>
      <c r="Q25" s="11"/>
      <c r="R25" s="11">
        <v>10</v>
      </c>
      <c r="S25" s="11"/>
      <c r="T25" s="11"/>
      <c r="U25" s="11">
        <v>43</v>
      </c>
      <c r="V25" s="56" t="s">
        <v>883</v>
      </c>
      <c r="W25" s="35" t="str">
        <f t="shared" si="2"/>
        <v>OK</v>
      </c>
      <c r="X25" s="38" t="str">
        <f t="shared" si="4"/>
        <v/>
      </c>
      <c r="Y25" s="3"/>
      <c r="Z25" s="116"/>
    </row>
    <row r="26" spans="1:26" ht="14.4" hidden="1" outlineLevel="1" x14ac:dyDescent="0.3">
      <c r="A26" s="3"/>
      <c r="B26" s="9" t="s">
        <v>444</v>
      </c>
      <c r="C26" s="53"/>
      <c r="D26" s="53" t="s">
        <v>105</v>
      </c>
      <c r="E26" s="11">
        <f t="shared" si="8"/>
        <v>153</v>
      </c>
      <c r="F26" s="92"/>
      <c r="G26" s="108"/>
      <c r="H26" s="93"/>
      <c r="I26" s="54"/>
      <c r="J26" s="55"/>
      <c r="K26" s="11"/>
      <c r="L26" s="53" t="str">
        <f t="shared" si="3"/>
        <v/>
      </c>
      <c r="M26" s="11">
        <v>71.430000000000007</v>
      </c>
      <c r="N26" s="11">
        <v>24.57</v>
      </c>
      <c r="O26" s="11">
        <v>12</v>
      </c>
      <c r="P26" s="11">
        <v>2</v>
      </c>
      <c r="Q26" s="11"/>
      <c r="R26" s="11"/>
      <c r="S26" s="11"/>
      <c r="T26" s="11"/>
      <c r="U26" s="11">
        <v>43</v>
      </c>
      <c r="V26" s="56" t="s">
        <v>883</v>
      </c>
      <c r="W26" s="35" t="str">
        <f t="shared" si="2"/>
        <v>Diferente</v>
      </c>
      <c r="X26" s="38">
        <f t="shared" si="4"/>
        <v>-153</v>
      </c>
      <c r="Y26" s="3"/>
      <c r="Z26" s="116"/>
    </row>
    <row r="27" spans="1:26" ht="14.4" hidden="1" outlineLevel="1" x14ac:dyDescent="0.3">
      <c r="A27" s="3"/>
      <c r="B27" s="52" t="s">
        <v>445</v>
      </c>
      <c r="C27" s="53">
        <v>11</v>
      </c>
      <c r="D27" s="53" t="s">
        <v>95</v>
      </c>
      <c r="E27" s="11">
        <f t="shared" si="8"/>
        <v>338</v>
      </c>
      <c r="F27" s="92">
        <f t="shared" ref="F27:F34" si="10">E27</f>
        <v>338</v>
      </c>
      <c r="G27" s="108"/>
      <c r="H27" s="93" t="s">
        <v>37</v>
      </c>
      <c r="I27" s="54"/>
      <c r="J27" s="55"/>
      <c r="K27" s="11"/>
      <c r="L27" s="53" t="str">
        <f t="shared" si="3"/>
        <v/>
      </c>
      <c r="M27" s="11">
        <v>131.99</v>
      </c>
      <c r="N27" s="11">
        <v>24.57</v>
      </c>
      <c r="O27" s="11">
        <v>12</v>
      </c>
      <c r="P27" s="11">
        <v>11.44</v>
      </c>
      <c r="Q27" s="11">
        <v>5</v>
      </c>
      <c r="R27" s="11">
        <v>5</v>
      </c>
      <c r="S27" s="11">
        <v>10</v>
      </c>
      <c r="T27" s="11">
        <v>30</v>
      </c>
      <c r="U27" s="11">
        <v>108</v>
      </c>
      <c r="V27" s="56" t="s">
        <v>887</v>
      </c>
      <c r="W27" s="35" t="str">
        <f t="shared" si="2"/>
        <v>OK</v>
      </c>
      <c r="X27" s="38" t="str">
        <f t="shared" si="4"/>
        <v/>
      </c>
      <c r="Y27" s="3"/>
      <c r="Z27" s="116"/>
    </row>
    <row r="28" spans="1:26" ht="14.4" hidden="1" outlineLevel="1" x14ac:dyDescent="0.3">
      <c r="A28" s="3"/>
      <c r="B28" s="52" t="s">
        <v>447</v>
      </c>
      <c r="C28" s="53">
        <v>11</v>
      </c>
      <c r="D28" s="53" t="s">
        <v>95</v>
      </c>
      <c r="E28" s="11">
        <f t="shared" si="8"/>
        <v>263</v>
      </c>
      <c r="F28" s="92">
        <f t="shared" si="10"/>
        <v>263</v>
      </c>
      <c r="G28" s="108"/>
      <c r="H28" s="93" t="s">
        <v>37</v>
      </c>
      <c r="I28" s="54"/>
      <c r="J28" s="55"/>
      <c r="K28" s="11"/>
      <c r="L28" s="53" t="str">
        <f t="shared" si="3"/>
        <v/>
      </c>
      <c r="M28" s="11">
        <v>131.99</v>
      </c>
      <c r="N28" s="11">
        <v>24.57</v>
      </c>
      <c r="O28" s="11">
        <v>12</v>
      </c>
      <c r="P28" s="11">
        <v>1.44</v>
      </c>
      <c r="Q28" s="11">
        <v>5</v>
      </c>
      <c r="R28" s="11">
        <v>5</v>
      </c>
      <c r="S28" s="11">
        <v>10</v>
      </c>
      <c r="T28" s="11">
        <v>30</v>
      </c>
      <c r="U28" s="11">
        <v>43</v>
      </c>
      <c r="V28" s="56" t="s">
        <v>883</v>
      </c>
      <c r="W28" s="35" t="str">
        <f t="shared" si="2"/>
        <v>OK</v>
      </c>
      <c r="X28" s="38" t="str">
        <f t="shared" si="4"/>
        <v/>
      </c>
      <c r="Y28" s="3"/>
      <c r="Z28" s="116"/>
    </row>
    <row r="29" spans="1:26" ht="14.4" hidden="1" outlineLevel="1" x14ac:dyDescent="0.3">
      <c r="A29" s="3"/>
      <c r="B29" s="9" t="s">
        <v>448</v>
      </c>
      <c r="C29" s="53">
        <v>11</v>
      </c>
      <c r="D29" s="53" t="s">
        <v>95</v>
      </c>
      <c r="E29" s="11">
        <f t="shared" si="8"/>
        <v>332.69</v>
      </c>
      <c r="F29" s="92">
        <f t="shared" si="10"/>
        <v>332.69</v>
      </c>
      <c r="G29" s="108"/>
      <c r="H29" s="93" t="s">
        <v>37</v>
      </c>
      <c r="I29" s="54"/>
      <c r="J29" s="55"/>
      <c r="K29" s="11"/>
      <c r="L29" s="53" t="str">
        <f t="shared" si="3"/>
        <v/>
      </c>
      <c r="M29" s="11">
        <v>116.68</v>
      </c>
      <c r="N29" s="11">
        <v>24.57</v>
      </c>
      <c r="O29" s="11">
        <v>12</v>
      </c>
      <c r="P29" s="11">
        <v>1.44</v>
      </c>
      <c r="Q29" s="11">
        <v>5</v>
      </c>
      <c r="R29" s="11">
        <v>10</v>
      </c>
      <c r="S29" s="11">
        <v>10</v>
      </c>
      <c r="T29" s="11">
        <v>30</v>
      </c>
      <c r="U29" s="11">
        <v>123</v>
      </c>
      <c r="V29" s="56" t="s">
        <v>885</v>
      </c>
      <c r="W29" s="35" t="str">
        <f t="shared" si="2"/>
        <v>OK</v>
      </c>
      <c r="X29" s="38" t="str">
        <f t="shared" si="4"/>
        <v/>
      </c>
      <c r="Y29" s="3"/>
      <c r="Z29" s="116"/>
    </row>
    <row r="30" spans="1:26" ht="14.4" hidden="1" outlineLevel="1" x14ac:dyDescent="0.3">
      <c r="A30" s="3"/>
      <c r="B30" s="9" t="s">
        <v>449</v>
      </c>
      <c r="C30" s="53">
        <v>11</v>
      </c>
      <c r="D30" s="53" t="s">
        <v>95</v>
      </c>
      <c r="E30" s="11">
        <f t="shared" si="8"/>
        <v>201.69</v>
      </c>
      <c r="F30" s="92">
        <f t="shared" si="10"/>
        <v>201.69</v>
      </c>
      <c r="G30" s="108"/>
      <c r="H30" s="93" t="s">
        <v>37</v>
      </c>
      <c r="I30" s="54"/>
      <c r="J30" s="55"/>
      <c r="K30" s="11"/>
      <c r="L30" s="53" t="str">
        <f t="shared" si="3"/>
        <v/>
      </c>
      <c r="M30" s="11">
        <v>70.680000000000007</v>
      </c>
      <c r="N30" s="11">
        <v>24.57</v>
      </c>
      <c r="O30" s="11">
        <v>12</v>
      </c>
      <c r="P30" s="11">
        <v>1.44</v>
      </c>
      <c r="Q30" s="11"/>
      <c r="R30" s="11">
        <v>10</v>
      </c>
      <c r="S30" s="11">
        <v>10</v>
      </c>
      <c r="T30" s="11">
        <v>30</v>
      </c>
      <c r="U30" s="11">
        <v>43</v>
      </c>
      <c r="V30" s="56" t="s">
        <v>883</v>
      </c>
      <c r="W30" s="35" t="str">
        <f t="shared" si="2"/>
        <v>OK</v>
      </c>
      <c r="X30" s="38" t="str">
        <f t="shared" si="4"/>
        <v/>
      </c>
      <c r="Y30" s="3"/>
      <c r="Z30" s="116"/>
    </row>
    <row r="31" spans="1:26" ht="14.4" hidden="1" outlineLevel="1" x14ac:dyDescent="0.3">
      <c r="A31" s="3"/>
      <c r="B31" s="52" t="s">
        <v>450</v>
      </c>
      <c r="C31" s="53">
        <v>15</v>
      </c>
      <c r="D31" s="53" t="s">
        <v>95</v>
      </c>
      <c r="E31" s="11">
        <f t="shared" si="8"/>
        <v>302.44</v>
      </c>
      <c r="F31" s="92">
        <f t="shared" si="10"/>
        <v>302.44</v>
      </c>
      <c r="G31" s="108"/>
      <c r="H31" s="93" t="s">
        <v>37</v>
      </c>
      <c r="I31" s="54"/>
      <c r="J31" s="55"/>
      <c r="K31" s="11"/>
      <c r="L31" s="53">
        <f t="shared" si="3"/>
        <v>1</v>
      </c>
      <c r="M31" s="11">
        <v>104.43</v>
      </c>
      <c r="N31" s="11">
        <v>24.57</v>
      </c>
      <c r="O31" s="11">
        <v>12</v>
      </c>
      <c r="P31" s="11">
        <v>1.44</v>
      </c>
      <c r="Q31" s="11">
        <v>5</v>
      </c>
      <c r="R31" s="11"/>
      <c r="S31" s="11">
        <v>10</v>
      </c>
      <c r="T31" s="11">
        <v>10</v>
      </c>
      <c r="U31" s="11">
        <v>135</v>
      </c>
      <c r="V31" s="56" t="s">
        <v>888</v>
      </c>
      <c r="W31" s="35" t="str">
        <f t="shared" si="2"/>
        <v>OK</v>
      </c>
      <c r="X31" s="38" t="str">
        <f t="shared" si="4"/>
        <v/>
      </c>
      <c r="Y31" s="3"/>
      <c r="Z31" s="116"/>
    </row>
    <row r="32" spans="1:26" ht="14.4" hidden="1" outlineLevel="1" x14ac:dyDescent="0.3">
      <c r="A32" s="3"/>
      <c r="B32" s="52" t="s">
        <v>451</v>
      </c>
      <c r="C32" s="53">
        <v>15</v>
      </c>
      <c r="D32" s="53" t="s">
        <v>95</v>
      </c>
      <c r="E32" s="11">
        <f t="shared" si="8"/>
        <v>210.44</v>
      </c>
      <c r="F32" s="92">
        <f t="shared" si="10"/>
        <v>210.44</v>
      </c>
      <c r="G32" s="108"/>
      <c r="H32" s="93" t="s">
        <v>37</v>
      </c>
      <c r="I32" s="54"/>
      <c r="J32" s="55"/>
      <c r="K32" s="11"/>
      <c r="L32" s="53">
        <f t="shared" si="3"/>
        <v>1</v>
      </c>
      <c r="M32" s="11">
        <v>104.43</v>
      </c>
      <c r="N32" s="11">
        <v>24.57</v>
      </c>
      <c r="O32" s="11">
        <v>12</v>
      </c>
      <c r="P32" s="11">
        <v>1.44</v>
      </c>
      <c r="Q32" s="11">
        <v>5</v>
      </c>
      <c r="R32" s="11"/>
      <c r="S32" s="11">
        <v>10</v>
      </c>
      <c r="T32" s="11">
        <v>10</v>
      </c>
      <c r="U32" s="11">
        <v>43</v>
      </c>
      <c r="V32" s="56" t="s">
        <v>883</v>
      </c>
      <c r="W32" s="35" t="str">
        <f t="shared" si="2"/>
        <v>OK</v>
      </c>
      <c r="X32" s="38" t="str">
        <f t="shared" si="4"/>
        <v/>
      </c>
      <c r="Y32" s="3"/>
      <c r="Z32" s="116"/>
    </row>
    <row r="33" spans="1:26" ht="14.4" hidden="1" outlineLevel="1" x14ac:dyDescent="0.3">
      <c r="A33" s="3"/>
      <c r="B33" s="9" t="s">
        <v>452</v>
      </c>
      <c r="C33" s="53">
        <v>10</v>
      </c>
      <c r="D33" s="53" t="s">
        <v>95</v>
      </c>
      <c r="E33" s="11">
        <f t="shared" si="8"/>
        <v>242.01</v>
      </c>
      <c r="F33" s="92">
        <f t="shared" si="10"/>
        <v>242.01</v>
      </c>
      <c r="G33" s="108"/>
      <c r="H33" s="93" t="s">
        <v>37</v>
      </c>
      <c r="I33" s="54"/>
      <c r="J33" s="55"/>
      <c r="K33" s="11"/>
      <c r="L33" s="53" t="str">
        <f t="shared" si="3"/>
        <v/>
      </c>
      <c r="M33" s="11">
        <v>156</v>
      </c>
      <c r="N33" s="11">
        <v>24.57</v>
      </c>
      <c r="O33" s="11">
        <v>12</v>
      </c>
      <c r="P33" s="11">
        <v>1.44</v>
      </c>
      <c r="Q33" s="11">
        <v>5</v>
      </c>
      <c r="R33" s="11"/>
      <c r="S33" s="11"/>
      <c r="T33" s="11"/>
      <c r="U33" s="11">
        <v>43</v>
      </c>
      <c r="V33" s="56" t="s">
        <v>883</v>
      </c>
      <c r="W33" s="35" t="str">
        <f t="shared" si="2"/>
        <v>OK</v>
      </c>
      <c r="X33" s="38" t="str">
        <f t="shared" si="4"/>
        <v/>
      </c>
      <c r="Y33" s="3"/>
      <c r="Z33" s="116"/>
    </row>
    <row r="34" spans="1:26" ht="14.4" hidden="1" outlineLevel="1" x14ac:dyDescent="0.3">
      <c r="A34" s="3"/>
      <c r="B34" s="9" t="s">
        <v>453</v>
      </c>
      <c r="C34" s="53">
        <v>10</v>
      </c>
      <c r="D34" s="53" t="s">
        <v>95</v>
      </c>
      <c r="E34" s="11">
        <f t="shared" si="8"/>
        <v>342.01</v>
      </c>
      <c r="F34" s="92">
        <f t="shared" si="10"/>
        <v>342.01</v>
      </c>
      <c r="G34" s="108"/>
      <c r="H34" s="93" t="s">
        <v>37</v>
      </c>
      <c r="I34" s="54"/>
      <c r="J34" s="55"/>
      <c r="K34" s="11"/>
      <c r="L34" s="53" t="str">
        <f t="shared" si="3"/>
        <v/>
      </c>
      <c r="M34" s="11">
        <v>156</v>
      </c>
      <c r="N34" s="11">
        <v>24.57</v>
      </c>
      <c r="O34" s="11">
        <v>12</v>
      </c>
      <c r="P34" s="11">
        <v>11.44</v>
      </c>
      <c r="Q34" s="11">
        <v>5</v>
      </c>
      <c r="R34" s="11">
        <v>10</v>
      </c>
      <c r="S34" s="11"/>
      <c r="T34" s="11"/>
      <c r="U34" s="11">
        <v>123</v>
      </c>
      <c r="V34" s="56" t="s">
        <v>885</v>
      </c>
      <c r="W34" s="35" t="str">
        <f t="shared" si="2"/>
        <v>OK</v>
      </c>
      <c r="X34" s="38" t="str">
        <f t="shared" si="4"/>
        <v/>
      </c>
      <c r="Y34" s="3"/>
      <c r="Z34" s="116"/>
    </row>
    <row r="35" spans="1:26" ht="14.4" hidden="1" outlineLevel="1" x14ac:dyDescent="0.3">
      <c r="A35" s="3"/>
      <c r="B35" s="52" t="s">
        <v>454</v>
      </c>
      <c r="C35" s="53"/>
      <c r="D35" s="53" t="s">
        <v>105</v>
      </c>
      <c r="E35" s="11">
        <f t="shared" si="8"/>
        <v>483.4</v>
      </c>
      <c r="F35" s="92"/>
      <c r="G35" s="108"/>
      <c r="H35" s="93"/>
      <c r="I35" s="54"/>
      <c r="J35" s="55"/>
      <c r="K35" s="11"/>
      <c r="L35" s="53" t="str">
        <f t="shared" si="3"/>
        <v/>
      </c>
      <c r="M35" s="11">
        <v>48.43</v>
      </c>
      <c r="N35" s="11">
        <v>24.57</v>
      </c>
      <c r="O35" s="11">
        <v>12</v>
      </c>
      <c r="P35" s="11">
        <v>2</v>
      </c>
      <c r="Q35" s="11">
        <v>0</v>
      </c>
      <c r="R35" s="11">
        <v>0</v>
      </c>
      <c r="S35" s="11"/>
      <c r="T35" s="11"/>
      <c r="U35" s="11">
        <v>396.4</v>
      </c>
      <c r="V35" s="56" t="s">
        <v>889</v>
      </c>
      <c r="W35" s="35" t="str">
        <f t="shared" si="2"/>
        <v>Diferente</v>
      </c>
      <c r="X35" s="38">
        <f t="shared" si="4"/>
        <v>-483.4</v>
      </c>
      <c r="Y35" s="3"/>
      <c r="Z35" s="116"/>
    </row>
    <row r="36" spans="1:26" ht="14.4" hidden="1" outlineLevel="1" x14ac:dyDescent="0.3">
      <c r="A36" s="3"/>
      <c r="B36" s="9" t="s">
        <v>455</v>
      </c>
      <c r="C36" s="53">
        <v>5</v>
      </c>
      <c r="D36" s="53" t="s">
        <v>95</v>
      </c>
      <c r="E36" s="11">
        <f t="shared" si="8"/>
        <v>271.76</v>
      </c>
      <c r="F36" s="92">
        <f t="shared" ref="F36:F38" si="11">E36</f>
        <v>271.76</v>
      </c>
      <c r="G36" s="108"/>
      <c r="H36" s="93" t="s">
        <v>37</v>
      </c>
      <c r="I36" s="54"/>
      <c r="J36" s="55"/>
      <c r="K36" s="11"/>
      <c r="L36" s="53" t="str">
        <f t="shared" si="3"/>
        <v/>
      </c>
      <c r="M36" s="11">
        <v>132.19</v>
      </c>
      <c r="N36" s="11">
        <v>24.57</v>
      </c>
      <c r="O36" s="11">
        <v>12</v>
      </c>
      <c r="P36" s="11">
        <v>5</v>
      </c>
      <c r="Q36" s="11">
        <v>5</v>
      </c>
      <c r="R36" s="11">
        <v>10</v>
      </c>
      <c r="S36" s="11">
        <v>10</v>
      </c>
      <c r="T36" s="11">
        <v>30</v>
      </c>
      <c r="U36" s="11">
        <v>43</v>
      </c>
      <c r="V36" s="56" t="s">
        <v>883</v>
      </c>
      <c r="W36" s="35" t="str">
        <f t="shared" si="2"/>
        <v>OK</v>
      </c>
      <c r="X36" s="38" t="str">
        <f t="shared" si="4"/>
        <v/>
      </c>
      <c r="Y36" s="3"/>
      <c r="Z36" s="116"/>
    </row>
    <row r="37" spans="1:26" ht="14.4" hidden="1" outlineLevel="1" x14ac:dyDescent="0.3">
      <c r="A37" s="3"/>
      <c r="B37" s="52" t="s">
        <v>456</v>
      </c>
      <c r="C37" s="53">
        <v>9</v>
      </c>
      <c r="D37" s="53" t="s">
        <v>95</v>
      </c>
      <c r="E37" s="11">
        <f t="shared" si="8"/>
        <v>155.81</v>
      </c>
      <c r="F37" s="92">
        <f t="shared" si="11"/>
        <v>155.81</v>
      </c>
      <c r="G37" s="108"/>
      <c r="H37" s="93" t="s">
        <v>37</v>
      </c>
      <c r="I37" s="54"/>
      <c r="J37" s="55"/>
      <c r="K37" s="11"/>
      <c r="L37" s="53" t="str">
        <f t="shared" si="3"/>
        <v/>
      </c>
      <c r="M37" s="11">
        <v>74.739999999999995</v>
      </c>
      <c r="N37" s="11">
        <v>24.57</v>
      </c>
      <c r="O37" s="11">
        <v>12</v>
      </c>
      <c r="P37" s="11">
        <v>1.5</v>
      </c>
      <c r="Q37" s="11"/>
      <c r="R37" s="11"/>
      <c r="S37" s="11"/>
      <c r="T37" s="11"/>
      <c r="U37" s="11">
        <v>43</v>
      </c>
      <c r="V37" s="56" t="s">
        <v>883</v>
      </c>
      <c r="W37" s="35" t="str">
        <f t="shared" si="2"/>
        <v>OK</v>
      </c>
      <c r="X37" s="38" t="str">
        <f t="shared" si="4"/>
        <v/>
      </c>
      <c r="Y37" s="3"/>
      <c r="Z37" s="116"/>
    </row>
    <row r="38" spans="1:26" ht="14.4" hidden="1" outlineLevel="1" x14ac:dyDescent="0.3">
      <c r="A38" s="3"/>
      <c r="B38" s="52" t="s">
        <v>457</v>
      </c>
      <c r="C38" s="53">
        <v>9</v>
      </c>
      <c r="D38" s="53" t="s">
        <v>95</v>
      </c>
      <c r="E38" s="11">
        <f t="shared" si="8"/>
        <v>185.81</v>
      </c>
      <c r="F38" s="92">
        <f t="shared" si="11"/>
        <v>185.81</v>
      </c>
      <c r="G38" s="108"/>
      <c r="H38" s="93" t="s">
        <v>37</v>
      </c>
      <c r="I38" s="54"/>
      <c r="J38" s="55"/>
      <c r="K38" s="11"/>
      <c r="L38" s="53" t="str">
        <f t="shared" si="3"/>
        <v/>
      </c>
      <c r="M38" s="11">
        <v>74.739999999999995</v>
      </c>
      <c r="N38" s="11">
        <v>24.57</v>
      </c>
      <c r="O38" s="11">
        <v>12</v>
      </c>
      <c r="P38" s="11">
        <v>1.5</v>
      </c>
      <c r="Q38" s="11"/>
      <c r="R38" s="11"/>
      <c r="S38" s="11"/>
      <c r="T38" s="11"/>
      <c r="U38" s="11">
        <v>73</v>
      </c>
      <c r="V38" s="56" t="s">
        <v>882</v>
      </c>
      <c r="W38" s="35" t="str">
        <f t="shared" si="2"/>
        <v>OK</v>
      </c>
      <c r="X38" s="38" t="str">
        <f t="shared" si="4"/>
        <v/>
      </c>
      <c r="Y38" s="3"/>
      <c r="Z38" s="116"/>
    </row>
    <row r="39" spans="1:26" ht="14.4" hidden="1" outlineLevel="1" x14ac:dyDescent="0.3">
      <c r="A39" s="3"/>
      <c r="B39" s="9" t="s">
        <v>458</v>
      </c>
      <c r="C39" s="53">
        <v>11</v>
      </c>
      <c r="D39" s="53" t="s">
        <v>95</v>
      </c>
      <c r="E39" s="11">
        <f t="shared" si="8"/>
        <v>189.44</v>
      </c>
      <c r="F39" s="92">
        <f t="shared" ref="F39:F43" si="12">SUM(M39:U39)</f>
        <v>189.44</v>
      </c>
      <c r="G39" s="108"/>
      <c r="H39" s="93" t="s">
        <v>37</v>
      </c>
      <c r="I39" s="54"/>
      <c r="J39" s="55"/>
      <c r="K39" s="11"/>
      <c r="L39" s="53" t="str">
        <f t="shared" si="3"/>
        <v/>
      </c>
      <c r="M39" s="11">
        <v>103.43</v>
      </c>
      <c r="N39" s="11">
        <v>24.57</v>
      </c>
      <c r="O39" s="11">
        <v>12</v>
      </c>
      <c r="P39" s="11">
        <v>1.44</v>
      </c>
      <c r="Q39" s="11"/>
      <c r="R39" s="11">
        <v>5</v>
      </c>
      <c r="S39" s="11"/>
      <c r="T39" s="11"/>
      <c r="U39" s="11">
        <v>43</v>
      </c>
      <c r="V39" s="56" t="s">
        <v>883</v>
      </c>
      <c r="W39" s="35" t="str">
        <f t="shared" si="2"/>
        <v>OK</v>
      </c>
      <c r="X39" s="38" t="str">
        <f t="shared" si="4"/>
        <v/>
      </c>
      <c r="Y39" s="3"/>
      <c r="Z39" s="116"/>
    </row>
    <row r="40" spans="1:26" ht="14.4" hidden="1" outlineLevel="1" x14ac:dyDescent="0.3">
      <c r="A40" s="3"/>
      <c r="B40" s="9" t="s">
        <v>459</v>
      </c>
      <c r="C40" s="53">
        <v>11</v>
      </c>
      <c r="D40" s="53" t="s">
        <v>95</v>
      </c>
      <c r="E40" s="11">
        <f t="shared" si="8"/>
        <v>194.44</v>
      </c>
      <c r="F40" s="92">
        <f t="shared" si="12"/>
        <v>194.44</v>
      </c>
      <c r="G40" s="108"/>
      <c r="H40" s="93" t="s">
        <v>37</v>
      </c>
      <c r="I40" s="54"/>
      <c r="J40" s="55"/>
      <c r="K40" s="11"/>
      <c r="L40" s="53" t="str">
        <f t="shared" si="3"/>
        <v/>
      </c>
      <c r="M40" s="11">
        <v>103.43</v>
      </c>
      <c r="N40" s="11">
        <v>24.57</v>
      </c>
      <c r="O40" s="11">
        <v>12</v>
      </c>
      <c r="P40" s="11">
        <v>1.44</v>
      </c>
      <c r="Q40" s="11">
        <v>5</v>
      </c>
      <c r="R40" s="11">
        <v>5</v>
      </c>
      <c r="S40" s="11"/>
      <c r="T40" s="11"/>
      <c r="U40" s="11">
        <v>43</v>
      </c>
      <c r="V40" s="56" t="s">
        <v>883</v>
      </c>
      <c r="W40" s="35" t="str">
        <f t="shared" si="2"/>
        <v>OK</v>
      </c>
      <c r="X40" s="38" t="str">
        <f t="shared" si="4"/>
        <v/>
      </c>
      <c r="Y40" s="3"/>
      <c r="Z40" s="116"/>
    </row>
    <row r="41" spans="1:26" ht="14.4" hidden="1" outlineLevel="1" x14ac:dyDescent="0.3">
      <c r="A41" s="3"/>
      <c r="B41" s="9" t="s">
        <v>460</v>
      </c>
      <c r="C41" s="53">
        <v>11</v>
      </c>
      <c r="D41" s="53" t="s">
        <v>95</v>
      </c>
      <c r="E41" s="11">
        <f t="shared" si="8"/>
        <v>194.44</v>
      </c>
      <c r="F41" s="92">
        <f t="shared" si="12"/>
        <v>194.44</v>
      </c>
      <c r="G41" s="108"/>
      <c r="H41" s="93" t="s">
        <v>37</v>
      </c>
      <c r="I41" s="54"/>
      <c r="J41" s="55"/>
      <c r="K41" s="11"/>
      <c r="L41" s="53" t="str">
        <f t="shared" si="3"/>
        <v/>
      </c>
      <c r="M41" s="11">
        <v>103.43</v>
      </c>
      <c r="N41" s="11">
        <v>24.57</v>
      </c>
      <c r="O41" s="11">
        <v>12</v>
      </c>
      <c r="P41" s="11">
        <v>1.44</v>
      </c>
      <c r="Q41" s="11">
        <v>5</v>
      </c>
      <c r="R41" s="11">
        <v>5</v>
      </c>
      <c r="S41" s="11"/>
      <c r="T41" s="11"/>
      <c r="U41" s="11">
        <v>43</v>
      </c>
      <c r="V41" s="56" t="s">
        <v>883</v>
      </c>
      <c r="W41" s="35" t="str">
        <f t="shared" si="2"/>
        <v>OK</v>
      </c>
      <c r="X41" s="38" t="str">
        <f t="shared" si="4"/>
        <v/>
      </c>
      <c r="Y41" s="3"/>
      <c r="Z41" s="116"/>
    </row>
    <row r="42" spans="1:26" ht="14.4" hidden="1" outlineLevel="1" x14ac:dyDescent="0.3">
      <c r="A42" s="3"/>
      <c r="B42" s="9" t="s">
        <v>461</v>
      </c>
      <c r="C42" s="53">
        <v>11</v>
      </c>
      <c r="D42" s="53" t="s">
        <v>95</v>
      </c>
      <c r="E42" s="11">
        <f t="shared" si="8"/>
        <v>112.59</v>
      </c>
      <c r="F42" s="92">
        <f t="shared" si="12"/>
        <v>112.59</v>
      </c>
      <c r="G42" s="108"/>
      <c r="H42" s="93" t="s">
        <v>37</v>
      </c>
      <c r="I42" s="54"/>
      <c r="J42" s="55"/>
      <c r="K42" s="11"/>
      <c r="L42" s="53" t="str">
        <f t="shared" si="3"/>
        <v/>
      </c>
      <c r="M42" s="11">
        <v>31.58</v>
      </c>
      <c r="N42" s="11">
        <v>24.57</v>
      </c>
      <c r="O42" s="11">
        <v>12</v>
      </c>
      <c r="P42" s="11">
        <v>1.44</v>
      </c>
      <c r="Q42" s="11"/>
      <c r="R42" s="11"/>
      <c r="S42" s="11"/>
      <c r="T42" s="11"/>
      <c r="U42" s="11">
        <v>43</v>
      </c>
      <c r="V42" s="56" t="s">
        <v>883</v>
      </c>
      <c r="W42" s="35" t="str">
        <f t="shared" si="2"/>
        <v>OK</v>
      </c>
      <c r="X42" s="38" t="str">
        <f t="shared" si="4"/>
        <v/>
      </c>
      <c r="Y42" s="3"/>
      <c r="Z42" s="116"/>
    </row>
    <row r="43" spans="1:26" ht="14.4" hidden="1" outlineLevel="1" x14ac:dyDescent="0.3">
      <c r="A43" s="3"/>
      <c r="B43" s="52" t="s">
        <v>462</v>
      </c>
      <c r="C43" s="53">
        <v>7</v>
      </c>
      <c r="D43" s="53" t="s">
        <v>130</v>
      </c>
      <c r="E43" s="11">
        <v>243</v>
      </c>
      <c r="F43" s="92">
        <f t="shared" si="12"/>
        <v>418</v>
      </c>
      <c r="G43" s="108"/>
      <c r="H43" s="93" t="s">
        <v>37</v>
      </c>
      <c r="I43" s="54"/>
      <c r="J43" s="55"/>
      <c r="K43" s="11"/>
      <c r="L43" s="53" t="str">
        <f t="shared" si="3"/>
        <v/>
      </c>
      <c r="M43" s="11">
        <f>151.99*2</f>
        <v>303.98</v>
      </c>
      <c r="N43" s="11">
        <f>24.57*2</f>
        <v>49.14</v>
      </c>
      <c r="O43" s="11">
        <f>12*2</f>
        <v>24</v>
      </c>
      <c r="P43" s="11">
        <f>1.44*2</f>
        <v>2.88</v>
      </c>
      <c r="Q43" s="11"/>
      <c r="R43" s="11">
        <f t="shared" ref="R43:S43" si="13">5*2</f>
        <v>10</v>
      </c>
      <c r="S43" s="11">
        <f t="shared" si="13"/>
        <v>10</v>
      </c>
      <c r="T43" s="11"/>
      <c r="U43" s="11">
        <v>18</v>
      </c>
      <c r="V43" s="56" t="s">
        <v>883</v>
      </c>
      <c r="W43" s="35" t="str">
        <f t="shared" si="2"/>
        <v>OK</v>
      </c>
      <c r="X43" s="38" t="str">
        <f t="shared" si="4"/>
        <v/>
      </c>
      <c r="Y43" s="3"/>
      <c r="Z43" s="116"/>
    </row>
    <row r="44" spans="1:26" ht="14.4" hidden="1" outlineLevel="1" x14ac:dyDescent="0.3">
      <c r="A44" s="3"/>
      <c r="B44" s="9" t="s">
        <v>463</v>
      </c>
      <c r="C44" s="53">
        <v>11</v>
      </c>
      <c r="D44" s="53" t="s">
        <v>95</v>
      </c>
      <c r="E44" s="11">
        <f t="shared" ref="E44:E64" si="14">SUM(M44:U44)</f>
        <v>341.89</v>
      </c>
      <c r="F44" s="92">
        <f t="shared" ref="F44:F51" si="15">E44</f>
        <v>341.89</v>
      </c>
      <c r="G44" s="108"/>
      <c r="H44" s="93" t="s">
        <v>37</v>
      </c>
      <c r="I44" s="54"/>
      <c r="J44" s="55"/>
      <c r="K44" s="11"/>
      <c r="L44" s="53" t="str">
        <f t="shared" si="3"/>
        <v/>
      </c>
      <c r="M44" s="11">
        <v>125.88</v>
      </c>
      <c r="N44" s="11">
        <v>24.57</v>
      </c>
      <c r="O44" s="11">
        <v>12</v>
      </c>
      <c r="P44" s="11">
        <v>1.44</v>
      </c>
      <c r="Q44" s="11">
        <v>5</v>
      </c>
      <c r="R44" s="11">
        <v>10</v>
      </c>
      <c r="S44" s="11">
        <v>20</v>
      </c>
      <c r="T44" s="11">
        <v>100</v>
      </c>
      <c r="U44" s="11">
        <v>43</v>
      </c>
      <c r="V44" s="56" t="s">
        <v>883</v>
      </c>
      <c r="W44" s="35" t="str">
        <f t="shared" si="2"/>
        <v>OK</v>
      </c>
      <c r="X44" s="38" t="str">
        <f t="shared" si="4"/>
        <v/>
      </c>
      <c r="Y44" s="3"/>
      <c r="Z44" s="116"/>
    </row>
    <row r="45" spans="1:26" ht="14.4" hidden="1" outlineLevel="1" x14ac:dyDescent="0.3">
      <c r="A45" s="3"/>
      <c r="B45" s="9" t="s">
        <v>464</v>
      </c>
      <c r="C45" s="53">
        <v>11</v>
      </c>
      <c r="D45" s="53" t="s">
        <v>95</v>
      </c>
      <c r="E45" s="11">
        <f t="shared" si="14"/>
        <v>205.44</v>
      </c>
      <c r="F45" s="92">
        <f t="shared" si="15"/>
        <v>205.44</v>
      </c>
      <c r="G45" s="108"/>
      <c r="H45" s="93" t="s">
        <v>37</v>
      </c>
      <c r="I45" s="54"/>
      <c r="J45" s="55"/>
      <c r="K45" s="11"/>
      <c r="L45" s="53" t="str">
        <f t="shared" si="3"/>
        <v/>
      </c>
      <c r="M45" s="11">
        <v>99.43</v>
      </c>
      <c r="N45" s="11">
        <v>24.57</v>
      </c>
      <c r="O45" s="11">
        <v>12</v>
      </c>
      <c r="P45" s="11">
        <v>1.44</v>
      </c>
      <c r="Q45" s="11">
        <v>5</v>
      </c>
      <c r="R45" s="11"/>
      <c r="S45" s="11">
        <v>20</v>
      </c>
      <c r="T45" s="11"/>
      <c r="U45" s="11">
        <v>43</v>
      </c>
      <c r="V45" s="56" t="s">
        <v>883</v>
      </c>
      <c r="W45" s="35" t="str">
        <f t="shared" si="2"/>
        <v>OK</v>
      </c>
      <c r="X45" s="38" t="str">
        <f t="shared" si="4"/>
        <v/>
      </c>
      <c r="Y45" s="3"/>
      <c r="Z45" s="116"/>
    </row>
    <row r="46" spans="1:26" ht="14.4" hidden="1" outlineLevel="1" x14ac:dyDescent="0.3">
      <c r="A46" s="3"/>
      <c r="B46" s="52" t="s">
        <v>465</v>
      </c>
      <c r="C46" s="53">
        <v>1</v>
      </c>
      <c r="D46" s="53" t="s">
        <v>95</v>
      </c>
      <c r="E46" s="11">
        <f t="shared" si="14"/>
        <v>195</v>
      </c>
      <c r="F46" s="92">
        <f t="shared" si="15"/>
        <v>195</v>
      </c>
      <c r="G46" s="108"/>
      <c r="H46" s="93" t="s">
        <v>37</v>
      </c>
      <c r="I46" s="54"/>
      <c r="J46" s="55"/>
      <c r="K46" s="11"/>
      <c r="L46" s="53" t="str">
        <f t="shared" si="3"/>
        <v/>
      </c>
      <c r="M46" s="11">
        <v>93.43</v>
      </c>
      <c r="N46" s="11">
        <v>24.57</v>
      </c>
      <c r="O46" s="11">
        <v>12</v>
      </c>
      <c r="P46" s="11">
        <v>2</v>
      </c>
      <c r="Q46" s="11">
        <v>5</v>
      </c>
      <c r="R46" s="11">
        <v>5</v>
      </c>
      <c r="S46" s="11">
        <v>10</v>
      </c>
      <c r="T46" s="11"/>
      <c r="U46" s="11">
        <v>43</v>
      </c>
      <c r="V46" s="56" t="s">
        <v>883</v>
      </c>
      <c r="W46" s="35" t="str">
        <f t="shared" si="2"/>
        <v>OK</v>
      </c>
      <c r="X46" s="38" t="str">
        <f t="shared" si="4"/>
        <v/>
      </c>
      <c r="Y46" s="3"/>
      <c r="Z46" s="116"/>
    </row>
    <row r="47" spans="1:26" ht="14.4" hidden="1" outlineLevel="1" x14ac:dyDescent="0.3">
      <c r="A47" s="3"/>
      <c r="B47" s="52" t="s">
        <v>466</v>
      </c>
      <c r="C47" s="53">
        <v>1</v>
      </c>
      <c r="D47" s="53" t="s">
        <v>95</v>
      </c>
      <c r="E47" s="11">
        <f t="shared" si="14"/>
        <v>130</v>
      </c>
      <c r="F47" s="92">
        <f t="shared" si="15"/>
        <v>130</v>
      </c>
      <c r="G47" s="108"/>
      <c r="H47" s="93" t="s">
        <v>37</v>
      </c>
      <c r="I47" s="54"/>
      <c r="J47" s="55"/>
      <c r="K47" s="11"/>
      <c r="L47" s="53" t="str">
        <f t="shared" si="3"/>
        <v/>
      </c>
      <c r="M47" s="11">
        <v>43.93</v>
      </c>
      <c r="N47" s="11">
        <v>24.57</v>
      </c>
      <c r="O47" s="11">
        <v>12</v>
      </c>
      <c r="P47" s="11">
        <v>1.5</v>
      </c>
      <c r="Q47" s="11"/>
      <c r="R47" s="11"/>
      <c r="S47" s="11">
        <v>5</v>
      </c>
      <c r="T47" s="11"/>
      <c r="U47" s="11">
        <v>43</v>
      </c>
      <c r="V47" s="56" t="s">
        <v>883</v>
      </c>
      <c r="W47" s="35" t="str">
        <f t="shared" si="2"/>
        <v>OK</v>
      </c>
      <c r="X47" s="38" t="str">
        <f t="shared" si="4"/>
        <v/>
      </c>
      <c r="Y47" s="3"/>
      <c r="Z47" s="116"/>
    </row>
    <row r="48" spans="1:26" ht="14.4" hidden="1" outlineLevel="1" x14ac:dyDescent="0.3">
      <c r="A48" s="3"/>
      <c r="B48" s="9" t="s">
        <v>467</v>
      </c>
      <c r="C48" s="53">
        <v>10</v>
      </c>
      <c r="D48" s="53" t="s">
        <v>95</v>
      </c>
      <c r="E48" s="11">
        <f t="shared" si="14"/>
        <v>275</v>
      </c>
      <c r="F48" s="92">
        <f t="shared" si="15"/>
        <v>275</v>
      </c>
      <c r="G48" s="108"/>
      <c r="H48" s="93" t="s">
        <v>37</v>
      </c>
      <c r="I48" s="54"/>
      <c r="J48" s="55"/>
      <c r="K48" s="11"/>
      <c r="L48" s="53" t="str">
        <f t="shared" si="3"/>
        <v/>
      </c>
      <c r="M48" s="11">
        <v>118.99</v>
      </c>
      <c r="N48" s="11">
        <v>24.57</v>
      </c>
      <c r="O48" s="11">
        <v>12</v>
      </c>
      <c r="P48" s="11">
        <v>11.44</v>
      </c>
      <c r="Q48" s="11">
        <v>5</v>
      </c>
      <c r="R48" s="11">
        <v>10</v>
      </c>
      <c r="S48" s="11"/>
      <c r="T48" s="11"/>
      <c r="U48" s="11">
        <v>93</v>
      </c>
      <c r="V48" s="56" t="s">
        <v>890</v>
      </c>
      <c r="W48" s="35" t="str">
        <f t="shared" si="2"/>
        <v>OK</v>
      </c>
      <c r="X48" s="38" t="str">
        <f t="shared" si="4"/>
        <v/>
      </c>
      <c r="Y48" s="3"/>
      <c r="Z48" s="116"/>
    </row>
    <row r="49" spans="1:26" ht="14.4" hidden="1" outlineLevel="1" x14ac:dyDescent="0.3">
      <c r="A49" s="3"/>
      <c r="B49" s="9" t="s">
        <v>468</v>
      </c>
      <c r="C49" s="53">
        <v>10</v>
      </c>
      <c r="D49" s="53" t="s">
        <v>95</v>
      </c>
      <c r="E49" s="11">
        <f t="shared" si="14"/>
        <v>136.74</v>
      </c>
      <c r="F49" s="92">
        <f t="shared" si="15"/>
        <v>136.74</v>
      </c>
      <c r="G49" s="108"/>
      <c r="H49" s="93" t="s">
        <v>37</v>
      </c>
      <c r="I49" s="54"/>
      <c r="J49" s="55"/>
      <c r="K49" s="11"/>
      <c r="L49" s="53" t="str">
        <f t="shared" si="3"/>
        <v/>
      </c>
      <c r="M49" s="11">
        <v>55.73</v>
      </c>
      <c r="N49" s="11">
        <v>24.57</v>
      </c>
      <c r="O49" s="11">
        <v>12</v>
      </c>
      <c r="P49" s="11">
        <v>1.44</v>
      </c>
      <c r="Q49" s="11"/>
      <c r="R49" s="11"/>
      <c r="S49" s="11"/>
      <c r="T49" s="11"/>
      <c r="U49" s="11">
        <v>43</v>
      </c>
      <c r="V49" s="56" t="s">
        <v>883</v>
      </c>
      <c r="W49" s="35" t="str">
        <f t="shared" si="2"/>
        <v>OK</v>
      </c>
      <c r="X49" s="38" t="str">
        <f t="shared" si="4"/>
        <v/>
      </c>
      <c r="Y49" s="3"/>
      <c r="Z49" s="116"/>
    </row>
    <row r="50" spans="1:26" ht="14.4" hidden="1" outlineLevel="1" x14ac:dyDescent="0.3">
      <c r="A50" s="3"/>
      <c r="B50" s="52" t="s">
        <v>469</v>
      </c>
      <c r="C50" s="53">
        <v>10</v>
      </c>
      <c r="D50" s="53" t="s">
        <v>95</v>
      </c>
      <c r="E50" s="11">
        <f t="shared" si="14"/>
        <v>137.76</v>
      </c>
      <c r="F50" s="92">
        <f t="shared" si="15"/>
        <v>137.76</v>
      </c>
      <c r="G50" s="108"/>
      <c r="H50" s="93" t="s">
        <v>37</v>
      </c>
      <c r="I50" s="54"/>
      <c r="J50" s="55"/>
      <c r="K50" s="11"/>
      <c r="L50" s="53" t="str">
        <f t="shared" si="3"/>
        <v/>
      </c>
      <c r="M50" s="11">
        <v>58.19</v>
      </c>
      <c r="N50" s="11">
        <v>24.57</v>
      </c>
      <c r="O50" s="11">
        <v>12</v>
      </c>
      <c r="P50" s="11" t="s">
        <v>44</v>
      </c>
      <c r="Q50" s="11" t="s">
        <v>44</v>
      </c>
      <c r="R50" s="11" t="s">
        <v>44</v>
      </c>
      <c r="S50" s="11" t="s">
        <v>44</v>
      </c>
      <c r="T50" s="11"/>
      <c r="U50" s="11">
        <v>43</v>
      </c>
      <c r="V50" s="56" t="s">
        <v>883</v>
      </c>
      <c r="W50" s="35" t="str">
        <f t="shared" si="2"/>
        <v>OK</v>
      </c>
      <c r="X50" s="38" t="str">
        <f t="shared" si="4"/>
        <v/>
      </c>
      <c r="Y50" s="3"/>
      <c r="Z50" s="116"/>
    </row>
    <row r="51" spans="1:26" ht="14.4" hidden="1" outlineLevel="1" x14ac:dyDescent="0.3">
      <c r="A51" s="3"/>
      <c r="B51" s="52" t="s">
        <v>470</v>
      </c>
      <c r="C51" s="53">
        <v>10</v>
      </c>
      <c r="D51" s="53" t="s">
        <v>95</v>
      </c>
      <c r="E51" s="11">
        <f t="shared" si="14"/>
        <v>113.45</v>
      </c>
      <c r="F51" s="92">
        <f t="shared" si="15"/>
        <v>113.45</v>
      </c>
      <c r="G51" s="108"/>
      <c r="H51" s="93" t="s">
        <v>37</v>
      </c>
      <c r="I51" s="54"/>
      <c r="J51" s="55"/>
      <c r="K51" s="11"/>
      <c r="L51" s="53" t="str">
        <f t="shared" si="3"/>
        <v/>
      </c>
      <c r="M51" s="11">
        <v>33.880000000000003</v>
      </c>
      <c r="N51" s="11">
        <v>24.57</v>
      </c>
      <c r="O51" s="11">
        <v>12</v>
      </c>
      <c r="P51" s="11" t="s">
        <v>44</v>
      </c>
      <c r="Q51" s="11"/>
      <c r="R51" s="11" t="s">
        <v>44</v>
      </c>
      <c r="S51" s="11"/>
      <c r="T51" s="11"/>
      <c r="U51" s="11">
        <v>43</v>
      </c>
      <c r="V51" s="56" t="s">
        <v>883</v>
      </c>
      <c r="W51" s="35" t="str">
        <f t="shared" si="2"/>
        <v>OK</v>
      </c>
      <c r="X51" s="38" t="str">
        <f t="shared" si="4"/>
        <v/>
      </c>
      <c r="Y51" s="3"/>
      <c r="Z51" s="116"/>
    </row>
    <row r="52" spans="1:26" ht="14.4" hidden="1" outlineLevel="1" x14ac:dyDescent="0.3">
      <c r="A52" s="3"/>
      <c r="B52" s="9" t="s">
        <v>471</v>
      </c>
      <c r="C52" s="53"/>
      <c r="D52" s="53" t="s">
        <v>105</v>
      </c>
      <c r="E52" s="11">
        <f t="shared" si="14"/>
        <v>234.69</v>
      </c>
      <c r="F52" s="92"/>
      <c r="G52" s="108"/>
      <c r="H52" s="93"/>
      <c r="I52" s="54"/>
      <c r="J52" s="55"/>
      <c r="K52" s="11"/>
      <c r="L52" s="53" t="str">
        <f t="shared" si="3"/>
        <v/>
      </c>
      <c r="M52" s="11">
        <v>93.62</v>
      </c>
      <c r="N52" s="11">
        <v>24.57</v>
      </c>
      <c r="O52" s="11">
        <v>12</v>
      </c>
      <c r="P52" s="11">
        <v>1.5</v>
      </c>
      <c r="Q52" s="11"/>
      <c r="R52" s="11"/>
      <c r="S52" s="11">
        <v>10</v>
      </c>
      <c r="T52" s="11"/>
      <c r="U52" s="11">
        <v>93</v>
      </c>
      <c r="V52" s="56" t="s">
        <v>890</v>
      </c>
      <c r="W52" s="35" t="str">
        <f t="shared" si="2"/>
        <v>Diferente</v>
      </c>
      <c r="X52" s="38">
        <f t="shared" si="4"/>
        <v>-234.69</v>
      </c>
      <c r="Y52" s="3"/>
      <c r="Z52" s="116"/>
    </row>
    <row r="53" spans="1:26" ht="14.4" hidden="1" outlineLevel="1" x14ac:dyDescent="0.3">
      <c r="A53" s="3"/>
      <c r="B53" s="9" t="s">
        <v>473</v>
      </c>
      <c r="C53" s="53"/>
      <c r="D53" s="53" t="s">
        <v>105</v>
      </c>
      <c r="E53" s="11">
        <f t="shared" si="14"/>
        <v>174.69</v>
      </c>
      <c r="F53" s="92"/>
      <c r="G53" s="108"/>
      <c r="H53" s="93"/>
      <c r="I53" s="54"/>
      <c r="J53" s="55"/>
      <c r="K53" s="11"/>
      <c r="L53" s="53" t="str">
        <f t="shared" si="3"/>
        <v/>
      </c>
      <c r="M53" s="11">
        <v>93.62</v>
      </c>
      <c r="N53" s="11">
        <v>24.57</v>
      </c>
      <c r="O53" s="11">
        <v>12</v>
      </c>
      <c r="P53" s="11">
        <v>1.5</v>
      </c>
      <c r="Q53" s="11"/>
      <c r="R53" s="11"/>
      <c r="S53" s="11"/>
      <c r="T53" s="11"/>
      <c r="U53" s="11">
        <v>43</v>
      </c>
      <c r="V53" s="56" t="s">
        <v>883</v>
      </c>
      <c r="W53" s="35" t="str">
        <f t="shared" si="2"/>
        <v>Diferente</v>
      </c>
      <c r="X53" s="38">
        <f t="shared" si="4"/>
        <v>-174.69</v>
      </c>
      <c r="Y53" s="3"/>
      <c r="Z53" s="116"/>
    </row>
    <row r="54" spans="1:26" ht="14.4" hidden="1" outlineLevel="1" x14ac:dyDescent="0.3">
      <c r="A54" s="3"/>
      <c r="B54" s="52" t="s">
        <v>474</v>
      </c>
      <c r="C54" s="53">
        <v>3</v>
      </c>
      <c r="D54" s="53" t="s">
        <v>95</v>
      </c>
      <c r="E54" s="11">
        <f t="shared" si="14"/>
        <v>225.44</v>
      </c>
      <c r="F54" s="92">
        <f t="shared" ref="F54:F56" si="16">E54</f>
        <v>225.44</v>
      </c>
      <c r="G54" s="108"/>
      <c r="H54" s="54" t="s">
        <v>37</v>
      </c>
      <c r="I54" s="54"/>
      <c r="J54" s="55"/>
      <c r="K54" s="11"/>
      <c r="L54" s="53" t="str">
        <f t="shared" si="3"/>
        <v/>
      </c>
      <c r="M54" s="11">
        <v>139.43</v>
      </c>
      <c r="N54" s="11">
        <v>24.57</v>
      </c>
      <c r="O54" s="11">
        <v>12</v>
      </c>
      <c r="P54" s="11">
        <v>1.44</v>
      </c>
      <c r="Q54" s="11">
        <v>5</v>
      </c>
      <c r="R54" s="11"/>
      <c r="S54" s="11"/>
      <c r="T54" s="11"/>
      <c r="U54" s="11">
        <v>43</v>
      </c>
      <c r="V54" s="56" t="s">
        <v>883</v>
      </c>
      <c r="W54" s="35" t="str">
        <f t="shared" si="2"/>
        <v>OK</v>
      </c>
      <c r="X54" s="38" t="str">
        <f t="shared" si="4"/>
        <v/>
      </c>
      <c r="Y54" s="3"/>
      <c r="Z54" s="116"/>
    </row>
    <row r="55" spans="1:26" ht="14.4" hidden="1" outlineLevel="1" x14ac:dyDescent="0.3">
      <c r="A55" s="3"/>
      <c r="B55" s="9" t="s">
        <v>475</v>
      </c>
      <c r="C55" s="53">
        <v>3</v>
      </c>
      <c r="D55" s="53" t="s">
        <v>95</v>
      </c>
      <c r="E55" s="11">
        <f t="shared" si="14"/>
        <v>689.29</v>
      </c>
      <c r="F55" s="92">
        <f t="shared" si="16"/>
        <v>689.29</v>
      </c>
      <c r="G55" s="108"/>
      <c r="H55" s="54" t="s">
        <v>37</v>
      </c>
      <c r="I55" s="54"/>
      <c r="J55" s="55"/>
      <c r="K55" s="11"/>
      <c r="L55" s="53" t="str">
        <f t="shared" si="3"/>
        <v/>
      </c>
      <c r="M55" s="11">
        <v>98.28</v>
      </c>
      <c r="N55" s="11">
        <v>24.57</v>
      </c>
      <c r="O55" s="11">
        <v>12</v>
      </c>
      <c r="P55" s="11">
        <v>1.44</v>
      </c>
      <c r="Q55" s="11"/>
      <c r="R55" s="11">
        <v>10</v>
      </c>
      <c r="S55" s="11"/>
      <c r="T55" s="11">
        <v>100</v>
      </c>
      <c r="U55" s="11">
        <v>443</v>
      </c>
      <c r="V55" s="56" t="s">
        <v>891</v>
      </c>
      <c r="W55" s="35" t="str">
        <f t="shared" si="2"/>
        <v>OK</v>
      </c>
      <c r="X55" s="38" t="str">
        <f t="shared" si="4"/>
        <v/>
      </c>
      <c r="Y55" s="3"/>
      <c r="Z55" s="116"/>
    </row>
    <row r="56" spans="1:26" ht="14.4" hidden="1" outlineLevel="1" x14ac:dyDescent="0.3">
      <c r="A56" s="3"/>
      <c r="B56" s="9" t="s">
        <v>477</v>
      </c>
      <c r="C56" s="53">
        <v>3</v>
      </c>
      <c r="D56" s="53" t="s">
        <v>95</v>
      </c>
      <c r="E56" s="11">
        <f t="shared" si="14"/>
        <v>189.29</v>
      </c>
      <c r="F56" s="92">
        <f t="shared" si="16"/>
        <v>189.29</v>
      </c>
      <c r="G56" s="108"/>
      <c r="H56" s="54" t="s">
        <v>37</v>
      </c>
      <c r="I56" s="54"/>
      <c r="J56" s="55"/>
      <c r="K56" s="11"/>
      <c r="L56" s="53" t="str">
        <f t="shared" si="3"/>
        <v/>
      </c>
      <c r="M56" s="11">
        <v>98.28</v>
      </c>
      <c r="N56" s="11">
        <v>24.57</v>
      </c>
      <c r="O56" s="11">
        <v>12</v>
      </c>
      <c r="P56" s="11">
        <v>1.44</v>
      </c>
      <c r="Q56" s="11"/>
      <c r="R56" s="11">
        <v>10</v>
      </c>
      <c r="S56" s="11"/>
      <c r="T56" s="11"/>
      <c r="U56" s="11">
        <v>43</v>
      </c>
      <c r="V56" s="56" t="s">
        <v>883</v>
      </c>
      <c r="W56" s="35" t="str">
        <f t="shared" si="2"/>
        <v>OK</v>
      </c>
      <c r="X56" s="38" t="str">
        <f t="shared" si="4"/>
        <v/>
      </c>
      <c r="Y56" s="3"/>
      <c r="Z56" s="116"/>
    </row>
    <row r="57" spans="1:26" ht="14.4" hidden="1" outlineLevel="1" x14ac:dyDescent="0.3">
      <c r="A57" s="3"/>
      <c r="B57" s="52" t="s">
        <v>478</v>
      </c>
      <c r="C57" s="53"/>
      <c r="D57" s="53" t="s">
        <v>105</v>
      </c>
      <c r="E57" s="11">
        <f t="shared" si="14"/>
        <v>100</v>
      </c>
      <c r="F57" s="92"/>
      <c r="G57" s="58"/>
      <c r="H57" s="54"/>
      <c r="I57" s="54"/>
      <c r="J57" s="55"/>
      <c r="K57" s="11"/>
      <c r="L57" s="53" t="str">
        <f t="shared" si="3"/>
        <v/>
      </c>
      <c r="M57" s="11">
        <v>13.93</v>
      </c>
      <c r="N57" s="11">
        <v>24.57</v>
      </c>
      <c r="O57" s="11">
        <v>12</v>
      </c>
      <c r="P57" s="11">
        <v>1.5</v>
      </c>
      <c r="Q57" s="11">
        <v>5</v>
      </c>
      <c r="R57" s="11"/>
      <c r="S57" s="11"/>
      <c r="T57" s="11"/>
      <c r="U57" s="11">
        <v>43</v>
      </c>
      <c r="V57" s="56" t="s">
        <v>883</v>
      </c>
      <c r="W57" s="35" t="str">
        <f t="shared" si="2"/>
        <v>Diferente</v>
      </c>
      <c r="X57" s="38">
        <f t="shared" si="4"/>
        <v>-100</v>
      </c>
      <c r="Y57" s="3"/>
      <c r="Z57" s="116"/>
    </row>
    <row r="58" spans="1:26" ht="14.4" hidden="1" outlineLevel="1" x14ac:dyDescent="0.3">
      <c r="A58" s="3"/>
      <c r="B58" s="9" t="s">
        <v>479</v>
      </c>
      <c r="C58" s="53">
        <v>10</v>
      </c>
      <c r="D58" s="53" t="s">
        <v>95</v>
      </c>
      <c r="E58" s="11">
        <f t="shared" si="14"/>
        <v>183.5</v>
      </c>
      <c r="F58" s="92">
        <f t="shared" ref="F58:F60" si="17">E58</f>
        <v>183.5</v>
      </c>
      <c r="G58" s="58"/>
      <c r="H58" s="54" t="s">
        <v>37</v>
      </c>
      <c r="I58" s="54"/>
      <c r="J58" s="55"/>
      <c r="K58" s="11"/>
      <c r="L58" s="53" t="str">
        <f t="shared" si="3"/>
        <v/>
      </c>
      <c r="M58" s="11">
        <v>93.43</v>
      </c>
      <c r="N58" s="11">
        <v>24.57</v>
      </c>
      <c r="O58" s="11">
        <v>12</v>
      </c>
      <c r="P58" s="11">
        <v>1.5</v>
      </c>
      <c r="Q58" s="11"/>
      <c r="R58" s="11">
        <v>0</v>
      </c>
      <c r="S58" s="11">
        <v>4</v>
      </c>
      <c r="T58" s="11">
        <v>5</v>
      </c>
      <c r="U58" s="11">
        <v>43</v>
      </c>
      <c r="V58" s="56" t="s">
        <v>883</v>
      </c>
      <c r="W58" s="35" t="str">
        <f t="shared" si="2"/>
        <v>OK</v>
      </c>
      <c r="X58" s="38" t="str">
        <f t="shared" si="4"/>
        <v/>
      </c>
      <c r="Y58" s="3"/>
      <c r="Z58" s="116"/>
    </row>
    <row r="59" spans="1:26" ht="14.4" hidden="1" outlineLevel="1" x14ac:dyDescent="0.3">
      <c r="A59" s="3"/>
      <c r="B59" s="9" t="s">
        <v>480</v>
      </c>
      <c r="C59" s="53">
        <v>10</v>
      </c>
      <c r="D59" s="53" t="s">
        <v>95</v>
      </c>
      <c r="E59" s="11">
        <f t="shared" si="14"/>
        <v>182.5</v>
      </c>
      <c r="F59" s="92">
        <f t="shared" si="17"/>
        <v>182.5</v>
      </c>
      <c r="G59" s="58"/>
      <c r="H59" s="54" t="s">
        <v>37</v>
      </c>
      <c r="I59" s="54"/>
      <c r="J59" s="55"/>
      <c r="K59" s="11"/>
      <c r="L59" s="53" t="str">
        <f t="shared" si="3"/>
        <v/>
      </c>
      <c r="M59" s="11">
        <v>93.43</v>
      </c>
      <c r="N59" s="11">
        <v>24.57</v>
      </c>
      <c r="O59" s="11">
        <v>12</v>
      </c>
      <c r="P59" s="11">
        <v>1.5</v>
      </c>
      <c r="Q59" s="11"/>
      <c r="R59" s="11">
        <v>0</v>
      </c>
      <c r="S59" s="11">
        <v>3</v>
      </c>
      <c r="T59" s="11">
        <v>5</v>
      </c>
      <c r="U59" s="11">
        <v>43</v>
      </c>
      <c r="V59" s="56" t="s">
        <v>883</v>
      </c>
      <c r="W59" s="35" t="str">
        <f t="shared" si="2"/>
        <v>OK</v>
      </c>
      <c r="X59" s="38" t="str">
        <f t="shared" si="4"/>
        <v/>
      </c>
      <c r="Y59" s="3"/>
      <c r="Z59" s="116"/>
    </row>
    <row r="60" spans="1:26" ht="14.4" hidden="1" outlineLevel="1" x14ac:dyDescent="0.3">
      <c r="A60" s="3"/>
      <c r="B60" s="52" t="s">
        <v>481</v>
      </c>
      <c r="C60" s="53">
        <v>3</v>
      </c>
      <c r="D60" s="53" t="s">
        <v>95</v>
      </c>
      <c r="E60" s="11">
        <f t="shared" si="14"/>
        <v>100</v>
      </c>
      <c r="F60" s="92">
        <f t="shared" si="17"/>
        <v>100</v>
      </c>
      <c r="G60" s="58"/>
      <c r="H60" s="54" t="s">
        <v>37</v>
      </c>
      <c r="I60" s="54"/>
      <c r="J60" s="55"/>
      <c r="K60" s="11"/>
      <c r="L60" s="53" t="str">
        <f t="shared" si="3"/>
        <v/>
      </c>
      <c r="M60" s="11">
        <v>61.93</v>
      </c>
      <c r="N60" s="11">
        <v>24.57</v>
      </c>
      <c r="O60" s="11">
        <v>12</v>
      </c>
      <c r="P60" s="11">
        <v>1.5</v>
      </c>
      <c r="Q60" s="11"/>
      <c r="R60" s="11"/>
      <c r="S60" s="11"/>
      <c r="T60" s="11"/>
      <c r="U60" s="11"/>
      <c r="V60" s="56"/>
      <c r="W60" s="35" t="str">
        <f t="shared" si="2"/>
        <v>OK</v>
      </c>
      <c r="X60" s="38" t="str">
        <f t="shared" si="4"/>
        <v/>
      </c>
      <c r="Y60" s="3"/>
      <c r="Z60" s="116"/>
    </row>
    <row r="61" spans="1:26" ht="14.4" hidden="1" outlineLevel="1" x14ac:dyDescent="0.3">
      <c r="A61" s="3"/>
      <c r="B61" s="9" t="s">
        <v>482</v>
      </c>
      <c r="C61" s="53"/>
      <c r="D61" s="53" t="s">
        <v>105</v>
      </c>
      <c r="E61" s="11">
        <f t="shared" si="14"/>
        <v>105.37</v>
      </c>
      <c r="F61" s="92"/>
      <c r="G61" s="58"/>
      <c r="H61" s="54"/>
      <c r="I61" s="54"/>
      <c r="J61" s="55"/>
      <c r="K61" s="11"/>
      <c r="L61" s="53" t="str">
        <f t="shared" si="3"/>
        <v/>
      </c>
      <c r="M61" s="11">
        <v>19.36</v>
      </c>
      <c r="N61" s="11">
        <v>24.57</v>
      </c>
      <c r="O61" s="11">
        <v>12</v>
      </c>
      <c r="P61" s="11">
        <v>1.44</v>
      </c>
      <c r="Q61" s="11">
        <v>5</v>
      </c>
      <c r="R61" s="11"/>
      <c r="S61" s="11"/>
      <c r="T61" s="11"/>
      <c r="U61" s="11">
        <v>43</v>
      </c>
      <c r="V61" s="56" t="s">
        <v>883</v>
      </c>
      <c r="W61" s="35" t="str">
        <f t="shared" si="2"/>
        <v>Diferente</v>
      </c>
      <c r="X61" s="38">
        <f t="shared" si="4"/>
        <v>-105.37</v>
      </c>
      <c r="Y61" s="3"/>
      <c r="Z61" s="116"/>
    </row>
    <row r="62" spans="1:26" ht="14.4" hidden="1" outlineLevel="1" x14ac:dyDescent="0.3">
      <c r="A62" s="3"/>
      <c r="B62" s="52" t="s">
        <v>483</v>
      </c>
      <c r="C62" s="53"/>
      <c r="D62" s="53" t="s">
        <v>105</v>
      </c>
      <c r="E62" s="11">
        <f t="shared" si="14"/>
        <v>115.75</v>
      </c>
      <c r="F62" s="92"/>
      <c r="G62" s="58"/>
      <c r="H62" s="54"/>
      <c r="I62" s="54"/>
      <c r="J62" s="55"/>
      <c r="K62" s="11"/>
      <c r="L62" s="53" t="str">
        <f t="shared" si="3"/>
        <v/>
      </c>
      <c r="M62" s="11">
        <v>29.74</v>
      </c>
      <c r="N62" s="11">
        <v>24.57</v>
      </c>
      <c r="O62" s="11">
        <v>12</v>
      </c>
      <c r="P62" s="11">
        <v>1.44</v>
      </c>
      <c r="Q62" s="11">
        <v>5</v>
      </c>
      <c r="R62" s="11"/>
      <c r="S62" s="11"/>
      <c r="T62" s="11"/>
      <c r="U62" s="11">
        <v>43</v>
      </c>
      <c r="V62" s="56" t="s">
        <v>883</v>
      </c>
      <c r="W62" s="35" t="str">
        <f t="shared" si="2"/>
        <v>Diferente</v>
      </c>
      <c r="X62" s="38">
        <f t="shared" si="4"/>
        <v>-115.75</v>
      </c>
      <c r="Y62" s="3"/>
      <c r="Z62" s="116"/>
    </row>
    <row r="63" spans="1:26" ht="14.4" hidden="1" outlineLevel="1" x14ac:dyDescent="0.3">
      <c r="A63" s="3"/>
      <c r="B63" s="52" t="s">
        <v>484</v>
      </c>
      <c r="C63" s="53"/>
      <c r="D63" s="53" t="s">
        <v>105</v>
      </c>
      <c r="E63" s="11">
        <f t="shared" si="14"/>
        <v>116</v>
      </c>
      <c r="F63" s="92"/>
      <c r="G63" s="58"/>
      <c r="H63" s="54"/>
      <c r="I63" s="54"/>
      <c r="J63" s="55"/>
      <c r="K63" s="11"/>
      <c r="L63" s="53" t="str">
        <f t="shared" si="3"/>
        <v/>
      </c>
      <c r="M63" s="11">
        <v>29.93</v>
      </c>
      <c r="N63" s="11">
        <v>24.57</v>
      </c>
      <c r="O63" s="11">
        <v>12</v>
      </c>
      <c r="P63" s="11">
        <v>1.5</v>
      </c>
      <c r="Q63" s="11">
        <v>5</v>
      </c>
      <c r="R63" s="11"/>
      <c r="S63" s="11"/>
      <c r="T63" s="11"/>
      <c r="U63" s="11">
        <v>43</v>
      </c>
      <c r="V63" s="56" t="s">
        <v>883</v>
      </c>
      <c r="W63" s="35" t="str">
        <f t="shared" si="2"/>
        <v>Diferente</v>
      </c>
      <c r="X63" s="38">
        <f t="shared" si="4"/>
        <v>-116</v>
      </c>
      <c r="Y63" s="3"/>
      <c r="Z63" s="116"/>
    </row>
    <row r="64" spans="1:26" ht="14.4" hidden="1" outlineLevel="1" x14ac:dyDescent="0.3">
      <c r="A64" s="3"/>
      <c r="B64" s="9" t="s">
        <v>485</v>
      </c>
      <c r="C64" s="53"/>
      <c r="D64" s="53" t="s">
        <v>105</v>
      </c>
      <c r="E64" s="11">
        <f t="shared" si="14"/>
        <v>193</v>
      </c>
      <c r="F64" s="92"/>
      <c r="G64" s="58"/>
      <c r="H64" s="54"/>
      <c r="I64" s="54"/>
      <c r="J64" s="55"/>
      <c r="K64" s="11"/>
      <c r="L64" s="53" t="str">
        <f t="shared" si="3"/>
        <v/>
      </c>
      <c r="M64" s="11">
        <v>61.99</v>
      </c>
      <c r="N64" s="11">
        <v>24.57</v>
      </c>
      <c r="O64" s="11">
        <v>12</v>
      </c>
      <c r="P64" s="11">
        <v>1.44</v>
      </c>
      <c r="Q64" s="11"/>
      <c r="R64" s="11"/>
      <c r="S64" s="11"/>
      <c r="T64" s="11"/>
      <c r="U64" s="11">
        <v>93</v>
      </c>
      <c r="V64" s="56" t="s">
        <v>892</v>
      </c>
      <c r="W64" s="35" t="str">
        <f t="shared" si="2"/>
        <v>Diferente</v>
      </c>
      <c r="X64" s="38">
        <f t="shared" si="4"/>
        <v>-193</v>
      </c>
      <c r="Y64" s="3"/>
      <c r="Z64" s="116"/>
    </row>
    <row r="65" spans="1:26" ht="14.4" hidden="1" outlineLevel="1" x14ac:dyDescent="0.3">
      <c r="A65" s="3"/>
      <c r="B65" s="52" t="s">
        <v>489</v>
      </c>
      <c r="C65" s="53">
        <v>7</v>
      </c>
      <c r="D65" s="53" t="s">
        <v>130</v>
      </c>
      <c r="E65" s="11">
        <v>181.07</v>
      </c>
      <c r="F65" s="92">
        <f>SUM(M65:U65)</f>
        <v>338.07</v>
      </c>
      <c r="G65" s="61" t="s">
        <v>893</v>
      </c>
      <c r="H65" s="54" t="s">
        <v>38</v>
      </c>
      <c r="I65" s="54"/>
      <c r="J65" s="55"/>
      <c r="K65" s="11"/>
      <c r="L65" s="53" t="str">
        <f t="shared" si="3"/>
        <v/>
      </c>
      <c r="M65" s="11">
        <f>100+157</f>
        <v>257</v>
      </c>
      <c r="N65" s="11">
        <v>24.57</v>
      </c>
      <c r="O65" s="11">
        <v>12</v>
      </c>
      <c r="P65" s="11">
        <v>1.5</v>
      </c>
      <c r="Q65" s="11"/>
      <c r="R65" s="11"/>
      <c r="S65" s="11"/>
      <c r="T65" s="11"/>
      <c r="U65" s="11">
        <v>43</v>
      </c>
      <c r="V65" s="56" t="s">
        <v>883</v>
      </c>
      <c r="W65" s="35" t="str">
        <f t="shared" si="2"/>
        <v>OK</v>
      </c>
      <c r="X65" s="38" t="str">
        <f t="shared" si="4"/>
        <v/>
      </c>
      <c r="Y65" s="3"/>
      <c r="Z65" s="116"/>
    </row>
    <row r="66" spans="1:26" ht="14.4" hidden="1" outlineLevel="1" x14ac:dyDescent="0.3">
      <c r="A66" s="3"/>
      <c r="B66" s="9" t="s">
        <v>490</v>
      </c>
      <c r="C66" s="53">
        <v>1</v>
      </c>
      <c r="D66" s="53" t="s">
        <v>95</v>
      </c>
      <c r="E66" s="11">
        <f t="shared" ref="E66:E67" si="18">SUM(M66:U66)</f>
        <v>311.82</v>
      </c>
      <c r="F66" s="92">
        <f t="shared" ref="F66:F67" si="19">E66</f>
        <v>311.82</v>
      </c>
      <c r="G66" s="58"/>
      <c r="H66" s="54" t="s">
        <v>37</v>
      </c>
      <c r="I66" s="54"/>
      <c r="J66" s="55"/>
      <c r="K66" s="11"/>
      <c r="L66" s="53" t="str">
        <f t="shared" si="3"/>
        <v/>
      </c>
      <c r="M66" s="11">
        <v>122.25</v>
      </c>
      <c r="N66" s="11">
        <v>24.57</v>
      </c>
      <c r="O66" s="11">
        <v>12</v>
      </c>
      <c r="P66" s="11">
        <v>10</v>
      </c>
      <c r="Q66" s="11">
        <v>5</v>
      </c>
      <c r="R66" s="11">
        <v>5</v>
      </c>
      <c r="S66" s="11">
        <v>15</v>
      </c>
      <c r="T66" s="11">
        <v>25</v>
      </c>
      <c r="U66" s="11">
        <v>93</v>
      </c>
      <c r="V66" s="56" t="s">
        <v>890</v>
      </c>
      <c r="W66" s="35" t="str">
        <f t="shared" si="2"/>
        <v>OK</v>
      </c>
      <c r="X66" s="38" t="str">
        <f t="shared" si="4"/>
        <v/>
      </c>
      <c r="Y66" s="3"/>
      <c r="Z66" s="116"/>
    </row>
    <row r="67" spans="1:26" ht="14.4" hidden="1" outlineLevel="1" x14ac:dyDescent="0.3">
      <c r="A67" s="3"/>
      <c r="B67" s="9" t="s">
        <v>491</v>
      </c>
      <c r="C67" s="53">
        <v>1</v>
      </c>
      <c r="D67" s="53" t="s">
        <v>95</v>
      </c>
      <c r="E67" s="11">
        <f t="shared" si="18"/>
        <v>261.82</v>
      </c>
      <c r="F67" s="92">
        <f t="shared" si="19"/>
        <v>261.82</v>
      </c>
      <c r="G67" s="58"/>
      <c r="H67" s="54" t="s">
        <v>37</v>
      </c>
      <c r="I67" s="54"/>
      <c r="J67" s="55"/>
      <c r="K67" s="11"/>
      <c r="L67" s="53" t="str">
        <f t="shared" si="3"/>
        <v/>
      </c>
      <c r="M67" s="11">
        <v>122.25</v>
      </c>
      <c r="N67" s="11">
        <v>24.57</v>
      </c>
      <c r="O67" s="11">
        <v>12</v>
      </c>
      <c r="P67" s="11">
        <v>10</v>
      </c>
      <c r="Q67" s="11">
        <v>5</v>
      </c>
      <c r="R67" s="11">
        <v>5</v>
      </c>
      <c r="S67" s="11">
        <v>15</v>
      </c>
      <c r="T67" s="11">
        <v>25</v>
      </c>
      <c r="U67" s="11">
        <v>43</v>
      </c>
      <c r="V67" s="56" t="s">
        <v>883</v>
      </c>
      <c r="W67" s="35" t="str">
        <f t="shared" si="2"/>
        <v>OK</v>
      </c>
      <c r="X67" s="38" t="str">
        <f t="shared" si="4"/>
        <v/>
      </c>
      <c r="Y67" s="3"/>
      <c r="Z67" s="116"/>
    </row>
    <row r="68" spans="1:26" ht="14.4" hidden="1" outlineLevel="1" x14ac:dyDescent="0.3">
      <c r="A68" s="3"/>
      <c r="B68" s="52" t="s">
        <v>492</v>
      </c>
      <c r="C68" s="53">
        <v>1</v>
      </c>
      <c r="D68" s="53" t="s">
        <v>95</v>
      </c>
      <c r="E68" s="11">
        <v>274.44</v>
      </c>
      <c r="F68" s="92">
        <f>SUM(M68:U68)</f>
        <v>558.88</v>
      </c>
      <c r="G68" s="58"/>
      <c r="H68" s="54" t="s">
        <v>37</v>
      </c>
      <c r="I68" s="54"/>
      <c r="J68" s="55"/>
      <c r="K68" s="11"/>
      <c r="L68" s="53" t="str">
        <f t="shared" si="3"/>
        <v/>
      </c>
      <c r="M68" s="11">
        <f>113.43+284.44</f>
        <v>397.87</v>
      </c>
      <c r="N68" s="11">
        <v>24.57</v>
      </c>
      <c r="O68" s="11">
        <v>12</v>
      </c>
      <c r="P68" s="11">
        <v>1.44</v>
      </c>
      <c r="Q68" s="11">
        <v>5</v>
      </c>
      <c r="R68" s="11">
        <v>20</v>
      </c>
      <c r="S68" s="11">
        <v>5</v>
      </c>
      <c r="T68" s="11"/>
      <c r="U68" s="11">
        <v>93</v>
      </c>
      <c r="V68" s="56" t="s">
        <v>894</v>
      </c>
      <c r="W68" s="35" t="str">
        <f t="shared" si="2"/>
        <v>OK</v>
      </c>
      <c r="X68" s="38" t="str">
        <f t="shared" si="4"/>
        <v/>
      </c>
      <c r="Y68" s="3"/>
      <c r="Z68" s="116"/>
    </row>
    <row r="69" spans="1:26" ht="14.4" hidden="1" outlineLevel="1" x14ac:dyDescent="0.3">
      <c r="A69" s="3"/>
      <c r="B69" s="9" t="s">
        <v>493</v>
      </c>
      <c r="C69" s="53">
        <v>18</v>
      </c>
      <c r="D69" s="53" t="s">
        <v>95</v>
      </c>
      <c r="E69" s="11">
        <f t="shared" ref="E69:E104" si="20">SUM(M69:U69)</f>
        <v>108.67</v>
      </c>
      <c r="F69" s="92">
        <f t="shared" ref="F69:F70" si="21">E69</f>
        <v>108.67</v>
      </c>
      <c r="G69" s="58"/>
      <c r="H69" s="54" t="s">
        <v>37</v>
      </c>
      <c r="I69" s="54"/>
      <c r="J69" s="55"/>
      <c r="K69" s="11"/>
      <c r="L69" s="53">
        <f t="shared" si="3"/>
        <v>1</v>
      </c>
      <c r="M69" s="11">
        <v>27.66</v>
      </c>
      <c r="N69" s="11">
        <v>24.57</v>
      </c>
      <c r="O69" s="11">
        <v>12</v>
      </c>
      <c r="P69" s="11">
        <v>1.44</v>
      </c>
      <c r="Q69" s="11"/>
      <c r="R69" s="11"/>
      <c r="S69" s="11"/>
      <c r="T69" s="11"/>
      <c r="U69" s="11">
        <v>43</v>
      </c>
      <c r="V69" s="56" t="s">
        <v>883</v>
      </c>
      <c r="W69" s="35" t="str">
        <f t="shared" si="2"/>
        <v>OK</v>
      </c>
      <c r="X69" s="38" t="str">
        <f t="shared" si="4"/>
        <v/>
      </c>
      <c r="Y69" s="3"/>
      <c r="Z69" s="116"/>
    </row>
    <row r="70" spans="1:26" ht="14.4" hidden="1" outlineLevel="1" x14ac:dyDescent="0.3">
      <c r="A70" s="3"/>
      <c r="B70" s="52" t="s">
        <v>494</v>
      </c>
      <c r="C70" s="53">
        <v>11</v>
      </c>
      <c r="D70" s="53" t="s">
        <v>95</v>
      </c>
      <c r="E70" s="11">
        <f t="shared" si="20"/>
        <v>163</v>
      </c>
      <c r="F70" s="92">
        <f t="shared" si="21"/>
        <v>163</v>
      </c>
      <c r="G70" s="58"/>
      <c r="H70" s="54" t="s">
        <v>37</v>
      </c>
      <c r="I70" s="54"/>
      <c r="J70" s="55"/>
      <c r="K70" s="11"/>
      <c r="L70" s="53" t="str">
        <f t="shared" si="3"/>
        <v/>
      </c>
      <c r="M70" s="11">
        <v>81.93</v>
      </c>
      <c r="N70" s="11">
        <v>24.57</v>
      </c>
      <c r="O70" s="11">
        <v>12</v>
      </c>
      <c r="P70" s="11">
        <v>1.5</v>
      </c>
      <c r="Q70" s="11"/>
      <c r="R70" s="11"/>
      <c r="S70" s="11"/>
      <c r="T70" s="11"/>
      <c r="U70" s="11">
        <v>43</v>
      </c>
      <c r="V70" s="56" t="s">
        <v>883</v>
      </c>
      <c r="W70" s="35" t="str">
        <f t="shared" si="2"/>
        <v>OK</v>
      </c>
      <c r="X70" s="38" t="str">
        <f t="shared" si="4"/>
        <v/>
      </c>
      <c r="Y70" s="3"/>
      <c r="Z70" s="116"/>
    </row>
    <row r="71" spans="1:26" ht="14.4" hidden="1" outlineLevel="1" x14ac:dyDescent="0.3">
      <c r="A71" s="3"/>
      <c r="B71" s="9" t="s">
        <v>495</v>
      </c>
      <c r="C71" s="53"/>
      <c r="D71" s="53" t="s">
        <v>105</v>
      </c>
      <c r="E71" s="11">
        <f t="shared" si="20"/>
        <v>125</v>
      </c>
      <c r="F71" s="92"/>
      <c r="G71" s="58"/>
      <c r="H71" s="54"/>
      <c r="I71" s="54"/>
      <c r="J71" s="55"/>
      <c r="K71" s="11"/>
      <c r="L71" s="53" t="str">
        <f t="shared" si="3"/>
        <v/>
      </c>
      <c r="M71" s="11">
        <v>13.93</v>
      </c>
      <c r="N71" s="11">
        <v>24.57</v>
      </c>
      <c r="O71" s="11">
        <v>12</v>
      </c>
      <c r="P71" s="11">
        <v>1.5</v>
      </c>
      <c r="Q71" s="11"/>
      <c r="R71" s="11"/>
      <c r="S71" s="11"/>
      <c r="T71" s="11"/>
      <c r="U71" s="11">
        <v>73</v>
      </c>
      <c r="V71" s="56" t="s">
        <v>882</v>
      </c>
      <c r="W71" s="35" t="str">
        <f t="shared" si="2"/>
        <v>Diferente</v>
      </c>
      <c r="X71" s="38">
        <f t="shared" si="4"/>
        <v>-125</v>
      </c>
      <c r="Y71" s="3"/>
      <c r="Z71" s="116"/>
    </row>
    <row r="72" spans="1:26" ht="14.4" hidden="1" outlineLevel="1" x14ac:dyDescent="0.3">
      <c r="A72" s="3"/>
      <c r="B72" s="9" t="s">
        <v>496</v>
      </c>
      <c r="C72" s="53"/>
      <c r="D72" s="53" t="s">
        <v>105</v>
      </c>
      <c r="E72" s="11">
        <f t="shared" si="20"/>
        <v>95</v>
      </c>
      <c r="F72" s="92"/>
      <c r="G72" s="58"/>
      <c r="H72" s="54"/>
      <c r="I72" s="54"/>
      <c r="J72" s="55"/>
      <c r="K72" s="11"/>
      <c r="L72" s="53" t="str">
        <f t="shared" si="3"/>
        <v/>
      </c>
      <c r="M72" s="11">
        <v>13.93</v>
      </c>
      <c r="N72" s="11">
        <v>24.57</v>
      </c>
      <c r="O72" s="11">
        <v>12</v>
      </c>
      <c r="P72" s="11">
        <v>1.5</v>
      </c>
      <c r="Q72" s="11"/>
      <c r="R72" s="11"/>
      <c r="S72" s="11"/>
      <c r="T72" s="11"/>
      <c r="U72" s="11">
        <v>43</v>
      </c>
      <c r="V72" s="56" t="s">
        <v>883</v>
      </c>
      <c r="W72" s="35" t="str">
        <f t="shared" si="2"/>
        <v>Diferente</v>
      </c>
      <c r="X72" s="38">
        <f t="shared" si="4"/>
        <v>-95</v>
      </c>
      <c r="Y72" s="3"/>
      <c r="Z72" s="116"/>
    </row>
    <row r="73" spans="1:26" ht="14.4" hidden="1" outlineLevel="1" x14ac:dyDescent="0.3">
      <c r="A73" s="3"/>
      <c r="B73" s="52" t="s">
        <v>497</v>
      </c>
      <c r="C73" s="53">
        <v>10</v>
      </c>
      <c r="D73" s="53" t="s">
        <v>95</v>
      </c>
      <c r="E73" s="11">
        <f t="shared" si="20"/>
        <v>143</v>
      </c>
      <c r="F73" s="92">
        <f t="shared" ref="F73:F74" si="22">E73</f>
        <v>143</v>
      </c>
      <c r="G73" s="58"/>
      <c r="H73" s="54" t="s">
        <v>37</v>
      </c>
      <c r="I73" s="54"/>
      <c r="J73" s="55"/>
      <c r="K73" s="11"/>
      <c r="L73" s="53" t="str">
        <f t="shared" si="3"/>
        <v/>
      </c>
      <c r="M73" s="11">
        <v>56.93</v>
      </c>
      <c r="N73" s="11">
        <v>24.57</v>
      </c>
      <c r="O73" s="11">
        <v>12</v>
      </c>
      <c r="P73" s="11">
        <v>1.5</v>
      </c>
      <c r="Q73" s="11">
        <v>5</v>
      </c>
      <c r="R73" s="11"/>
      <c r="S73" s="11"/>
      <c r="T73" s="11"/>
      <c r="U73" s="11">
        <v>43</v>
      </c>
      <c r="V73" s="56" t="s">
        <v>883</v>
      </c>
      <c r="W73" s="35" t="str">
        <f t="shared" si="2"/>
        <v>OK</v>
      </c>
      <c r="X73" s="38" t="str">
        <f t="shared" si="4"/>
        <v/>
      </c>
      <c r="Y73" s="3"/>
      <c r="Z73" s="116"/>
    </row>
    <row r="74" spans="1:26" ht="14.4" hidden="1" outlineLevel="1" x14ac:dyDescent="0.3">
      <c r="A74" s="3"/>
      <c r="B74" s="9" t="s">
        <v>498</v>
      </c>
      <c r="C74" s="53">
        <v>11</v>
      </c>
      <c r="D74" s="53" t="s">
        <v>95</v>
      </c>
      <c r="E74" s="11">
        <f t="shared" si="20"/>
        <v>243</v>
      </c>
      <c r="F74" s="92">
        <f t="shared" si="22"/>
        <v>243</v>
      </c>
      <c r="G74" s="58"/>
      <c r="H74" s="54" t="s">
        <v>37</v>
      </c>
      <c r="I74" s="54"/>
      <c r="J74" s="55"/>
      <c r="K74" s="11"/>
      <c r="L74" s="53" t="str">
        <f t="shared" si="3"/>
        <v/>
      </c>
      <c r="M74" s="11">
        <v>148.43</v>
      </c>
      <c r="N74" s="11">
        <v>24.57</v>
      </c>
      <c r="O74" s="11">
        <v>12</v>
      </c>
      <c r="P74" s="11">
        <v>5</v>
      </c>
      <c r="Q74" s="11">
        <v>10</v>
      </c>
      <c r="R74" s="11"/>
      <c r="S74" s="11"/>
      <c r="T74" s="11"/>
      <c r="U74" s="11">
        <v>43</v>
      </c>
      <c r="V74" s="56" t="s">
        <v>883</v>
      </c>
      <c r="W74" s="35" t="str">
        <f t="shared" si="2"/>
        <v>OK</v>
      </c>
      <c r="X74" s="38" t="str">
        <f t="shared" si="4"/>
        <v/>
      </c>
      <c r="Y74" s="3"/>
      <c r="Z74" s="116"/>
    </row>
    <row r="75" spans="1:26" ht="14.4" hidden="1" outlineLevel="1" x14ac:dyDescent="0.3">
      <c r="A75" s="3"/>
      <c r="B75" s="52" t="s">
        <v>499</v>
      </c>
      <c r="C75" s="53"/>
      <c r="D75" s="53" t="s">
        <v>105</v>
      </c>
      <c r="E75" s="11">
        <f t="shared" si="20"/>
        <v>100.39</v>
      </c>
      <c r="F75" s="92"/>
      <c r="G75" s="58"/>
      <c r="H75" s="54"/>
      <c r="I75" s="54"/>
      <c r="J75" s="55"/>
      <c r="K75" s="11"/>
      <c r="L75" s="53" t="str">
        <f t="shared" si="3"/>
        <v/>
      </c>
      <c r="M75" s="11">
        <v>19.32</v>
      </c>
      <c r="N75" s="11">
        <v>24.57</v>
      </c>
      <c r="O75" s="11">
        <v>12</v>
      </c>
      <c r="P75" s="11">
        <v>1.5</v>
      </c>
      <c r="Q75" s="11"/>
      <c r="R75" s="11"/>
      <c r="S75" s="11"/>
      <c r="T75" s="11"/>
      <c r="U75" s="11">
        <v>43</v>
      </c>
      <c r="V75" s="56" t="s">
        <v>883</v>
      </c>
      <c r="W75" s="35" t="str">
        <f t="shared" si="2"/>
        <v>Diferente</v>
      </c>
      <c r="X75" s="38">
        <f t="shared" si="4"/>
        <v>-100.39</v>
      </c>
      <c r="Y75" s="3"/>
      <c r="Z75" s="116"/>
    </row>
    <row r="76" spans="1:26" ht="14.4" hidden="1" outlineLevel="1" x14ac:dyDescent="0.3">
      <c r="A76" s="3"/>
      <c r="B76" s="9" t="s">
        <v>500</v>
      </c>
      <c r="C76" s="53"/>
      <c r="D76" s="53" t="s">
        <v>105</v>
      </c>
      <c r="E76" s="11">
        <f t="shared" si="20"/>
        <v>110.74000000000001</v>
      </c>
      <c r="F76" s="92"/>
      <c r="G76" s="58"/>
      <c r="H76" s="54"/>
      <c r="I76" s="54"/>
      <c r="J76" s="55"/>
      <c r="K76" s="11"/>
      <c r="L76" s="53" t="str">
        <f t="shared" si="3"/>
        <v/>
      </c>
      <c r="M76" s="11">
        <v>29.67</v>
      </c>
      <c r="N76" s="11">
        <v>24.57</v>
      </c>
      <c r="O76" s="11">
        <v>12</v>
      </c>
      <c r="P76" s="11">
        <v>1.5</v>
      </c>
      <c r="Q76" s="11"/>
      <c r="R76" s="11"/>
      <c r="S76" s="11"/>
      <c r="T76" s="11"/>
      <c r="U76" s="11">
        <v>43</v>
      </c>
      <c r="V76" s="56" t="s">
        <v>883</v>
      </c>
      <c r="W76" s="35" t="str">
        <f t="shared" si="2"/>
        <v>Diferente</v>
      </c>
      <c r="X76" s="38">
        <f t="shared" si="4"/>
        <v>-110.74000000000001</v>
      </c>
      <c r="Y76" s="3"/>
      <c r="Z76" s="116"/>
    </row>
    <row r="77" spans="1:26" ht="14.4" hidden="1" outlineLevel="1" x14ac:dyDescent="0.3">
      <c r="A77" s="3"/>
      <c r="B77" s="52" t="s">
        <v>501</v>
      </c>
      <c r="C77" s="53">
        <v>20</v>
      </c>
      <c r="D77" s="53" t="s">
        <v>95</v>
      </c>
      <c r="E77" s="11">
        <f t="shared" si="20"/>
        <v>137.43</v>
      </c>
      <c r="F77" s="92">
        <f t="shared" ref="F77:F85" si="23">E77</f>
        <v>137.43</v>
      </c>
      <c r="G77" s="58"/>
      <c r="H77" s="54" t="s">
        <v>37</v>
      </c>
      <c r="I77" s="54"/>
      <c r="J77" s="55"/>
      <c r="K77" s="11"/>
      <c r="L77" s="53">
        <f t="shared" si="3"/>
        <v>1</v>
      </c>
      <c r="M77" s="11">
        <v>50.86</v>
      </c>
      <c r="N77" s="11">
        <v>24.57</v>
      </c>
      <c r="O77" s="11">
        <v>12</v>
      </c>
      <c r="P77" s="11">
        <v>2</v>
      </c>
      <c r="Q77" s="11">
        <v>5</v>
      </c>
      <c r="R77" s="11"/>
      <c r="S77" s="11"/>
      <c r="T77" s="11"/>
      <c r="U77" s="11">
        <v>43</v>
      </c>
      <c r="V77" s="56" t="s">
        <v>883</v>
      </c>
      <c r="W77" s="35" t="str">
        <f t="shared" si="2"/>
        <v>OK</v>
      </c>
      <c r="X77" s="38" t="str">
        <f t="shared" si="4"/>
        <v/>
      </c>
      <c r="Y77" s="3"/>
      <c r="Z77" s="116"/>
    </row>
    <row r="78" spans="1:26" ht="14.4" hidden="1" outlineLevel="1" x14ac:dyDescent="0.3">
      <c r="A78" s="3"/>
      <c r="B78" s="52" t="s">
        <v>502</v>
      </c>
      <c r="C78" s="53">
        <v>20</v>
      </c>
      <c r="D78" s="53" t="s">
        <v>95</v>
      </c>
      <c r="E78" s="11">
        <f t="shared" si="20"/>
        <v>136.57</v>
      </c>
      <c r="F78" s="92">
        <f t="shared" si="23"/>
        <v>136.57</v>
      </c>
      <c r="G78" s="58"/>
      <c r="H78" s="54" t="s">
        <v>37</v>
      </c>
      <c r="I78" s="54"/>
      <c r="J78" s="55"/>
      <c r="K78" s="11"/>
      <c r="L78" s="53">
        <f t="shared" si="3"/>
        <v>1</v>
      </c>
      <c r="M78" s="11">
        <v>50</v>
      </c>
      <c r="N78" s="11">
        <v>24.57</v>
      </c>
      <c r="O78" s="11">
        <v>12</v>
      </c>
      <c r="P78" s="11">
        <v>2</v>
      </c>
      <c r="Q78" s="11">
        <v>5</v>
      </c>
      <c r="R78" s="11"/>
      <c r="S78" s="11"/>
      <c r="T78" s="11"/>
      <c r="U78" s="11">
        <v>43</v>
      </c>
      <c r="V78" s="56" t="s">
        <v>883</v>
      </c>
      <c r="W78" s="35" t="str">
        <f t="shared" si="2"/>
        <v>OK</v>
      </c>
      <c r="X78" s="38" t="str">
        <f t="shared" si="4"/>
        <v/>
      </c>
      <c r="Y78" s="3"/>
      <c r="Z78" s="116"/>
    </row>
    <row r="79" spans="1:26" ht="14.4" hidden="1" outlineLevel="1" x14ac:dyDescent="0.3">
      <c r="A79" s="3"/>
      <c r="B79" s="9" t="s">
        <v>503</v>
      </c>
      <c r="C79" s="53">
        <v>6</v>
      </c>
      <c r="D79" s="53" t="s">
        <v>95</v>
      </c>
      <c r="E79" s="11">
        <f t="shared" si="20"/>
        <v>174.69</v>
      </c>
      <c r="F79" s="92">
        <f t="shared" si="23"/>
        <v>174.69</v>
      </c>
      <c r="G79" s="58"/>
      <c r="H79" s="54" t="s">
        <v>37</v>
      </c>
      <c r="I79" s="54"/>
      <c r="J79" s="55"/>
      <c r="K79" s="11"/>
      <c r="L79" s="53" t="str">
        <f t="shared" si="3"/>
        <v/>
      </c>
      <c r="M79" s="11">
        <v>93.62</v>
      </c>
      <c r="N79" s="11">
        <v>24.57</v>
      </c>
      <c r="O79" s="11">
        <v>12</v>
      </c>
      <c r="P79" s="11">
        <v>1.5</v>
      </c>
      <c r="Q79" s="11"/>
      <c r="R79" s="11"/>
      <c r="S79" s="11"/>
      <c r="T79" s="11"/>
      <c r="U79" s="11">
        <v>43</v>
      </c>
      <c r="V79" s="56" t="s">
        <v>883</v>
      </c>
      <c r="W79" s="35" t="str">
        <f t="shared" si="2"/>
        <v>OK</v>
      </c>
      <c r="X79" s="38" t="str">
        <f t="shared" si="4"/>
        <v/>
      </c>
      <c r="Y79" s="3"/>
      <c r="Z79" s="116"/>
    </row>
    <row r="80" spans="1:26" ht="14.4" hidden="1" outlineLevel="1" x14ac:dyDescent="0.3">
      <c r="A80" s="3"/>
      <c r="B80" s="9" t="s">
        <v>504</v>
      </c>
      <c r="C80" s="53">
        <v>6</v>
      </c>
      <c r="D80" s="53" t="s">
        <v>95</v>
      </c>
      <c r="E80" s="11">
        <f t="shared" si="20"/>
        <v>174.69</v>
      </c>
      <c r="F80" s="92">
        <f t="shared" si="23"/>
        <v>174.69</v>
      </c>
      <c r="G80" s="58"/>
      <c r="H80" s="54" t="s">
        <v>37</v>
      </c>
      <c r="I80" s="54"/>
      <c r="J80" s="55"/>
      <c r="K80" s="11"/>
      <c r="L80" s="53" t="str">
        <f t="shared" si="3"/>
        <v/>
      </c>
      <c r="M80" s="11">
        <v>93.62</v>
      </c>
      <c r="N80" s="11">
        <v>24.57</v>
      </c>
      <c r="O80" s="11">
        <v>12</v>
      </c>
      <c r="P80" s="11">
        <v>1.5</v>
      </c>
      <c r="Q80" s="11"/>
      <c r="R80" s="11"/>
      <c r="S80" s="11"/>
      <c r="T80" s="11"/>
      <c r="U80" s="11">
        <v>43</v>
      </c>
      <c r="V80" s="56" t="s">
        <v>883</v>
      </c>
      <c r="W80" s="35" t="str">
        <f t="shared" si="2"/>
        <v>OK</v>
      </c>
      <c r="X80" s="38" t="str">
        <f t="shared" si="4"/>
        <v/>
      </c>
      <c r="Y80" s="3"/>
      <c r="Z80" s="116"/>
    </row>
    <row r="81" spans="1:26" ht="14.4" hidden="1" outlineLevel="1" x14ac:dyDescent="0.3">
      <c r="A81" s="3"/>
      <c r="B81" s="52" t="s">
        <v>505</v>
      </c>
      <c r="C81" s="53">
        <v>18</v>
      </c>
      <c r="D81" s="53" t="s">
        <v>95</v>
      </c>
      <c r="E81" s="11">
        <f t="shared" si="20"/>
        <v>186.57</v>
      </c>
      <c r="F81" s="92">
        <f t="shared" si="23"/>
        <v>186.57</v>
      </c>
      <c r="G81" s="58"/>
      <c r="H81" s="54" t="s">
        <v>37</v>
      </c>
      <c r="I81" s="54"/>
      <c r="J81" s="55"/>
      <c r="K81" s="11"/>
      <c r="L81" s="53">
        <f t="shared" si="3"/>
        <v>1</v>
      </c>
      <c r="M81" s="11">
        <v>100</v>
      </c>
      <c r="N81" s="11">
        <v>24.57</v>
      </c>
      <c r="O81" s="11">
        <v>12</v>
      </c>
      <c r="P81" s="11">
        <v>2</v>
      </c>
      <c r="Q81" s="11"/>
      <c r="R81" s="11"/>
      <c r="S81" s="11">
        <v>5</v>
      </c>
      <c r="T81" s="11"/>
      <c r="U81" s="11">
        <v>43</v>
      </c>
      <c r="V81" s="56" t="s">
        <v>883</v>
      </c>
      <c r="W81" s="35" t="str">
        <f t="shared" si="2"/>
        <v>OK</v>
      </c>
      <c r="X81" s="38" t="str">
        <f t="shared" si="4"/>
        <v/>
      </c>
      <c r="Y81" s="3"/>
      <c r="Z81" s="116"/>
    </row>
    <row r="82" spans="1:26" ht="14.4" hidden="1" outlineLevel="1" x14ac:dyDescent="0.3">
      <c r="A82" s="3"/>
      <c r="B82" s="52" t="s">
        <v>507</v>
      </c>
      <c r="C82" s="53">
        <v>18</v>
      </c>
      <c r="D82" s="53" t="s">
        <v>95</v>
      </c>
      <c r="E82" s="11">
        <f t="shared" si="20"/>
        <v>186.57</v>
      </c>
      <c r="F82" s="92">
        <f t="shared" si="23"/>
        <v>186.57</v>
      </c>
      <c r="G82" s="58"/>
      <c r="H82" s="54" t="s">
        <v>37</v>
      </c>
      <c r="I82" s="54"/>
      <c r="J82" s="55"/>
      <c r="K82" s="11"/>
      <c r="L82" s="53">
        <f t="shared" si="3"/>
        <v>1</v>
      </c>
      <c r="M82" s="11">
        <v>100</v>
      </c>
      <c r="N82" s="11">
        <v>24.57</v>
      </c>
      <c r="O82" s="11">
        <v>12</v>
      </c>
      <c r="P82" s="11">
        <v>2</v>
      </c>
      <c r="Q82" s="11"/>
      <c r="R82" s="11"/>
      <c r="S82" s="11">
        <v>5</v>
      </c>
      <c r="T82" s="11"/>
      <c r="U82" s="11">
        <v>43</v>
      </c>
      <c r="V82" s="56" t="s">
        <v>883</v>
      </c>
      <c r="W82" s="35" t="str">
        <f t="shared" si="2"/>
        <v>OK</v>
      </c>
      <c r="X82" s="38" t="str">
        <f t="shared" si="4"/>
        <v/>
      </c>
      <c r="Y82" s="3"/>
      <c r="Z82" s="116"/>
    </row>
    <row r="83" spans="1:26" ht="14.4" hidden="1" outlineLevel="1" x14ac:dyDescent="0.3">
      <c r="A83" s="3"/>
      <c r="B83" s="9" t="s">
        <v>508</v>
      </c>
      <c r="C83" s="53">
        <v>9</v>
      </c>
      <c r="D83" s="53" t="s">
        <v>95</v>
      </c>
      <c r="E83" s="11">
        <f t="shared" si="20"/>
        <v>293</v>
      </c>
      <c r="F83" s="92">
        <f t="shared" si="23"/>
        <v>293</v>
      </c>
      <c r="G83" s="58"/>
      <c r="H83" s="54" t="s">
        <v>37</v>
      </c>
      <c r="I83" s="54"/>
      <c r="J83" s="55"/>
      <c r="K83" s="11"/>
      <c r="L83" s="53" t="str">
        <f t="shared" si="3"/>
        <v/>
      </c>
      <c r="M83" s="11">
        <v>196.43</v>
      </c>
      <c r="N83" s="11">
        <v>24.57</v>
      </c>
      <c r="O83" s="11">
        <v>12</v>
      </c>
      <c r="P83" s="11">
        <v>2</v>
      </c>
      <c r="Q83" s="11"/>
      <c r="R83" s="11"/>
      <c r="S83" s="11">
        <v>5</v>
      </c>
      <c r="T83" s="11">
        <v>10</v>
      </c>
      <c r="U83" s="11">
        <v>43</v>
      </c>
      <c r="V83" s="56" t="s">
        <v>883</v>
      </c>
      <c r="W83" s="35" t="str">
        <f t="shared" si="2"/>
        <v>OK</v>
      </c>
      <c r="X83" s="38" t="str">
        <f t="shared" si="4"/>
        <v/>
      </c>
      <c r="Y83" s="3"/>
      <c r="Z83" s="116"/>
    </row>
    <row r="84" spans="1:26" ht="14.4" hidden="1" outlineLevel="1" x14ac:dyDescent="0.3">
      <c r="A84" s="3"/>
      <c r="B84" s="52" t="s">
        <v>509</v>
      </c>
      <c r="C84" s="53">
        <v>1</v>
      </c>
      <c r="D84" s="53" t="s">
        <v>95</v>
      </c>
      <c r="E84" s="11">
        <f t="shared" si="20"/>
        <v>290</v>
      </c>
      <c r="F84" s="92">
        <f t="shared" si="23"/>
        <v>290</v>
      </c>
      <c r="G84" s="58"/>
      <c r="H84" s="54" t="s">
        <v>37</v>
      </c>
      <c r="I84" s="54"/>
      <c r="J84" s="55"/>
      <c r="K84" s="11"/>
      <c r="L84" s="53" t="str">
        <f t="shared" si="3"/>
        <v/>
      </c>
      <c r="M84" s="11">
        <v>138.43</v>
      </c>
      <c r="N84" s="11">
        <v>24.57</v>
      </c>
      <c r="O84" s="11">
        <v>12</v>
      </c>
      <c r="P84" s="11">
        <v>2</v>
      </c>
      <c r="Q84" s="11">
        <v>5</v>
      </c>
      <c r="R84" s="11">
        <v>5</v>
      </c>
      <c r="S84" s="11">
        <v>10</v>
      </c>
      <c r="T84" s="11"/>
      <c r="U84" s="11">
        <v>93</v>
      </c>
      <c r="V84" s="56" t="s">
        <v>890</v>
      </c>
      <c r="W84" s="35" t="str">
        <f t="shared" si="2"/>
        <v>OK</v>
      </c>
      <c r="X84" s="38" t="str">
        <f t="shared" si="4"/>
        <v/>
      </c>
      <c r="Y84" s="3"/>
      <c r="Z84" s="116"/>
    </row>
    <row r="85" spans="1:26" ht="14.4" hidden="1" outlineLevel="1" x14ac:dyDescent="0.3">
      <c r="A85" s="3"/>
      <c r="B85" s="52" t="s">
        <v>510</v>
      </c>
      <c r="C85" s="53">
        <v>1</v>
      </c>
      <c r="D85" s="53" t="s">
        <v>95</v>
      </c>
      <c r="E85" s="11">
        <f t="shared" si="20"/>
        <v>240</v>
      </c>
      <c r="F85" s="92">
        <f t="shared" si="23"/>
        <v>240</v>
      </c>
      <c r="G85" s="58"/>
      <c r="H85" s="54" t="s">
        <v>37</v>
      </c>
      <c r="I85" s="54"/>
      <c r="J85" s="55"/>
      <c r="K85" s="11"/>
      <c r="L85" s="53" t="str">
        <f t="shared" si="3"/>
        <v/>
      </c>
      <c r="M85" s="11">
        <v>138.43</v>
      </c>
      <c r="N85" s="11">
        <v>24.57</v>
      </c>
      <c r="O85" s="11">
        <v>12</v>
      </c>
      <c r="P85" s="11">
        <v>2</v>
      </c>
      <c r="Q85" s="11">
        <v>5</v>
      </c>
      <c r="R85" s="11">
        <v>5</v>
      </c>
      <c r="S85" s="11">
        <v>10</v>
      </c>
      <c r="T85" s="11"/>
      <c r="U85" s="11">
        <v>43</v>
      </c>
      <c r="V85" s="56" t="s">
        <v>883</v>
      </c>
      <c r="W85" s="35" t="str">
        <f t="shared" si="2"/>
        <v>OK</v>
      </c>
      <c r="X85" s="38" t="str">
        <f t="shared" si="4"/>
        <v/>
      </c>
      <c r="Y85" s="3"/>
      <c r="Z85" s="116"/>
    </row>
    <row r="86" spans="1:26" ht="14.4" hidden="1" outlineLevel="1" x14ac:dyDescent="0.3">
      <c r="A86" s="3"/>
      <c r="B86" s="9" t="s">
        <v>511</v>
      </c>
      <c r="C86" s="53"/>
      <c r="D86" s="53" t="s">
        <v>105</v>
      </c>
      <c r="E86" s="11">
        <f t="shared" si="20"/>
        <v>112.22999999999999</v>
      </c>
      <c r="F86" s="92"/>
      <c r="G86" s="58"/>
      <c r="H86" s="54"/>
      <c r="I86" s="54"/>
      <c r="J86" s="55"/>
      <c r="K86" s="11"/>
      <c r="L86" s="53" t="str">
        <f t="shared" si="3"/>
        <v/>
      </c>
      <c r="M86" s="11">
        <v>33.93</v>
      </c>
      <c r="N86" s="11">
        <v>24.57</v>
      </c>
      <c r="O86" s="11">
        <v>12</v>
      </c>
      <c r="P86" s="11">
        <v>1.5</v>
      </c>
      <c r="Q86" s="11"/>
      <c r="R86" s="11"/>
      <c r="S86" s="11"/>
      <c r="T86" s="11"/>
      <c r="U86" s="11">
        <v>40.229999999999997</v>
      </c>
      <c r="V86" s="56" t="s">
        <v>895</v>
      </c>
      <c r="W86" s="35" t="str">
        <f t="shared" si="2"/>
        <v>Diferente</v>
      </c>
      <c r="X86" s="38">
        <f t="shared" si="4"/>
        <v>-112.22999999999999</v>
      </c>
      <c r="Y86" s="3"/>
      <c r="Z86" s="116"/>
    </row>
    <row r="87" spans="1:26" ht="14.4" hidden="1" outlineLevel="1" x14ac:dyDescent="0.3">
      <c r="A87" s="3"/>
      <c r="B87" s="52" t="s">
        <v>513</v>
      </c>
      <c r="C87" s="53">
        <v>7</v>
      </c>
      <c r="D87" s="53" t="s">
        <v>95</v>
      </c>
      <c r="E87" s="11">
        <f t="shared" si="20"/>
        <v>206.57</v>
      </c>
      <c r="F87" s="92">
        <f t="shared" ref="F87:F94" si="24">E87</f>
        <v>206.57</v>
      </c>
      <c r="G87" s="58"/>
      <c r="H87" s="54" t="s">
        <v>37</v>
      </c>
      <c r="I87" s="54"/>
      <c r="J87" s="55"/>
      <c r="K87" s="11"/>
      <c r="L87" s="53" t="str">
        <f t="shared" si="3"/>
        <v/>
      </c>
      <c r="M87" s="11">
        <v>120</v>
      </c>
      <c r="N87" s="11">
        <v>24.57</v>
      </c>
      <c r="O87" s="11">
        <v>12</v>
      </c>
      <c r="P87" s="11">
        <v>2</v>
      </c>
      <c r="Q87" s="11"/>
      <c r="R87" s="11"/>
      <c r="S87" s="11">
        <v>5</v>
      </c>
      <c r="T87" s="11"/>
      <c r="U87" s="11">
        <v>43</v>
      </c>
      <c r="V87" s="56" t="s">
        <v>883</v>
      </c>
      <c r="W87" s="35" t="str">
        <f t="shared" si="2"/>
        <v>OK</v>
      </c>
      <c r="X87" s="38" t="str">
        <f t="shared" si="4"/>
        <v/>
      </c>
      <c r="Y87" s="3"/>
      <c r="Z87" s="116"/>
    </row>
    <row r="88" spans="1:26" ht="14.4" hidden="1" outlineLevel="1" x14ac:dyDescent="0.3">
      <c r="A88" s="3"/>
      <c r="B88" s="52" t="s">
        <v>514</v>
      </c>
      <c r="C88" s="53">
        <v>7</v>
      </c>
      <c r="D88" s="53" t="s">
        <v>95</v>
      </c>
      <c r="E88" s="11">
        <f t="shared" si="20"/>
        <v>206.57</v>
      </c>
      <c r="F88" s="92">
        <f t="shared" si="24"/>
        <v>206.57</v>
      </c>
      <c r="G88" s="58"/>
      <c r="H88" s="54" t="s">
        <v>37</v>
      </c>
      <c r="I88" s="54"/>
      <c r="J88" s="55"/>
      <c r="K88" s="11"/>
      <c r="L88" s="53" t="str">
        <f t="shared" si="3"/>
        <v/>
      </c>
      <c r="M88" s="11">
        <v>120</v>
      </c>
      <c r="N88" s="11">
        <v>24.57</v>
      </c>
      <c r="O88" s="11">
        <v>12</v>
      </c>
      <c r="P88" s="11">
        <v>2</v>
      </c>
      <c r="Q88" s="11"/>
      <c r="R88" s="11"/>
      <c r="S88" s="11">
        <v>5</v>
      </c>
      <c r="T88" s="11"/>
      <c r="U88" s="11">
        <v>43</v>
      </c>
      <c r="V88" s="56" t="s">
        <v>883</v>
      </c>
      <c r="W88" s="35" t="str">
        <f t="shared" si="2"/>
        <v>OK</v>
      </c>
      <c r="X88" s="38" t="str">
        <f t="shared" si="4"/>
        <v/>
      </c>
      <c r="Y88" s="3"/>
      <c r="Z88" s="116"/>
    </row>
    <row r="89" spans="1:26" ht="14.4" hidden="1" outlineLevel="1" x14ac:dyDescent="0.3">
      <c r="A89" s="3"/>
      <c r="B89" s="9" t="s">
        <v>515</v>
      </c>
      <c r="C89" s="53">
        <v>17</v>
      </c>
      <c r="D89" s="53" t="s">
        <v>95</v>
      </c>
      <c r="E89" s="11">
        <f t="shared" si="20"/>
        <v>195</v>
      </c>
      <c r="F89" s="92">
        <f t="shared" si="24"/>
        <v>195</v>
      </c>
      <c r="G89" s="58"/>
      <c r="H89" s="54" t="s">
        <v>37</v>
      </c>
      <c r="I89" s="54"/>
      <c r="J89" s="55"/>
      <c r="K89" s="11"/>
      <c r="L89" s="53">
        <f t="shared" si="3"/>
        <v>1</v>
      </c>
      <c r="M89" s="11">
        <v>108.43</v>
      </c>
      <c r="N89" s="11">
        <v>24.57</v>
      </c>
      <c r="O89" s="11">
        <v>12</v>
      </c>
      <c r="P89" s="11">
        <v>2</v>
      </c>
      <c r="Q89" s="11"/>
      <c r="R89" s="11"/>
      <c r="S89" s="11">
        <v>5</v>
      </c>
      <c r="T89" s="11"/>
      <c r="U89" s="11">
        <v>43</v>
      </c>
      <c r="V89" s="56" t="s">
        <v>883</v>
      </c>
      <c r="W89" s="35" t="str">
        <f t="shared" si="2"/>
        <v>OK</v>
      </c>
      <c r="X89" s="38" t="str">
        <f t="shared" si="4"/>
        <v/>
      </c>
      <c r="Y89" s="3"/>
      <c r="Z89" s="116"/>
    </row>
    <row r="90" spans="1:26" ht="14.4" hidden="1" outlineLevel="1" x14ac:dyDescent="0.3">
      <c r="A90" s="3"/>
      <c r="B90" s="52" t="s">
        <v>516</v>
      </c>
      <c r="C90" s="53">
        <v>12</v>
      </c>
      <c r="D90" s="53" t="s">
        <v>95</v>
      </c>
      <c r="E90" s="11">
        <f t="shared" si="20"/>
        <v>144.5</v>
      </c>
      <c r="F90" s="92">
        <f t="shared" si="24"/>
        <v>144.5</v>
      </c>
      <c r="G90" s="58"/>
      <c r="H90" s="54" t="s">
        <v>37</v>
      </c>
      <c r="I90" s="54"/>
      <c r="J90" s="55"/>
      <c r="K90" s="11"/>
      <c r="L90" s="53" t="str">
        <f t="shared" si="3"/>
        <v/>
      </c>
      <c r="M90" s="11">
        <v>63.43</v>
      </c>
      <c r="N90" s="11">
        <v>24.57</v>
      </c>
      <c r="O90" s="11">
        <v>12</v>
      </c>
      <c r="P90" s="11">
        <v>1.5</v>
      </c>
      <c r="Q90" s="11"/>
      <c r="R90" s="11"/>
      <c r="S90" s="11"/>
      <c r="T90" s="11"/>
      <c r="U90" s="11">
        <v>43</v>
      </c>
      <c r="V90" s="56" t="s">
        <v>883</v>
      </c>
      <c r="W90" s="35" t="str">
        <f t="shared" si="2"/>
        <v>OK</v>
      </c>
      <c r="X90" s="38" t="str">
        <f t="shared" si="4"/>
        <v/>
      </c>
      <c r="Y90" s="3"/>
      <c r="Z90" s="116"/>
    </row>
    <row r="91" spans="1:26" ht="14.4" hidden="1" outlineLevel="1" x14ac:dyDescent="0.3">
      <c r="A91" s="3"/>
      <c r="B91" s="52" t="s">
        <v>517</v>
      </c>
      <c r="C91" s="53">
        <v>12</v>
      </c>
      <c r="D91" s="53" t="s">
        <v>95</v>
      </c>
      <c r="E91" s="11">
        <f t="shared" si="20"/>
        <v>194.5</v>
      </c>
      <c r="F91" s="92">
        <f t="shared" si="24"/>
        <v>194.5</v>
      </c>
      <c r="G91" s="58"/>
      <c r="H91" s="54" t="s">
        <v>37</v>
      </c>
      <c r="I91" s="54"/>
      <c r="J91" s="55"/>
      <c r="K91" s="11"/>
      <c r="L91" s="53" t="str">
        <f t="shared" si="3"/>
        <v/>
      </c>
      <c r="M91" s="11">
        <v>63.43</v>
      </c>
      <c r="N91" s="11">
        <v>24.57</v>
      </c>
      <c r="O91" s="11">
        <v>12</v>
      </c>
      <c r="P91" s="11">
        <v>1.5</v>
      </c>
      <c r="Q91" s="11"/>
      <c r="R91" s="11"/>
      <c r="S91" s="11"/>
      <c r="T91" s="11"/>
      <c r="U91" s="11">
        <v>93</v>
      </c>
      <c r="V91" s="56" t="s">
        <v>890</v>
      </c>
      <c r="W91" s="35" t="str">
        <f t="shared" si="2"/>
        <v>OK</v>
      </c>
      <c r="X91" s="38" t="str">
        <f t="shared" si="4"/>
        <v/>
      </c>
      <c r="Y91" s="3"/>
      <c r="Z91" s="116"/>
    </row>
    <row r="92" spans="1:26" ht="14.4" hidden="1" outlineLevel="1" x14ac:dyDescent="0.3">
      <c r="A92" s="3"/>
      <c r="B92" s="9" t="s">
        <v>518</v>
      </c>
      <c r="C92" s="53">
        <v>12</v>
      </c>
      <c r="D92" s="53" t="s">
        <v>95</v>
      </c>
      <c r="E92" s="11">
        <f t="shared" si="20"/>
        <v>190</v>
      </c>
      <c r="F92" s="92">
        <f t="shared" si="24"/>
        <v>190</v>
      </c>
      <c r="G92" s="58"/>
      <c r="H92" s="54" t="s">
        <v>37</v>
      </c>
      <c r="I92" s="54"/>
      <c r="J92" s="55"/>
      <c r="K92" s="11"/>
      <c r="L92" s="53" t="str">
        <f t="shared" si="3"/>
        <v/>
      </c>
      <c r="M92" s="11">
        <v>93.93</v>
      </c>
      <c r="N92" s="11">
        <v>24.57</v>
      </c>
      <c r="O92" s="11">
        <v>12</v>
      </c>
      <c r="P92" s="11">
        <v>1.5</v>
      </c>
      <c r="Q92" s="11">
        <v>5</v>
      </c>
      <c r="R92" s="11"/>
      <c r="S92" s="11">
        <v>10</v>
      </c>
      <c r="T92" s="11"/>
      <c r="U92" s="11">
        <v>43</v>
      </c>
      <c r="V92" s="56" t="s">
        <v>883</v>
      </c>
      <c r="W92" s="35" t="str">
        <f t="shared" si="2"/>
        <v>OK</v>
      </c>
      <c r="X92" s="38" t="str">
        <f t="shared" si="4"/>
        <v/>
      </c>
      <c r="Y92" s="3"/>
      <c r="Z92" s="116"/>
    </row>
    <row r="93" spans="1:26" ht="14.4" hidden="1" outlineLevel="1" x14ac:dyDescent="0.3">
      <c r="A93" s="3"/>
      <c r="B93" s="52" t="s">
        <v>519</v>
      </c>
      <c r="C93" s="53">
        <v>15</v>
      </c>
      <c r="D93" s="53" t="s">
        <v>95</v>
      </c>
      <c r="E93" s="11">
        <f t="shared" si="20"/>
        <v>195</v>
      </c>
      <c r="F93" s="92">
        <f t="shared" si="24"/>
        <v>195</v>
      </c>
      <c r="G93" s="58"/>
      <c r="H93" s="54" t="s">
        <v>37</v>
      </c>
      <c r="I93" s="54"/>
      <c r="J93" s="55"/>
      <c r="K93" s="11"/>
      <c r="L93" s="53">
        <f t="shared" si="3"/>
        <v>1</v>
      </c>
      <c r="M93" s="11">
        <v>108.43</v>
      </c>
      <c r="N93" s="11">
        <v>24.57</v>
      </c>
      <c r="O93" s="11">
        <v>12</v>
      </c>
      <c r="P93" s="11">
        <v>2</v>
      </c>
      <c r="Q93" s="11"/>
      <c r="R93" s="11"/>
      <c r="S93" s="11">
        <v>5</v>
      </c>
      <c r="T93" s="11"/>
      <c r="U93" s="11">
        <v>43</v>
      </c>
      <c r="V93" s="56" t="s">
        <v>883</v>
      </c>
      <c r="W93" s="35" t="str">
        <f t="shared" si="2"/>
        <v>OK</v>
      </c>
      <c r="X93" s="38" t="str">
        <f t="shared" si="4"/>
        <v/>
      </c>
      <c r="Y93" s="3"/>
      <c r="Z93" s="116"/>
    </row>
    <row r="94" spans="1:26" ht="14.4" hidden="1" outlineLevel="1" x14ac:dyDescent="0.3">
      <c r="A94" s="3"/>
      <c r="B94" s="9" t="s">
        <v>520</v>
      </c>
      <c r="C94" s="53">
        <v>6</v>
      </c>
      <c r="D94" s="53" t="s">
        <v>95</v>
      </c>
      <c r="E94" s="11">
        <f t="shared" si="20"/>
        <v>193</v>
      </c>
      <c r="F94" s="92">
        <f t="shared" si="24"/>
        <v>193</v>
      </c>
      <c r="G94" s="58"/>
      <c r="H94" s="54" t="s">
        <v>37</v>
      </c>
      <c r="I94" s="54"/>
      <c r="J94" s="55"/>
      <c r="K94" s="11"/>
      <c r="L94" s="53" t="str">
        <f t="shared" si="3"/>
        <v/>
      </c>
      <c r="M94" s="11">
        <v>113.43</v>
      </c>
      <c r="N94" s="11">
        <v>24.57</v>
      </c>
      <c r="O94" s="11">
        <v>12</v>
      </c>
      <c r="P94" s="11"/>
      <c r="Q94" s="11"/>
      <c r="R94" s="11"/>
      <c r="S94" s="11"/>
      <c r="T94" s="11"/>
      <c r="U94" s="11">
        <v>43</v>
      </c>
      <c r="V94" s="56" t="s">
        <v>883</v>
      </c>
      <c r="W94" s="35" t="str">
        <f t="shared" si="2"/>
        <v>OK</v>
      </c>
      <c r="X94" s="38" t="str">
        <f t="shared" si="4"/>
        <v/>
      </c>
      <c r="Y94" s="3"/>
      <c r="Z94" s="116"/>
    </row>
    <row r="95" spans="1:26" ht="14.4" hidden="1" outlineLevel="1" x14ac:dyDescent="0.3">
      <c r="A95" s="3"/>
      <c r="B95" s="52" t="s">
        <v>521</v>
      </c>
      <c r="C95" s="53"/>
      <c r="D95" s="53" t="s">
        <v>105</v>
      </c>
      <c r="E95" s="11">
        <f t="shared" si="20"/>
        <v>24</v>
      </c>
      <c r="F95" s="92"/>
      <c r="G95" s="58"/>
      <c r="H95" s="54"/>
      <c r="I95" s="54"/>
      <c r="J95" s="55"/>
      <c r="K95" s="11"/>
      <c r="L95" s="53" t="str">
        <f t="shared" si="3"/>
        <v/>
      </c>
      <c r="M95" s="11">
        <v>-12.57</v>
      </c>
      <c r="N95" s="11">
        <v>24.57</v>
      </c>
      <c r="O95" s="11">
        <v>12</v>
      </c>
      <c r="P95" s="11"/>
      <c r="Q95" s="11"/>
      <c r="R95" s="11"/>
      <c r="S95" s="11"/>
      <c r="T95" s="11"/>
      <c r="U95" s="11">
        <v>0</v>
      </c>
      <c r="V95" s="56"/>
      <c r="W95" s="35" t="str">
        <f t="shared" si="2"/>
        <v>Diferente</v>
      </c>
      <c r="X95" s="38">
        <f t="shared" si="4"/>
        <v>-24</v>
      </c>
      <c r="Y95" s="3"/>
      <c r="Z95" s="116"/>
    </row>
    <row r="96" spans="1:26" ht="14.4" hidden="1" outlineLevel="1" x14ac:dyDescent="0.3">
      <c r="A96" s="3"/>
      <c r="B96" s="9" t="s">
        <v>523</v>
      </c>
      <c r="C96" s="53">
        <v>4</v>
      </c>
      <c r="D96" s="53" t="s">
        <v>95</v>
      </c>
      <c r="E96" s="11">
        <f t="shared" si="20"/>
        <v>168</v>
      </c>
      <c r="F96" s="92">
        <f t="shared" ref="F96:F99" si="25">E96</f>
        <v>168</v>
      </c>
      <c r="G96" s="58"/>
      <c r="H96" s="54" t="s">
        <v>37</v>
      </c>
      <c r="I96" s="54"/>
      <c r="J96" s="55"/>
      <c r="K96" s="11"/>
      <c r="L96" s="53" t="str">
        <f t="shared" si="3"/>
        <v/>
      </c>
      <c r="M96" s="11">
        <v>88.43</v>
      </c>
      <c r="N96" s="11">
        <v>24.57</v>
      </c>
      <c r="O96" s="11">
        <v>12</v>
      </c>
      <c r="P96" s="11"/>
      <c r="Q96" s="11"/>
      <c r="R96" s="11"/>
      <c r="S96" s="11"/>
      <c r="T96" s="11"/>
      <c r="U96" s="11">
        <v>43</v>
      </c>
      <c r="V96" s="56" t="s">
        <v>883</v>
      </c>
      <c r="W96" s="35" t="str">
        <f t="shared" si="2"/>
        <v>OK</v>
      </c>
      <c r="X96" s="38" t="str">
        <f t="shared" si="4"/>
        <v/>
      </c>
      <c r="Y96" s="3"/>
      <c r="Z96" s="116"/>
    </row>
    <row r="97" spans="1:26" ht="14.4" hidden="1" outlineLevel="1" x14ac:dyDescent="0.3">
      <c r="A97" s="3"/>
      <c r="B97" s="52" t="s">
        <v>524</v>
      </c>
      <c r="C97" s="71">
        <v>15</v>
      </c>
      <c r="D97" s="53" t="s">
        <v>95</v>
      </c>
      <c r="E97" s="11">
        <f t="shared" si="20"/>
        <v>93</v>
      </c>
      <c r="F97" s="92">
        <f t="shared" si="25"/>
        <v>93</v>
      </c>
      <c r="G97" s="58"/>
      <c r="H97" s="54" t="s">
        <v>37</v>
      </c>
      <c r="I97" s="54"/>
      <c r="J97" s="55"/>
      <c r="K97" s="11"/>
      <c r="L97" s="53">
        <f t="shared" si="3"/>
        <v>1</v>
      </c>
      <c r="M97" s="11">
        <v>13.43</v>
      </c>
      <c r="N97" s="11">
        <v>24.57</v>
      </c>
      <c r="O97" s="11">
        <v>12</v>
      </c>
      <c r="P97" s="11"/>
      <c r="Q97" s="11"/>
      <c r="R97" s="11"/>
      <c r="S97" s="11"/>
      <c r="T97" s="11"/>
      <c r="U97" s="11">
        <v>43</v>
      </c>
      <c r="V97" s="56" t="s">
        <v>883</v>
      </c>
      <c r="W97" s="35" t="str">
        <f t="shared" si="2"/>
        <v>OK</v>
      </c>
      <c r="X97" s="38" t="str">
        <f t="shared" si="4"/>
        <v/>
      </c>
      <c r="Y97" s="3"/>
      <c r="Z97" s="116"/>
    </row>
    <row r="98" spans="1:26" ht="14.4" hidden="1" outlineLevel="1" x14ac:dyDescent="0.3">
      <c r="A98" s="3"/>
      <c r="B98" s="9" t="s">
        <v>525</v>
      </c>
      <c r="C98" s="53">
        <v>10</v>
      </c>
      <c r="D98" s="53" t="s">
        <v>95</v>
      </c>
      <c r="E98" s="11">
        <f t="shared" si="20"/>
        <v>173</v>
      </c>
      <c r="F98" s="92">
        <f t="shared" si="25"/>
        <v>173</v>
      </c>
      <c r="G98" s="58"/>
      <c r="H98" s="54" t="s">
        <v>37</v>
      </c>
      <c r="I98" s="54"/>
      <c r="J98" s="55"/>
      <c r="K98" s="11"/>
      <c r="L98" s="53" t="str">
        <f t="shared" si="3"/>
        <v/>
      </c>
      <c r="M98" s="11">
        <v>91.93</v>
      </c>
      <c r="N98" s="11">
        <v>24.57</v>
      </c>
      <c r="O98" s="11">
        <v>12</v>
      </c>
      <c r="P98" s="11">
        <v>1.5</v>
      </c>
      <c r="Q98" s="11"/>
      <c r="R98" s="11"/>
      <c r="S98" s="11"/>
      <c r="T98" s="11"/>
      <c r="U98" s="11">
        <v>43</v>
      </c>
      <c r="V98" s="56" t="s">
        <v>883</v>
      </c>
      <c r="W98" s="35" t="str">
        <f t="shared" si="2"/>
        <v>OK</v>
      </c>
      <c r="X98" s="38" t="str">
        <f t="shared" si="4"/>
        <v/>
      </c>
      <c r="Y98" s="3"/>
      <c r="Z98" s="116"/>
    </row>
    <row r="99" spans="1:26" ht="14.4" hidden="1" outlineLevel="1" x14ac:dyDescent="0.3">
      <c r="A99" s="3"/>
      <c r="B99" s="9" t="s">
        <v>526</v>
      </c>
      <c r="C99" s="53">
        <v>10</v>
      </c>
      <c r="D99" s="53" t="s">
        <v>95</v>
      </c>
      <c r="E99" s="11">
        <f t="shared" si="20"/>
        <v>173</v>
      </c>
      <c r="F99" s="92">
        <f t="shared" si="25"/>
        <v>173</v>
      </c>
      <c r="G99" s="58"/>
      <c r="H99" s="54" t="s">
        <v>37</v>
      </c>
      <c r="I99" s="54"/>
      <c r="J99" s="55"/>
      <c r="K99" s="11"/>
      <c r="L99" s="53" t="str">
        <f t="shared" si="3"/>
        <v/>
      </c>
      <c r="M99" s="11">
        <v>91.93</v>
      </c>
      <c r="N99" s="11">
        <v>24.57</v>
      </c>
      <c r="O99" s="11">
        <v>12</v>
      </c>
      <c r="P99" s="11">
        <v>1.5</v>
      </c>
      <c r="Q99" s="11"/>
      <c r="R99" s="11"/>
      <c r="S99" s="11"/>
      <c r="T99" s="11"/>
      <c r="U99" s="11">
        <v>43</v>
      </c>
      <c r="V99" s="56" t="s">
        <v>883</v>
      </c>
      <c r="W99" s="35" t="str">
        <f t="shared" si="2"/>
        <v>OK</v>
      </c>
      <c r="X99" s="38" t="str">
        <f t="shared" si="4"/>
        <v/>
      </c>
      <c r="Y99" s="3"/>
      <c r="Z99" s="116"/>
    </row>
    <row r="100" spans="1:26" ht="14.4" hidden="1" outlineLevel="1" x14ac:dyDescent="0.3">
      <c r="A100" s="3"/>
      <c r="B100" s="52" t="s">
        <v>527</v>
      </c>
      <c r="C100" s="53"/>
      <c r="D100" s="53" t="s">
        <v>105</v>
      </c>
      <c r="E100" s="11">
        <f t="shared" si="20"/>
        <v>108</v>
      </c>
      <c r="F100" s="92"/>
      <c r="G100" s="58"/>
      <c r="H100" s="54"/>
      <c r="I100" s="54"/>
      <c r="J100" s="55"/>
      <c r="K100" s="11"/>
      <c r="L100" s="53" t="str">
        <f t="shared" si="3"/>
        <v/>
      </c>
      <c r="M100" s="11">
        <v>26.43</v>
      </c>
      <c r="N100" s="11">
        <v>24.57</v>
      </c>
      <c r="O100" s="11">
        <v>12</v>
      </c>
      <c r="P100" s="11">
        <v>2</v>
      </c>
      <c r="Q100" s="11"/>
      <c r="R100" s="11"/>
      <c r="S100" s="11"/>
      <c r="T100" s="11"/>
      <c r="U100" s="11">
        <v>43</v>
      </c>
      <c r="V100" s="56" t="s">
        <v>883</v>
      </c>
      <c r="W100" s="35" t="str">
        <f t="shared" si="2"/>
        <v>Diferente</v>
      </c>
      <c r="X100" s="38">
        <f t="shared" si="4"/>
        <v>-108</v>
      </c>
      <c r="Y100" s="3"/>
      <c r="Z100" s="3"/>
    </row>
    <row r="101" spans="1:26" ht="14.4" hidden="1" outlineLevel="1" x14ac:dyDescent="0.3">
      <c r="A101" s="3"/>
      <c r="B101" s="9" t="s">
        <v>528</v>
      </c>
      <c r="C101" s="53">
        <v>5</v>
      </c>
      <c r="D101" s="53" t="s">
        <v>95</v>
      </c>
      <c r="E101" s="11">
        <f t="shared" si="20"/>
        <v>182</v>
      </c>
      <c r="F101" s="92">
        <f t="shared" ref="F101:F104" si="26">E101</f>
        <v>182</v>
      </c>
      <c r="G101" s="58"/>
      <c r="H101" s="54" t="s">
        <v>37</v>
      </c>
      <c r="I101" s="54"/>
      <c r="J101" s="55"/>
      <c r="K101" s="53"/>
      <c r="L101" s="53" t="str">
        <f t="shared" si="3"/>
        <v/>
      </c>
      <c r="M101" s="11">
        <v>100.43</v>
      </c>
      <c r="N101" s="11">
        <v>24.57</v>
      </c>
      <c r="O101" s="11">
        <v>12</v>
      </c>
      <c r="P101" s="11">
        <v>2</v>
      </c>
      <c r="Q101" s="11"/>
      <c r="R101" s="11"/>
      <c r="S101" s="11"/>
      <c r="T101" s="11"/>
      <c r="U101" s="11">
        <v>43</v>
      </c>
      <c r="V101" s="56" t="s">
        <v>883</v>
      </c>
      <c r="W101" s="35" t="str">
        <f t="shared" si="2"/>
        <v>OK</v>
      </c>
      <c r="X101" s="38" t="str">
        <f t="shared" si="4"/>
        <v/>
      </c>
      <c r="Y101" s="3"/>
      <c r="Z101" s="3"/>
    </row>
    <row r="102" spans="1:26" ht="14.4" hidden="1" outlineLevel="1" x14ac:dyDescent="0.3">
      <c r="A102" s="3"/>
      <c r="B102" s="52" t="s">
        <v>713</v>
      </c>
      <c r="C102" s="53">
        <v>6</v>
      </c>
      <c r="D102" s="53" t="s">
        <v>95</v>
      </c>
      <c r="E102" s="11">
        <f t="shared" si="20"/>
        <v>113</v>
      </c>
      <c r="F102" s="92">
        <f t="shared" si="26"/>
        <v>113</v>
      </c>
      <c r="G102" s="58"/>
      <c r="H102" s="54" t="s">
        <v>37</v>
      </c>
      <c r="I102" s="54"/>
      <c r="J102" s="55"/>
      <c r="K102" s="53"/>
      <c r="L102" s="53" t="str">
        <f t="shared" si="3"/>
        <v/>
      </c>
      <c r="M102" s="11">
        <v>31.43</v>
      </c>
      <c r="N102" s="11">
        <v>24.57</v>
      </c>
      <c r="O102" s="11">
        <v>12</v>
      </c>
      <c r="P102" s="11">
        <v>2</v>
      </c>
      <c r="Q102" s="11"/>
      <c r="R102" s="11"/>
      <c r="S102" s="11"/>
      <c r="T102" s="11"/>
      <c r="U102" s="11">
        <v>43</v>
      </c>
      <c r="V102" s="56" t="s">
        <v>883</v>
      </c>
      <c r="W102" s="35" t="str">
        <f t="shared" si="2"/>
        <v>OK</v>
      </c>
      <c r="X102" s="38" t="str">
        <f t="shared" si="4"/>
        <v/>
      </c>
      <c r="Y102" s="3"/>
      <c r="Z102" s="3"/>
    </row>
    <row r="103" spans="1:26" ht="14.4" hidden="1" outlineLevel="1" x14ac:dyDescent="0.3">
      <c r="A103" s="3"/>
      <c r="B103" s="9" t="s">
        <v>896</v>
      </c>
      <c r="C103" s="53">
        <v>10</v>
      </c>
      <c r="D103" s="53" t="s">
        <v>95</v>
      </c>
      <c r="E103" s="11">
        <f t="shared" si="20"/>
        <v>173.57</v>
      </c>
      <c r="F103" s="11">
        <f t="shared" si="26"/>
        <v>173.57</v>
      </c>
      <c r="G103" s="58"/>
      <c r="H103" s="54" t="s">
        <v>37</v>
      </c>
      <c r="I103" s="54"/>
      <c r="J103" s="55"/>
      <c r="K103" s="53"/>
      <c r="L103" s="53" t="str">
        <f t="shared" si="3"/>
        <v/>
      </c>
      <c r="M103" s="11">
        <v>94</v>
      </c>
      <c r="N103" s="11">
        <v>24.57</v>
      </c>
      <c r="O103" s="11">
        <v>12</v>
      </c>
      <c r="P103" s="11">
        <v>0</v>
      </c>
      <c r="Q103" s="11"/>
      <c r="R103" s="11"/>
      <c r="S103" s="11"/>
      <c r="T103" s="11"/>
      <c r="U103" s="11">
        <v>43</v>
      </c>
      <c r="V103" s="56" t="s">
        <v>883</v>
      </c>
      <c r="W103" s="35" t="str">
        <f t="shared" si="2"/>
        <v>OK</v>
      </c>
      <c r="X103" s="38" t="str">
        <f t="shared" si="4"/>
        <v/>
      </c>
      <c r="Y103" s="3"/>
      <c r="Z103" s="3"/>
    </row>
    <row r="104" spans="1:26" ht="14.4" hidden="1" outlineLevel="1" x14ac:dyDescent="0.3">
      <c r="A104" s="3"/>
      <c r="B104" s="9" t="s">
        <v>897</v>
      </c>
      <c r="C104" s="53">
        <v>10</v>
      </c>
      <c r="D104" s="53" t="s">
        <v>95</v>
      </c>
      <c r="E104" s="11">
        <f t="shared" si="20"/>
        <v>173.57</v>
      </c>
      <c r="F104" s="11">
        <f t="shared" si="26"/>
        <v>173.57</v>
      </c>
      <c r="G104" s="58"/>
      <c r="H104" s="54" t="s">
        <v>37</v>
      </c>
      <c r="I104" s="54"/>
      <c r="J104" s="55"/>
      <c r="K104" s="53"/>
      <c r="L104" s="53" t="str">
        <f t="shared" si="3"/>
        <v/>
      </c>
      <c r="M104" s="11">
        <v>94</v>
      </c>
      <c r="N104" s="11">
        <v>24.57</v>
      </c>
      <c r="O104" s="11">
        <v>12</v>
      </c>
      <c r="P104" s="11">
        <v>0</v>
      </c>
      <c r="Q104" s="11"/>
      <c r="R104" s="11"/>
      <c r="S104" s="11"/>
      <c r="T104" s="11"/>
      <c r="U104" s="11">
        <v>43</v>
      </c>
      <c r="V104" s="56" t="s">
        <v>883</v>
      </c>
      <c r="W104" s="35" t="str">
        <f t="shared" si="2"/>
        <v>OK</v>
      </c>
      <c r="X104" s="38" t="str">
        <f t="shared" si="4"/>
        <v/>
      </c>
      <c r="Y104" s="3"/>
      <c r="Z104" s="3"/>
    </row>
    <row r="105" spans="1:26" ht="14.4" hidden="1" outlineLevel="1" x14ac:dyDescent="0.3">
      <c r="A105" s="3"/>
      <c r="B105" s="9"/>
      <c r="C105" s="53"/>
      <c r="D105" s="53"/>
      <c r="E105" s="11"/>
      <c r="F105" s="11"/>
      <c r="G105" s="58"/>
      <c r="H105" s="54"/>
      <c r="I105" s="54"/>
      <c r="J105" s="55"/>
      <c r="K105" s="53"/>
      <c r="L105" s="53" t="str">
        <f t="shared" si="3"/>
        <v/>
      </c>
      <c r="M105" s="11"/>
      <c r="N105" s="11"/>
      <c r="O105" s="11"/>
      <c r="P105" s="11"/>
      <c r="Q105" s="11"/>
      <c r="R105" s="11"/>
      <c r="S105" s="11"/>
      <c r="T105" s="11"/>
      <c r="U105" s="11"/>
      <c r="V105" s="53"/>
      <c r="W105" s="35" t="str">
        <f t="shared" si="2"/>
        <v>OK</v>
      </c>
      <c r="X105" s="38" t="str">
        <f t="shared" si="4"/>
        <v/>
      </c>
      <c r="Y105" s="3"/>
      <c r="Z105" s="3"/>
    </row>
    <row r="106" spans="1:26" ht="14.4" hidden="1" outlineLevel="1" x14ac:dyDescent="0.3">
      <c r="A106" s="3"/>
      <c r="B106" s="9"/>
      <c r="C106" s="53"/>
      <c r="D106" s="53"/>
      <c r="E106" s="11"/>
      <c r="F106" s="11"/>
      <c r="G106" s="58"/>
      <c r="H106" s="54"/>
      <c r="I106" s="54"/>
      <c r="J106" s="55"/>
      <c r="K106" s="53"/>
      <c r="L106" s="53" t="str">
        <f t="shared" si="3"/>
        <v/>
      </c>
      <c r="M106" s="11"/>
      <c r="N106" s="11"/>
      <c r="O106" s="11"/>
      <c r="P106" s="11"/>
      <c r="Q106" s="11"/>
      <c r="R106" s="11"/>
      <c r="S106" s="11"/>
      <c r="T106" s="11"/>
      <c r="U106" s="11"/>
      <c r="V106" s="53"/>
      <c r="W106" s="35" t="str">
        <f t="shared" si="2"/>
        <v>OK</v>
      </c>
      <c r="X106" s="38" t="str">
        <f t="shared" si="4"/>
        <v/>
      </c>
      <c r="Y106" s="3"/>
      <c r="Z106" s="3"/>
    </row>
    <row r="107" spans="1:26" ht="14.4" hidden="1" outlineLevel="1" x14ac:dyDescent="0.3">
      <c r="A107" s="3"/>
      <c r="B107" s="9"/>
      <c r="C107" s="53"/>
      <c r="D107" s="53"/>
      <c r="E107" s="11"/>
      <c r="F107" s="11"/>
      <c r="G107" s="58"/>
      <c r="H107" s="54"/>
      <c r="I107" s="54"/>
      <c r="J107" s="55"/>
      <c r="K107" s="53"/>
      <c r="L107" s="53" t="str">
        <f t="shared" si="3"/>
        <v/>
      </c>
      <c r="M107" s="11"/>
      <c r="N107" s="11"/>
      <c r="O107" s="11"/>
      <c r="P107" s="11"/>
      <c r="Q107" s="11"/>
      <c r="R107" s="11"/>
      <c r="S107" s="11"/>
      <c r="T107" s="11"/>
      <c r="U107" s="11"/>
      <c r="V107" s="53"/>
      <c r="W107" s="35" t="str">
        <f t="shared" si="2"/>
        <v>OK</v>
      </c>
      <c r="X107" s="38" t="str">
        <f t="shared" si="4"/>
        <v/>
      </c>
      <c r="Y107" s="3"/>
      <c r="Z107" s="3"/>
    </row>
    <row r="108" spans="1:26" ht="14.4" hidden="1" outlineLevel="1" x14ac:dyDescent="0.3">
      <c r="A108" s="3"/>
      <c r="B108" s="9"/>
      <c r="C108" s="53"/>
      <c r="D108" s="53"/>
      <c r="E108" s="11"/>
      <c r="F108" s="11"/>
      <c r="G108" s="58"/>
      <c r="H108" s="54"/>
      <c r="I108" s="54"/>
      <c r="J108" s="55"/>
      <c r="K108" s="53"/>
      <c r="L108" s="53" t="str">
        <f t="shared" si="3"/>
        <v/>
      </c>
      <c r="M108" s="11"/>
      <c r="N108" s="11"/>
      <c r="O108" s="11"/>
      <c r="P108" s="11"/>
      <c r="Q108" s="11"/>
      <c r="R108" s="11"/>
      <c r="S108" s="11"/>
      <c r="T108" s="11"/>
      <c r="U108" s="11"/>
      <c r="V108" s="53"/>
      <c r="W108" s="35" t="str">
        <f t="shared" si="2"/>
        <v>OK</v>
      </c>
      <c r="X108" s="38" t="str">
        <f t="shared" si="4"/>
        <v/>
      </c>
      <c r="Y108" s="3"/>
      <c r="Z108" s="3"/>
    </row>
    <row r="109" spans="1:26" ht="14.4" hidden="1" outlineLevel="1" x14ac:dyDescent="0.3">
      <c r="A109" s="3"/>
      <c r="B109" s="9"/>
      <c r="C109" s="53"/>
      <c r="D109" s="53"/>
      <c r="E109" s="11"/>
      <c r="F109" s="11"/>
      <c r="G109" s="58"/>
      <c r="H109" s="54"/>
      <c r="I109" s="54"/>
      <c r="J109" s="55"/>
      <c r="K109" s="53"/>
      <c r="L109" s="53" t="str">
        <f t="shared" si="3"/>
        <v/>
      </c>
      <c r="M109" s="11"/>
      <c r="N109" s="11"/>
      <c r="O109" s="11"/>
      <c r="P109" s="11"/>
      <c r="Q109" s="11"/>
      <c r="R109" s="11"/>
      <c r="S109" s="11"/>
      <c r="T109" s="11"/>
      <c r="U109" s="11"/>
      <c r="V109" s="53"/>
      <c r="W109" s="35" t="str">
        <f t="shared" si="2"/>
        <v>OK</v>
      </c>
      <c r="X109" s="38" t="str">
        <f t="shared" si="4"/>
        <v/>
      </c>
      <c r="Y109" s="3"/>
      <c r="Z109" s="3"/>
    </row>
    <row r="110" spans="1:26" ht="14.4" hidden="1" outlineLevel="1" x14ac:dyDescent="0.3">
      <c r="A110" s="3"/>
      <c r="B110" s="9"/>
      <c r="C110" s="53"/>
      <c r="D110" s="53"/>
      <c r="E110" s="11"/>
      <c r="F110" s="11"/>
      <c r="G110" s="58"/>
      <c r="H110" s="54"/>
      <c r="I110" s="54"/>
      <c r="J110" s="55"/>
      <c r="K110" s="53"/>
      <c r="L110" s="53" t="str">
        <f t="shared" si="3"/>
        <v/>
      </c>
      <c r="M110" s="11"/>
      <c r="N110" s="11"/>
      <c r="O110" s="11"/>
      <c r="P110" s="11"/>
      <c r="Q110" s="11"/>
      <c r="R110" s="11"/>
      <c r="S110" s="11"/>
      <c r="T110" s="11"/>
      <c r="U110" s="11"/>
      <c r="V110" s="53"/>
      <c r="W110" s="35" t="str">
        <f t="shared" si="2"/>
        <v>OK</v>
      </c>
      <c r="X110" s="38" t="str">
        <f t="shared" si="4"/>
        <v/>
      </c>
      <c r="Y110" s="3"/>
      <c r="Z110" s="3"/>
    </row>
    <row r="111" spans="1:26" ht="14.4" hidden="1" outlineLevel="1" x14ac:dyDescent="0.3">
      <c r="A111" s="3"/>
      <c r="B111" s="9"/>
      <c r="C111" s="53"/>
      <c r="D111" s="53"/>
      <c r="E111" s="11"/>
      <c r="F111" s="11"/>
      <c r="G111" s="58"/>
      <c r="H111" s="54"/>
      <c r="I111" s="54"/>
      <c r="J111" s="55"/>
      <c r="K111" s="53"/>
      <c r="L111" s="53" t="str">
        <f t="shared" si="3"/>
        <v/>
      </c>
      <c r="M111" s="11"/>
      <c r="N111" s="11"/>
      <c r="O111" s="11"/>
      <c r="P111" s="11"/>
      <c r="Q111" s="11"/>
      <c r="R111" s="11"/>
      <c r="S111" s="11"/>
      <c r="T111" s="11"/>
      <c r="U111" s="11"/>
      <c r="V111" s="53"/>
      <c r="W111" s="35" t="str">
        <f t="shared" si="2"/>
        <v>OK</v>
      </c>
      <c r="X111" s="38" t="str">
        <f t="shared" si="4"/>
        <v/>
      </c>
      <c r="Y111" s="3"/>
      <c r="Z111" s="3"/>
    </row>
    <row r="112" spans="1:26" ht="14.4" hidden="1" outlineLevel="1" x14ac:dyDescent="0.3">
      <c r="A112" s="3"/>
      <c r="B112" s="9"/>
      <c r="C112" s="53"/>
      <c r="D112" s="53"/>
      <c r="E112" s="11"/>
      <c r="F112" s="11"/>
      <c r="G112" s="58"/>
      <c r="H112" s="54"/>
      <c r="I112" s="54"/>
      <c r="J112" s="55"/>
      <c r="K112" s="53"/>
      <c r="L112" s="53" t="str">
        <f t="shared" si="3"/>
        <v/>
      </c>
      <c r="M112" s="11"/>
      <c r="N112" s="11"/>
      <c r="O112" s="11"/>
      <c r="P112" s="11"/>
      <c r="Q112" s="11"/>
      <c r="R112" s="11"/>
      <c r="S112" s="11"/>
      <c r="T112" s="11"/>
      <c r="U112" s="11"/>
      <c r="V112" s="53"/>
      <c r="W112" s="35" t="str">
        <f t="shared" si="2"/>
        <v>OK</v>
      </c>
      <c r="X112" s="38" t="str">
        <f t="shared" si="4"/>
        <v/>
      </c>
      <c r="Y112" s="3"/>
      <c r="Z112" s="3"/>
    </row>
    <row r="113" spans="1:26" ht="14.4" hidden="1" outlineLevel="1" x14ac:dyDescent="0.3">
      <c r="A113" s="3"/>
      <c r="B113" s="9"/>
      <c r="C113" s="53"/>
      <c r="D113" s="53"/>
      <c r="E113" s="11"/>
      <c r="F113" s="11"/>
      <c r="G113" s="58"/>
      <c r="H113" s="54"/>
      <c r="I113" s="54"/>
      <c r="J113" s="55"/>
      <c r="K113" s="53"/>
      <c r="L113" s="53" t="str">
        <f t="shared" si="3"/>
        <v/>
      </c>
      <c r="M113" s="11"/>
      <c r="N113" s="11"/>
      <c r="O113" s="11"/>
      <c r="P113" s="11"/>
      <c r="Q113" s="11"/>
      <c r="R113" s="11"/>
      <c r="S113" s="11"/>
      <c r="T113" s="11"/>
      <c r="U113" s="11"/>
      <c r="V113" s="53"/>
      <c r="W113" s="35" t="str">
        <f t="shared" si="2"/>
        <v>OK</v>
      </c>
      <c r="X113" s="38" t="str">
        <f t="shared" si="4"/>
        <v/>
      </c>
      <c r="Y113" s="3"/>
      <c r="Z113" s="3"/>
    </row>
    <row r="114" spans="1:26" ht="14.4" hidden="1" outlineLevel="1" x14ac:dyDescent="0.3">
      <c r="A114" s="3"/>
      <c r="B114" s="9"/>
      <c r="C114" s="53"/>
      <c r="D114" s="53"/>
      <c r="E114" s="11"/>
      <c r="F114" s="11"/>
      <c r="G114" s="58"/>
      <c r="H114" s="54"/>
      <c r="I114" s="54"/>
      <c r="J114" s="55"/>
      <c r="K114" s="53"/>
      <c r="L114" s="53" t="str">
        <f t="shared" si="3"/>
        <v/>
      </c>
      <c r="M114" s="11"/>
      <c r="N114" s="11"/>
      <c r="O114" s="11"/>
      <c r="P114" s="11"/>
      <c r="Q114" s="11"/>
      <c r="R114" s="11"/>
      <c r="S114" s="11"/>
      <c r="T114" s="11"/>
      <c r="U114" s="11"/>
      <c r="V114" s="53"/>
      <c r="W114" s="35" t="str">
        <f t="shared" si="2"/>
        <v>OK</v>
      </c>
      <c r="X114" s="38" t="str">
        <f t="shared" si="4"/>
        <v/>
      </c>
      <c r="Y114" s="3"/>
      <c r="Z114" s="3"/>
    </row>
    <row r="115" spans="1:26" ht="14.4" hidden="1" outlineLevel="1" x14ac:dyDescent="0.3">
      <c r="A115" s="3"/>
      <c r="B115" s="9"/>
      <c r="C115" s="53"/>
      <c r="D115" s="53"/>
      <c r="E115" s="11"/>
      <c r="F115" s="11"/>
      <c r="G115" s="58"/>
      <c r="H115" s="54"/>
      <c r="I115" s="54"/>
      <c r="J115" s="55"/>
      <c r="K115" s="53"/>
      <c r="L115" s="53" t="str">
        <f t="shared" si="3"/>
        <v/>
      </c>
      <c r="M115" s="11"/>
      <c r="N115" s="11"/>
      <c r="O115" s="11"/>
      <c r="P115" s="11"/>
      <c r="Q115" s="11"/>
      <c r="R115" s="11"/>
      <c r="S115" s="11"/>
      <c r="T115" s="11"/>
      <c r="U115" s="11"/>
      <c r="V115" s="53"/>
      <c r="W115" s="35" t="str">
        <f t="shared" si="2"/>
        <v>OK</v>
      </c>
      <c r="X115" s="38" t="str">
        <f t="shared" si="4"/>
        <v/>
      </c>
      <c r="Y115" s="3"/>
      <c r="Z115" s="3"/>
    </row>
    <row r="116" spans="1:26" ht="14.4" hidden="1" outlineLevel="1" x14ac:dyDescent="0.3">
      <c r="A116" s="3"/>
      <c r="B116" s="9"/>
      <c r="C116" s="53"/>
      <c r="D116" s="53"/>
      <c r="E116" s="11"/>
      <c r="F116" s="11"/>
      <c r="G116" s="58"/>
      <c r="H116" s="54"/>
      <c r="I116" s="54"/>
      <c r="J116" s="55"/>
      <c r="K116" s="53"/>
      <c r="L116" s="53" t="str">
        <f t="shared" si="3"/>
        <v/>
      </c>
      <c r="M116" s="11"/>
      <c r="N116" s="11"/>
      <c r="O116" s="11"/>
      <c r="P116" s="11"/>
      <c r="Q116" s="11"/>
      <c r="R116" s="11"/>
      <c r="S116" s="11"/>
      <c r="T116" s="11"/>
      <c r="U116" s="11"/>
      <c r="V116" s="53"/>
      <c r="W116" s="35" t="str">
        <f t="shared" si="2"/>
        <v>OK</v>
      </c>
      <c r="X116" s="38" t="str">
        <f t="shared" si="4"/>
        <v/>
      </c>
      <c r="Y116" s="3"/>
      <c r="Z116" s="3"/>
    </row>
    <row r="117" spans="1:26" ht="14.4" hidden="1" outlineLevel="1" x14ac:dyDescent="0.3">
      <c r="A117" s="3"/>
      <c r="B117" s="9"/>
      <c r="C117" s="53"/>
      <c r="D117" s="53"/>
      <c r="E117" s="11"/>
      <c r="F117" s="11"/>
      <c r="G117" s="58"/>
      <c r="H117" s="54"/>
      <c r="I117" s="54"/>
      <c r="J117" s="55"/>
      <c r="K117" s="53"/>
      <c r="L117" s="53" t="str">
        <f t="shared" si="3"/>
        <v/>
      </c>
      <c r="M117" s="11"/>
      <c r="N117" s="11"/>
      <c r="O117" s="11"/>
      <c r="P117" s="11"/>
      <c r="Q117" s="11"/>
      <c r="R117" s="11"/>
      <c r="S117" s="11"/>
      <c r="T117" s="11"/>
      <c r="U117" s="11"/>
      <c r="V117" s="53"/>
      <c r="W117" s="35" t="str">
        <f t="shared" si="2"/>
        <v>OK</v>
      </c>
      <c r="X117" s="38" t="str">
        <f t="shared" si="4"/>
        <v/>
      </c>
      <c r="Y117" s="3"/>
      <c r="Z117" s="3"/>
    </row>
    <row r="118" spans="1:26" ht="14.4" hidden="1" outlineLevel="1" x14ac:dyDescent="0.3">
      <c r="A118" s="3"/>
      <c r="B118" s="9"/>
      <c r="C118" s="53"/>
      <c r="D118" s="53"/>
      <c r="E118" s="11"/>
      <c r="F118" s="11"/>
      <c r="G118" s="58"/>
      <c r="H118" s="54"/>
      <c r="I118" s="54"/>
      <c r="J118" s="55"/>
      <c r="K118" s="53"/>
      <c r="L118" s="53" t="str">
        <f t="shared" si="3"/>
        <v/>
      </c>
      <c r="M118" s="11"/>
      <c r="N118" s="11"/>
      <c r="O118" s="11"/>
      <c r="P118" s="11"/>
      <c r="Q118" s="11"/>
      <c r="R118" s="11"/>
      <c r="S118" s="11"/>
      <c r="T118" s="11"/>
      <c r="U118" s="11"/>
      <c r="V118" s="53"/>
      <c r="W118" s="35" t="str">
        <f t="shared" si="2"/>
        <v>OK</v>
      </c>
      <c r="X118" s="38" t="str">
        <f t="shared" si="4"/>
        <v/>
      </c>
      <c r="Y118" s="3"/>
      <c r="Z118" s="3"/>
    </row>
    <row r="119" spans="1:26" ht="14.4" hidden="1" outlineLevel="1" x14ac:dyDescent="0.3">
      <c r="A119" s="3"/>
      <c r="B119" s="9"/>
      <c r="C119" s="53"/>
      <c r="D119" s="53"/>
      <c r="E119" s="11"/>
      <c r="F119" s="11"/>
      <c r="G119" s="58"/>
      <c r="H119" s="54"/>
      <c r="I119" s="54"/>
      <c r="J119" s="55"/>
      <c r="K119" s="53"/>
      <c r="L119" s="53" t="str">
        <f t="shared" si="3"/>
        <v/>
      </c>
      <c r="M119" s="11"/>
      <c r="N119" s="11"/>
      <c r="O119" s="11"/>
      <c r="P119" s="11"/>
      <c r="Q119" s="11"/>
      <c r="R119" s="11"/>
      <c r="S119" s="11"/>
      <c r="T119" s="11"/>
      <c r="U119" s="11"/>
      <c r="V119" s="53"/>
      <c r="W119" s="35" t="str">
        <f t="shared" si="2"/>
        <v>OK</v>
      </c>
      <c r="X119" s="38" t="str">
        <f t="shared" si="4"/>
        <v/>
      </c>
      <c r="Y119" s="3"/>
      <c r="Z119" s="3"/>
    </row>
    <row r="120" spans="1:26" ht="14.4" hidden="1" outlineLevel="1" x14ac:dyDescent="0.3">
      <c r="A120" s="3"/>
      <c r="B120" s="9"/>
      <c r="C120" s="53"/>
      <c r="D120" s="53"/>
      <c r="E120" s="11"/>
      <c r="F120" s="11"/>
      <c r="G120" s="58"/>
      <c r="H120" s="54"/>
      <c r="I120" s="54"/>
      <c r="J120" s="55"/>
      <c r="K120" s="53"/>
      <c r="L120" s="53" t="str">
        <f t="shared" si="3"/>
        <v/>
      </c>
      <c r="M120" s="11"/>
      <c r="N120" s="11"/>
      <c r="O120" s="11"/>
      <c r="P120" s="11"/>
      <c r="Q120" s="11"/>
      <c r="R120" s="11"/>
      <c r="S120" s="11"/>
      <c r="T120" s="11"/>
      <c r="U120" s="11"/>
      <c r="V120" s="53"/>
      <c r="W120" s="35" t="str">
        <f t="shared" si="2"/>
        <v>OK</v>
      </c>
      <c r="X120" s="38" t="str">
        <f t="shared" si="4"/>
        <v/>
      </c>
      <c r="Y120" s="3"/>
      <c r="Z120" s="3"/>
    </row>
    <row r="121" spans="1:26" ht="14.4" hidden="1" outlineLevel="1" x14ac:dyDescent="0.3">
      <c r="A121" s="3"/>
      <c r="B121" s="9"/>
      <c r="C121" s="53"/>
      <c r="D121" s="53"/>
      <c r="E121" s="11"/>
      <c r="F121" s="11"/>
      <c r="G121" s="58"/>
      <c r="H121" s="54"/>
      <c r="I121" s="54"/>
      <c r="J121" s="55"/>
      <c r="K121" s="53"/>
      <c r="L121" s="53" t="str">
        <f t="shared" si="3"/>
        <v/>
      </c>
      <c r="M121" s="11"/>
      <c r="N121" s="11"/>
      <c r="O121" s="11"/>
      <c r="P121" s="11"/>
      <c r="Q121" s="11"/>
      <c r="R121" s="11"/>
      <c r="S121" s="11"/>
      <c r="T121" s="11"/>
      <c r="U121" s="11"/>
      <c r="V121" s="53"/>
      <c r="W121" s="35" t="str">
        <f t="shared" si="2"/>
        <v>OK</v>
      </c>
      <c r="X121" s="38" t="str">
        <f t="shared" si="4"/>
        <v/>
      </c>
      <c r="Y121" s="3"/>
      <c r="Z121" s="3"/>
    </row>
    <row r="122" spans="1:26" ht="14.4" hidden="1" outlineLevel="1" x14ac:dyDescent="0.3">
      <c r="A122" s="3"/>
      <c r="B122" s="9"/>
      <c r="C122" s="53"/>
      <c r="D122" s="53"/>
      <c r="E122" s="11"/>
      <c r="F122" s="11"/>
      <c r="G122" s="58"/>
      <c r="H122" s="54"/>
      <c r="I122" s="54"/>
      <c r="J122" s="55"/>
      <c r="K122" s="53"/>
      <c r="L122" s="53" t="str">
        <f t="shared" si="3"/>
        <v/>
      </c>
      <c r="M122" s="11"/>
      <c r="N122" s="11"/>
      <c r="O122" s="11"/>
      <c r="P122" s="11"/>
      <c r="Q122" s="11"/>
      <c r="R122" s="11"/>
      <c r="S122" s="11"/>
      <c r="T122" s="11"/>
      <c r="U122" s="11"/>
      <c r="V122" s="53"/>
      <c r="W122" s="35" t="str">
        <f t="shared" si="2"/>
        <v>OK</v>
      </c>
      <c r="X122" s="38" t="str">
        <f t="shared" si="4"/>
        <v/>
      </c>
      <c r="Y122" s="3"/>
      <c r="Z122" s="3"/>
    </row>
    <row r="123" spans="1:26" ht="14.4" hidden="1" outlineLevel="1" x14ac:dyDescent="0.3">
      <c r="A123" s="3"/>
      <c r="B123" s="9"/>
      <c r="C123" s="53"/>
      <c r="D123" s="53"/>
      <c r="E123" s="11"/>
      <c r="F123" s="11"/>
      <c r="G123" s="58"/>
      <c r="H123" s="54"/>
      <c r="I123" s="54"/>
      <c r="J123" s="55"/>
      <c r="K123" s="53"/>
      <c r="L123" s="53" t="str">
        <f t="shared" si="3"/>
        <v/>
      </c>
      <c r="M123" s="11"/>
      <c r="N123" s="11"/>
      <c r="O123" s="11"/>
      <c r="P123" s="11"/>
      <c r="Q123" s="11"/>
      <c r="R123" s="11"/>
      <c r="S123" s="11"/>
      <c r="T123" s="11"/>
      <c r="U123" s="11"/>
      <c r="V123" s="53"/>
      <c r="W123" s="35" t="str">
        <f t="shared" si="2"/>
        <v>OK</v>
      </c>
      <c r="X123" s="38" t="str">
        <f t="shared" si="4"/>
        <v/>
      </c>
      <c r="Y123" s="3"/>
      <c r="Z123" s="3"/>
    </row>
    <row r="124" spans="1:26" ht="14.4" hidden="1" outlineLevel="1" x14ac:dyDescent="0.3">
      <c r="A124" s="3"/>
      <c r="B124" s="9"/>
      <c r="C124" s="53"/>
      <c r="D124" s="53"/>
      <c r="E124" s="11"/>
      <c r="F124" s="11"/>
      <c r="G124" s="58"/>
      <c r="H124" s="54"/>
      <c r="I124" s="54"/>
      <c r="J124" s="55"/>
      <c r="K124" s="53"/>
      <c r="L124" s="53" t="str">
        <f t="shared" si="3"/>
        <v/>
      </c>
      <c r="M124" s="11"/>
      <c r="N124" s="11"/>
      <c r="O124" s="11"/>
      <c r="P124" s="11"/>
      <c r="Q124" s="11"/>
      <c r="R124" s="11"/>
      <c r="S124" s="11"/>
      <c r="T124" s="11"/>
      <c r="U124" s="11"/>
      <c r="V124" s="53"/>
      <c r="W124" s="35" t="str">
        <f t="shared" si="2"/>
        <v>OK</v>
      </c>
      <c r="X124" s="38" t="str">
        <f t="shared" si="4"/>
        <v/>
      </c>
      <c r="Y124" s="3"/>
      <c r="Z124" s="3"/>
    </row>
    <row r="125" spans="1:26" ht="14.4" hidden="1" outlineLevel="1" x14ac:dyDescent="0.3">
      <c r="A125" s="3"/>
      <c r="B125" s="9"/>
      <c r="C125" s="53"/>
      <c r="D125" s="53"/>
      <c r="E125" s="11"/>
      <c r="F125" s="11"/>
      <c r="G125" s="58"/>
      <c r="H125" s="54"/>
      <c r="I125" s="54"/>
      <c r="J125" s="55"/>
      <c r="K125" s="53"/>
      <c r="L125" s="53" t="str">
        <f t="shared" si="3"/>
        <v/>
      </c>
      <c r="M125" s="11"/>
      <c r="N125" s="11"/>
      <c r="O125" s="11"/>
      <c r="P125" s="11"/>
      <c r="Q125" s="11"/>
      <c r="R125" s="11"/>
      <c r="S125" s="11"/>
      <c r="T125" s="11"/>
      <c r="U125" s="11"/>
      <c r="V125" s="53"/>
      <c r="W125" s="35" t="str">
        <f t="shared" si="2"/>
        <v>OK</v>
      </c>
      <c r="X125" s="38" t="str">
        <f t="shared" si="4"/>
        <v/>
      </c>
      <c r="Y125" s="3"/>
      <c r="Z125" s="3"/>
    </row>
    <row r="126" spans="1:26" ht="14.4" hidden="1" outlineLevel="1" x14ac:dyDescent="0.3">
      <c r="A126" s="3"/>
      <c r="B126" s="9"/>
      <c r="C126" s="53"/>
      <c r="D126" s="53"/>
      <c r="E126" s="11"/>
      <c r="F126" s="11"/>
      <c r="G126" s="58"/>
      <c r="H126" s="54"/>
      <c r="I126" s="54"/>
      <c r="J126" s="55"/>
      <c r="K126" s="53"/>
      <c r="L126" s="53"/>
      <c r="M126" s="11"/>
      <c r="N126" s="11"/>
      <c r="O126" s="11"/>
      <c r="P126" s="11"/>
      <c r="Q126" s="11"/>
      <c r="R126" s="11"/>
      <c r="S126" s="11"/>
      <c r="T126" s="11"/>
      <c r="U126" s="11"/>
      <c r="V126" s="53"/>
      <c r="W126" s="35" t="str">
        <f t="shared" si="2"/>
        <v>OK</v>
      </c>
      <c r="X126" s="38" t="str">
        <f t="shared" si="4"/>
        <v/>
      </c>
      <c r="Y126" s="3"/>
      <c r="Z126" s="3"/>
    </row>
    <row r="127" spans="1:26" ht="20.399999999999999" collapsed="1" x14ac:dyDescent="0.3">
      <c r="A127" s="3"/>
      <c r="B127" s="64" t="s">
        <v>63</v>
      </c>
      <c r="C127" s="47" t="s">
        <v>44</v>
      </c>
      <c r="D127" s="47" t="s">
        <v>44</v>
      </c>
      <c r="E127" s="48">
        <f t="shared" ref="E127:F127" si="27">SUM(E128,E131,,E135,E140,E147)</f>
        <v>0</v>
      </c>
      <c r="F127" s="48">
        <f t="shared" si="27"/>
        <v>4931.63</v>
      </c>
      <c r="G127" s="49" t="s">
        <v>44</v>
      </c>
      <c r="H127" s="65"/>
      <c r="I127" s="65"/>
      <c r="J127" s="3"/>
      <c r="K127" s="3"/>
      <c r="L127" s="3"/>
      <c r="M127" s="3"/>
      <c r="N127" s="3"/>
      <c r="O127" s="3"/>
      <c r="P127" s="3"/>
      <c r="Q127" s="3"/>
      <c r="R127" s="3"/>
      <c r="S127" s="3"/>
      <c r="T127" s="3"/>
      <c r="U127" s="3"/>
      <c r="V127" s="3"/>
      <c r="W127" s="35"/>
      <c r="X127" s="32"/>
      <c r="Y127" s="3"/>
      <c r="Z127" s="3"/>
    </row>
    <row r="128" spans="1:26" hidden="1" outlineLevel="1" x14ac:dyDescent="0.3">
      <c r="A128" s="3"/>
      <c r="B128" s="66" t="s">
        <v>231</v>
      </c>
      <c r="C128" s="67" t="s">
        <v>44</v>
      </c>
      <c r="D128" s="67" t="s">
        <v>44</v>
      </c>
      <c r="E128" s="68">
        <f>SUM(E129:E130)</f>
        <v>0</v>
      </c>
      <c r="F128" s="68">
        <f>SUMIF(D129:D130,"OK",F129:F130)</f>
        <v>382.24</v>
      </c>
      <c r="G128" s="69" t="s">
        <v>44</v>
      </c>
      <c r="H128" s="70"/>
      <c r="I128" s="70"/>
      <c r="J128" s="3"/>
      <c r="K128" s="3"/>
      <c r="L128" s="3"/>
      <c r="M128" s="3"/>
      <c r="N128" s="3"/>
      <c r="O128" s="3"/>
      <c r="P128" s="3"/>
      <c r="Q128" s="3"/>
      <c r="R128" s="3"/>
      <c r="S128" s="3"/>
      <c r="T128" s="3"/>
      <c r="U128" s="3"/>
      <c r="V128" s="3"/>
      <c r="W128" s="35"/>
      <c r="X128" s="32"/>
      <c r="Y128" s="3"/>
      <c r="Z128" s="3"/>
    </row>
    <row r="129" spans="1:26" ht="14.4" hidden="1" outlineLevel="1" x14ac:dyDescent="0.3">
      <c r="A129" s="3"/>
      <c r="B129" s="9" t="s">
        <v>232</v>
      </c>
      <c r="C129" s="53">
        <v>20</v>
      </c>
      <c r="D129" s="53" t="s">
        <v>95</v>
      </c>
      <c r="E129" s="11">
        <v>0</v>
      </c>
      <c r="F129" s="11">
        <v>382.24</v>
      </c>
      <c r="G129" s="58"/>
      <c r="H129" s="54" t="s">
        <v>37</v>
      </c>
      <c r="I129" s="54"/>
      <c r="J129" s="3"/>
      <c r="K129" s="3"/>
      <c r="L129" s="3"/>
      <c r="M129" s="3"/>
      <c r="N129" s="3"/>
      <c r="O129" s="3"/>
      <c r="P129" s="3"/>
      <c r="Q129" s="3"/>
      <c r="R129" s="3"/>
      <c r="S129" s="3"/>
      <c r="T129" s="3"/>
      <c r="U129" s="3"/>
      <c r="V129" s="3"/>
      <c r="W129" s="35"/>
      <c r="X129" s="32"/>
      <c r="Y129" s="3"/>
      <c r="Z129" s="3"/>
    </row>
    <row r="130" spans="1:26" ht="14.4" hidden="1" outlineLevel="1" x14ac:dyDescent="0.3">
      <c r="A130" s="3"/>
      <c r="B130" s="9" t="s">
        <v>62</v>
      </c>
      <c r="C130" s="53"/>
      <c r="D130" s="53"/>
      <c r="E130" s="11">
        <v>0</v>
      </c>
      <c r="F130" s="11">
        <v>0</v>
      </c>
      <c r="G130" s="58"/>
      <c r="H130" s="54"/>
      <c r="I130" s="54"/>
      <c r="J130" s="3"/>
      <c r="K130" s="3"/>
      <c r="L130" s="3"/>
      <c r="M130" s="3"/>
      <c r="N130" s="3"/>
      <c r="O130" s="3"/>
      <c r="P130" s="3"/>
      <c r="Q130" s="3"/>
      <c r="R130" s="3"/>
      <c r="S130" s="3"/>
      <c r="T130" s="3"/>
      <c r="U130" s="3"/>
      <c r="V130" s="3"/>
      <c r="W130" s="35"/>
      <c r="X130" s="32"/>
      <c r="Y130" s="3"/>
      <c r="Z130" s="3"/>
    </row>
    <row r="131" spans="1:26" hidden="1" outlineLevel="1" x14ac:dyDescent="0.3">
      <c r="A131" s="3"/>
      <c r="B131" s="66" t="s">
        <v>233</v>
      </c>
      <c r="C131" s="67" t="s">
        <v>44</v>
      </c>
      <c r="D131" s="67" t="s">
        <v>44</v>
      </c>
      <c r="E131" s="68">
        <f>SUM(E132:E134)</f>
        <v>0</v>
      </c>
      <c r="F131" s="68">
        <f>SUMIF(D132:D134,"OK",F132:F134)</f>
        <v>1083.6199999999999</v>
      </c>
      <c r="G131" s="69" t="s">
        <v>44</v>
      </c>
      <c r="H131" s="70"/>
      <c r="I131" s="70"/>
      <c r="J131" s="3"/>
      <c r="K131" s="3"/>
      <c r="L131" s="3"/>
      <c r="M131" s="3"/>
      <c r="N131" s="3"/>
      <c r="O131" s="3"/>
      <c r="P131" s="3"/>
      <c r="Q131" s="3"/>
      <c r="R131" s="3"/>
      <c r="S131" s="3"/>
      <c r="T131" s="3"/>
      <c r="U131" s="3"/>
      <c r="V131" s="3"/>
      <c r="W131" s="35"/>
      <c r="X131" s="32"/>
      <c r="Y131" s="3"/>
      <c r="Z131" s="3"/>
    </row>
    <row r="132" spans="1:26" ht="14.4" hidden="1" outlineLevel="1" x14ac:dyDescent="0.3">
      <c r="A132" s="3"/>
      <c r="B132" s="9" t="s">
        <v>716</v>
      </c>
      <c r="C132" s="53"/>
      <c r="D132" s="53"/>
      <c r="E132" s="11">
        <v>0</v>
      </c>
      <c r="F132" s="11">
        <v>0</v>
      </c>
      <c r="G132" s="60"/>
      <c r="H132" s="54"/>
      <c r="I132" s="54"/>
      <c r="J132" s="3"/>
      <c r="K132" s="3"/>
      <c r="L132" s="3"/>
      <c r="M132" s="3"/>
      <c r="N132" s="3"/>
      <c r="O132" s="3"/>
      <c r="P132" s="3"/>
      <c r="Q132" s="3"/>
      <c r="R132" s="3"/>
      <c r="S132" s="3"/>
      <c r="T132" s="3"/>
      <c r="U132" s="3"/>
      <c r="V132" s="3"/>
      <c r="W132" s="35"/>
      <c r="X132" s="32"/>
      <c r="Y132" s="3"/>
      <c r="Z132" s="3"/>
    </row>
    <row r="133" spans="1:26" ht="14.4" hidden="1" outlineLevel="1" x14ac:dyDescent="0.3">
      <c r="A133" s="3"/>
      <c r="B133" s="9" t="s">
        <v>530</v>
      </c>
      <c r="C133" s="53" t="s">
        <v>642</v>
      </c>
      <c r="D133" s="53" t="s">
        <v>95</v>
      </c>
      <c r="E133" s="11">
        <v>0</v>
      </c>
      <c r="F133" s="11">
        <v>1058.5</v>
      </c>
      <c r="G133" s="61"/>
      <c r="H133" s="54" t="s">
        <v>39</v>
      </c>
      <c r="I133" s="54"/>
      <c r="J133" s="3"/>
      <c r="K133" s="3"/>
      <c r="L133" s="3"/>
      <c r="M133" s="3"/>
      <c r="N133" s="3"/>
      <c r="O133" s="3"/>
      <c r="P133" s="3"/>
      <c r="Q133" s="3"/>
      <c r="R133" s="3"/>
      <c r="S133" s="3"/>
      <c r="T133" s="3"/>
      <c r="U133" s="3"/>
      <c r="V133" s="3"/>
      <c r="W133" s="35"/>
      <c r="X133" s="32"/>
      <c r="Y133" s="3"/>
      <c r="Z133" s="3"/>
    </row>
    <row r="134" spans="1:26" ht="14.4" hidden="1" outlineLevel="1" x14ac:dyDescent="0.3">
      <c r="A134" s="3"/>
      <c r="B134" s="9" t="s">
        <v>898</v>
      </c>
      <c r="C134" s="53" t="s">
        <v>899</v>
      </c>
      <c r="D134" s="53" t="s">
        <v>95</v>
      </c>
      <c r="E134" s="11">
        <v>0</v>
      </c>
      <c r="F134" s="11">
        <f>25.12</f>
        <v>25.12</v>
      </c>
      <c r="G134" s="60"/>
      <c r="H134" s="54" t="s">
        <v>38</v>
      </c>
      <c r="I134" s="54"/>
      <c r="J134" s="3"/>
      <c r="K134" s="3"/>
      <c r="L134" s="3"/>
      <c r="M134" s="3"/>
      <c r="N134" s="3"/>
      <c r="O134" s="3"/>
      <c r="P134" s="3"/>
      <c r="Q134" s="3"/>
      <c r="R134" s="3"/>
      <c r="S134" s="3"/>
      <c r="T134" s="3"/>
      <c r="U134" s="3"/>
      <c r="V134" s="3"/>
      <c r="W134" s="35"/>
      <c r="X134" s="32"/>
      <c r="Y134" s="3"/>
      <c r="Z134" s="3"/>
    </row>
    <row r="135" spans="1:26" hidden="1" outlineLevel="1" x14ac:dyDescent="0.3">
      <c r="A135" s="3"/>
      <c r="B135" s="66" t="s">
        <v>652</v>
      </c>
      <c r="C135" s="67" t="s">
        <v>44</v>
      </c>
      <c r="D135" s="67" t="s">
        <v>44</v>
      </c>
      <c r="E135" s="68">
        <f>SUM(E136:E138)</f>
        <v>0</v>
      </c>
      <c r="F135" s="68">
        <f>SUMIF(D136:D139,"OK",F136:F139)</f>
        <v>2485.77</v>
      </c>
      <c r="G135" s="69" t="s">
        <v>44</v>
      </c>
      <c r="H135" s="70"/>
      <c r="I135" s="70"/>
      <c r="J135" s="3"/>
      <c r="K135" s="3"/>
      <c r="L135" s="3"/>
      <c r="M135" s="3"/>
      <c r="N135" s="3"/>
      <c r="O135" s="3"/>
      <c r="P135" s="3"/>
      <c r="Q135" s="3"/>
      <c r="R135" s="3"/>
      <c r="S135" s="3"/>
      <c r="T135" s="3"/>
      <c r="U135" s="3"/>
      <c r="V135" s="3"/>
      <c r="W135" s="35"/>
      <c r="X135" s="32"/>
      <c r="Y135" s="3"/>
      <c r="Z135" s="3"/>
    </row>
    <row r="136" spans="1:26" ht="14.4" hidden="1" outlineLevel="1" x14ac:dyDescent="0.3">
      <c r="A136" s="3"/>
      <c r="B136" s="9" t="s">
        <v>716</v>
      </c>
      <c r="C136" s="53"/>
      <c r="D136" s="53"/>
      <c r="E136" s="11">
        <v>0</v>
      </c>
      <c r="F136" s="11">
        <v>0</v>
      </c>
      <c r="G136" s="60"/>
      <c r="H136" s="54"/>
      <c r="I136" s="54"/>
      <c r="J136" s="3"/>
      <c r="K136" s="3"/>
      <c r="L136" s="3"/>
      <c r="M136" s="3"/>
      <c r="N136" s="3"/>
      <c r="O136" s="3"/>
      <c r="P136" s="3"/>
      <c r="Q136" s="3"/>
      <c r="R136" s="3"/>
      <c r="S136" s="3"/>
      <c r="T136" s="3"/>
      <c r="U136" s="3"/>
      <c r="V136" s="3"/>
      <c r="W136" s="35"/>
      <c r="X136" s="32"/>
      <c r="Y136" s="3"/>
      <c r="Z136" s="3"/>
    </row>
    <row r="137" spans="1:26" ht="14.4" hidden="1" outlineLevel="1" x14ac:dyDescent="0.3">
      <c r="A137" s="3"/>
      <c r="B137" s="9" t="s">
        <v>532</v>
      </c>
      <c r="C137" s="53">
        <v>8</v>
      </c>
      <c r="D137" s="53" t="s">
        <v>95</v>
      </c>
      <c r="E137" s="11">
        <v>0</v>
      </c>
      <c r="F137" s="11">
        <v>6</v>
      </c>
      <c r="G137" s="61"/>
      <c r="H137" s="54" t="s">
        <v>37</v>
      </c>
      <c r="I137" s="54"/>
      <c r="J137" s="3"/>
      <c r="K137" s="3"/>
      <c r="L137" s="3"/>
      <c r="M137" s="3"/>
      <c r="N137" s="3"/>
      <c r="O137" s="3"/>
      <c r="P137" s="3"/>
      <c r="Q137" s="3"/>
      <c r="R137" s="3"/>
      <c r="S137" s="3"/>
      <c r="T137" s="3"/>
      <c r="U137" s="3"/>
      <c r="V137" s="3"/>
      <c r="W137" s="35"/>
      <c r="X137" s="32"/>
      <c r="Y137" s="3"/>
      <c r="Z137" s="3"/>
    </row>
    <row r="138" spans="1:26" ht="14.4" hidden="1" outlineLevel="1" x14ac:dyDescent="0.3">
      <c r="A138" s="3"/>
      <c r="B138" s="9" t="s">
        <v>533</v>
      </c>
      <c r="C138" s="53">
        <v>8</v>
      </c>
      <c r="D138" s="53" t="s">
        <v>95</v>
      </c>
      <c r="E138" s="11">
        <v>0</v>
      </c>
      <c r="F138" s="11">
        <f>11.75+11.75+12.73+28.74</f>
        <v>64.97</v>
      </c>
      <c r="G138" s="60"/>
      <c r="H138" s="54" t="s">
        <v>38</v>
      </c>
      <c r="I138" s="54"/>
      <c r="J138" s="3"/>
      <c r="K138" s="3"/>
      <c r="L138" s="3"/>
      <c r="M138" s="3"/>
      <c r="N138" s="3"/>
      <c r="O138" s="3"/>
      <c r="P138" s="3"/>
      <c r="Q138" s="3"/>
      <c r="R138" s="3"/>
      <c r="S138" s="3"/>
      <c r="T138" s="3"/>
      <c r="U138" s="3"/>
      <c r="V138" s="3"/>
      <c r="W138" s="35"/>
      <c r="X138" s="32"/>
      <c r="Y138" s="3"/>
      <c r="Z138" s="3"/>
    </row>
    <row r="139" spans="1:26" ht="14.4" hidden="1" outlineLevel="1" x14ac:dyDescent="0.3">
      <c r="A139" s="3"/>
      <c r="B139" s="9" t="s">
        <v>530</v>
      </c>
      <c r="C139" s="53" t="s">
        <v>900</v>
      </c>
      <c r="D139" s="53" t="s">
        <v>95</v>
      </c>
      <c r="E139" s="11">
        <v>0</v>
      </c>
      <c r="F139" s="11">
        <f>2676.8-262</f>
        <v>2414.8000000000002</v>
      </c>
      <c r="G139" s="60" t="s">
        <v>901</v>
      </c>
      <c r="H139" s="54" t="s">
        <v>39</v>
      </c>
      <c r="I139" s="54"/>
      <c r="J139" s="3"/>
      <c r="K139" s="3"/>
      <c r="L139" s="3"/>
      <c r="M139" s="3"/>
      <c r="N139" s="3"/>
      <c r="O139" s="3"/>
      <c r="P139" s="3"/>
      <c r="Q139" s="3"/>
      <c r="R139" s="3"/>
      <c r="S139" s="3"/>
      <c r="T139" s="3"/>
      <c r="U139" s="3"/>
      <c r="V139" s="3"/>
      <c r="W139" s="35"/>
      <c r="X139" s="32"/>
      <c r="Y139" s="3"/>
      <c r="Z139" s="3"/>
    </row>
    <row r="140" spans="1:26" hidden="1" outlineLevel="1" x14ac:dyDescent="0.3">
      <c r="A140" s="3"/>
      <c r="B140" s="66" t="s">
        <v>902</v>
      </c>
      <c r="C140" s="67" t="s">
        <v>44</v>
      </c>
      <c r="D140" s="67" t="s">
        <v>44</v>
      </c>
      <c r="E140" s="68">
        <f>SUM(E141:E146)</f>
        <v>0</v>
      </c>
      <c r="F140" s="68">
        <f>SUMIF(D141:D146,"OK",F141:F146)</f>
        <v>850</v>
      </c>
      <c r="G140" s="69" t="s">
        <v>44</v>
      </c>
      <c r="H140" s="70"/>
      <c r="I140" s="70"/>
      <c r="J140" s="3"/>
      <c r="K140" s="3"/>
      <c r="L140" s="3"/>
      <c r="M140" s="3"/>
      <c r="N140" s="3"/>
      <c r="O140" s="3"/>
      <c r="P140" s="3"/>
      <c r="Q140" s="3"/>
      <c r="R140" s="3"/>
      <c r="S140" s="3"/>
      <c r="T140" s="3"/>
      <c r="U140" s="3"/>
      <c r="V140" s="3"/>
      <c r="W140" s="35"/>
      <c r="X140" s="32"/>
      <c r="Y140" s="3"/>
      <c r="Z140" s="3"/>
    </row>
    <row r="141" spans="1:26" ht="14.4" hidden="1" outlineLevel="1" x14ac:dyDescent="0.3">
      <c r="A141" s="3"/>
      <c r="B141" s="9" t="s">
        <v>903</v>
      </c>
      <c r="C141" s="53" t="s">
        <v>904</v>
      </c>
      <c r="D141" s="53" t="s">
        <v>95</v>
      </c>
      <c r="E141" s="11">
        <v>0</v>
      </c>
      <c r="F141" s="11">
        <v>112</v>
      </c>
      <c r="G141" s="58"/>
      <c r="H141" s="54" t="s">
        <v>39</v>
      </c>
      <c r="I141" s="54"/>
      <c r="J141" s="3"/>
      <c r="K141" s="3"/>
      <c r="L141" s="3"/>
      <c r="M141" s="3"/>
      <c r="N141" s="3"/>
      <c r="O141" s="3"/>
      <c r="P141" s="3"/>
      <c r="Q141" s="3"/>
      <c r="R141" s="3"/>
      <c r="S141" s="3"/>
      <c r="T141" s="3"/>
      <c r="U141" s="3"/>
      <c r="V141" s="3"/>
      <c r="W141" s="35"/>
      <c r="X141" s="32"/>
      <c r="Y141" s="3"/>
      <c r="Z141" s="3"/>
    </row>
    <row r="142" spans="1:26" ht="14.4" hidden="1" outlineLevel="1" x14ac:dyDescent="0.3">
      <c r="A142" s="3"/>
      <c r="B142" s="9" t="s">
        <v>905</v>
      </c>
      <c r="C142" s="53" t="s">
        <v>899</v>
      </c>
      <c r="D142" s="53" t="s">
        <v>95</v>
      </c>
      <c r="E142" s="11">
        <v>0</v>
      </c>
      <c r="F142" s="11">
        <v>738</v>
      </c>
      <c r="G142" s="58"/>
      <c r="H142" s="54" t="s">
        <v>38</v>
      </c>
      <c r="I142" s="54"/>
      <c r="J142" s="3"/>
      <c r="K142" s="3"/>
      <c r="L142" s="3"/>
      <c r="M142" s="3"/>
      <c r="N142" s="3"/>
      <c r="O142" s="3"/>
      <c r="P142" s="3"/>
      <c r="Q142" s="3"/>
      <c r="R142" s="3"/>
      <c r="S142" s="3"/>
      <c r="T142" s="3"/>
      <c r="U142" s="3"/>
      <c r="V142" s="3"/>
      <c r="W142" s="35"/>
      <c r="X142" s="32"/>
      <c r="Y142" s="3"/>
      <c r="Z142" s="3"/>
    </row>
    <row r="143" spans="1:26" ht="14.4" hidden="1" outlineLevel="1" x14ac:dyDescent="0.3">
      <c r="A143" s="3"/>
      <c r="B143" s="9" t="s">
        <v>906</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4.4" hidden="1" outlineLevel="1" x14ac:dyDescent="0.3">
      <c r="A144" s="3"/>
      <c r="B144" s="9" t="s">
        <v>907</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4.4" hidden="1" outlineLevel="1" x14ac:dyDescent="0.3">
      <c r="A145" s="3"/>
      <c r="B145" s="9" t="s">
        <v>908</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t="14.4" hidden="1" outlineLevel="1" x14ac:dyDescent="0.3">
      <c r="A146" s="3"/>
      <c r="B146" s="9" t="s">
        <v>909</v>
      </c>
      <c r="C146" s="53"/>
      <c r="D146" s="53"/>
      <c r="E146" s="11">
        <v>0</v>
      </c>
      <c r="F146" s="11">
        <v>0</v>
      </c>
      <c r="G146" s="58"/>
      <c r="H146" s="54"/>
      <c r="I146" s="54"/>
      <c r="J146" s="3"/>
      <c r="K146" s="3"/>
      <c r="L146" s="3"/>
      <c r="M146" s="3"/>
      <c r="N146" s="3"/>
      <c r="O146" s="3"/>
      <c r="P146" s="3"/>
      <c r="Q146" s="3"/>
      <c r="R146" s="3"/>
      <c r="S146" s="3"/>
      <c r="T146" s="3"/>
      <c r="U146" s="3"/>
      <c r="V146" s="3"/>
      <c r="W146" s="35"/>
      <c r="X146" s="32"/>
      <c r="Y146" s="3"/>
      <c r="Z146" s="3"/>
    </row>
    <row r="147" spans="1:26" hidden="1" outlineLevel="1" x14ac:dyDescent="0.3">
      <c r="A147" s="3"/>
      <c r="B147" s="66" t="s">
        <v>63</v>
      </c>
      <c r="C147" s="67" t="s">
        <v>44</v>
      </c>
      <c r="D147" s="67" t="s">
        <v>44</v>
      </c>
      <c r="E147" s="68">
        <f>SUM(E148:E150)</f>
        <v>0</v>
      </c>
      <c r="F147" s="68">
        <f>SUMIF(D148:D150,"OK",F148:F150)</f>
        <v>130</v>
      </c>
      <c r="G147" s="69" t="s">
        <v>44</v>
      </c>
      <c r="H147" s="70"/>
      <c r="I147" s="70"/>
      <c r="J147" s="3"/>
      <c r="K147" s="3"/>
      <c r="L147" s="3"/>
      <c r="M147" s="3"/>
      <c r="N147" s="3"/>
      <c r="O147" s="3"/>
      <c r="P147" s="3"/>
      <c r="Q147" s="3"/>
      <c r="R147" s="3"/>
      <c r="S147" s="3"/>
      <c r="T147" s="3"/>
      <c r="U147" s="3"/>
      <c r="V147" s="3"/>
      <c r="W147" s="35"/>
      <c r="X147" s="32"/>
      <c r="Y147" s="3"/>
      <c r="Z147" s="3"/>
    </row>
    <row r="148" spans="1:26" ht="14.4" hidden="1" outlineLevel="1" x14ac:dyDescent="0.3">
      <c r="A148" s="3"/>
      <c r="B148" s="9" t="s">
        <v>538</v>
      </c>
      <c r="C148" s="53">
        <v>19</v>
      </c>
      <c r="D148" s="53" t="s">
        <v>95</v>
      </c>
      <c r="E148" s="11">
        <v>0</v>
      </c>
      <c r="F148" s="11">
        <v>130</v>
      </c>
      <c r="G148" s="58"/>
      <c r="H148" s="54" t="s">
        <v>38</v>
      </c>
      <c r="I148" s="54"/>
      <c r="J148" s="3"/>
      <c r="K148" s="3"/>
      <c r="L148" s="3"/>
      <c r="M148" s="3"/>
      <c r="N148" s="3"/>
      <c r="O148" s="3"/>
      <c r="P148" s="3"/>
      <c r="Q148" s="3"/>
      <c r="R148" s="3"/>
      <c r="S148" s="3"/>
      <c r="T148" s="3"/>
      <c r="U148" s="3"/>
      <c r="V148" s="3"/>
      <c r="W148" s="35"/>
      <c r="X148" s="32"/>
      <c r="Y148" s="3"/>
      <c r="Z148" s="3"/>
    </row>
    <row r="149" spans="1:26" ht="14.4" hidden="1" outlineLevel="1" x14ac:dyDescent="0.3">
      <c r="A149" s="3"/>
      <c r="B149" s="9" t="s">
        <v>64</v>
      </c>
      <c r="C149" s="53"/>
      <c r="D149" s="53"/>
      <c r="E149" s="11">
        <v>0</v>
      </c>
      <c r="F149" s="11">
        <v>0</v>
      </c>
      <c r="G149" s="58"/>
      <c r="H149" s="54"/>
      <c r="I149" s="54"/>
      <c r="J149" s="3"/>
      <c r="K149" s="3"/>
      <c r="L149" s="3"/>
      <c r="M149" s="3"/>
      <c r="N149" s="3"/>
      <c r="O149" s="3"/>
      <c r="P149" s="3"/>
      <c r="Q149" s="3"/>
      <c r="R149" s="3"/>
      <c r="S149" s="3"/>
      <c r="T149" s="3"/>
      <c r="U149" s="3"/>
      <c r="V149" s="3"/>
      <c r="W149" s="35"/>
      <c r="X149" s="32"/>
      <c r="Y149" s="3"/>
      <c r="Z149" s="3"/>
    </row>
    <row r="150" spans="1:26" ht="14.4" hidden="1" outlineLevel="1" x14ac:dyDescent="0.3">
      <c r="A150" s="3"/>
      <c r="B150" s="9" t="s">
        <v>62</v>
      </c>
      <c r="C150" s="53"/>
      <c r="D150" s="53"/>
      <c r="E150" s="11">
        <v>0</v>
      </c>
      <c r="F150" s="11">
        <v>0</v>
      </c>
      <c r="G150" s="58"/>
      <c r="H150" s="54"/>
      <c r="I150" s="54"/>
      <c r="J150" s="3"/>
      <c r="K150" s="3"/>
      <c r="L150" s="3"/>
      <c r="M150" s="3"/>
      <c r="N150" s="3"/>
      <c r="O150" s="3"/>
      <c r="P150" s="3"/>
      <c r="Q150" s="3"/>
      <c r="R150" s="3"/>
      <c r="S150" s="3"/>
      <c r="T150" s="3"/>
      <c r="U150" s="3"/>
      <c r="V150" s="3"/>
      <c r="W150" s="35"/>
      <c r="X150" s="32"/>
      <c r="Y150" s="3"/>
      <c r="Z150" s="3"/>
    </row>
    <row r="151" spans="1:26" ht="20.399999999999999" collapsed="1" x14ac:dyDescent="0.3">
      <c r="A151" s="3"/>
      <c r="B151" s="64" t="s">
        <v>240</v>
      </c>
      <c r="C151" s="47" t="s">
        <v>44</v>
      </c>
      <c r="D151" s="47" t="s">
        <v>44</v>
      </c>
      <c r="E151" s="48">
        <f t="shared" ref="E151:F151" si="28">SUM(E152,E157,E162,E166)</f>
        <v>0</v>
      </c>
      <c r="F151" s="48">
        <f t="shared" si="28"/>
        <v>3434</v>
      </c>
      <c r="G151" s="49" t="s">
        <v>44</v>
      </c>
      <c r="H151" s="65"/>
      <c r="I151" s="65"/>
      <c r="J151" s="3"/>
      <c r="K151" s="3"/>
      <c r="L151" s="3"/>
      <c r="M151" s="3"/>
      <c r="N151" s="3"/>
      <c r="O151" s="3"/>
      <c r="P151" s="3"/>
      <c r="Q151" s="3"/>
      <c r="R151" s="3"/>
      <c r="S151" s="3"/>
      <c r="T151" s="3"/>
      <c r="U151" s="3"/>
      <c r="V151" s="3"/>
      <c r="W151" s="35"/>
      <c r="X151" s="32"/>
      <c r="Y151" s="3"/>
      <c r="Z151" s="3"/>
    </row>
    <row r="152" spans="1:26" hidden="1" outlineLevel="1" x14ac:dyDescent="0.3">
      <c r="A152" s="3"/>
      <c r="B152" s="66" t="s">
        <v>241</v>
      </c>
      <c r="C152" s="67" t="s">
        <v>44</v>
      </c>
      <c r="D152" s="67" t="s">
        <v>44</v>
      </c>
      <c r="E152" s="68">
        <f>SUM(E153:E156)</f>
        <v>0</v>
      </c>
      <c r="F152" s="68">
        <f>SUMIF(D153:D156,"OK",F153:F156)</f>
        <v>668</v>
      </c>
      <c r="G152" s="69" t="s">
        <v>44</v>
      </c>
      <c r="H152" s="70"/>
      <c r="I152" s="70"/>
      <c r="J152" s="3"/>
      <c r="K152" s="3"/>
      <c r="L152" s="3"/>
      <c r="M152" s="3"/>
      <c r="N152" s="3"/>
      <c r="O152" s="3"/>
      <c r="P152" s="3"/>
      <c r="Q152" s="3"/>
      <c r="R152" s="3"/>
      <c r="S152" s="3"/>
      <c r="T152" s="3"/>
      <c r="U152" s="3"/>
      <c r="V152" s="3"/>
      <c r="W152" s="35"/>
      <c r="X152" s="32"/>
      <c r="Y152" s="3"/>
      <c r="Z152" s="3"/>
    </row>
    <row r="153" spans="1:26" ht="14.4" hidden="1" outlineLevel="1" x14ac:dyDescent="0.3">
      <c r="A153" s="3"/>
      <c r="B153" s="9" t="s">
        <v>242</v>
      </c>
      <c r="C153" s="53">
        <v>1</v>
      </c>
      <c r="D153" s="53" t="s">
        <v>95</v>
      </c>
      <c r="E153" s="11">
        <v>0</v>
      </c>
      <c r="F153" s="11">
        <f>50+50+5+20+40+10+5+10+10+10+10+20+11+30+10+15</f>
        <v>306</v>
      </c>
      <c r="G153" s="58"/>
      <c r="H153" s="54" t="s">
        <v>37</v>
      </c>
      <c r="I153" s="54"/>
      <c r="J153" s="3"/>
      <c r="K153" s="3"/>
      <c r="L153" s="3"/>
      <c r="M153" s="3"/>
      <c r="N153" s="3"/>
      <c r="O153" s="3"/>
      <c r="P153" s="3"/>
      <c r="Q153" s="3"/>
      <c r="R153" s="3"/>
      <c r="S153" s="3"/>
      <c r="T153" s="3"/>
      <c r="U153" s="3"/>
      <c r="V153" s="3"/>
      <c r="W153" s="35"/>
      <c r="X153" s="32"/>
      <c r="Y153" s="3"/>
      <c r="Z153" s="3"/>
    </row>
    <row r="154" spans="1:26" ht="14.4" hidden="1" outlineLevel="1" x14ac:dyDescent="0.3">
      <c r="A154" s="3"/>
      <c r="B154" s="9" t="s">
        <v>243</v>
      </c>
      <c r="C154" s="53">
        <v>1</v>
      </c>
      <c r="D154" s="53" t="s">
        <v>95</v>
      </c>
      <c r="E154" s="11">
        <v>0</v>
      </c>
      <c r="F154" s="11">
        <v>5</v>
      </c>
      <c r="G154" s="58"/>
      <c r="H154" s="54" t="s">
        <v>36</v>
      </c>
      <c r="I154" s="54"/>
      <c r="J154" s="3"/>
      <c r="K154" s="3"/>
      <c r="L154" s="3"/>
      <c r="M154" s="3"/>
      <c r="N154" s="3"/>
      <c r="O154" s="3"/>
      <c r="P154" s="3"/>
      <c r="Q154" s="3"/>
      <c r="R154" s="3"/>
      <c r="S154" s="3"/>
      <c r="T154" s="3"/>
      <c r="U154" s="3"/>
      <c r="V154" s="3"/>
      <c r="W154" s="35"/>
      <c r="X154" s="32"/>
      <c r="Y154" s="3"/>
      <c r="Z154" s="3"/>
    </row>
    <row r="155" spans="1:26" ht="14.4" hidden="1" outlineLevel="1" x14ac:dyDescent="0.3">
      <c r="A155" s="3"/>
      <c r="B155" s="9" t="s">
        <v>244</v>
      </c>
      <c r="C155" s="53">
        <v>15</v>
      </c>
      <c r="D155" s="53" t="s">
        <v>95</v>
      </c>
      <c r="E155" s="11">
        <v>0</v>
      </c>
      <c r="F155" s="11">
        <f>10+10+50+10+20+10+20+20+50+14+25+5+20+20+10+10+10+10+6</f>
        <v>330</v>
      </c>
      <c r="G155" s="58"/>
      <c r="H155" s="54" t="s">
        <v>37</v>
      </c>
      <c r="I155" s="54"/>
      <c r="J155" s="3"/>
      <c r="K155" s="3"/>
      <c r="L155" s="3"/>
      <c r="M155" s="3"/>
      <c r="N155" s="3"/>
      <c r="O155" s="3"/>
      <c r="P155" s="3"/>
      <c r="Q155" s="3"/>
      <c r="R155" s="3"/>
      <c r="S155" s="3"/>
      <c r="T155" s="3"/>
      <c r="U155" s="3"/>
      <c r="V155" s="3"/>
      <c r="W155" s="35"/>
      <c r="X155" s="32"/>
      <c r="Y155" s="3"/>
      <c r="Z155" s="3"/>
    </row>
    <row r="156" spans="1:26" ht="14.4" hidden="1" outlineLevel="1" x14ac:dyDescent="0.3">
      <c r="A156" s="3"/>
      <c r="B156" s="9" t="s">
        <v>245</v>
      </c>
      <c r="C156" s="53">
        <v>15</v>
      </c>
      <c r="D156" s="53" t="s">
        <v>95</v>
      </c>
      <c r="E156" s="11">
        <v>0</v>
      </c>
      <c r="F156" s="11">
        <v>27</v>
      </c>
      <c r="G156" s="58"/>
      <c r="H156" s="54" t="s">
        <v>36</v>
      </c>
      <c r="I156" s="54"/>
      <c r="J156" s="3"/>
      <c r="K156" s="3"/>
      <c r="L156" s="3"/>
      <c r="M156" s="3"/>
      <c r="N156" s="3"/>
      <c r="O156" s="3"/>
      <c r="P156" s="3"/>
      <c r="Q156" s="3"/>
      <c r="R156" s="3"/>
      <c r="S156" s="3"/>
      <c r="T156" s="3"/>
      <c r="U156" s="3"/>
      <c r="V156" s="3"/>
      <c r="W156" s="35"/>
      <c r="X156" s="32"/>
      <c r="Y156" s="3"/>
      <c r="Z156" s="3"/>
    </row>
    <row r="157" spans="1:26" hidden="1" outlineLevel="1" x14ac:dyDescent="0.3">
      <c r="A157" s="3"/>
      <c r="B157" s="66" t="s">
        <v>246</v>
      </c>
      <c r="C157" s="67" t="s">
        <v>44</v>
      </c>
      <c r="D157" s="67" t="s">
        <v>44</v>
      </c>
      <c r="E157" s="68">
        <f>SUM(E158:E161)</f>
        <v>0</v>
      </c>
      <c r="F157" s="68">
        <f>SUMIF(D158:D161,"OK",F158:F161)</f>
        <v>440</v>
      </c>
      <c r="G157" s="69" t="s">
        <v>44</v>
      </c>
      <c r="H157" s="70"/>
      <c r="I157" s="70"/>
      <c r="J157" s="3"/>
      <c r="K157" s="3"/>
      <c r="L157" s="3"/>
      <c r="M157" s="3"/>
      <c r="N157" s="3"/>
      <c r="O157" s="3"/>
      <c r="P157" s="3"/>
      <c r="Q157" s="3"/>
      <c r="R157" s="3"/>
      <c r="S157" s="3"/>
      <c r="T157" s="3"/>
      <c r="U157" s="3"/>
      <c r="V157" s="3"/>
      <c r="W157" s="35"/>
      <c r="X157" s="32"/>
      <c r="Y157" s="3"/>
      <c r="Z157" s="3"/>
    </row>
    <row r="158" spans="1:26" ht="14.4" hidden="1" outlineLevel="1" x14ac:dyDescent="0.3">
      <c r="A158" s="3"/>
      <c r="B158" s="9" t="s">
        <v>242</v>
      </c>
      <c r="C158" s="53"/>
      <c r="D158" s="53"/>
      <c r="E158" s="11">
        <v>0</v>
      </c>
      <c r="F158" s="11">
        <v>0</v>
      </c>
      <c r="G158" s="60"/>
      <c r="H158" s="54" t="s">
        <v>37</v>
      </c>
      <c r="I158" s="54"/>
      <c r="J158" s="3"/>
      <c r="K158" s="3"/>
      <c r="L158" s="3"/>
      <c r="M158" s="3"/>
      <c r="N158" s="3"/>
      <c r="O158" s="3"/>
      <c r="P158" s="3"/>
      <c r="Q158" s="3"/>
      <c r="R158" s="3"/>
      <c r="S158" s="3"/>
      <c r="T158" s="3"/>
      <c r="U158" s="3"/>
      <c r="V158" s="3"/>
      <c r="W158" s="35"/>
      <c r="X158" s="32"/>
      <c r="Y158" s="3"/>
      <c r="Z158" s="3"/>
    </row>
    <row r="159" spans="1:26" ht="14.4" hidden="1" outlineLevel="1" x14ac:dyDescent="0.3">
      <c r="A159" s="3"/>
      <c r="B159" s="9" t="s">
        <v>243</v>
      </c>
      <c r="C159" s="53"/>
      <c r="D159" s="53"/>
      <c r="E159" s="11">
        <v>0</v>
      </c>
      <c r="F159" s="11">
        <v>0</v>
      </c>
      <c r="G159" s="58"/>
      <c r="H159" s="54" t="s">
        <v>36</v>
      </c>
      <c r="I159" s="54"/>
      <c r="J159" s="3"/>
      <c r="K159" s="3"/>
      <c r="L159" s="3"/>
      <c r="M159" s="3"/>
      <c r="N159" s="3"/>
      <c r="O159" s="3"/>
      <c r="P159" s="3"/>
      <c r="Q159" s="3"/>
      <c r="R159" s="3"/>
      <c r="S159" s="3"/>
      <c r="T159" s="3"/>
      <c r="U159" s="3"/>
      <c r="V159" s="3"/>
      <c r="W159" s="35"/>
      <c r="X159" s="32"/>
      <c r="Y159" s="3"/>
      <c r="Z159" s="3"/>
    </row>
    <row r="160" spans="1:26" ht="14.4" hidden="1" outlineLevel="1" x14ac:dyDescent="0.3">
      <c r="A160" s="3"/>
      <c r="B160" s="9" t="s">
        <v>244</v>
      </c>
      <c r="C160" s="53" t="s">
        <v>910</v>
      </c>
      <c r="D160" s="53" t="s">
        <v>95</v>
      </c>
      <c r="E160" s="11">
        <v>0</v>
      </c>
      <c r="F160" s="11">
        <f>30+10+30+10+10+10+20+20+20+50+20+10+40+20+10+30+10+20+10+10+10+30</f>
        <v>430</v>
      </c>
      <c r="G160" s="58"/>
      <c r="H160" s="54" t="s">
        <v>37</v>
      </c>
      <c r="I160" s="54"/>
      <c r="J160" s="3"/>
      <c r="K160" s="3"/>
      <c r="L160" s="3"/>
      <c r="M160" s="3"/>
      <c r="N160" s="3"/>
      <c r="O160" s="3"/>
      <c r="P160" s="3"/>
      <c r="Q160" s="3"/>
      <c r="R160" s="3"/>
      <c r="S160" s="3"/>
      <c r="T160" s="3"/>
      <c r="U160" s="3"/>
      <c r="V160" s="3"/>
      <c r="W160" s="35"/>
      <c r="X160" s="32"/>
      <c r="Y160" s="3"/>
      <c r="Z160" s="3"/>
    </row>
    <row r="161" spans="1:26" ht="14.4" hidden="1" outlineLevel="1" x14ac:dyDescent="0.3">
      <c r="A161" s="3"/>
      <c r="B161" s="9" t="s">
        <v>245</v>
      </c>
      <c r="C161" s="53">
        <v>15</v>
      </c>
      <c r="D161" s="53" t="s">
        <v>95</v>
      </c>
      <c r="E161" s="11">
        <v>0</v>
      </c>
      <c r="F161" s="11">
        <v>10</v>
      </c>
      <c r="G161" s="58"/>
      <c r="H161" s="54" t="s">
        <v>36</v>
      </c>
      <c r="I161" s="54"/>
      <c r="J161" s="3"/>
      <c r="K161" s="3"/>
      <c r="L161" s="3"/>
      <c r="M161" s="3"/>
      <c r="N161" s="3"/>
      <c r="O161" s="3"/>
      <c r="P161" s="3"/>
      <c r="Q161" s="3"/>
      <c r="R161" s="3"/>
      <c r="S161" s="3"/>
      <c r="T161" s="3"/>
      <c r="U161" s="3"/>
      <c r="V161" s="3"/>
      <c r="W161" s="35"/>
      <c r="X161" s="32"/>
      <c r="Y161" s="3"/>
      <c r="Z161" s="3"/>
    </row>
    <row r="162" spans="1:26" hidden="1" outlineLevel="1" x14ac:dyDescent="0.3">
      <c r="A162" s="3"/>
      <c r="B162" s="66" t="s">
        <v>62</v>
      </c>
      <c r="C162" s="67" t="s">
        <v>44</v>
      </c>
      <c r="D162" s="67" t="s">
        <v>44</v>
      </c>
      <c r="E162" s="68">
        <f>SUM(E163:E165)</f>
        <v>0</v>
      </c>
      <c r="F162" s="68">
        <f>SUMIF(D163:D165,"OK",F163:F165)</f>
        <v>2276</v>
      </c>
      <c r="G162" s="69" t="s">
        <v>44</v>
      </c>
      <c r="H162" s="70"/>
      <c r="I162" s="70"/>
      <c r="J162" s="3"/>
      <c r="K162" s="3"/>
      <c r="L162" s="3"/>
      <c r="M162" s="3"/>
      <c r="N162" s="3"/>
      <c r="O162" s="3"/>
      <c r="P162" s="3"/>
      <c r="Q162" s="3"/>
      <c r="R162" s="3"/>
      <c r="S162" s="3"/>
      <c r="T162" s="3"/>
      <c r="U162" s="3"/>
      <c r="V162" s="3"/>
      <c r="W162" s="35"/>
      <c r="X162" s="32"/>
      <c r="Y162" s="3"/>
      <c r="Z162" s="3"/>
    </row>
    <row r="163" spans="1:26" ht="14.4" hidden="1" outlineLevel="1" x14ac:dyDescent="0.3">
      <c r="A163" s="3"/>
      <c r="B163" s="9" t="s">
        <v>911</v>
      </c>
      <c r="C163" s="71" t="s">
        <v>912</v>
      </c>
      <c r="D163" s="53" t="s">
        <v>95</v>
      </c>
      <c r="E163" s="11">
        <v>0</v>
      </c>
      <c r="F163" s="11">
        <f>105+35+70+35+70+105+140+140+70+105+70+70+140+70+35+35+70+105+70+70+140+70+105+35+35+105+70+105</f>
        <v>2275</v>
      </c>
      <c r="G163" s="60" t="s">
        <v>913</v>
      </c>
      <c r="H163" s="54" t="s">
        <v>37</v>
      </c>
      <c r="I163" s="54"/>
      <c r="J163" s="3"/>
      <c r="K163" s="3"/>
      <c r="L163" s="3"/>
      <c r="M163" s="3"/>
      <c r="N163" s="3"/>
      <c r="O163" s="3"/>
      <c r="P163" s="3"/>
      <c r="Q163" s="3"/>
      <c r="R163" s="3"/>
      <c r="S163" s="3"/>
      <c r="T163" s="3"/>
      <c r="U163" s="3"/>
      <c r="V163" s="3"/>
      <c r="W163" s="35"/>
      <c r="X163" s="32"/>
      <c r="Y163" s="3"/>
      <c r="Z163" s="3"/>
    </row>
    <row r="164" spans="1:26" ht="24" hidden="1" outlineLevel="1" x14ac:dyDescent="0.3">
      <c r="A164" s="3"/>
      <c r="B164" s="9" t="s">
        <v>914</v>
      </c>
      <c r="C164" s="71">
        <v>7</v>
      </c>
      <c r="D164" s="53" t="s">
        <v>95</v>
      </c>
      <c r="E164" s="11">
        <v>0</v>
      </c>
      <c r="F164" s="11">
        <v>1</v>
      </c>
      <c r="G164" s="60" t="s">
        <v>915</v>
      </c>
      <c r="H164" s="54" t="s">
        <v>36</v>
      </c>
      <c r="I164" s="54"/>
      <c r="J164" s="3"/>
      <c r="K164" s="3"/>
      <c r="L164" s="3"/>
      <c r="M164" s="3"/>
      <c r="N164" s="3"/>
      <c r="O164" s="3"/>
      <c r="P164" s="3"/>
      <c r="Q164" s="3"/>
      <c r="R164" s="3"/>
      <c r="S164" s="3"/>
      <c r="T164" s="3"/>
      <c r="U164" s="3"/>
      <c r="V164" s="3"/>
      <c r="W164" s="35"/>
      <c r="X164" s="32"/>
      <c r="Y164" s="3"/>
      <c r="Z164" s="3"/>
    </row>
    <row r="165" spans="1:26" ht="14.4" hidden="1" outlineLevel="1" x14ac:dyDescent="0.3">
      <c r="A165" s="3"/>
      <c r="B165" s="9" t="s">
        <v>43</v>
      </c>
      <c r="C165" s="53"/>
      <c r="D165" s="53"/>
      <c r="E165" s="11">
        <v>0</v>
      </c>
      <c r="F165" s="11">
        <v>0</v>
      </c>
      <c r="G165" s="60"/>
      <c r="H165" s="54"/>
      <c r="I165" s="54"/>
      <c r="J165" s="3"/>
      <c r="K165" s="3"/>
      <c r="L165" s="3"/>
      <c r="M165" s="3"/>
      <c r="N165" s="3"/>
      <c r="O165" s="3"/>
      <c r="P165" s="3"/>
      <c r="Q165" s="3"/>
      <c r="R165" s="3"/>
      <c r="S165" s="3"/>
      <c r="T165" s="3"/>
      <c r="U165" s="3"/>
      <c r="V165" s="3"/>
      <c r="W165" s="35"/>
      <c r="X165" s="32"/>
      <c r="Y165" s="3"/>
      <c r="Z165" s="3"/>
    </row>
    <row r="166" spans="1:26" hidden="1" outlineLevel="1" x14ac:dyDescent="0.3">
      <c r="A166" s="3"/>
      <c r="B166" s="66" t="s">
        <v>62</v>
      </c>
      <c r="C166" s="67" t="s">
        <v>44</v>
      </c>
      <c r="D166" s="67" t="s">
        <v>44</v>
      </c>
      <c r="E166" s="68">
        <f>SUM(E167:E173)</f>
        <v>0</v>
      </c>
      <c r="F166" s="68">
        <f>SUMIF(D167:D174,"OK",F167:F174)</f>
        <v>50</v>
      </c>
      <c r="G166" s="69" t="s">
        <v>44</v>
      </c>
      <c r="H166" s="70"/>
      <c r="I166" s="70"/>
      <c r="J166" s="3"/>
      <c r="K166" s="3"/>
      <c r="L166" s="3"/>
      <c r="M166" s="3"/>
      <c r="N166" s="3"/>
      <c r="O166" s="3"/>
      <c r="P166" s="3"/>
      <c r="Q166" s="3"/>
      <c r="R166" s="3"/>
      <c r="S166" s="3"/>
      <c r="T166" s="3"/>
      <c r="U166" s="3"/>
      <c r="V166" s="3"/>
      <c r="W166" s="35"/>
      <c r="X166" s="32"/>
      <c r="Y166" s="3"/>
      <c r="Z166" s="3"/>
    </row>
    <row r="167" spans="1:26" ht="14.4" hidden="1" outlineLevel="1" x14ac:dyDescent="0.3">
      <c r="A167" s="3"/>
      <c r="B167" s="9" t="s">
        <v>723</v>
      </c>
      <c r="C167" s="71">
        <v>1</v>
      </c>
      <c r="D167" s="53" t="s">
        <v>95</v>
      </c>
      <c r="E167" s="11">
        <v>0</v>
      </c>
      <c r="F167" s="11">
        <v>50</v>
      </c>
      <c r="G167" s="61" t="s">
        <v>916</v>
      </c>
      <c r="H167" s="54" t="s">
        <v>37</v>
      </c>
      <c r="I167" s="54"/>
      <c r="J167" s="3"/>
      <c r="K167" s="3"/>
      <c r="L167" s="3"/>
      <c r="M167" s="3"/>
      <c r="N167" s="3"/>
      <c r="O167" s="3"/>
      <c r="P167" s="3"/>
      <c r="Q167" s="3"/>
      <c r="R167" s="3"/>
      <c r="S167" s="3"/>
      <c r="T167" s="3"/>
      <c r="U167" s="3"/>
      <c r="V167" s="3"/>
      <c r="W167" s="35"/>
      <c r="X167" s="32"/>
      <c r="Y167" s="3"/>
      <c r="Z167" s="3"/>
    </row>
    <row r="168" spans="1:26" ht="14.4" hidden="1" outlineLevel="1" x14ac:dyDescent="0.3">
      <c r="A168" s="3"/>
      <c r="B168" s="9" t="s">
        <v>43</v>
      </c>
      <c r="C168" s="71"/>
      <c r="D168" s="53"/>
      <c r="E168" s="11">
        <v>0</v>
      </c>
      <c r="F168" s="11">
        <v>0</v>
      </c>
      <c r="G168" s="61"/>
      <c r="H168" s="54"/>
      <c r="I168" s="54"/>
      <c r="J168" s="3"/>
      <c r="K168" s="3"/>
      <c r="L168" s="3"/>
      <c r="M168" s="3"/>
      <c r="N168" s="3"/>
      <c r="O168" s="3"/>
      <c r="P168" s="3"/>
      <c r="Q168" s="3"/>
      <c r="R168" s="3"/>
      <c r="S168" s="3"/>
      <c r="T168" s="3"/>
      <c r="U168" s="3"/>
      <c r="V168" s="3"/>
      <c r="W168" s="35"/>
      <c r="X168" s="32"/>
      <c r="Y168" s="3"/>
      <c r="Z168" s="3"/>
    </row>
    <row r="169" spans="1:26" ht="14.4" hidden="1" outlineLevel="1" x14ac:dyDescent="0.3">
      <c r="A169" s="3"/>
      <c r="B169" s="9" t="s">
        <v>43</v>
      </c>
      <c r="C169" s="53"/>
      <c r="D169" s="53"/>
      <c r="E169" s="11">
        <v>0</v>
      </c>
      <c r="F169" s="11">
        <v>0</v>
      </c>
      <c r="G169" s="60"/>
      <c r="H169" s="54"/>
      <c r="I169" s="54"/>
      <c r="J169" s="3"/>
      <c r="K169" s="3"/>
      <c r="L169" s="3"/>
      <c r="M169" s="3"/>
      <c r="N169" s="3"/>
      <c r="O169" s="3"/>
      <c r="P169" s="3"/>
      <c r="Q169" s="3"/>
      <c r="R169" s="3"/>
      <c r="S169" s="3"/>
      <c r="T169" s="3"/>
      <c r="U169" s="3"/>
      <c r="V169" s="3"/>
      <c r="W169" s="35"/>
      <c r="X169" s="32"/>
      <c r="Y169" s="3"/>
      <c r="Z169" s="3"/>
    </row>
    <row r="170" spans="1:26" ht="14.4" hidden="1" outlineLevel="1" x14ac:dyDescent="0.3">
      <c r="A170" s="3"/>
      <c r="B170" s="9" t="s">
        <v>43</v>
      </c>
      <c r="C170" s="53"/>
      <c r="D170" s="53"/>
      <c r="E170" s="11">
        <v>0</v>
      </c>
      <c r="F170" s="11">
        <v>0</v>
      </c>
      <c r="G170" s="60"/>
      <c r="H170" s="54"/>
      <c r="I170" s="54"/>
      <c r="J170" s="3"/>
      <c r="K170" s="3"/>
      <c r="L170" s="3"/>
      <c r="M170" s="3"/>
      <c r="N170" s="3"/>
      <c r="O170" s="3"/>
      <c r="P170" s="3"/>
      <c r="Q170" s="3"/>
      <c r="R170" s="3"/>
      <c r="S170" s="3"/>
      <c r="T170" s="3"/>
      <c r="U170" s="3"/>
      <c r="V170" s="3"/>
      <c r="W170" s="35"/>
      <c r="X170" s="32"/>
      <c r="Y170" s="3"/>
      <c r="Z170" s="3"/>
    </row>
    <row r="171" spans="1:26" ht="14.4" hidden="1" outlineLevel="1" x14ac:dyDescent="0.3">
      <c r="A171" s="3"/>
      <c r="B171" s="9" t="s">
        <v>43</v>
      </c>
      <c r="C171" s="53"/>
      <c r="D171" s="53"/>
      <c r="E171" s="11">
        <v>0</v>
      </c>
      <c r="F171" s="11">
        <v>0</v>
      </c>
      <c r="G171" s="60"/>
      <c r="H171" s="54"/>
      <c r="I171" s="54"/>
      <c r="J171" s="3"/>
      <c r="K171" s="3"/>
      <c r="L171" s="3"/>
      <c r="M171" s="3"/>
      <c r="N171" s="3"/>
      <c r="O171" s="3"/>
      <c r="P171" s="3"/>
      <c r="Q171" s="3"/>
      <c r="R171" s="3"/>
      <c r="S171" s="3"/>
      <c r="T171" s="3"/>
      <c r="U171" s="3"/>
      <c r="V171" s="3"/>
      <c r="W171" s="35"/>
      <c r="X171" s="32"/>
      <c r="Y171" s="3"/>
      <c r="Z171" s="3"/>
    </row>
    <row r="172" spans="1:26" ht="14.4" hidden="1" outlineLevel="1" x14ac:dyDescent="0.3">
      <c r="A172" s="3"/>
      <c r="B172" s="9" t="s">
        <v>43</v>
      </c>
      <c r="C172" s="53"/>
      <c r="D172" s="53"/>
      <c r="E172" s="11">
        <v>0</v>
      </c>
      <c r="F172" s="11">
        <v>0</v>
      </c>
      <c r="G172" s="60"/>
      <c r="H172" s="54"/>
      <c r="I172" s="54"/>
      <c r="J172" s="3"/>
      <c r="K172" s="3"/>
      <c r="L172" s="3"/>
      <c r="M172" s="3"/>
      <c r="N172" s="3"/>
      <c r="O172" s="3"/>
      <c r="P172" s="3"/>
      <c r="Q172" s="3"/>
      <c r="R172" s="3"/>
      <c r="S172" s="3"/>
      <c r="T172" s="3"/>
      <c r="U172" s="3"/>
      <c r="V172" s="3"/>
      <c r="W172" s="35"/>
      <c r="X172" s="32"/>
      <c r="Y172" s="3"/>
      <c r="Z172" s="3"/>
    </row>
    <row r="173" spans="1:26" ht="14.4" hidden="1" outlineLevel="1" x14ac:dyDescent="0.3">
      <c r="A173" s="3"/>
      <c r="B173" s="9" t="s">
        <v>43</v>
      </c>
      <c r="C173" s="53"/>
      <c r="D173" s="53"/>
      <c r="E173" s="11">
        <v>0</v>
      </c>
      <c r="F173" s="11">
        <v>0</v>
      </c>
      <c r="G173" s="60"/>
      <c r="H173" s="54"/>
      <c r="I173" s="54"/>
      <c r="J173" s="3"/>
      <c r="K173" s="3"/>
      <c r="L173" s="3"/>
      <c r="M173" s="3"/>
      <c r="N173" s="3"/>
      <c r="O173" s="3"/>
      <c r="P173" s="3"/>
      <c r="Q173" s="3"/>
      <c r="R173" s="3"/>
      <c r="S173" s="3"/>
      <c r="T173" s="3"/>
      <c r="U173" s="3"/>
      <c r="V173" s="3"/>
      <c r="W173" s="35"/>
      <c r="X173" s="32"/>
      <c r="Y173" s="3"/>
      <c r="Z173" s="3"/>
    </row>
    <row r="174" spans="1:26" ht="14.4" hidden="1" outlineLevel="1" x14ac:dyDescent="0.3">
      <c r="A174" s="3"/>
      <c r="B174" s="9" t="s">
        <v>43</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20.399999999999999" collapsed="1" x14ac:dyDescent="0.3">
      <c r="A175" s="3"/>
      <c r="B175" s="64" t="s">
        <v>64</v>
      </c>
      <c r="C175" s="47" t="s">
        <v>44</v>
      </c>
      <c r="D175" s="47" t="s">
        <v>44</v>
      </c>
      <c r="E175" s="48">
        <f>SUM(E176:E178)</f>
        <v>0</v>
      </c>
      <c r="F175" s="48">
        <f>SUMIF(D176:D178,"OK",F176:F178)</f>
        <v>0</v>
      </c>
      <c r="G175" s="49" t="s">
        <v>44</v>
      </c>
      <c r="H175" s="65"/>
      <c r="I175" s="65"/>
      <c r="J175" s="3"/>
      <c r="K175" s="3"/>
      <c r="L175" s="3"/>
      <c r="M175" s="3"/>
      <c r="N175" s="3"/>
      <c r="O175" s="3"/>
      <c r="P175" s="3"/>
      <c r="Q175" s="3"/>
      <c r="R175" s="3"/>
      <c r="S175" s="3"/>
      <c r="T175" s="3"/>
      <c r="U175" s="3"/>
      <c r="V175" s="3"/>
      <c r="W175" s="35"/>
      <c r="X175" s="32"/>
      <c r="Y175" s="3"/>
      <c r="Z175" s="3"/>
    </row>
    <row r="176" spans="1:26" ht="14.4" hidden="1" outlineLevel="1" x14ac:dyDescent="0.3">
      <c r="A176" s="3"/>
      <c r="B176" s="9" t="s">
        <v>64</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4.4" hidden="1" outlineLevel="1" x14ac:dyDescent="0.3">
      <c r="A177" s="3"/>
      <c r="B177" s="9" t="s">
        <v>64</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4.4" hidden="1" outlineLevel="1" x14ac:dyDescent="0.3">
      <c r="A178" s="3"/>
      <c r="B178" s="9" t="s">
        <v>64</v>
      </c>
      <c r="C178" s="53"/>
      <c r="D178" s="53"/>
      <c r="E178" s="11">
        <v>0</v>
      </c>
      <c r="F178" s="11">
        <v>0</v>
      </c>
      <c r="G178" s="58"/>
      <c r="H178" s="54"/>
      <c r="I178" s="54"/>
      <c r="J178" s="3"/>
      <c r="K178" s="3"/>
      <c r="L178" s="3"/>
      <c r="M178" s="3"/>
      <c r="N178" s="3"/>
      <c r="O178" s="3"/>
      <c r="P178" s="3"/>
      <c r="Q178" s="3"/>
      <c r="R178" s="3"/>
      <c r="S178" s="3"/>
      <c r="T178" s="3"/>
      <c r="U178" s="3"/>
      <c r="V178" s="3"/>
      <c r="W178" s="35"/>
      <c r="X178" s="32"/>
      <c r="Y178" s="3"/>
      <c r="Z178" s="3"/>
    </row>
    <row r="179" spans="1:26" ht="20.399999999999999" collapsed="1" x14ac:dyDescent="0.3">
      <c r="A179" s="3"/>
      <c r="B179" s="64" t="s">
        <v>260</v>
      </c>
      <c r="C179" s="47" t="s">
        <v>44</v>
      </c>
      <c r="D179" s="47" t="s">
        <v>44</v>
      </c>
      <c r="E179" s="48">
        <f>SUM(E180:E186)</f>
        <v>0</v>
      </c>
      <c r="F179" s="48">
        <f>SUMIF(D180:D186,"OK",F180:F186)</f>
        <v>5.16</v>
      </c>
      <c r="G179" s="49" t="s">
        <v>44</v>
      </c>
      <c r="H179" s="65"/>
      <c r="I179" s="65"/>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261</v>
      </c>
      <c r="C180" s="53"/>
      <c r="D180" s="53"/>
      <c r="E180" s="11">
        <v>0</v>
      </c>
      <c r="F180" s="11">
        <v>0</v>
      </c>
      <c r="G180" s="58"/>
      <c r="H180" s="54" t="s">
        <v>37</v>
      </c>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262</v>
      </c>
      <c r="C181" s="53" t="s">
        <v>714</v>
      </c>
      <c r="D181" s="53" t="s">
        <v>95</v>
      </c>
      <c r="E181" s="11">
        <v>0</v>
      </c>
      <c r="F181" s="11">
        <f>0.55+4.08+0.53</f>
        <v>5.16</v>
      </c>
      <c r="G181" s="60"/>
      <c r="H181" s="54" t="s">
        <v>38</v>
      </c>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264</v>
      </c>
      <c r="C182" s="53"/>
      <c r="D182" s="53"/>
      <c r="E182" s="11">
        <v>0</v>
      </c>
      <c r="F182" s="11">
        <v>0</v>
      </c>
      <c r="G182" s="58"/>
      <c r="H182" s="54" t="s">
        <v>235</v>
      </c>
      <c r="I182" s="54"/>
      <c r="J182" s="3"/>
      <c r="K182" s="3"/>
      <c r="L182" s="3"/>
      <c r="M182" s="3"/>
      <c r="N182" s="3"/>
      <c r="O182" s="3"/>
      <c r="P182" s="3"/>
      <c r="Q182" s="3"/>
      <c r="R182" s="3"/>
      <c r="S182" s="3"/>
      <c r="T182" s="3"/>
      <c r="U182" s="3"/>
      <c r="V182" s="3"/>
      <c r="W182" s="35"/>
      <c r="X182" s="32"/>
      <c r="Y182" s="3"/>
      <c r="Z182" s="3"/>
    </row>
    <row r="183" spans="1:26" ht="15.75" hidden="1" customHeight="1" outlineLevel="1" x14ac:dyDescent="0.3">
      <c r="A183" s="3"/>
      <c r="B183" s="9" t="s">
        <v>265</v>
      </c>
      <c r="C183" s="53"/>
      <c r="D183" s="53"/>
      <c r="E183" s="11">
        <v>0</v>
      </c>
      <c r="F183" s="11">
        <v>0</v>
      </c>
      <c r="G183" s="58"/>
      <c r="H183" s="54" t="s">
        <v>266</v>
      </c>
      <c r="I183" s="54"/>
      <c r="J183" s="3"/>
      <c r="K183" s="3"/>
      <c r="L183" s="3"/>
      <c r="M183" s="3"/>
      <c r="N183" s="3"/>
      <c r="O183" s="3"/>
      <c r="P183" s="3"/>
      <c r="Q183" s="3"/>
      <c r="R183" s="3"/>
      <c r="S183" s="3"/>
      <c r="T183" s="3"/>
      <c r="U183" s="3"/>
      <c r="V183" s="3"/>
      <c r="W183" s="35"/>
      <c r="X183" s="32"/>
      <c r="Y183" s="3"/>
      <c r="Z183" s="3"/>
    </row>
    <row r="184" spans="1:26" ht="15.75" hidden="1" customHeight="1" outlineLevel="1" x14ac:dyDescent="0.3">
      <c r="A184" s="3"/>
      <c r="B184" s="9" t="s">
        <v>552</v>
      </c>
      <c r="C184" s="53"/>
      <c r="D184" s="53"/>
      <c r="E184" s="11">
        <v>0</v>
      </c>
      <c r="F184" s="11">
        <v>0</v>
      </c>
      <c r="G184" s="58"/>
      <c r="H184" s="54" t="s">
        <v>39</v>
      </c>
      <c r="I184" s="54"/>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917</v>
      </c>
      <c r="C185" s="53"/>
      <c r="D185" s="53"/>
      <c r="E185" s="11">
        <v>0</v>
      </c>
      <c r="F185" s="11">
        <v>0</v>
      </c>
      <c r="G185" s="58"/>
      <c r="H185" s="54"/>
      <c r="I185" s="54"/>
      <c r="J185" s="3"/>
      <c r="K185" s="3"/>
      <c r="L185" s="3"/>
      <c r="M185" s="3"/>
      <c r="N185" s="3"/>
      <c r="O185" s="3"/>
      <c r="P185" s="3"/>
      <c r="Q185" s="3"/>
      <c r="R185" s="3"/>
      <c r="S185" s="3"/>
      <c r="T185" s="3"/>
      <c r="U185" s="3"/>
      <c r="V185" s="3"/>
      <c r="W185" s="35"/>
      <c r="X185" s="32"/>
      <c r="Y185" s="3"/>
      <c r="Z185" s="3"/>
    </row>
    <row r="186" spans="1:26" ht="15.75" hidden="1" customHeight="1" outlineLevel="1" x14ac:dyDescent="0.3">
      <c r="A186" s="3"/>
      <c r="B186" s="9" t="s">
        <v>917</v>
      </c>
      <c r="C186" s="53"/>
      <c r="D186" s="53"/>
      <c r="E186" s="11">
        <v>0</v>
      </c>
      <c r="F186" s="11">
        <v>0</v>
      </c>
      <c r="G186" s="58"/>
      <c r="H186" s="54"/>
      <c r="I186" s="54"/>
      <c r="J186" s="3"/>
      <c r="K186" s="3"/>
      <c r="L186" s="3"/>
      <c r="M186" s="3"/>
      <c r="N186" s="3"/>
      <c r="O186" s="3"/>
      <c r="P186" s="3"/>
      <c r="Q186" s="3"/>
      <c r="R186" s="3"/>
      <c r="S186" s="3"/>
      <c r="T186" s="3"/>
      <c r="U186" s="3"/>
      <c r="V186" s="3"/>
      <c r="W186" s="35"/>
      <c r="X186" s="32"/>
      <c r="Y186" s="3"/>
      <c r="Z186" s="3"/>
    </row>
    <row r="187" spans="1:26" ht="15.75" customHeight="1" collapsed="1" x14ac:dyDescent="0.3">
      <c r="A187" s="3"/>
      <c r="B187" s="3"/>
      <c r="C187" s="28"/>
      <c r="D187" s="28"/>
      <c r="E187" s="28"/>
      <c r="F187" s="28"/>
      <c r="G187" s="112"/>
      <c r="H187" s="28"/>
      <c r="I187" s="28"/>
      <c r="J187" s="28"/>
      <c r="K187" s="28"/>
      <c r="L187" s="28"/>
      <c r="M187" s="28"/>
      <c r="N187" s="28"/>
      <c r="O187" s="28"/>
      <c r="P187" s="28"/>
      <c r="Q187" s="28"/>
      <c r="R187" s="28"/>
      <c r="S187" s="28"/>
      <c r="T187" s="28"/>
      <c r="U187" s="28"/>
      <c r="V187" s="28"/>
      <c r="W187" s="35"/>
      <c r="X187" s="32"/>
    </row>
    <row r="188" spans="1:26" ht="15.75" customHeight="1" x14ac:dyDescent="0.3">
      <c r="A188" s="3"/>
      <c r="B188" s="3"/>
      <c r="C188" s="28"/>
      <c r="D188" s="28"/>
      <c r="E188" s="28"/>
      <c r="F188" s="101"/>
      <c r="G188" s="112"/>
      <c r="H188" s="28"/>
      <c r="I188" s="28"/>
      <c r="J188" s="28"/>
      <c r="K188" s="28"/>
      <c r="L188" s="28"/>
      <c r="M188" s="28"/>
      <c r="N188" s="28"/>
      <c r="O188" s="28"/>
      <c r="P188" s="28"/>
      <c r="Q188" s="28"/>
      <c r="R188" s="28"/>
      <c r="S188" s="28"/>
      <c r="T188" s="28"/>
      <c r="U188" s="28"/>
      <c r="V188" s="28"/>
      <c r="W188" s="35"/>
      <c r="X188" s="32"/>
    </row>
    <row r="189" spans="1:26" ht="15.75" customHeight="1" x14ac:dyDescent="0.3">
      <c r="A189" s="3"/>
      <c r="B189" s="3"/>
      <c r="C189" s="28"/>
      <c r="D189" s="28"/>
      <c r="E189" s="28"/>
      <c r="F189" s="28"/>
      <c r="G189" s="112"/>
      <c r="H189" s="28"/>
      <c r="I189" s="28"/>
      <c r="J189" s="28"/>
      <c r="K189" s="28"/>
      <c r="L189" s="28"/>
      <c r="M189" s="28"/>
      <c r="N189" s="28"/>
      <c r="O189" s="28"/>
      <c r="P189" s="28"/>
      <c r="Q189" s="28"/>
      <c r="R189" s="28"/>
      <c r="S189" s="28"/>
      <c r="T189" s="28"/>
      <c r="U189" s="28"/>
      <c r="V189" s="28"/>
      <c r="W189" s="35"/>
      <c r="X189" s="32"/>
    </row>
    <row r="190" spans="1:26" ht="15.75" customHeight="1" x14ac:dyDescent="0.3">
      <c r="A190" s="3"/>
      <c r="B190" s="3"/>
      <c r="C190" s="28"/>
      <c r="D190" s="28"/>
      <c r="E190" s="28"/>
      <c r="F190" s="28"/>
      <c r="G190" s="112"/>
      <c r="H190" s="28"/>
      <c r="I190" s="28"/>
      <c r="J190" s="28"/>
      <c r="K190" s="28"/>
      <c r="L190" s="28"/>
      <c r="M190" s="28"/>
      <c r="N190" s="28"/>
      <c r="O190" s="28"/>
      <c r="P190" s="28"/>
      <c r="Q190" s="28"/>
      <c r="R190" s="28"/>
      <c r="S190" s="28"/>
      <c r="T190" s="28"/>
      <c r="U190" s="28"/>
      <c r="V190" s="28"/>
      <c r="W190" s="35"/>
      <c r="X190" s="32"/>
    </row>
    <row r="191" spans="1:26" ht="15.75" customHeight="1" x14ac:dyDescent="0.3">
      <c r="A191" s="3"/>
      <c r="B191" s="3"/>
      <c r="C191" s="28"/>
      <c r="D191" s="28"/>
      <c r="E191" s="28"/>
      <c r="F191" s="28"/>
      <c r="G191" s="112"/>
      <c r="H191" s="28"/>
      <c r="I191" s="28"/>
      <c r="J191" s="28"/>
      <c r="K191" s="28"/>
      <c r="L191" s="28"/>
      <c r="M191" s="28"/>
      <c r="N191" s="28"/>
      <c r="O191" s="28"/>
      <c r="P191" s="28"/>
      <c r="Q191" s="28"/>
      <c r="R191" s="28"/>
      <c r="S191" s="28"/>
      <c r="T191" s="28"/>
      <c r="U191" s="28"/>
      <c r="V191" s="28"/>
      <c r="W191" s="35"/>
      <c r="X191" s="32"/>
    </row>
    <row r="192" spans="1:26" ht="15.75" customHeight="1" x14ac:dyDescent="0.3">
      <c r="A192" s="3"/>
      <c r="B192" s="3"/>
      <c r="C192" s="28"/>
      <c r="D192" s="28"/>
      <c r="E192" s="28"/>
      <c r="F192" s="28"/>
      <c r="G192" s="112"/>
      <c r="H192" s="28"/>
      <c r="I192" s="28"/>
      <c r="J192" s="28"/>
      <c r="K192" s="28"/>
      <c r="L192" s="28"/>
      <c r="M192" s="28"/>
      <c r="N192" s="28"/>
      <c r="O192" s="28"/>
      <c r="P192" s="28"/>
      <c r="Q192" s="28"/>
      <c r="R192" s="28"/>
      <c r="S192" s="28"/>
      <c r="T192" s="28"/>
      <c r="U192" s="28"/>
      <c r="V192" s="28"/>
      <c r="W192" s="35"/>
      <c r="X192" s="32"/>
    </row>
    <row r="193" spans="1:24" ht="15.75" customHeight="1" x14ac:dyDescent="0.3">
      <c r="A193" s="3"/>
      <c r="B193" s="3"/>
      <c r="C193" s="28"/>
      <c r="D193" s="28"/>
      <c r="E193" s="28"/>
      <c r="F193" s="28"/>
      <c r="G193" s="112"/>
      <c r="H193" s="28"/>
      <c r="I193" s="28"/>
      <c r="J193" s="28"/>
      <c r="K193" s="28"/>
      <c r="L193" s="28"/>
      <c r="M193" s="28"/>
      <c r="N193" s="28"/>
      <c r="O193" s="28"/>
      <c r="P193" s="28"/>
      <c r="Q193" s="28"/>
      <c r="R193" s="28"/>
      <c r="S193" s="28"/>
      <c r="T193" s="28"/>
      <c r="U193" s="28"/>
      <c r="V193" s="28"/>
      <c r="W193" s="35"/>
      <c r="X193" s="32"/>
    </row>
    <row r="194" spans="1:24" ht="15.75" customHeight="1" x14ac:dyDescent="0.3">
      <c r="A194" s="3"/>
      <c r="B194" s="3"/>
      <c r="C194" s="28"/>
      <c r="D194" s="28"/>
      <c r="E194" s="28"/>
      <c r="F194" s="28"/>
      <c r="G194" s="112"/>
      <c r="H194" s="28"/>
      <c r="I194" s="28"/>
      <c r="J194" s="28"/>
      <c r="K194" s="28"/>
      <c r="L194" s="28"/>
      <c r="M194" s="28"/>
      <c r="N194" s="28"/>
      <c r="O194" s="28"/>
      <c r="P194" s="28"/>
      <c r="Q194" s="28"/>
      <c r="R194" s="28"/>
      <c r="S194" s="28"/>
      <c r="T194" s="28"/>
      <c r="U194" s="28"/>
      <c r="V194" s="28"/>
      <c r="W194" s="35"/>
      <c r="X194" s="32"/>
    </row>
    <row r="195" spans="1:24" ht="15.75" customHeight="1" x14ac:dyDescent="0.3">
      <c r="A195" s="3"/>
      <c r="B195" s="3"/>
      <c r="C195" s="28"/>
      <c r="D195" s="28"/>
      <c r="E195" s="28"/>
      <c r="F195" s="28"/>
      <c r="G195" s="112"/>
      <c r="H195" s="28"/>
      <c r="I195" s="28"/>
      <c r="J195" s="28"/>
      <c r="K195" s="28"/>
      <c r="L195" s="28"/>
      <c r="M195" s="28"/>
      <c r="N195" s="28"/>
      <c r="O195" s="28"/>
      <c r="P195" s="28"/>
      <c r="Q195" s="28"/>
      <c r="R195" s="28"/>
      <c r="S195" s="28"/>
      <c r="T195" s="28"/>
      <c r="U195" s="28"/>
      <c r="V195" s="28"/>
      <c r="W195" s="35"/>
      <c r="X195" s="32"/>
    </row>
    <row r="196" spans="1:24" ht="15.75" customHeight="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4" ht="15.75" customHeight="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4"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4"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4"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4"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4"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4"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4"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4"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4"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4"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4"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row r="388" spans="1:24" ht="15.75" customHeight="1" x14ac:dyDescent="0.3"/>
    <row r="389" spans="1:24" ht="15.75" customHeight="1" x14ac:dyDescent="0.3"/>
    <row r="390" spans="1:24" ht="15.75" customHeight="1" x14ac:dyDescent="0.3"/>
    <row r="391" spans="1:24" ht="15.75" customHeight="1" x14ac:dyDescent="0.3"/>
    <row r="392" spans="1:24" ht="15.75" customHeight="1" x14ac:dyDescent="0.3"/>
    <row r="393" spans="1:24" ht="15.75" customHeight="1" x14ac:dyDescent="0.3"/>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86" xr:uid="{00000000-0009-0000-0000-00000B000000}"/>
  <mergeCells count="6">
    <mergeCell ref="G15:G16"/>
    <mergeCell ref="B2:B3"/>
    <mergeCell ref="B4:B5"/>
    <mergeCell ref="H4:H5"/>
    <mergeCell ref="I4:I5"/>
    <mergeCell ref="G7:G10"/>
  </mergeCells>
  <conditionalFormatting sqref="W6:W126">
    <cfRule type="cellIs" dxfId="27" priority="1" operator="equal">
      <formula>"Diferente"</formula>
    </cfRule>
    <cfRule type="cellIs" dxfId="26" priority="2" operator="equal">
      <formula>"OK"</formula>
    </cfRule>
  </conditionalFormatting>
  <dataValidations count="1">
    <dataValidation type="list" allowBlank="1" showErrorMessage="1" sqref="D7:D126 D129:D130 D132:D134 D136:D139 D141:D146 D148:D150 D153:D156 D158:D161 D163:D165 D167:D174 D176:D178 D180:D186" xr:uid="{00000000-0002-0000-0B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'Plano de contas DG'!$C$5:$C$38</xm:f>
          </x14:formula1>
          <xm:sqref>I6:I186</xm:sqref>
        </x14:dataValidation>
        <x14:dataValidation type="list" allowBlank="1" showErrorMessage="1" xr:uid="{00000000-0002-0000-0B00-000001000000}">
          <x14:formula1>
            <xm:f>Caixa!$B$5:$B$8</xm:f>
          </x14:formula1>
          <xm:sqref>H7:H126 H129:H130 H132:H134 H136:H139 H141:H146 H148:H150 H153:H156 H158:H161 H163:H165 H167:H174 H176:H178 H180:H186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Z1014"/>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SUBTOTAL(9,E16,E63,E38,E146,E173,E179,E93,E6,E34,E235,E276,E185,E195,E205,E215,E225,E119)</f>
        <v>28</v>
      </c>
      <c r="F4" s="18">
        <f>SUBTOTAL(9,F16,F63,F38,F136,F146,F173,F179,F93,F6,F34,F235,F276,F185,F195,F205,F215,F225,F119)</f>
        <v>29007.510000000002</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900.44</v>
      </c>
      <c r="G6" s="78"/>
      <c r="H6" s="78"/>
      <c r="I6" s="79"/>
      <c r="J6" s="78"/>
      <c r="K6" s="28"/>
      <c r="L6" s="28"/>
      <c r="M6" s="28"/>
      <c r="N6" s="28"/>
      <c r="O6" s="28"/>
      <c r="P6" s="28"/>
      <c r="Q6" s="28"/>
      <c r="R6" s="28"/>
      <c r="S6" s="28"/>
      <c r="T6" s="28"/>
      <c r="U6" s="3"/>
      <c r="W6" s="3"/>
      <c r="X6" s="3"/>
      <c r="Y6" s="3"/>
      <c r="Z6" s="3"/>
    </row>
    <row r="7" spans="1:26" ht="14.4" hidden="1" outlineLevel="1" x14ac:dyDescent="0.3">
      <c r="A7" s="3"/>
      <c r="B7" s="9" t="s">
        <v>274</v>
      </c>
      <c r="C7" s="53">
        <v>2</v>
      </c>
      <c r="D7" s="53" t="s">
        <v>95</v>
      </c>
      <c r="E7" s="11">
        <v>0</v>
      </c>
      <c r="F7" s="11">
        <v>419.99</v>
      </c>
      <c r="G7" s="80"/>
      <c r="H7" s="56" t="s">
        <v>37</v>
      </c>
      <c r="I7" s="102" t="s">
        <v>918</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56"/>
      <c r="H8" s="56"/>
      <c r="I8" s="80"/>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56"/>
      <c r="H9" s="56"/>
      <c r="I9" s="102"/>
      <c r="J9" s="56"/>
      <c r="K9" s="28"/>
      <c r="L9" s="28"/>
      <c r="M9" s="28"/>
      <c r="N9" s="28"/>
      <c r="O9" s="28"/>
      <c r="P9" s="28"/>
      <c r="Q9" s="28"/>
      <c r="R9" s="28"/>
      <c r="S9" s="28"/>
      <c r="T9" s="28"/>
      <c r="U9" s="3"/>
      <c r="W9" s="3"/>
      <c r="X9" s="3"/>
      <c r="Y9" s="3"/>
      <c r="Z9" s="3"/>
    </row>
    <row r="10" spans="1:26" ht="14.4" hidden="1" outlineLevel="1" x14ac:dyDescent="0.3">
      <c r="A10" s="3"/>
      <c r="B10" s="9" t="s">
        <v>282</v>
      </c>
      <c r="C10" s="53">
        <v>10</v>
      </c>
      <c r="D10" s="53" t="s">
        <v>95</v>
      </c>
      <c r="E10" s="11">
        <v>0</v>
      </c>
      <c r="F10" s="11">
        <v>306.18</v>
      </c>
      <c r="G10" s="80" t="s">
        <v>740</v>
      </c>
      <c r="H10" s="56" t="s">
        <v>37</v>
      </c>
      <c r="I10" s="102" t="s">
        <v>919</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53">
        <v>10</v>
      </c>
      <c r="D11" s="53" t="s">
        <v>95</v>
      </c>
      <c r="E11" s="11">
        <v>0</v>
      </c>
      <c r="F11" s="11">
        <v>48.78</v>
      </c>
      <c r="G11" s="80" t="s">
        <v>920</v>
      </c>
      <c r="H11" s="56" t="s">
        <v>37</v>
      </c>
      <c r="I11" s="102" t="s">
        <v>921</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53">
        <v>10</v>
      </c>
      <c r="D12" s="53" t="s">
        <v>95</v>
      </c>
      <c r="E12" s="11">
        <v>0</v>
      </c>
      <c r="F12" s="11">
        <v>69.39</v>
      </c>
      <c r="G12" s="80" t="s">
        <v>738</v>
      </c>
      <c r="H12" s="56" t="s">
        <v>37</v>
      </c>
      <c r="I12" s="102" t="s">
        <v>922</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v>1</v>
      </c>
      <c r="D14" s="53" t="s">
        <v>95</v>
      </c>
      <c r="E14" s="11">
        <v>0</v>
      </c>
      <c r="F14" s="11">
        <v>56.1</v>
      </c>
      <c r="G14" s="56"/>
      <c r="H14" s="56" t="s">
        <v>37</v>
      </c>
      <c r="I14" s="102" t="s">
        <v>923</v>
      </c>
      <c r="J14" s="80"/>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80"/>
      <c r="H15" s="56"/>
      <c r="I15" s="102"/>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8576.93</v>
      </c>
      <c r="G16" s="78"/>
      <c r="H16" s="78"/>
      <c r="I16" s="79"/>
      <c r="J16" s="78"/>
      <c r="K16" s="28"/>
      <c r="L16" s="28"/>
      <c r="M16" s="28"/>
      <c r="N16" s="28"/>
      <c r="O16" s="28"/>
      <c r="P16" s="28"/>
      <c r="Q16" s="28"/>
      <c r="R16" s="28"/>
      <c r="S16" s="28"/>
      <c r="T16" s="28"/>
      <c r="U16" s="3"/>
    </row>
    <row r="17" spans="1:22" ht="14.4" hidden="1" outlineLevel="1" x14ac:dyDescent="0.3">
      <c r="A17" s="3"/>
      <c r="B17" s="9" t="s">
        <v>562</v>
      </c>
      <c r="C17" s="53">
        <v>27</v>
      </c>
      <c r="D17" s="53" t="s">
        <v>95</v>
      </c>
      <c r="E17" s="11">
        <v>0</v>
      </c>
      <c r="F17" s="11">
        <v>1409.24</v>
      </c>
      <c r="G17" s="242" t="s">
        <v>924</v>
      </c>
      <c r="H17" s="56" t="s">
        <v>37</v>
      </c>
      <c r="I17" s="239" t="s">
        <v>925</v>
      </c>
      <c r="J17" s="56"/>
      <c r="K17" s="28"/>
      <c r="L17" s="28"/>
      <c r="M17" s="28"/>
      <c r="N17" s="28"/>
      <c r="O17" s="28"/>
      <c r="P17" s="28"/>
      <c r="Q17" s="28"/>
      <c r="R17" s="28"/>
      <c r="S17" s="28"/>
      <c r="T17" s="28"/>
      <c r="U17" s="3"/>
    </row>
    <row r="18" spans="1:22" ht="14.4" hidden="1" outlineLevel="1" x14ac:dyDescent="0.3">
      <c r="A18" s="3"/>
      <c r="B18" s="9" t="s">
        <v>564</v>
      </c>
      <c r="C18" s="53">
        <v>27</v>
      </c>
      <c r="D18" s="53" t="s">
        <v>95</v>
      </c>
      <c r="E18" s="11">
        <v>0</v>
      </c>
      <c r="F18" s="11">
        <v>802.62</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27</v>
      </c>
      <c r="D19" s="53" t="s">
        <v>95</v>
      </c>
      <c r="E19" s="11">
        <v>0</v>
      </c>
      <c r="F19" s="11">
        <v>98</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27</v>
      </c>
      <c r="D20" s="53" t="s">
        <v>95</v>
      </c>
      <c r="E20" s="11">
        <v>0</v>
      </c>
      <c r="F20" s="11">
        <v>98</v>
      </c>
      <c r="G20" s="213"/>
      <c r="H20" s="56" t="s">
        <v>37</v>
      </c>
      <c r="I20" s="213"/>
      <c r="J20" s="56"/>
      <c r="K20" s="28"/>
      <c r="L20" s="28"/>
      <c r="M20" s="28"/>
      <c r="N20" s="28"/>
      <c r="O20" s="28"/>
      <c r="P20" s="28"/>
      <c r="Q20" s="28"/>
      <c r="R20" s="28"/>
      <c r="S20" s="28"/>
      <c r="T20" s="28"/>
      <c r="U20" s="3"/>
    </row>
    <row r="21" spans="1:22" ht="14.4" hidden="1" outlineLevel="1" x14ac:dyDescent="0.3">
      <c r="A21" s="3"/>
      <c r="B21" s="9" t="s">
        <v>567</v>
      </c>
      <c r="C21" s="53">
        <v>27</v>
      </c>
      <c r="D21" s="53" t="s">
        <v>95</v>
      </c>
      <c r="E21" s="11">
        <v>0</v>
      </c>
      <c r="F21" s="11">
        <v>392</v>
      </c>
      <c r="G21" s="214"/>
      <c r="H21" s="56" t="s">
        <v>37</v>
      </c>
      <c r="I21" s="214"/>
      <c r="J21" s="56"/>
      <c r="K21" s="28"/>
      <c r="L21" s="28"/>
      <c r="M21" s="28"/>
      <c r="N21" s="28"/>
      <c r="O21" s="28"/>
      <c r="P21" s="28"/>
      <c r="Q21" s="28"/>
      <c r="R21" s="28"/>
      <c r="S21" s="28"/>
      <c r="T21" s="28"/>
      <c r="U21" s="3"/>
    </row>
    <row r="22" spans="1:22" ht="14.4" hidden="1" outlineLevel="1" x14ac:dyDescent="0.3">
      <c r="A22" s="3"/>
      <c r="B22" s="9" t="s">
        <v>568</v>
      </c>
      <c r="C22" s="53">
        <v>14</v>
      </c>
      <c r="D22" s="53" t="s">
        <v>95</v>
      </c>
      <c r="E22" s="11">
        <v>0</v>
      </c>
      <c r="F22" s="11">
        <v>156.80000000000001</v>
      </c>
      <c r="G22" s="242" t="s">
        <v>569</v>
      </c>
      <c r="H22" s="56" t="s">
        <v>37</v>
      </c>
      <c r="I22" s="239" t="s">
        <v>926</v>
      </c>
      <c r="J22" s="56"/>
      <c r="K22" s="28"/>
      <c r="L22" s="28"/>
      <c r="M22" s="28"/>
      <c r="N22" s="28"/>
      <c r="O22" s="28"/>
      <c r="P22" s="28"/>
      <c r="Q22" s="28"/>
      <c r="R22" s="28"/>
      <c r="S22" s="28"/>
      <c r="T22" s="28"/>
      <c r="U22" s="3"/>
      <c r="V22" s="14"/>
    </row>
    <row r="23" spans="1:22" ht="14.4" hidden="1" outlineLevel="1" x14ac:dyDescent="0.3">
      <c r="A23" s="3"/>
      <c r="B23" s="9" t="s">
        <v>571</v>
      </c>
      <c r="C23" s="53">
        <v>14</v>
      </c>
      <c r="D23" s="53" t="s">
        <v>95</v>
      </c>
      <c r="E23" s="11">
        <v>0</v>
      </c>
      <c r="F23" s="11">
        <v>470.4</v>
      </c>
      <c r="G23" s="213"/>
      <c r="H23" s="56" t="s">
        <v>37</v>
      </c>
      <c r="I23" s="213"/>
      <c r="J23" s="56"/>
      <c r="K23" s="28"/>
      <c r="L23" s="28"/>
      <c r="M23" s="28"/>
      <c r="N23" s="28"/>
      <c r="O23" s="28"/>
      <c r="P23" s="28"/>
      <c r="Q23" s="28"/>
      <c r="R23" s="28"/>
      <c r="S23" s="28"/>
      <c r="T23" s="28"/>
      <c r="U23" s="3"/>
      <c r="V23" s="14"/>
    </row>
    <row r="24" spans="1:22" ht="14.4" hidden="1" outlineLevel="1" x14ac:dyDescent="0.3">
      <c r="A24" s="3"/>
      <c r="B24" s="9" t="s">
        <v>572</v>
      </c>
      <c r="C24" s="53">
        <v>14</v>
      </c>
      <c r="D24" s="53" t="s">
        <v>95</v>
      </c>
      <c r="E24" s="11">
        <v>0</v>
      </c>
      <c r="F24" s="11">
        <v>519.4</v>
      </c>
      <c r="G24" s="213"/>
      <c r="H24" s="56" t="s">
        <v>37</v>
      </c>
      <c r="I24" s="213"/>
      <c r="J24" s="56"/>
      <c r="K24" s="28"/>
      <c r="L24" s="28"/>
      <c r="M24" s="28"/>
      <c r="N24" s="28"/>
      <c r="O24" s="28"/>
      <c r="P24" s="28"/>
      <c r="Q24" s="28"/>
      <c r="R24" s="28"/>
      <c r="S24" s="28"/>
      <c r="T24" s="28"/>
      <c r="U24" s="3"/>
      <c r="V24" s="14"/>
    </row>
    <row r="25" spans="1:22" ht="14.4" hidden="1" outlineLevel="1" x14ac:dyDescent="0.3">
      <c r="A25" s="3"/>
      <c r="B25" s="9" t="s">
        <v>573</v>
      </c>
      <c r="C25" s="53">
        <v>14</v>
      </c>
      <c r="D25" s="53" t="s">
        <v>95</v>
      </c>
      <c r="E25" s="11">
        <v>0</v>
      </c>
      <c r="F25" s="11">
        <v>29.4</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576</v>
      </c>
      <c r="C28" s="53"/>
      <c r="D28" s="53"/>
      <c r="E28" s="11">
        <v>0</v>
      </c>
      <c r="F28" s="11">
        <v>0</v>
      </c>
      <c r="G28" s="214"/>
      <c r="H28" s="56"/>
      <c r="I28" s="214"/>
      <c r="J28" s="56"/>
      <c r="K28" s="28"/>
      <c r="L28" s="28"/>
      <c r="M28" s="28"/>
      <c r="N28" s="28"/>
      <c r="O28" s="28"/>
      <c r="P28" s="28"/>
      <c r="Q28" s="28"/>
      <c r="R28" s="28"/>
      <c r="S28" s="28"/>
      <c r="T28" s="28"/>
      <c r="U28" s="3"/>
      <c r="V28" s="14"/>
    </row>
    <row r="29" spans="1:22" ht="14.4" hidden="1" outlineLevel="1" x14ac:dyDescent="0.3">
      <c r="A29" s="3"/>
      <c r="B29" s="9" t="s">
        <v>293</v>
      </c>
      <c r="C29" s="53">
        <v>11</v>
      </c>
      <c r="D29" s="53" t="s">
        <v>95</v>
      </c>
      <c r="E29" s="11">
        <v>0</v>
      </c>
      <c r="F29" s="11">
        <v>117</v>
      </c>
      <c r="G29" s="56" t="s">
        <v>927</v>
      </c>
      <c r="H29" s="56" t="s">
        <v>37</v>
      </c>
      <c r="I29" s="102" t="s">
        <v>928</v>
      </c>
      <c r="J29" s="56"/>
      <c r="K29" s="28"/>
      <c r="L29" s="28"/>
      <c r="M29" s="28"/>
      <c r="N29" s="28"/>
      <c r="O29" s="28"/>
      <c r="P29" s="28"/>
      <c r="Q29" s="28"/>
      <c r="R29" s="28"/>
      <c r="S29" s="28"/>
      <c r="T29" s="28"/>
      <c r="U29" s="3"/>
      <c r="V29" s="14"/>
    </row>
    <row r="30" spans="1:22" ht="14.4" hidden="1" outlineLevel="1" x14ac:dyDescent="0.3">
      <c r="A30" s="3"/>
      <c r="B30" s="9" t="s">
        <v>295</v>
      </c>
      <c r="C30" s="53">
        <v>1</v>
      </c>
      <c r="D30" s="53" t="s">
        <v>95</v>
      </c>
      <c r="E30" s="11">
        <v>0</v>
      </c>
      <c r="F30" s="11">
        <f>2128-80</f>
        <v>2048</v>
      </c>
      <c r="G30" s="80" t="s">
        <v>929</v>
      </c>
      <c r="H30" s="56" t="s">
        <v>37</v>
      </c>
      <c r="I30" s="102" t="s">
        <v>930</v>
      </c>
      <c r="J30" s="56"/>
      <c r="K30" s="28"/>
      <c r="L30" s="28"/>
      <c r="M30" s="28"/>
      <c r="N30" s="28"/>
      <c r="O30" s="28"/>
      <c r="P30" s="28"/>
      <c r="Q30" s="28"/>
      <c r="R30" s="28"/>
      <c r="S30" s="28"/>
      <c r="T30" s="28"/>
      <c r="U30" s="3"/>
    </row>
    <row r="31" spans="1:22" ht="24" hidden="1" outlineLevel="1" x14ac:dyDescent="0.3">
      <c r="A31" s="3"/>
      <c r="B31" s="9" t="s">
        <v>295</v>
      </c>
      <c r="C31" s="53">
        <v>28</v>
      </c>
      <c r="D31" s="53" t="s">
        <v>95</v>
      </c>
      <c r="E31" s="11">
        <v>0</v>
      </c>
      <c r="F31" s="11">
        <f>2641.82-80-640</f>
        <v>1921.8200000000002</v>
      </c>
      <c r="G31" s="80" t="s">
        <v>931</v>
      </c>
      <c r="H31" s="56" t="s">
        <v>37</v>
      </c>
      <c r="I31" s="102" t="s">
        <v>932</v>
      </c>
      <c r="J31" s="56"/>
      <c r="K31" s="28"/>
      <c r="L31" s="28"/>
      <c r="M31" s="28"/>
      <c r="N31" s="28"/>
      <c r="O31" s="28"/>
      <c r="P31" s="28"/>
      <c r="Q31" s="28"/>
      <c r="R31" s="28"/>
      <c r="S31" s="28"/>
      <c r="T31" s="28"/>
      <c r="U31" s="3"/>
    </row>
    <row r="32" spans="1:22" ht="14.4" hidden="1" outlineLevel="1" x14ac:dyDescent="0.3">
      <c r="A32" s="3"/>
      <c r="B32" s="9" t="s">
        <v>933</v>
      </c>
      <c r="C32" s="53">
        <v>10</v>
      </c>
      <c r="D32" s="53" t="s">
        <v>95</v>
      </c>
      <c r="E32" s="11">
        <v>0</v>
      </c>
      <c r="F32" s="11">
        <v>360</v>
      </c>
      <c r="G32" s="80" t="s">
        <v>934</v>
      </c>
      <c r="H32" s="56" t="s">
        <v>37</v>
      </c>
      <c r="I32" s="102" t="s">
        <v>935</v>
      </c>
      <c r="J32" s="56"/>
      <c r="K32" s="28"/>
      <c r="L32" s="28"/>
      <c r="M32" s="28"/>
      <c r="N32" s="28"/>
      <c r="O32" s="28"/>
      <c r="P32" s="28"/>
      <c r="Q32" s="28"/>
      <c r="R32" s="28"/>
      <c r="S32" s="28"/>
      <c r="T32" s="28"/>
      <c r="U32" s="3"/>
    </row>
    <row r="33" spans="1:26" ht="14.4" hidden="1" outlineLevel="1" x14ac:dyDescent="0.3">
      <c r="A33" s="3"/>
      <c r="B33" s="9" t="s">
        <v>750</v>
      </c>
      <c r="C33" s="53">
        <v>14</v>
      </c>
      <c r="D33" s="53" t="s">
        <v>95</v>
      </c>
      <c r="E33" s="11">
        <v>0</v>
      </c>
      <c r="F33" s="11">
        <v>154.25</v>
      </c>
      <c r="G33" s="80" t="s">
        <v>936</v>
      </c>
      <c r="H33" s="56" t="s">
        <v>37</v>
      </c>
      <c r="I33" s="102" t="s">
        <v>937</v>
      </c>
      <c r="J33" s="56"/>
      <c r="K33" s="28"/>
      <c r="L33" s="28"/>
      <c r="M33" s="28"/>
      <c r="N33" s="28"/>
      <c r="O33" s="28"/>
      <c r="P33" s="28"/>
      <c r="Q33" s="28"/>
      <c r="R33" s="28"/>
      <c r="S33" s="28"/>
      <c r="T33" s="28"/>
      <c r="U33" s="3"/>
    </row>
    <row r="34" spans="1:26" ht="20.399999999999999" collapsed="1" x14ac:dyDescent="0.3">
      <c r="A34" s="3"/>
      <c r="B34" s="75" t="s">
        <v>301</v>
      </c>
      <c r="C34" s="76" t="s">
        <v>44</v>
      </c>
      <c r="D34" s="76" t="s">
        <v>44</v>
      </c>
      <c r="E34" s="77">
        <f>SUM(E35:E37)</f>
        <v>0</v>
      </c>
      <c r="F34" s="77">
        <f>SUMIF(D35:D37,"OK",F35:F37)</f>
        <v>1.46</v>
      </c>
      <c r="G34" s="78"/>
      <c r="H34" s="78"/>
      <c r="I34" s="79"/>
      <c r="J34" s="78"/>
      <c r="K34" s="28"/>
      <c r="L34" s="28"/>
      <c r="M34" s="28"/>
      <c r="N34" s="28"/>
      <c r="O34" s="28"/>
      <c r="P34" s="28"/>
      <c r="Q34" s="28"/>
      <c r="R34" s="28"/>
      <c r="S34" s="28"/>
      <c r="T34" s="28"/>
      <c r="U34" s="3"/>
      <c r="W34" s="3"/>
      <c r="X34" s="3"/>
      <c r="Y34" s="3"/>
      <c r="Z34" s="3"/>
    </row>
    <row r="35" spans="1:26" ht="14.4" hidden="1" outlineLevel="1" x14ac:dyDescent="0.3">
      <c r="A35" s="3"/>
      <c r="B35" s="9" t="s">
        <v>584</v>
      </c>
      <c r="C35" s="53" t="s">
        <v>714</v>
      </c>
      <c r="D35" s="53" t="s">
        <v>95</v>
      </c>
      <c r="E35" s="11">
        <v>0</v>
      </c>
      <c r="F35" s="11">
        <f>0.03+0.12+0.24+0.92+0.03+0.12</f>
        <v>1.46</v>
      </c>
      <c r="G35" s="56"/>
      <c r="H35" s="56" t="s">
        <v>38</v>
      </c>
      <c r="I35" s="102" t="s">
        <v>938</v>
      </c>
      <c r="J35" s="56"/>
      <c r="K35" s="28"/>
      <c r="L35" s="28"/>
      <c r="M35" s="28"/>
      <c r="N35" s="28"/>
      <c r="O35" s="28"/>
      <c r="P35" s="28"/>
      <c r="Q35" s="28"/>
      <c r="R35" s="28"/>
      <c r="S35" s="28"/>
      <c r="T35" s="28"/>
      <c r="U35" s="3"/>
      <c r="W35" s="3"/>
      <c r="X35" s="3"/>
      <c r="Y35" s="3"/>
      <c r="Z35" s="3"/>
    </row>
    <row r="36" spans="1:26" ht="14.4" hidden="1" outlineLevel="1" x14ac:dyDescent="0.3">
      <c r="A36" s="3"/>
      <c r="B36" s="9" t="s">
        <v>754</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4.4" hidden="1" outlineLevel="1" x14ac:dyDescent="0.3">
      <c r="A37" s="3"/>
      <c r="B37" s="9" t="s">
        <v>306</v>
      </c>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collapsed="1" x14ac:dyDescent="0.3">
      <c r="A38" s="3"/>
      <c r="B38" s="75" t="s">
        <v>307</v>
      </c>
      <c r="C38" s="76" t="s">
        <v>44</v>
      </c>
      <c r="D38" s="76" t="s">
        <v>44</v>
      </c>
      <c r="E38" s="77">
        <f>SUM(E39:E62)</f>
        <v>0</v>
      </c>
      <c r="F38" s="77">
        <f>SUMIF(D39:D62,"OK",F39:F62)</f>
        <v>2315.36</v>
      </c>
      <c r="G38" s="78"/>
      <c r="H38" s="78"/>
      <c r="I38" s="79"/>
      <c r="J38" s="78"/>
      <c r="K38" s="28"/>
      <c r="L38" s="28"/>
      <c r="M38" s="28"/>
      <c r="N38" s="28"/>
      <c r="O38" s="28"/>
      <c r="P38" s="28"/>
      <c r="Q38" s="28"/>
      <c r="R38" s="28"/>
      <c r="S38" s="28"/>
      <c r="T38" s="28"/>
      <c r="U38" s="3"/>
      <c r="W38" s="3"/>
      <c r="X38" s="3"/>
      <c r="Y38" s="3"/>
      <c r="Z38" s="3"/>
    </row>
    <row r="39" spans="1:26" ht="14.4" hidden="1" outlineLevel="1" x14ac:dyDescent="0.3">
      <c r="A39" s="3"/>
      <c r="B39" s="9" t="s">
        <v>308</v>
      </c>
      <c r="C39" s="53">
        <v>26</v>
      </c>
      <c r="D39" s="53" t="s">
        <v>95</v>
      </c>
      <c r="E39" s="11">
        <v>0</v>
      </c>
      <c r="F39" s="11">
        <v>782.61</v>
      </c>
      <c r="G39" s="56"/>
      <c r="H39" s="56" t="s">
        <v>37</v>
      </c>
      <c r="I39" s="102" t="s">
        <v>939</v>
      </c>
      <c r="J39" s="56"/>
      <c r="K39" s="28"/>
      <c r="L39" s="28"/>
      <c r="M39" s="28"/>
      <c r="N39" s="28"/>
      <c r="O39" s="28"/>
      <c r="P39" s="28"/>
      <c r="Q39" s="28"/>
      <c r="R39" s="28"/>
      <c r="S39" s="28"/>
      <c r="T39" s="28"/>
      <c r="U39" s="3"/>
      <c r="W39" s="3"/>
      <c r="X39" s="3"/>
      <c r="Y39" s="3"/>
      <c r="Z39" s="3"/>
    </row>
    <row r="40" spans="1:26" ht="14.4" hidden="1" outlineLevel="1" x14ac:dyDescent="0.3">
      <c r="A40" s="3"/>
      <c r="B40" s="9" t="s">
        <v>590</v>
      </c>
      <c r="C40" s="53">
        <v>16</v>
      </c>
      <c r="D40" s="53" t="s">
        <v>95</v>
      </c>
      <c r="E40" s="11">
        <v>0</v>
      </c>
      <c r="F40" s="11">
        <v>650</v>
      </c>
      <c r="G40" s="56"/>
      <c r="H40" s="56" t="s">
        <v>37</v>
      </c>
      <c r="I40" s="102" t="s">
        <v>940</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hidden="1" outlineLevel="1" x14ac:dyDescent="0.3">
      <c r="A43" s="3"/>
      <c r="B43" s="9" t="s">
        <v>315</v>
      </c>
      <c r="C43" s="53">
        <v>16</v>
      </c>
      <c r="D43" s="53" t="s">
        <v>95</v>
      </c>
      <c r="E43" s="11">
        <v>0</v>
      </c>
      <c r="F43" s="11">
        <v>84.9</v>
      </c>
      <c r="G43" s="56"/>
      <c r="H43" s="56" t="s">
        <v>37</v>
      </c>
      <c r="I43" s="102" t="s">
        <v>941</v>
      </c>
      <c r="J43" s="56"/>
      <c r="K43" s="28"/>
      <c r="L43" s="28"/>
      <c r="M43" s="28"/>
      <c r="N43" s="28"/>
      <c r="O43" s="28"/>
      <c r="P43" s="28"/>
      <c r="Q43" s="28"/>
      <c r="R43" s="28"/>
      <c r="S43" s="28"/>
      <c r="T43" s="28"/>
      <c r="U43" s="3"/>
      <c r="W43" s="3"/>
      <c r="X43" s="3"/>
      <c r="Y43" s="3"/>
      <c r="Z43" s="3"/>
    </row>
    <row r="44" spans="1:26" ht="14.4" hidden="1" outlineLevel="1" x14ac:dyDescent="0.3">
      <c r="A44" s="3"/>
      <c r="B44" s="9" t="s">
        <v>593</v>
      </c>
      <c r="C44" s="53">
        <v>25</v>
      </c>
      <c r="D44" s="53" t="s">
        <v>95</v>
      </c>
      <c r="E44" s="11">
        <v>0</v>
      </c>
      <c r="F44" s="11">
        <v>518</v>
      </c>
      <c r="G44" s="80" t="s">
        <v>942</v>
      </c>
      <c r="H44" s="56" t="s">
        <v>37</v>
      </c>
      <c r="I44" s="102" t="s">
        <v>943</v>
      </c>
      <c r="J44" s="56"/>
      <c r="K44" s="28"/>
      <c r="L44" s="28"/>
      <c r="M44" s="28"/>
      <c r="N44" s="28"/>
      <c r="O44" s="28"/>
      <c r="P44" s="28"/>
      <c r="Q44" s="28"/>
      <c r="R44" s="28"/>
      <c r="S44" s="28"/>
      <c r="T44" s="28"/>
      <c r="U44" s="3"/>
      <c r="W44" s="3"/>
      <c r="X44" s="3"/>
      <c r="Y44" s="3"/>
      <c r="Z44" s="3"/>
    </row>
    <row r="45" spans="1:26" ht="14.4" hidden="1" outlineLevel="1" x14ac:dyDescent="0.3">
      <c r="A45" s="3"/>
      <c r="B45" s="9" t="s">
        <v>596</v>
      </c>
      <c r="C45" s="53">
        <v>25</v>
      </c>
      <c r="D45" s="53" t="s">
        <v>95</v>
      </c>
      <c r="E45" s="11">
        <v>0</v>
      </c>
      <c r="F45" s="11">
        <v>212.9</v>
      </c>
      <c r="G45" s="80" t="s">
        <v>759</v>
      </c>
      <c r="H45" s="56" t="s">
        <v>37</v>
      </c>
      <c r="I45" s="102" t="s">
        <v>944</v>
      </c>
      <c r="J45" s="56"/>
      <c r="K45" s="28"/>
      <c r="L45" s="28"/>
      <c r="M45" s="28"/>
      <c r="N45" s="28"/>
      <c r="O45" s="28"/>
      <c r="P45" s="28"/>
      <c r="Q45" s="28"/>
      <c r="R45" s="28"/>
      <c r="S45" s="28"/>
      <c r="T45" s="28"/>
      <c r="U45" s="3"/>
      <c r="W45" s="3"/>
      <c r="X45" s="3"/>
      <c r="Y45" s="3"/>
      <c r="Z45" s="3"/>
    </row>
    <row r="46" spans="1:26" ht="24" hidden="1" outlineLevel="1" x14ac:dyDescent="0.3">
      <c r="A46" s="3"/>
      <c r="B46" s="9" t="s">
        <v>945</v>
      </c>
      <c r="C46" s="53">
        <v>7</v>
      </c>
      <c r="D46" s="53" t="s">
        <v>95</v>
      </c>
      <c r="E46" s="11">
        <v>0</v>
      </c>
      <c r="F46" s="11">
        <v>66.95</v>
      </c>
      <c r="G46" s="80" t="s">
        <v>946</v>
      </c>
      <c r="H46" s="56" t="s">
        <v>37</v>
      </c>
      <c r="I46" s="102" t="s">
        <v>947</v>
      </c>
      <c r="J46" s="56"/>
      <c r="K46" s="28"/>
      <c r="L46" s="28"/>
      <c r="M46" s="28"/>
      <c r="N46" s="28"/>
      <c r="O46" s="28"/>
      <c r="P46" s="28"/>
      <c r="Q46" s="28"/>
      <c r="R46" s="28"/>
      <c r="S46" s="28"/>
      <c r="T46" s="28"/>
      <c r="U46" s="3"/>
      <c r="W46" s="3"/>
      <c r="X46" s="3"/>
      <c r="Y46" s="3"/>
      <c r="Z46" s="3"/>
    </row>
    <row r="47" spans="1:26" ht="14.4" hidden="1" outlineLevel="1" x14ac:dyDescent="0.3">
      <c r="A47" s="3"/>
      <c r="B47" s="9" t="s">
        <v>51</v>
      </c>
      <c r="C47" s="53"/>
      <c r="D47" s="53"/>
      <c r="E47" s="11">
        <v>0</v>
      </c>
      <c r="F47" s="11">
        <v>0</v>
      </c>
      <c r="G47" s="56"/>
      <c r="H47" s="56"/>
      <c r="I47" s="102"/>
      <c r="J47" s="56"/>
      <c r="K47" s="28"/>
      <c r="L47" s="28"/>
      <c r="M47" s="28"/>
      <c r="N47" s="28"/>
      <c r="O47" s="28"/>
      <c r="P47" s="28"/>
      <c r="Q47" s="28"/>
      <c r="R47" s="28"/>
      <c r="S47" s="28"/>
      <c r="T47" s="28"/>
      <c r="U47" s="3"/>
      <c r="W47" s="3"/>
      <c r="X47" s="3"/>
      <c r="Y47" s="3"/>
      <c r="Z47" s="3"/>
    </row>
    <row r="48" spans="1:26" ht="14.4" hidden="1" outlineLevel="1" x14ac:dyDescent="0.3">
      <c r="A48" s="3"/>
      <c r="B48" s="9" t="s">
        <v>51</v>
      </c>
      <c r="C48" s="53"/>
      <c r="D48" s="53"/>
      <c r="E48" s="11">
        <v>0</v>
      </c>
      <c r="F48" s="11">
        <v>0</v>
      </c>
      <c r="G48" s="80"/>
      <c r="H48" s="56"/>
      <c r="I48" s="102"/>
      <c r="J48" s="56"/>
      <c r="K48" s="28"/>
      <c r="L48" s="28"/>
      <c r="M48" s="28"/>
      <c r="N48" s="28"/>
      <c r="O48" s="28"/>
      <c r="P48" s="28"/>
      <c r="Q48" s="28"/>
      <c r="R48" s="28"/>
      <c r="S48" s="28"/>
      <c r="T48" s="28"/>
      <c r="U48" s="3"/>
      <c r="W48" s="3"/>
      <c r="X48" s="3"/>
      <c r="Y48" s="3"/>
      <c r="Z48" s="3"/>
    </row>
    <row r="49" spans="1:26" ht="14.4" hidden="1" outlineLevel="1" x14ac:dyDescent="0.3">
      <c r="A49" s="3"/>
      <c r="B49" s="9" t="s">
        <v>51</v>
      </c>
      <c r="C49" s="53"/>
      <c r="D49" s="53"/>
      <c r="E49" s="11">
        <v>0</v>
      </c>
      <c r="F49" s="11">
        <v>0</v>
      </c>
      <c r="G49" s="80"/>
      <c r="H49" s="56"/>
      <c r="I49" s="102"/>
      <c r="J49" s="56"/>
      <c r="K49" s="28"/>
      <c r="L49" s="28"/>
      <c r="M49" s="28"/>
      <c r="N49" s="28"/>
      <c r="O49" s="28"/>
      <c r="P49" s="28"/>
      <c r="Q49" s="28"/>
      <c r="R49" s="28"/>
      <c r="S49" s="28"/>
      <c r="T49" s="28"/>
      <c r="U49" s="3"/>
      <c r="W49" s="3"/>
      <c r="X49" s="3"/>
      <c r="Y49" s="3"/>
      <c r="Z49" s="3"/>
    </row>
    <row r="50" spans="1:26" ht="14.4" hidden="1" outlineLevel="1" x14ac:dyDescent="0.3">
      <c r="A50" s="3"/>
      <c r="B50" s="9" t="s">
        <v>51</v>
      </c>
      <c r="C50" s="53"/>
      <c r="D50" s="53"/>
      <c r="E50" s="11">
        <v>0</v>
      </c>
      <c r="F50" s="11">
        <v>0</v>
      </c>
      <c r="G50" s="56"/>
      <c r="H50" s="56"/>
      <c r="I50" s="102"/>
      <c r="J50" s="56"/>
      <c r="K50" s="28"/>
      <c r="L50" s="28"/>
      <c r="M50" s="28"/>
      <c r="N50" s="28"/>
      <c r="O50" s="28"/>
      <c r="P50" s="28"/>
      <c r="Q50" s="28"/>
      <c r="R50" s="28"/>
      <c r="S50" s="28"/>
      <c r="T50" s="28"/>
      <c r="U50" s="3"/>
      <c r="W50" s="3"/>
      <c r="X50" s="3"/>
      <c r="Y50" s="3"/>
      <c r="Z50" s="3"/>
    </row>
    <row r="51" spans="1:26" ht="14.4" hidden="1" outlineLevel="1" x14ac:dyDescent="0.3">
      <c r="A51" s="3"/>
      <c r="B51" s="9" t="s">
        <v>51</v>
      </c>
      <c r="C51" s="53"/>
      <c r="D51" s="53"/>
      <c r="E51" s="11">
        <v>0</v>
      </c>
      <c r="F51" s="11">
        <v>0</v>
      </c>
      <c r="G51" s="56"/>
      <c r="H51" s="56"/>
      <c r="I51" s="102"/>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80"/>
      <c r="H52" s="56"/>
      <c r="I52" s="102"/>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collapsed="1" x14ac:dyDescent="0.3">
      <c r="A63" s="3"/>
      <c r="B63" s="75" t="s">
        <v>330</v>
      </c>
      <c r="C63" s="76" t="s">
        <v>44</v>
      </c>
      <c r="D63" s="76" t="s">
        <v>44</v>
      </c>
      <c r="E63" s="77">
        <f>SUM(E64:E92)</f>
        <v>0</v>
      </c>
      <c r="F63" s="77">
        <f>SUMIF(D64:D92,"OK",F64:F92)</f>
        <v>1504.16</v>
      </c>
      <c r="G63" s="78"/>
      <c r="H63" s="78"/>
      <c r="I63" s="79"/>
      <c r="J63" s="78"/>
      <c r="K63" s="28"/>
      <c r="L63" s="28"/>
      <c r="M63" s="28"/>
      <c r="N63" s="28"/>
      <c r="O63" s="28"/>
      <c r="P63" s="28"/>
      <c r="Q63" s="28"/>
      <c r="R63" s="28"/>
      <c r="S63" s="28"/>
      <c r="T63" s="28"/>
      <c r="U63" s="3"/>
    </row>
    <row r="64" spans="1:26" ht="14.4" hidden="1" outlineLevel="1" x14ac:dyDescent="0.3">
      <c r="A64" s="3"/>
      <c r="B64" s="9" t="s">
        <v>603</v>
      </c>
      <c r="C64" s="71">
        <v>6</v>
      </c>
      <c r="D64" s="53" t="s">
        <v>95</v>
      </c>
      <c r="E64" s="11">
        <v>0</v>
      </c>
      <c r="F64" s="11">
        <v>72.8</v>
      </c>
      <c r="G64" s="80"/>
      <c r="H64" s="56" t="s">
        <v>37</v>
      </c>
      <c r="I64" s="102" t="s">
        <v>948</v>
      </c>
      <c r="J64" s="80"/>
      <c r="K64" s="28"/>
      <c r="L64" s="28"/>
      <c r="M64" s="28"/>
      <c r="N64" s="28"/>
      <c r="O64" s="28"/>
      <c r="P64" s="28"/>
      <c r="Q64" s="28"/>
      <c r="R64" s="28"/>
      <c r="S64" s="28"/>
      <c r="T64" s="28"/>
      <c r="U64" s="3"/>
      <c r="V64" s="14"/>
    </row>
    <row r="65" spans="1:26" ht="14.4" hidden="1" outlineLevel="1" x14ac:dyDescent="0.3">
      <c r="A65" s="3"/>
      <c r="B65" s="9" t="s">
        <v>603</v>
      </c>
      <c r="C65" s="71">
        <v>6</v>
      </c>
      <c r="D65" s="53" t="s">
        <v>95</v>
      </c>
      <c r="E65" s="11">
        <v>0</v>
      </c>
      <c r="F65" s="11">
        <v>148.86000000000001</v>
      </c>
      <c r="G65" s="80"/>
      <c r="H65" s="56" t="s">
        <v>37</v>
      </c>
      <c r="I65" s="102" t="s">
        <v>949</v>
      </c>
      <c r="J65" s="80"/>
      <c r="K65" s="28"/>
      <c r="L65" s="28"/>
      <c r="M65" s="28"/>
      <c r="N65" s="28"/>
      <c r="O65" s="28"/>
      <c r="P65" s="28"/>
      <c r="Q65" s="28"/>
      <c r="R65" s="28"/>
      <c r="S65" s="28"/>
      <c r="T65" s="28"/>
      <c r="U65" s="3"/>
      <c r="V65" s="14"/>
    </row>
    <row r="66" spans="1:26" ht="14.4" hidden="1" outlineLevel="1" x14ac:dyDescent="0.3">
      <c r="A66" s="3"/>
      <c r="B66" s="9" t="s">
        <v>603</v>
      </c>
      <c r="C66" s="71">
        <v>6</v>
      </c>
      <c r="D66" s="53" t="s">
        <v>95</v>
      </c>
      <c r="E66" s="11">
        <v>0</v>
      </c>
      <c r="F66" s="11">
        <v>47.1</v>
      </c>
      <c r="G66" s="56" t="s">
        <v>950</v>
      </c>
      <c r="H66" s="56" t="s">
        <v>37</v>
      </c>
      <c r="I66" s="102" t="s">
        <v>951</v>
      </c>
      <c r="J66" s="80"/>
      <c r="K66" s="28"/>
      <c r="L66" s="28"/>
      <c r="M66" s="28"/>
      <c r="N66" s="28"/>
      <c r="O66" s="28"/>
      <c r="P66" s="28"/>
      <c r="Q66" s="28"/>
      <c r="R66" s="28"/>
      <c r="S66" s="28"/>
      <c r="T66" s="28"/>
      <c r="U66" s="3"/>
      <c r="V66" s="14"/>
    </row>
    <row r="67" spans="1:26" ht="14.4" hidden="1" outlineLevel="1" x14ac:dyDescent="0.3">
      <c r="A67" s="3"/>
      <c r="B67" s="9" t="s">
        <v>603</v>
      </c>
      <c r="C67" s="71">
        <v>6</v>
      </c>
      <c r="D67" s="53" t="s">
        <v>95</v>
      </c>
      <c r="E67" s="11">
        <v>0</v>
      </c>
      <c r="F67" s="11">
        <v>251.15</v>
      </c>
      <c r="G67" s="56" t="s">
        <v>950</v>
      </c>
      <c r="H67" s="56" t="s">
        <v>37</v>
      </c>
      <c r="I67" s="102" t="s">
        <v>952</v>
      </c>
      <c r="J67" s="80"/>
      <c r="K67" s="28"/>
      <c r="L67" s="28"/>
      <c r="M67" s="28"/>
      <c r="N67" s="28"/>
      <c r="O67" s="28"/>
      <c r="P67" s="28"/>
      <c r="Q67" s="28"/>
      <c r="R67" s="28"/>
      <c r="S67" s="28"/>
      <c r="T67" s="28"/>
      <c r="U67" s="3"/>
      <c r="V67" s="14"/>
    </row>
    <row r="68" spans="1:26" ht="14.4" hidden="1" outlineLevel="1" x14ac:dyDescent="0.3">
      <c r="A68" s="3"/>
      <c r="B68" s="9" t="s">
        <v>603</v>
      </c>
      <c r="C68" s="71"/>
      <c r="D68" s="53"/>
      <c r="E68" s="11">
        <v>0</v>
      </c>
      <c r="F68" s="11">
        <v>0</v>
      </c>
      <c r="G68" s="80"/>
      <c r="H68" s="56"/>
      <c r="I68" s="102"/>
      <c r="J68" s="80"/>
      <c r="K68" s="28"/>
      <c r="L68" s="28"/>
      <c r="M68" s="28"/>
      <c r="N68" s="28"/>
      <c r="O68" s="28"/>
      <c r="P68" s="28"/>
      <c r="Q68" s="28"/>
      <c r="R68" s="28"/>
      <c r="S68" s="28"/>
      <c r="T68" s="28"/>
      <c r="U68" s="3"/>
      <c r="V68" s="14"/>
    </row>
    <row r="69" spans="1:26" ht="14.4" hidden="1" outlineLevel="1" x14ac:dyDescent="0.3">
      <c r="A69" s="3"/>
      <c r="B69" s="9" t="s">
        <v>603</v>
      </c>
      <c r="C69" s="71"/>
      <c r="D69" s="53"/>
      <c r="E69" s="11">
        <v>0</v>
      </c>
      <c r="F69" s="11">
        <v>0</v>
      </c>
      <c r="G69" s="80"/>
      <c r="H69" s="56"/>
      <c r="I69" s="102"/>
      <c r="J69" s="80"/>
      <c r="K69" s="28"/>
      <c r="L69" s="28"/>
      <c r="M69" s="28"/>
      <c r="N69" s="28"/>
      <c r="O69" s="28"/>
      <c r="P69" s="28"/>
      <c r="Q69" s="28"/>
      <c r="R69" s="28"/>
      <c r="S69" s="28"/>
      <c r="T69" s="28"/>
      <c r="U69" s="3"/>
      <c r="V69" s="14"/>
    </row>
    <row r="70" spans="1:26" ht="14.4" hidden="1" outlineLevel="1" x14ac:dyDescent="0.3">
      <c r="A70" s="3"/>
      <c r="B70" s="9" t="s">
        <v>603</v>
      </c>
      <c r="C70" s="71"/>
      <c r="D70" s="53"/>
      <c r="E70" s="11">
        <v>0</v>
      </c>
      <c r="F70" s="11">
        <v>0</v>
      </c>
      <c r="G70" s="80"/>
      <c r="H70" s="56"/>
      <c r="I70" s="102"/>
      <c r="J70" s="80"/>
      <c r="K70" s="28"/>
      <c r="L70" s="28"/>
      <c r="M70" s="28"/>
      <c r="N70" s="28"/>
      <c r="O70" s="28"/>
      <c r="P70" s="28"/>
      <c r="Q70" s="28"/>
      <c r="R70" s="28"/>
      <c r="S70" s="28"/>
      <c r="T70" s="28"/>
      <c r="U70" s="3"/>
      <c r="V70" s="14"/>
    </row>
    <row r="71" spans="1:26" ht="14.4" hidden="1" outlineLevel="1" x14ac:dyDescent="0.3">
      <c r="A71" s="3"/>
      <c r="B71" s="9" t="s">
        <v>603</v>
      </c>
      <c r="C71" s="71"/>
      <c r="D71" s="53"/>
      <c r="E71" s="11">
        <v>0</v>
      </c>
      <c r="F71" s="11">
        <v>0</v>
      </c>
      <c r="G71" s="80"/>
      <c r="H71" s="56"/>
      <c r="I71" s="102"/>
      <c r="J71" s="80"/>
      <c r="K71" s="28"/>
      <c r="L71" s="28"/>
      <c r="M71" s="28"/>
      <c r="N71" s="28"/>
      <c r="O71" s="28"/>
      <c r="P71" s="28"/>
      <c r="Q71" s="28"/>
      <c r="R71" s="28"/>
      <c r="S71" s="28"/>
      <c r="T71" s="28"/>
      <c r="U71" s="3"/>
      <c r="V71" s="14"/>
    </row>
    <row r="72" spans="1:26" ht="14.4" hidden="1" outlineLevel="1" x14ac:dyDescent="0.3">
      <c r="A72" s="3"/>
      <c r="B72" s="9" t="s">
        <v>613</v>
      </c>
      <c r="C72" s="71">
        <v>15</v>
      </c>
      <c r="D72" s="53" t="s">
        <v>95</v>
      </c>
      <c r="E72" s="11">
        <v>0</v>
      </c>
      <c r="F72" s="11">
        <v>105</v>
      </c>
      <c r="G72" s="80" t="s">
        <v>614</v>
      </c>
      <c r="H72" s="56" t="s">
        <v>37</v>
      </c>
      <c r="I72" s="102" t="s">
        <v>953</v>
      </c>
      <c r="J72" s="80"/>
      <c r="K72" s="28"/>
      <c r="L72" s="28"/>
      <c r="M72" s="28"/>
      <c r="N72" s="28"/>
      <c r="O72" s="28"/>
      <c r="P72" s="28"/>
      <c r="Q72" s="28"/>
      <c r="R72" s="28"/>
      <c r="S72" s="28"/>
      <c r="T72" s="28"/>
      <c r="U72" s="3"/>
      <c r="V72" s="14"/>
    </row>
    <row r="73" spans="1:26" ht="14.4" hidden="1" outlineLevel="1" x14ac:dyDescent="0.3">
      <c r="A73" s="3"/>
      <c r="B73" s="9" t="s">
        <v>613</v>
      </c>
      <c r="C73" s="71">
        <v>15</v>
      </c>
      <c r="D73" s="53" t="s">
        <v>95</v>
      </c>
      <c r="E73" s="11">
        <v>0</v>
      </c>
      <c r="F73" s="11">
        <v>42.4</v>
      </c>
      <c r="G73" s="80" t="s">
        <v>954</v>
      </c>
      <c r="H73" s="56" t="s">
        <v>37</v>
      </c>
      <c r="I73" s="102" t="s">
        <v>955</v>
      </c>
      <c r="J73" s="80"/>
      <c r="K73" s="28"/>
      <c r="L73" s="28"/>
      <c r="M73" s="28"/>
      <c r="N73" s="28"/>
      <c r="O73" s="28"/>
      <c r="P73" s="28"/>
      <c r="Q73" s="28"/>
      <c r="R73" s="28"/>
      <c r="S73" s="28"/>
      <c r="T73" s="28"/>
      <c r="U73" s="3"/>
      <c r="V73" s="14"/>
    </row>
    <row r="74" spans="1:26" ht="14.4" hidden="1" outlineLevel="1" x14ac:dyDescent="0.3">
      <c r="A74" s="3"/>
      <c r="B74" s="9" t="s">
        <v>613</v>
      </c>
      <c r="C74" s="71">
        <v>16</v>
      </c>
      <c r="D74" s="53" t="s">
        <v>95</v>
      </c>
      <c r="E74" s="11">
        <v>0</v>
      </c>
      <c r="F74" s="11">
        <v>170.05</v>
      </c>
      <c r="G74" s="80"/>
      <c r="H74" s="56" t="s">
        <v>37</v>
      </c>
      <c r="I74" s="102" t="s">
        <v>956</v>
      </c>
      <c r="J74" s="80"/>
      <c r="K74" s="28"/>
      <c r="L74" s="28"/>
      <c r="M74" s="28"/>
      <c r="N74" s="28"/>
      <c r="O74" s="28"/>
      <c r="P74" s="28"/>
      <c r="Q74" s="28"/>
      <c r="R74" s="28"/>
      <c r="S74" s="28"/>
      <c r="T74" s="28"/>
      <c r="U74" s="3"/>
      <c r="V74" s="14"/>
    </row>
    <row r="75" spans="1:26" ht="14.4" hidden="1" outlineLevel="1" x14ac:dyDescent="0.3">
      <c r="A75" s="3"/>
      <c r="B75" s="9" t="s">
        <v>613</v>
      </c>
      <c r="C75" s="53"/>
      <c r="D75" s="53"/>
      <c r="E75" s="11">
        <v>0</v>
      </c>
      <c r="F75" s="11">
        <v>0</v>
      </c>
      <c r="G75" s="113"/>
      <c r="H75" s="56"/>
      <c r="I75" s="102"/>
      <c r="J75" s="56"/>
      <c r="K75" s="28"/>
      <c r="L75" s="28"/>
      <c r="M75" s="28"/>
      <c r="N75" s="28"/>
      <c r="O75" s="28"/>
      <c r="P75" s="28"/>
      <c r="Q75" s="28"/>
      <c r="R75" s="28"/>
      <c r="S75" s="28"/>
      <c r="T75" s="28"/>
      <c r="U75" s="3"/>
    </row>
    <row r="76" spans="1:26" ht="14.4" hidden="1" outlineLevel="1" x14ac:dyDescent="0.3">
      <c r="A76" s="3"/>
      <c r="B76" s="9" t="s">
        <v>613</v>
      </c>
      <c r="C76" s="53"/>
      <c r="D76" s="53"/>
      <c r="E76" s="11">
        <v>0</v>
      </c>
      <c r="F76" s="11">
        <v>0</v>
      </c>
      <c r="G76" s="56"/>
      <c r="H76" s="56"/>
      <c r="I76" s="102"/>
      <c r="J76" s="56"/>
      <c r="K76" s="28"/>
      <c r="L76" s="28"/>
      <c r="M76" s="28"/>
      <c r="N76" s="28"/>
      <c r="O76" s="28"/>
      <c r="P76" s="28"/>
      <c r="Q76" s="28"/>
      <c r="R76" s="28"/>
      <c r="S76" s="28"/>
      <c r="T76" s="28"/>
      <c r="U76" s="3"/>
    </row>
    <row r="77" spans="1:26" ht="14.4" hidden="1" outlineLevel="1" x14ac:dyDescent="0.3">
      <c r="A77" s="3"/>
      <c r="B77" s="9" t="s">
        <v>613</v>
      </c>
      <c r="C77" s="71"/>
      <c r="D77" s="53"/>
      <c r="E77" s="11">
        <v>0</v>
      </c>
      <c r="F77" s="11">
        <v>0</v>
      </c>
      <c r="G77" s="80"/>
      <c r="H77" s="56"/>
      <c r="I77" s="102"/>
      <c r="J77" s="80"/>
      <c r="K77" s="28"/>
      <c r="L77" s="28"/>
      <c r="M77" s="28"/>
      <c r="N77" s="28"/>
      <c r="O77" s="28"/>
      <c r="P77" s="28"/>
      <c r="Q77" s="28"/>
      <c r="R77" s="28"/>
      <c r="S77" s="28"/>
      <c r="T77" s="28"/>
      <c r="U77" s="3"/>
    </row>
    <row r="78" spans="1:26" ht="14.4" hidden="1" outlineLevel="1" x14ac:dyDescent="0.3">
      <c r="A78" s="3"/>
      <c r="B78" s="9" t="s">
        <v>613</v>
      </c>
      <c r="C78" s="71"/>
      <c r="D78" s="53"/>
      <c r="E78" s="11">
        <v>0</v>
      </c>
      <c r="F78" s="11">
        <v>0</v>
      </c>
      <c r="G78" s="80"/>
      <c r="H78" s="56"/>
      <c r="I78" s="102"/>
      <c r="J78" s="80"/>
      <c r="K78" s="28"/>
      <c r="L78" s="28"/>
      <c r="M78" s="28"/>
      <c r="N78" s="28"/>
      <c r="O78" s="28"/>
      <c r="P78" s="28"/>
      <c r="Q78" s="28"/>
      <c r="R78" s="28"/>
      <c r="S78" s="28"/>
      <c r="T78" s="28"/>
      <c r="U78" s="3"/>
    </row>
    <row r="79" spans="1:26" ht="14.4" hidden="1" outlineLevel="1" x14ac:dyDescent="0.3">
      <c r="A79" s="3"/>
      <c r="B79" s="9" t="s">
        <v>613</v>
      </c>
      <c r="C79" s="71"/>
      <c r="D79" s="53"/>
      <c r="E79" s="11">
        <v>0</v>
      </c>
      <c r="F79" s="11">
        <v>0</v>
      </c>
      <c r="G79" s="80"/>
      <c r="H79" s="56"/>
      <c r="I79" s="102"/>
      <c r="J79" s="56"/>
      <c r="K79" s="28"/>
      <c r="L79" s="28"/>
      <c r="M79" s="28"/>
      <c r="N79" s="28"/>
      <c r="O79" s="28"/>
      <c r="P79" s="28"/>
      <c r="Q79" s="28"/>
      <c r="R79" s="28"/>
      <c r="S79" s="28"/>
      <c r="T79" s="28"/>
      <c r="U79" s="3"/>
      <c r="W79" s="3"/>
      <c r="X79" s="3"/>
      <c r="Y79" s="3"/>
      <c r="Z79" s="3"/>
    </row>
    <row r="80" spans="1:26" ht="14.4" hidden="1" outlineLevel="1" x14ac:dyDescent="0.3">
      <c r="A80" s="3"/>
      <c r="B80" s="9" t="s">
        <v>331</v>
      </c>
      <c r="C80" s="71">
        <v>16</v>
      </c>
      <c r="D80" s="53" t="s">
        <v>95</v>
      </c>
      <c r="E80" s="11">
        <v>0</v>
      </c>
      <c r="F80" s="11">
        <v>44.1</v>
      </c>
      <c r="G80" s="80" t="s">
        <v>957</v>
      </c>
      <c r="H80" s="56" t="s">
        <v>37</v>
      </c>
      <c r="I80" s="102" t="s">
        <v>958</v>
      </c>
      <c r="J80" s="80"/>
      <c r="K80" s="28"/>
      <c r="L80" s="28"/>
      <c r="M80" s="28"/>
      <c r="N80" s="28"/>
      <c r="O80" s="28"/>
      <c r="P80" s="28"/>
      <c r="Q80" s="28"/>
      <c r="R80" s="28"/>
      <c r="S80" s="28"/>
      <c r="T80" s="28"/>
      <c r="U80" s="3"/>
      <c r="V80" s="14"/>
    </row>
    <row r="81" spans="1:26" ht="14.4" hidden="1" outlineLevel="1" x14ac:dyDescent="0.3">
      <c r="A81" s="3"/>
      <c r="B81" s="9" t="s">
        <v>331</v>
      </c>
      <c r="C81" s="71"/>
      <c r="D81" s="53"/>
      <c r="E81" s="11">
        <v>0</v>
      </c>
      <c r="F81" s="11">
        <v>0</v>
      </c>
      <c r="G81" s="80"/>
      <c r="H81" s="56"/>
      <c r="I81" s="102"/>
      <c r="J81" s="80"/>
      <c r="K81" s="28"/>
      <c r="L81" s="28"/>
      <c r="M81" s="28"/>
      <c r="N81" s="28"/>
      <c r="O81" s="28"/>
      <c r="P81" s="28"/>
      <c r="Q81" s="28"/>
      <c r="R81" s="28"/>
      <c r="S81" s="28"/>
      <c r="T81" s="28"/>
      <c r="U81" s="3"/>
      <c r="V81" s="14"/>
    </row>
    <row r="82" spans="1:26" ht="14.4" hidden="1" outlineLevel="1" x14ac:dyDescent="0.3">
      <c r="A82" s="3"/>
      <c r="B82" s="9" t="s">
        <v>331</v>
      </c>
      <c r="C82" s="71"/>
      <c r="D82" s="53"/>
      <c r="E82" s="11">
        <v>0</v>
      </c>
      <c r="F82" s="11">
        <v>0</v>
      </c>
      <c r="G82" s="80"/>
      <c r="H82" s="56"/>
      <c r="I82" s="102"/>
      <c r="J82" s="80"/>
      <c r="K82" s="28"/>
      <c r="L82" s="28"/>
      <c r="M82" s="28"/>
      <c r="N82" s="28"/>
      <c r="O82" s="28"/>
      <c r="P82" s="28"/>
      <c r="Q82" s="28"/>
      <c r="R82" s="28"/>
      <c r="S82" s="28"/>
      <c r="T82" s="28"/>
      <c r="U82" s="3"/>
      <c r="V82" s="14"/>
    </row>
    <row r="83" spans="1:26" ht="14.4" hidden="1" outlineLevel="1" x14ac:dyDescent="0.3">
      <c r="A83" s="3"/>
      <c r="B83" s="9" t="s">
        <v>331</v>
      </c>
      <c r="C83" s="71"/>
      <c r="D83" s="53"/>
      <c r="E83" s="11">
        <v>0</v>
      </c>
      <c r="F83" s="11">
        <v>0</v>
      </c>
      <c r="G83" s="80"/>
      <c r="H83" s="56"/>
      <c r="I83" s="102"/>
      <c r="J83" s="80"/>
      <c r="K83" s="28"/>
      <c r="L83" s="28"/>
      <c r="M83" s="28"/>
      <c r="N83" s="28"/>
      <c r="O83" s="28"/>
      <c r="P83" s="28"/>
      <c r="Q83" s="28"/>
      <c r="R83" s="28"/>
      <c r="S83" s="28"/>
      <c r="T83" s="28"/>
      <c r="U83" s="3"/>
      <c r="V83" s="14"/>
    </row>
    <row r="84" spans="1:26" ht="14.4" hidden="1" outlineLevel="1" x14ac:dyDescent="0.3">
      <c r="A84" s="3"/>
      <c r="B84" s="9" t="s">
        <v>331</v>
      </c>
      <c r="C84" s="71"/>
      <c r="D84" s="53"/>
      <c r="E84" s="11">
        <v>0</v>
      </c>
      <c r="F84" s="11">
        <v>0</v>
      </c>
      <c r="G84" s="80"/>
      <c r="H84" s="56"/>
      <c r="I84" s="102"/>
      <c r="J84" s="80"/>
      <c r="K84" s="28"/>
      <c r="L84" s="28"/>
      <c r="M84" s="28"/>
      <c r="N84" s="28"/>
      <c r="O84" s="28"/>
      <c r="P84" s="28"/>
      <c r="Q84" s="28"/>
      <c r="R84" s="28"/>
      <c r="S84" s="28"/>
      <c r="T84" s="28"/>
      <c r="U84" s="3"/>
      <c r="V84" s="14"/>
    </row>
    <row r="85" spans="1:26" ht="14.4" hidden="1" outlineLevel="1" x14ac:dyDescent="0.3">
      <c r="A85" s="3"/>
      <c r="B85" s="9" t="s">
        <v>335</v>
      </c>
      <c r="C85" s="71">
        <v>11</v>
      </c>
      <c r="D85" s="53" t="s">
        <v>95</v>
      </c>
      <c r="E85" s="11">
        <v>0</v>
      </c>
      <c r="F85" s="11">
        <v>200</v>
      </c>
      <c r="G85" s="80"/>
      <c r="H85" s="56" t="s">
        <v>37</v>
      </c>
      <c r="I85" s="102" t="s">
        <v>959</v>
      </c>
      <c r="J85" s="80"/>
      <c r="K85" s="28"/>
      <c r="L85" s="28"/>
      <c r="M85" s="28"/>
      <c r="N85" s="28"/>
      <c r="O85" s="28"/>
      <c r="P85" s="28"/>
      <c r="Q85" s="28"/>
      <c r="R85" s="28"/>
      <c r="S85" s="28"/>
      <c r="T85" s="28"/>
      <c r="U85" s="3"/>
      <c r="V85" s="14"/>
    </row>
    <row r="86" spans="1:26" ht="14.4" hidden="1" outlineLevel="1" x14ac:dyDescent="0.3">
      <c r="A86" s="3"/>
      <c r="B86" s="9" t="s">
        <v>335</v>
      </c>
      <c r="C86" s="53"/>
      <c r="D86" s="53"/>
      <c r="E86" s="11">
        <v>0</v>
      </c>
      <c r="F86" s="11">
        <v>0</v>
      </c>
      <c r="G86" s="113"/>
      <c r="H86" s="56"/>
      <c r="I86" s="102"/>
      <c r="J86" s="56"/>
      <c r="K86" s="28"/>
      <c r="L86" s="28"/>
      <c r="M86" s="28"/>
      <c r="N86" s="28"/>
      <c r="O86" s="28"/>
      <c r="P86" s="28"/>
      <c r="Q86" s="28"/>
      <c r="R86" s="28"/>
      <c r="S86" s="28"/>
      <c r="T86" s="28"/>
      <c r="U86" s="3"/>
    </row>
    <row r="87" spans="1:26" ht="14.4" hidden="1" outlineLevel="1" x14ac:dyDescent="0.3">
      <c r="A87" s="3"/>
      <c r="B87" s="9" t="s">
        <v>628</v>
      </c>
      <c r="C87" s="53"/>
      <c r="D87" s="53"/>
      <c r="E87" s="11">
        <v>0</v>
      </c>
      <c r="F87" s="11">
        <v>0</v>
      </c>
      <c r="G87" s="56"/>
      <c r="H87" s="56"/>
      <c r="I87" s="102"/>
      <c r="J87" s="56"/>
      <c r="K87" s="28"/>
      <c r="L87" s="28"/>
      <c r="M87" s="28"/>
      <c r="N87" s="28"/>
      <c r="O87" s="28"/>
      <c r="P87" s="28"/>
      <c r="Q87" s="28"/>
      <c r="R87" s="28"/>
      <c r="S87" s="28"/>
      <c r="T87" s="28"/>
      <c r="U87" s="3"/>
    </row>
    <row r="88" spans="1:26" ht="14.4" hidden="1" outlineLevel="1" x14ac:dyDescent="0.3">
      <c r="A88" s="3"/>
      <c r="B88" s="9" t="s">
        <v>628</v>
      </c>
      <c r="C88" s="71"/>
      <c r="D88" s="53"/>
      <c r="E88" s="11">
        <v>0</v>
      </c>
      <c r="F88" s="11">
        <v>0</v>
      </c>
      <c r="G88" s="80"/>
      <c r="H88" s="56"/>
      <c r="I88" s="102"/>
      <c r="J88" s="80"/>
      <c r="K88" s="28"/>
      <c r="L88" s="28"/>
      <c r="M88" s="28"/>
      <c r="N88" s="28"/>
      <c r="O88" s="28"/>
      <c r="P88" s="28"/>
      <c r="Q88" s="28"/>
      <c r="R88" s="28"/>
      <c r="S88" s="28"/>
      <c r="T88" s="28"/>
      <c r="U88" s="3"/>
    </row>
    <row r="89" spans="1:26" ht="14.4" hidden="1" outlineLevel="1" x14ac:dyDescent="0.3">
      <c r="A89" s="3"/>
      <c r="B89" s="9" t="s">
        <v>630</v>
      </c>
      <c r="C89" s="71">
        <v>16</v>
      </c>
      <c r="D89" s="53" t="s">
        <v>95</v>
      </c>
      <c r="E89" s="11">
        <v>0</v>
      </c>
      <c r="F89" s="11">
        <v>422.7</v>
      </c>
      <c r="G89" s="80"/>
      <c r="H89" s="56" t="s">
        <v>37</v>
      </c>
      <c r="I89" s="102" t="s">
        <v>960</v>
      </c>
      <c r="J89" s="80"/>
      <c r="K89" s="28"/>
      <c r="L89" s="28"/>
      <c r="M89" s="28"/>
      <c r="N89" s="28"/>
      <c r="O89" s="28"/>
      <c r="P89" s="28"/>
      <c r="Q89" s="28"/>
      <c r="R89" s="28"/>
      <c r="S89" s="28"/>
      <c r="T89" s="28"/>
      <c r="U89" s="3"/>
    </row>
    <row r="90" spans="1:26" ht="14.4" hidden="1" outlineLevel="1" x14ac:dyDescent="0.3">
      <c r="A90" s="3"/>
      <c r="B90" s="9" t="s">
        <v>630</v>
      </c>
      <c r="C90" s="71"/>
      <c r="D90" s="53"/>
      <c r="E90" s="11">
        <v>0</v>
      </c>
      <c r="F90" s="11">
        <v>0</v>
      </c>
      <c r="G90" s="80"/>
      <c r="H90" s="56"/>
      <c r="I90" s="102"/>
      <c r="J90" s="56"/>
      <c r="K90" s="28"/>
      <c r="L90" s="28"/>
      <c r="M90" s="28"/>
      <c r="N90" s="28"/>
      <c r="O90" s="28"/>
      <c r="P90" s="28"/>
      <c r="Q90" s="28"/>
      <c r="R90" s="28"/>
      <c r="S90" s="28"/>
      <c r="T90" s="28"/>
      <c r="U90" s="3"/>
      <c r="W90" s="3"/>
      <c r="X90" s="3"/>
      <c r="Y90" s="3"/>
      <c r="Z90" s="3"/>
    </row>
    <row r="91" spans="1:26" ht="14.4" hidden="1" outlineLevel="1" x14ac:dyDescent="0.3">
      <c r="A91" s="3"/>
      <c r="B91" s="9" t="s">
        <v>632</v>
      </c>
      <c r="C91" s="53"/>
      <c r="D91" s="53"/>
      <c r="E91" s="11">
        <v>0</v>
      </c>
      <c r="F91" s="11">
        <v>0</v>
      </c>
      <c r="G91" s="80"/>
      <c r="H91" s="56"/>
      <c r="I91" s="102"/>
      <c r="J91" s="56"/>
      <c r="K91" s="28"/>
      <c r="L91" s="28"/>
      <c r="M91" s="28"/>
      <c r="N91" s="28"/>
      <c r="O91" s="28"/>
      <c r="P91" s="28"/>
      <c r="Q91" s="28"/>
      <c r="R91" s="28"/>
      <c r="S91" s="28"/>
      <c r="T91" s="28"/>
      <c r="U91" s="3"/>
      <c r="W91" s="3"/>
      <c r="X91" s="3"/>
      <c r="Y91" s="3"/>
      <c r="Z91" s="3"/>
    </row>
    <row r="92" spans="1:26" ht="14.4" hidden="1" outlineLevel="1" x14ac:dyDescent="0.3">
      <c r="A92" s="3"/>
      <c r="B92" s="9" t="s">
        <v>632</v>
      </c>
      <c r="C92" s="53"/>
      <c r="D92" s="53"/>
      <c r="E92" s="11">
        <v>0</v>
      </c>
      <c r="F92" s="11">
        <v>0</v>
      </c>
      <c r="G92" s="80"/>
      <c r="H92" s="56"/>
      <c r="I92" s="102"/>
      <c r="J92" s="56"/>
      <c r="K92" s="28"/>
      <c r="L92" s="28"/>
      <c r="M92" s="28"/>
      <c r="N92" s="28"/>
      <c r="O92" s="28"/>
      <c r="P92" s="28"/>
      <c r="Q92" s="28"/>
      <c r="R92" s="28"/>
      <c r="S92" s="28"/>
      <c r="T92" s="28"/>
      <c r="U92" s="3"/>
      <c r="W92" s="3"/>
      <c r="X92" s="3"/>
      <c r="Y92" s="3"/>
      <c r="Z92" s="3"/>
    </row>
    <row r="93" spans="1:26" ht="20.399999999999999" collapsed="1" x14ac:dyDescent="0.3">
      <c r="A93" s="3"/>
      <c r="B93" s="75" t="s">
        <v>349</v>
      </c>
      <c r="C93" s="76" t="s">
        <v>44</v>
      </c>
      <c r="D93" s="76" t="s">
        <v>44</v>
      </c>
      <c r="E93" s="77">
        <f t="shared" ref="E93:F93" si="0">SUM(E94,E110,E115)</f>
        <v>28</v>
      </c>
      <c r="F93" s="77">
        <f t="shared" si="0"/>
        <v>5172.17</v>
      </c>
      <c r="G93" s="78"/>
      <c r="H93" s="78"/>
      <c r="I93" s="79"/>
      <c r="J93" s="78"/>
      <c r="K93" s="28"/>
      <c r="L93" s="28"/>
      <c r="M93" s="28"/>
      <c r="N93" s="28"/>
      <c r="O93" s="28"/>
      <c r="P93" s="28"/>
      <c r="Q93" s="28"/>
      <c r="R93" s="28"/>
      <c r="S93" s="28"/>
      <c r="T93" s="28"/>
      <c r="U93" s="3"/>
      <c r="W93" s="3"/>
      <c r="X93" s="3"/>
      <c r="Y93" s="3"/>
      <c r="Z93" s="3"/>
    </row>
    <row r="94" spans="1:26" outlineLevel="1" x14ac:dyDescent="0.3">
      <c r="A94" s="3"/>
      <c r="B94" s="82" t="s">
        <v>350</v>
      </c>
      <c r="C94" s="83"/>
      <c r="D94" s="83"/>
      <c r="E94" s="84">
        <f>SUM(E95:E109)</f>
        <v>28</v>
      </c>
      <c r="F94" s="84">
        <f>SUMIF(D95:D109,"OK",F95:F109)</f>
        <v>4696.1900000000005</v>
      </c>
      <c r="G94" s="85"/>
      <c r="H94" s="85"/>
      <c r="I94" s="86"/>
      <c r="J94" s="85"/>
      <c r="K94" s="28"/>
      <c r="L94" s="28"/>
      <c r="M94" s="28"/>
      <c r="N94" s="28"/>
      <c r="O94" s="28"/>
      <c r="P94" s="28"/>
      <c r="Q94" s="28"/>
      <c r="R94" s="28"/>
      <c r="S94" s="28"/>
      <c r="T94" s="28"/>
      <c r="U94" s="3"/>
      <c r="W94" s="3"/>
      <c r="X94" s="3"/>
      <c r="Y94" s="3"/>
      <c r="Z94" s="3"/>
    </row>
    <row r="95" spans="1:26" ht="14.4" outlineLevel="1" x14ac:dyDescent="0.3">
      <c r="A95" s="3"/>
      <c r="B95" s="9" t="s">
        <v>363</v>
      </c>
      <c r="C95" s="53">
        <v>7</v>
      </c>
      <c r="D95" s="53" t="s">
        <v>95</v>
      </c>
      <c r="E95" s="11">
        <v>0</v>
      </c>
      <c r="F95" s="11">
        <v>530</v>
      </c>
      <c r="G95" s="56" t="s">
        <v>614</v>
      </c>
      <c r="H95" s="56" t="s">
        <v>37</v>
      </c>
      <c r="I95" s="102" t="s">
        <v>961</v>
      </c>
      <c r="J95" s="56"/>
      <c r="K95" s="28"/>
      <c r="L95" s="28"/>
      <c r="M95" s="28"/>
      <c r="N95" s="28"/>
      <c r="O95" s="28"/>
      <c r="P95" s="28"/>
      <c r="Q95" s="28"/>
      <c r="R95" s="28"/>
      <c r="S95" s="28"/>
      <c r="T95" s="28"/>
      <c r="U95" s="3"/>
      <c r="W95" s="3"/>
      <c r="X95" s="3"/>
      <c r="Y95" s="3"/>
      <c r="Z95" s="3"/>
    </row>
    <row r="96" spans="1:26" ht="14.4" outlineLevel="1" x14ac:dyDescent="0.3">
      <c r="A96" s="3"/>
      <c r="B96" s="9" t="s">
        <v>363</v>
      </c>
      <c r="C96" s="53">
        <v>7</v>
      </c>
      <c r="D96" s="53" t="s">
        <v>95</v>
      </c>
      <c r="E96" s="11">
        <v>0</v>
      </c>
      <c r="F96" s="11">
        <v>77.64</v>
      </c>
      <c r="G96" s="56"/>
      <c r="H96" s="56" t="s">
        <v>37</v>
      </c>
      <c r="I96" s="102" t="s">
        <v>962</v>
      </c>
      <c r="J96" s="56"/>
      <c r="K96" s="28"/>
      <c r="L96" s="28"/>
      <c r="M96" s="28"/>
      <c r="N96" s="28"/>
      <c r="O96" s="28"/>
      <c r="P96" s="28"/>
      <c r="Q96" s="28"/>
      <c r="R96" s="28"/>
      <c r="S96" s="28"/>
      <c r="T96" s="28"/>
      <c r="U96" s="3"/>
      <c r="W96" s="3"/>
      <c r="X96" s="3"/>
      <c r="Y96" s="3"/>
      <c r="Z96" s="3"/>
    </row>
    <row r="97" spans="1:26" ht="14.4" outlineLevel="1" x14ac:dyDescent="0.3">
      <c r="A97" s="3"/>
      <c r="B97" s="9" t="s">
        <v>363</v>
      </c>
      <c r="C97" s="53">
        <v>7</v>
      </c>
      <c r="D97" s="53" t="s">
        <v>95</v>
      </c>
      <c r="E97" s="11">
        <v>0</v>
      </c>
      <c r="F97" s="11">
        <v>754.52</v>
      </c>
      <c r="G97" s="56"/>
      <c r="H97" s="56" t="s">
        <v>37</v>
      </c>
      <c r="I97" s="102" t="s">
        <v>963</v>
      </c>
      <c r="J97" s="56"/>
      <c r="K97" s="28"/>
      <c r="L97" s="28"/>
      <c r="M97" s="28"/>
      <c r="N97" s="28"/>
      <c r="O97" s="28"/>
      <c r="P97" s="28"/>
      <c r="Q97" s="28"/>
      <c r="R97" s="28"/>
      <c r="S97" s="28"/>
      <c r="T97" s="28"/>
      <c r="U97" s="3"/>
      <c r="W97" s="3"/>
      <c r="X97" s="3"/>
      <c r="Y97" s="3"/>
      <c r="Z97" s="3"/>
    </row>
    <row r="98" spans="1:26" ht="14.4" outlineLevel="1" x14ac:dyDescent="0.3">
      <c r="A98" s="3"/>
      <c r="B98" s="9" t="s">
        <v>363</v>
      </c>
      <c r="C98" s="53">
        <v>7</v>
      </c>
      <c r="D98" s="53" t="s">
        <v>95</v>
      </c>
      <c r="E98" s="11">
        <v>0</v>
      </c>
      <c r="F98" s="11">
        <v>49.98</v>
      </c>
      <c r="G98" s="56"/>
      <c r="H98" s="56" t="s">
        <v>37</v>
      </c>
      <c r="I98" s="102" t="s">
        <v>964</v>
      </c>
      <c r="J98" s="56"/>
      <c r="K98" s="28"/>
      <c r="L98" s="28"/>
      <c r="M98" s="28"/>
      <c r="N98" s="28"/>
      <c r="O98" s="28"/>
      <c r="P98" s="28"/>
      <c r="Q98" s="28"/>
      <c r="R98" s="28"/>
      <c r="S98" s="28"/>
      <c r="T98" s="28"/>
      <c r="U98" s="3"/>
      <c r="W98" s="3"/>
      <c r="X98" s="3"/>
      <c r="Y98" s="3"/>
      <c r="Z98" s="3"/>
    </row>
    <row r="99" spans="1:26" ht="14.4" outlineLevel="1" x14ac:dyDescent="0.3">
      <c r="A99" s="3"/>
      <c r="B99" s="9" t="s">
        <v>363</v>
      </c>
      <c r="C99" s="53">
        <v>7</v>
      </c>
      <c r="D99" s="53" t="s">
        <v>95</v>
      </c>
      <c r="E99" s="11">
        <v>0</v>
      </c>
      <c r="F99" s="11">
        <v>311.61</v>
      </c>
      <c r="G99" s="56"/>
      <c r="H99" s="56" t="s">
        <v>37</v>
      </c>
      <c r="I99" s="102" t="s">
        <v>965</v>
      </c>
      <c r="J99" s="56"/>
      <c r="K99" s="28"/>
      <c r="L99" s="28"/>
      <c r="M99" s="28"/>
      <c r="N99" s="28"/>
      <c r="O99" s="28"/>
      <c r="P99" s="28"/>
      <c r="Q99" s="28"/>
      <c r="R99" s="28"/>
      <c r="S99" s="28"/>
      <c r="T99" s="28"/>
      <c r="U99" s="3"/>
      <c r="W99" s="3"/>
      <c r="X99" s="3"/>
      <c r="Y99" s="3"/>
      <c r="Z99" s="3"/>
    </row>
    <row r="100" spans="1:26" ht="14.4" outlineLevel="1" x14ac:dyDescent="0.3">
      <c r="A100" s="3"/>
      <c r="B100" s="9" t="s">
        <v>363</v>
      </c>
      <c r="C100" s="53">
        <v>7</v>
      </c>
      <c r="D100" s="53" t="s">
        <v>95</v>
      </c>
      <c r="E100" s="11">
        <v>0</v>
      </c>
      <c r="F100" s="11">
        <v>19</v>
      </c>
      <c r="G100" s="56"/>
      <c r="H100" s="56" t="s">
        <v>37</v>
      </c>
      <c r="I100" s="102" t="s">
        <v>966</v>
      </c>
      <c r="J100" s="56"/>
      <c r="K100" s="28"/>
      <c r="L100" s="28"/>
      <c r="M100" s="28"/>
      <c r="N100" s="28"/>
      <c r="O100" s="28"/>
      <c r="P100" s="28"/>
      <c r="Q100" s="28"/>
      <c r="R100" s="28"/>
      <c r="S100" s="28"/>
      <c r="T100" s="28"/>
      <c r="U100" s="3"/>
      <c r="W100" s="3"/>
      <c r="X100" s="3"/>
      <c r="Y100" s="3"/>
      <c r="Z100" s="3"/>
    </row>
    <row r="101" spans="1:26" ht="14.4" outlineLevel="1" x14ac:dyDescent="0.3">
      <c r="A101" s="3"/>
      <c r="B101" s="9" t="s">
        <v>363</v>
      </c>
      <c r="C101" s="53">
        <v>7</v>
      </c>
      <c r="D101" s="53" t="s">
        <v>95</v>
      </c>
      <c r="E101" s="11">
        <v>0</v>
      </c>
      <c r="F101" s="11">
        <v>298.26</v>
      </c>
      <c r="G101" s="56"/>
      <c r="H101" s="56" t="s">
        <v>37</v>
      </c>
      <c r="I101" s="102" t="s">
        <v>967</v>
      </c>
      <c r="J101" s="56"/>
      <c r="K101" s="28"/>
      <c r="L101" s="28"/>
      <c r="M101" s="28"/>
      <c r="N101" s="28"/>
      <c r="O101" s="28"/>
      <c r="P101" s="28"/>
      <c r="Q101" s="28"/>
      <c r="R101" s="28"/>
      <c r="S101" s="28"/>
      <c r="T101" s="28"/>
      <c r="U101" s="3"/>
      <c r="W101" s="3"/>
      <c r="X101" s="3"/>
      <c r="Y101" s="3"/>
      <c r="Z101" s="3"/>
    </row>
    <row r="102" spans="1:26" ht="14.4" outlineLevel="1" x14ac:dyDescent="0.3">
      <c r="A102" s="3"/>
      <c r="B102" s="9" t="s">
        <v>363</v>
      </c>
      <c r="C102" s="53">
        <v>7</v>
      </c>
      <c r="D102" s="53" t="s">
        <v>95</v>
      </c>
      <c r="E102" s="11">
        <v>0</v>
      </c>
      <c r="F102" s="11">
        <v>107.69</v>
      </c>
      <c r="G102" s="56"/>
      <c r="H102" s="56" t="s">
        <v>37</v>
      </c>
      <c r="I102" s="102" t="s">
        <v>968</v>
      </c>
      <c r="J102" s="56"/>
      <c r="K102" s="28"/>
      <c r="L102" s="28"/>
      <c r="M102" s="28"/>
      <c r="N102" s="28"/>
      <c r="O102" s="28"/>
      <c r="P102" s="28"/>
      <c r="Q102" s="28"/>
      <c r="R102" s="28"/>
      <c r="S102" s="28"/>
      <c r="T102" s="28"/>
      <c r="U102" s="3"/>
      <c r="W102" s="3"/>
      <c r="X102" s="3"/>
      <c r="Y102" s="3"/>
      <c r="Z102" s="3"/>
    </row>
    <row r="103" spans="1:26" ht="14.4" outlineLevel="1" x14ac:dyDescent="0.3">
      <c r="A103" s="3"/>
      <c r="B103" s="9" t="s">
        <v>363</v>
      </c>
      <c r="C103" s="53">
        <v>7</v>
      </c>
      <c r="D103" s="53" t="s">
        <v>95</v>
      </c>
      <c r="E103" s="11">
        <v>0</v>
      </c>
      <c r="F103" s="11">
        <v>370</v>
      </c>
      <c r="G103" s="56" t="s">
        <v>969</v>
      </c>
      <c r="H103" s="56" t="s">
        <v>37</v>
      </c>
      <c r="I103" s="102" t="s">
        <v>970</v>
      </c>
      <c r="J103" s="56"/>
      <c r="K103" s="28"/>
      <c r="L103" s="28"/>
      <c r="M103" s="28"/>
      <c r="N103" s="28"/>
      <c r="O103" s="28"/>
      <c r="P103" s="28"/>
      <c r="Q103" s="28"/>
      <c r="R103" s="28"/>
      <c r="S103" s="28"/>
      <c r="T103" s="28"/>
      <c r="U103" s="3"/>
      <c r="W103" s="3"/>
      <c r="X103" s="3"/>
      <c r="Y103" s="3"/>
      <c r="Z103" s="3"/>
    </row>
    <row r="104" spans="1:26" ht="14.4" outlineLevel="1" x14ac:dyDescent="0.3">
      <c r="A104" s="3"/>
      <c r="B104" s="9" t="s">
        <v>971</v>
      </c>
      <c r="C104" s="53">
        <v>7</v>
      </c>
      <c r="D104" s="53" t="s">
        <v>95</v>
      </c>
      <c r="E104" s="11">
        <v>0</v>
      </c>
      <c r="F104" s="11">
        <v>300</v>
      </c>
      <c r="G104" s="56"/>
      <c r="H104" s="56" t="s">
        <v>37</v>
      </c>
      <c r="I104" s="102" t="s">
        <v>972</v>
      </c>
      <c r="J104" s="56"/>
      <c r="K104" s="28"/>
      <c r="L104" s="28"/>
      <c r="M104" s="28"/>
      <c r="N104" s="28"/>
      <c r="O104" s="28"/>
      <c r="P104" s="28"/>
      <c r="Q104" s="28"/>
      <c r="R104" s="28"/>
      <c r="S104" s="28"/>
      <c r="T104" s="28"/>
      <c r="U104" s="3"/>
      <c r="W104" s="3"/>
      <c r="X104" s="3"/>
      <c r="Y104" s="3"/>
      <c r="Z104" s="3"/>
    </row>
    <row r="105" spans="1:26" ht="14.4" outlineLevel="1" x14ac:dyDescent="0.3">
      <c r="A105" s="3"/>
      <c r="B105" s="9" t="s">
        <v>331</v>
      </c>
      <c r="C105" s="53">
        <v>7</v>
      </c>
      <c r="D105" s="53" t="s">
        <v>95</v>
      </c>
      <c r="E105" s="11">
        <v>0</v>
      </c>
      <c r="F105" s="11">
        <v>9.8000000000000007</v>
      </c>
      <c r="G105" s="56"/>
      <c r="H105" s="56" t="s">
        <v>37</v>
      </c>
      <c r="I105" s="102" t="s">
        <v>973</v>
      </c>
      <c r="J105" s="56"/>
      <c r="K105" s="28"/>
      <c r="L105" s="28"/>
      <c r="M105" s="28"/>
      <c r="N105" s="28"/>
      <c r="O105" s="28"/>
      <c r="P105" s="28"/>
      <c r="Q105" s="28"/>
      <c r="R105" s="28"/>
      <c r="S105" s="28"/>
      <c r="T105" s="28"/>
      <c r="U105" s="3"/>
      <c r="W105" s="3"/>
      <c r="X105" s="3"/>
      <c r="Y105" s="3"/>
      <c r="Z105" s="3"/>
    </row>
    <row r="106" spans="1:26" ht="14.4" outlineLevel="1" x14ac:dyDescent="0.3">
      <c r="A106" s="3"/>
      <c r="B106" s="9" t="s">
        <v>331</v>
      </c>
      <c r="C106" s="53">
        <v>7</v>
      </c>
      <c r="D106" s="53" t="s">
        <v>95</v>
      </c>
      <c r="E106" s="11">
        <v>0</v>
      </c>
      <c r="F106" s="11">
        <v>606.52</v>
      </c>
      <c r="G106" s="56"/>
      <c r="H106" s="56" t="s">
        <v>37</v>
      </c>
      <c r="I106" s="102" t="s">
        <v>974</v>
      </c>
      <c r="J106" s="56"/>
      <c r="K106" s="28"/>
      <c r="L106" s="28"/>
      <c r="M106" s="28"/>
      <c r="N106" s="28"/>
      <c r="O106" s="28"/>
      <c r="P106" s="28"/>
      <c r="Q106" s="28"/>
      <c r="R106" s="28"/>
      <c r="S106" s="28"/>
      <c r="T106" s="28"/>
      <c r="U106" s="3"/>
      <c r="W106" s="3"/>
      <c r="X106" s="3"/>
      <c r="Y106" s="3"/>
      <c r="Z106" s="3"/>
    </row>
    <row r="107" spans="1:26" ht="14.4" outlineLevel="1" x14ac:dyDescent="0.3">
      <c r="A107" s="3"/>
      <c r="B107" s="9" t="s">
        <v>363</v>
      </c>
      <c r="C107" s="53">
        <v>8</v>
      </c>
      <c r="D107" s="53" t="s">
        <v>95</v>
      </c>
      <c r="E107" s="11">
        <v>0</v>
      </c>
      <c r="F107" s="11">
        <v>1226.17</v>
      </c>
      <c r="G107" s="56"/>
      <c r="H107" s="56" t="s">
        <v>37</v>
      </c>
      <c r="I107" s="102" t="s">
        <v>975</v>
      </c>
      <c r="J107" s="56"/>
      <c r="K107" s="28"/>
      <c r="L107" s="28"/>
      <c r="M107" s="28"/>
      <c r="N107" s="28"/>
      <c r="O107" s="28"/>
      <c r="P107" s="28"/>
      <c r="Q107" s="28"/>
      <c r="R107" s="28"/>
      <c r="S107" s="28"/>
      <c r="T107" s="28"/>
      <c r="U107" s="3"/>
      <c r="W107" s="3"/>
      <c r="X107" s="3"/>
      <c r="Y107" s="3"/>
      <c r="Z107" s="3"/>
    </row>
    <row r="108" spans="1:26" ht="14.4" outlineLevel="1" x14ac:dyDescent="0.3">
      <c r="A108" s="3"/>
      <c r="B108" s="9" t="s">
        <v>363</v>
      </c>
      <c r="C108" s="53"/>
      <c r="D108" s="53"/>
      <c r="E108" s="11">
        <v>28</v>
      </c>
      <c r="F108" s="11">
        <v>0</v>
      </c>
      <c r="G108" s="56" t="s">
        <v>976</v>
      </c>
      <c r="H108" s="56"/>
      <c r="I108" s="102"/>
      <c r="J108" s="56"/>
      <c r="K108" s="28"/>
      <c r="L108" s="28"/>
      <c r="M108" s="28"/>
      <c r="N108" s="28"/>
      <c r="O108" s="28"/>
      <c r="P108" s="28"/>
      <c r="Q108" s="28"/>
      <c r="R108" s="28"/>
      <c r="S108" s="28"/>
      <c r="T108" s="28"/>
      <c r="U108" s="3"/>
      <c r="W108" s="3"/>
      <c r="X108" s="3"/>
      <c r="Y108" s="3"/>
      <c r="Z108" s="3"/>
    </row>
    <row r="109" spans="1:26" ht="14.4" outlineLevel="1" x14ac:dyDescent="0.3">
      <c r="A109" s="3"/>
      <c r="B109" s="9" t="s">
        <v>363</v>
      </c>
      <c r="C109" s="53">
        <v>11</v>
      </c>
      <c r="D109" s="53" t="s">
        <v>95</v>
      </c>
      <c r="E109" s="11">
        <v>0</v>
      </c>
      <c r="F109" s="11">
        <v>35</v>
      </c>
      <c r="G109" s="56" t="s">
        <v>976</v>
      </c>
      <c r="H109" s="56" t="s">
        <v>37</v>
      </c>
      <c r="I109" s="102" t="s">
        <v>977</v>
      </c>
      <c r="J109" s="56"/>
      <c r="K109" s="28"/>
      <c r="L109" s="28"/>
      <c r="M109" s="28"/>
      <c r="N109" s="28"/>
      <c r="O109" s="28"/>
      <c r="P109" s="28"/>
      <c r="Q109" s="28"/>
      <c r="R109" s="28"/>
      <c r="S109" s="28"/>
      <c r="T109" s="28"/>
      <c r="U109" s="3"/>
      <c r="W109" s="3"/>
      <c r="X109" s="3"/>
      <c r="Y109" s="3"/>
      <c r="Z109" s="3"/>
    </row>
    <row r="110" spans="1:26" outlineLevel="1" x14ac:dyDescent="0.3">
      <c r="A110" s="3"/>
      <c r="B110" s="82" t="s">
        <v>978</v>
      </c>
      <c r="C110" s="83"/>
      <c r="D110" s="83"/>
      <c r="E110" s="84">
        <f>SUM(E111:E114)</f>
        <v>0</v>
      </c>
      <c r="F110" s="84">
        <f>SUMIF(D111:D114,"OK",F111:F114)</f>
        <v>475.98</v>
      </c>
      <c r="G110" s="85"/>
      <c r="H110" s="85"/>
      <c r="I110" s="86"/>
      <c r="J110" s="85"/>
      <c r="K110" s="28"/>
      <c r="L110" s="28"/>
      <c r="M110" s="28"/>
      <c r="N110" s="28"/>
      <c r="O110" s="28"/>
      <c r="P110" s="28"/>
      <c r="Q110" s="28"/>
      <c r="R110" s="28"/>
      <c r="S110" s="28"/>
      <c r="T110" s="28"/>
      <c r="U110" s="3"/>
      <c r="W110" s="3"/>
      <c r="X110" s="3"/>
      <c r="Y110" s="3"/>
      <c r="Z110" s="3"/>
    </row>
    <row r="111" spans="1:26" ht="14.4" outlineLevel="1" x14ac:dyDescent="0.3">
      <c r="A111" s="3"/>
      <c r="B111" s="9" t="s">
        <v>979</v>
      </c>
      <c r="C111" s="53">
        <v>10</v>
      </c>
      <c r="D111" s="53" t="s">
        <v>95</v>
      </c>
      <c r="E111" s="11">
        <v>0</v>
      </c>
      <c r="F111" s="11">
        <v>135.97999999999999</v>
      </c>
      <c r="G111" s="56"/>
      <c r="H111" s="56" t="s">
        <v>37</v>
      </c>
      <c r="I111" s="102" t="s">
        <v>980</v>
      </c>
      <c r="J111" s="56"/>
      <c r="K111" s="28"/>
      <c r="L111" s="28"/>
      <c r="M111" s="28"/>
      <c r="N111" s="28"/>
      <c r="O111" s="28"/>
      <c r="P111" s="28"/>
      <c r="Q111" s="28"/>
      <c r="R111" s="28"/>
      <c r="S111" s="28"/>
      <c r="T111" s="28"/>
      <c r="U111" s="3"/>
      <c r="W111" s="3"/>
      <c r="X111" s="3"/>
      <c r="Y111" s="3"/>
      <c r="Z111" s="3"/>
    </row>
    <row r="112" spans="1:26" ht="14.4" outlineLevel="1" x14ac:dyDescent="0.3">
      <c r="A112" s="3"/>
      <c r="B112" s="9" t="s">
        <v>981</v>
      </c>
      <c r="C112" s="53">
        <v>12</v>
      </c>
      <c r="D112" s="53" t="s">
        <v>95</v>
      </c>
      <c r="E112" s="11">
        <v>0</v>
      </c>
      <c r="F112" s="11">
        <v>140</v>
      </c>
      <c r="G112" s="56"/>
      <c r="H112" s="56" t="s">
        <v>37</v>
      </c>
      <c r="I112" s="102" t="s">
        <v>982</v>
      </c>
      <c r="J112" s="56"/>
      <c r="K112" s="28"/>
      <c r="L112" s="28"/>
      <c r="M112" s="28"/>
      <c r="N112" s="28"/>
      <c r="O112" s="28"/>
      <c r="P112" s="28"/>
      <c r="Q112" s="28"/>
      <c r="R112" s="28"/>
      <c r="S112" s="28"/>
      <c r="T112" s="28"/>
      <c r="U112" s="3"/>
      <c r="W112" s="3"/>
      <c r="X112" s="3"/>
      <c r="Y112" s="3"/>
      <c r="Z112" s="3"/>
    </row>
    <row r="113" spans="1:26" ht="14.4" outlineLevel="1" x14ac:dyDescent="0.3">
      <c r="A113" s="3"/>
      <c r="B113" s="9" t="s">
        <v>983</v>
      </c>
      <c r="C113" s="53">
        <v>12</v>
      </c>
      <c r="D113" s="53" t="s">
        <v>95</v>
      </c>
      <c r="E113" s="11">
        <v>0</v>
      </c>
      <c r="F113" s="11">
        <v>200</v>
      </c>
      <c r="G113" s="56" t="s">
        <v>984</v>
      </c>
      <c r="H113" s="56" t="s">
        <v>37</v>
      </c>
      <c r="I113" s="102" t="s">
        <v>985</v>
      </c>
      <c r="J113" s="56"/>
      <c r="K113" s="28"/>
      <c r="L113" s="28"/>
      <c r="M113" s="28"/>
      <c r="N113" s="28"/>
      <c r="O113" s="28"/>
      <c r="P113" s="28"/>
      <c r="Q113" s="28"/>
      <c r="R113" s="28"/>
      <c r="S113" s="28"/>
      <c r="T113" s="28"/>
      <c r="U113" s="3"/>
      <c r="W113" s="3"/>
      <c r="X113" s="3"/>
      <c r="Y113" s="3"/>
      <c r="Z113" s="3"/>
    </row>
    <row r="114" spans="1:26" ht="14.4" outlineLevel="1" x14ac:dyDescent="0.3">
      <c r="A114" s="3"/>
      <c r="B114" s="9" t="s">
        <v>51</v>
      </c>
      <c r="C114" s="53"/>
      <c r="D114" s="53"/>
      <c r="E114" s="11">
        <v>0</v>
      </c>
      <c r="F114" s="11">
        <v>0</v>
      </c>
      <c r="G114" s="80"/>
      <c r="H114" s="56"/>
      <c r="I114" s="102"/>
      <c r="J114" s="56"/>
      <c r="K114" s="28"/>
      <c r="L114" s="28"/>
      <c r="M114" s="28"/>
      <c r="N114" s="28"/>
      <c r="O114" s="28"/>
      <c r="P114" s="28"/>
      <c r="Q114" s="28"/>
      <c r="R114" s="28"/>
      <c r="S114" s="28"/>
      <c r="T114" s="28"/>
      <c r="U114" s="3"/>
      <c r="W114" s="3"/>
      <c r="X114" s="3"/>
      <c r="Y114" s="3"/>
      <c r="Z114" s="3"/>
    </row>
    <row r="115" spans="1:26" outlineLevel="1" x14ac:dyDescent="0.3">
      <c r="A115" s="3"/>
      <c r="B115" s="82" t="s">
        <v>357</v>
      </c>
      <c r="C115" s="83"/>
      <c r="D115" s="83"/>
      <c r="E115" s="84">
        <f>SUM(E116:E118)</f>
        <v>0</v>
      </c>
      <c r="F115" s="84">
        <f>SUMIF(D116:D118,"OK",F116:F118)</f>
        <v>0</v>
      </c>
      <c r="G115" s="85"/>
      <c r="H115" s="85"/>
      <c r="I115" s="86"/>
      <c r="J115" s="85"/>
      <c r="K115" s="28"/>
      <c r="L115" s="28"/>
      <c r="M115" s="28"/>
      <c r="N115" s="28"/>
      <c r="O115" s="28"/>
      <c r="P115" s="28"/>
      <c r="Q115" s="28"/>
      <c r="R115" s="28"/>
      <c r="S115" s="28"/>
      <c r="T115" s="28"/>
      <c r="U115" s="3"/>
      <c r="W115" s="3"/>
      <c r="X115" s="3"/>
      <c r="Y115" s="3"/>
      <c r="Z115" s="3"/>
    </row>
    <row r="116" spans="1:26" ht="14.4" outlineLevel="1" x14ac:dyDescent="0.3">
      <c r="A116" s="3"/>
      <c r="B116" s="9" t="s">
        <v>51</v>
      </c>
      <c r="C116" s="53"/>
      <c r="D116" s="53"/>
      <c r="E116" s="11">
        <v>0</v>
      </c>
      <c r="F116" s="11">
        <v>0</v>
      </c>
      <c r="G116" s="56"/>
      <c r="H116" s="56"/>
      <c r="I116" s="80"/>
      <c r="J116" s="56"/>
      <c r="K116" s="28"/>
      <c r="L116" s="28"/>
      <c r="M116" s="28"/>
      <c r="N116" s="28"/>
      <c r="O116" s="28"/>
      <c r="P116" s="28"/>
      <c r="Q116" s="28"/>
      <c r="R116" s="28"/>
      <c r="S116" s="28"/>
      <c r="T116" s="28"/>
      <c r="U116" s="3"/>
      <c r="W116" s="3"/>
      <c r="X116" s="3"/>
      <c r="Y116" s="3"/>
      <c r="Z116" s="3"/>
    </row>
    <row r="117" spans="1:26" ht="14.4" outlineLevel="1" x14ac:dyDescent="0.3">
      <c r="A117" s="3"/>
      <c r="B117" s="9" t="s">
        <v>51</v>
      </c>
      <c r="C117" s="53"/>
      <c r="D117" s="53"/>
      <c r="E117" s="11">
        <v>0</v>
      </c>
      <c r="F117" s="11">
        <v>0</v>
      </c>
      <c r="G117" s="56"/>
      <c r="H117" s="56"/>
      <c r="I117" s="80"/>
      <c r="J117" s="56"/>
      <c r="K117" s="28"/>
      <c r="L117" s="28"/>
      <c r="M117" s="28"/>
      <c r="N117" s="28"/>
      <c r="O117" s="28"/>
      <c r="P117" s="28"/>
      <c r="Q117" s="28"/>
      <c r="R117" s="28"/>
      <c r="S117" s="28"/>
      <c r="T117" s="28"/>
      <c r="U117" s="3"/>
      <c r="W117" s="3"/>
      <c r="X117" s="3"/>
      <c r="Y117" s="3"/>
      <c r="Z117" s="3"/>
    </row>
    <row r="118" spans="1:26" ht="14.4" outlineLevel="1" x14ac:dyDescent="0.3">
      <c r="A118" s="3"/>
      <c r="B118" s="9" t="s">
        <v>51</v>
      </c>
      <c r="C118" s="53"/>
      <c r="D118" s="53"/>
      <c r="E118" s="11">
        <v>0</v>
      </c>
      <c r="F118" s="11">
        <v>0</v>
      </c>
      <c r="G118" s="56"/>
      <c r="H118" s="56"/>
      <c r="I118" s="80"/>
      <c r="J118" s="56"/>
      <c r="K118" s="28"/>
      <c r="L118" s="28"/>
      <c r="M118" s="28"/>
      <c r="N118" s="28"/>
      <c r="O118" s="28"/>
      <c r="P118" s="28"/>
      <c r="Q118" s="28"/>
      <c r="R118" s="28"/>
      <c r="S118" s="28"/>
      <c r="T118" s="28"/>
      <c r="U118" s="3"/>
      <c r="W118" s="3"/>
      <c r="X118" s="3"/>
      <c r="Y118" s="3"/>
      <c r="Z118" s="3"/>
    </row>
    <row r="119" spans="1:26" ht="20.399999999999999" x14ac:dyDescent="0.3">
      <c r="A119" s="3"/>
      <c r="B119" s="75" t="s">
        <v>358</v>
      </c>
      <c r="C119" s="76" t="s">
        <v>44</v>
      </c>
      <c r="D119" s="76" t="s">
        <v>44</v>
      </c>
      <c r="E119" s="77">
        <f t="shared" ref="E119:F119" si="1">SUM(E120,E126)</f>
        <v>0</v>
      </c>
      <c r="F119" s="77">
        <f t="shared" si="1"/>
        <v>3046.49</v>
      </c>
      <c r="G119" s="78"/>
      <c r="H119" s="78"/>
      <c r="I119" s="79"/>
      <c r="J119" s="78"/>
      <c r="K119" s="28"/>
      <c r="L119" s="28"/>
      <c r="M119" s="28"/>
      <c r="N119" s="28"/>
      <c r="O119" s="28"/>
      <c r="P119" s="28"/>
      <c r="Q119" s="28"/>
      <c r="R119" s="28"/>
      <c r="S119" s="28"/>
      <c r="T119" s="28"/>
      <c r="U119" s="3"/>
      <c r="W119" s="3"/>
      <c r="X119" s="3"/>
      <c r="Y119" s="3"/>
      <c r="Z119" s="3"/>
    </row>
    <row r="120" spans="1:26" hidden="1" outlineLevel="1" x14ac:dyDescent="0.3">
      <c r="A120" s="3"/>
      <c r="B120" s="82" t="s">
        <v>359</v>
      </c>
      <c r="C120" s="83"/>
      <c r="D120" s="83"/>
      <c r="E120" s="84">
        <f>SUM(E121:E125)</f>
        <v>0</v>
      </c>
      <c r="F120" s="84">
        <f>SUMIF(D121:D125,"OK",F121:F125)</f>
        <v>796.6</v>
      </c>
      <c r="G120" s="85"/>
      <c r="H120" s="85"/>
      <c r="I120" s="86"/>
      <c r="J120" s="85"/>
      <c r="K120" s="28"/>
      <c r="L120" s="28"/>
      <c r="M120" s="28"/>
      <c r="N120" s="28"/>
      <c r="O120" s="28"/>
      <c r="P120" s="28"/>
      <c r="Q120" s="28"/>
      <c r="R120" s="28"/>
      <c r="S120" s="28"/>
      <c r="T120" s="28"/>
      <c r="U120" s="3"/>
      <c r="W120" s="3"/>
      <c r="X120" s="3"/>
      <c r="Y120" s="3"/>
      <c r="Z120" s="3"/>
    </row>
    <row r="121" spans="1:26" ht="14.4" hidden="1" outlineLevel="1" x14ac:dyDescent="0.3">
      <c r="A121" s="3"/>
      <c r="B121" s="9" t="s">
        <v>360</v>
      </c>
      <c r="C121" s="53">
        <v>23</v>
      </c>
      <c r="D121" s="53" t="s">
        <v>95</v>
      </c>
      <c r="E121" s="11">
        <v>0</v>
      </c>
      <c r="F121" s="11">
        <v>160</v>
      </c>
      <c r="G121" s="56"/>
      <c r="H121" s="56" t="s">
        <v>37</v>
      </c>
      <c r="I121" s="102" t="s">
        <v>986</v>
      </c>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987</v>
      </c>
      <c r="C122" s="53">
        <v>28</v>
      </c>
      <c r="D122" s="53" t="s">
        <v>95</v>
      </c>
      <c r="E122" s="11">
        <v>0</v>
      </c>
      <c r="F122" s="11">
        <v>130</v>
      </c>
      <c r="G122" s="56" t="s">
        <v>650</v>
      </c>
      <c r="H122" s="56" t="s">
        <v>37</v>
      </c>
      <c r="I122" s="102" t="s">
        <v>988</v>
      </c>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987</v>
      </c>
      <c r="C123" s="53">
        <v>28</v>
      </c>
      <c r="D123" s="53" t="s">
        <v>95</v>
      </c>
      <c r="E123" s="11">
        <v>0</v>
      </c>
      <c r="F123" s="11">
        <v>158.6</v>
      </c>
      <c r="G123" s="56" t="s">
        <v>989</v>
      </c>
      <c r="H123" s="56" t="s">
        <v>37</v>
      </c>
      <c r="I123" s="102" t="s">
        <v>990</v>
      </c>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987</v>
      </c>
      <c r="C124" s="53">
        <v>31</v>
      </c>
      <c r="D124" s="53" t="s">
        <v>95</v>
      </c>
      <c r="E124" s="11">
        <v>0</v>
      </c>
      <c r="F124" s="11">
        <v>268</v>
      </c>
      <c r="G124" s="56"/>
      <c r="H124" s="56" t="s">
        <v>37</v>
      </c>
      <c r="I124" s="102" t="s">
        <v>991</v>
      </c>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987</v>
      </c>
      <c r="C125" s="53">
        <v>31</v>
      </c>
      <c r="D125" s="53" t="s">
        <v>95</v>
      </c>
      <c r="E125" s="11">
        <v>0</v>
      </c>
      <c r="F125" s="11">
        <v>80</v>
      </c>
      <c r="G125" s="56"/>
      <c r="H125" s="56" t="s">
        <v>37</v>
      </c>
      <c r="I125" s="102" t="s">
        <v>992</v>
      </c>
      <c r="J125" s="56"/>
      <c r="K125" s="28"/>
      <c r="L125" s="28"/>
      <c r="M125" s="28"/>
      <c r="N125" s="28"/>
      <c r="O125" s="28"/>
      <c r="P125" s="28"/>
      <c r="Q125" s="28"/>
      <c r="R125" s="28"/>
      <c r="S125" s="28"/>
      <c r="T125" s="28"/>
      <c r="U125" s="3"/>
      <c r="W125" s="3"/>
      <c r="X125" s="3"/>
      <c r="Y125" s="3"/>
      <c r="Z125" s="3"/>
    </row>
    <row r="126" spans="1:26" hidden="1" outlineLevel="1" x14ac:dyDescent="0.3">
      <c r="A126" s="3"/>
      <c r="B126" s="82" t="s">
        <v>633</v>
      </c>
      <c r="C126" s="83"/>
      <c r="D126" s="83"/>
      <c r="E126" s="84">
        <f>SUM(E127:E135)</f>
        <v>0</v>
      </c>
      <c r="F126" s="84">
        <f>SUMIF(D127:D135,"OK",F127:F135)</f>
        <v>2249.89</v>
      </c>
      <c r="G126" s="85"/>
      <c r="H126" s="85"/>
      <c r="I126" s="86"/>
      <c r="J126" s="85"/>
      <c r="K126" s="28"/>
      <c r="L126" s="28"/>
      <c r="M126" s="28"/>
      <c r="N126" s="28"/>
      <c r="O126" s="28"/>
      <c r="P126" s="28"/>
      <c r="Q126" s="28"/>
      <c r="R126" s="28"/>
      <c r="S126" s="28"/>
      <c r="T126" s="28"/>
      <c r="U126" s="3"/>
      <c r="W126" s="3"/>
      <c r="X126" s="3"/>
      <c r="Y126" s="3"/>
      <c r="Z126" s="3"/>
    </row>
    <row r="127" spans="1:26" ht="14.4" hidden="1" outlineLevel="1" x14ac:dyDescent="0.3">
      <c r="A127" s="3"/>
      <c r="B127" s="9" t="s">
        <v>993</v>
      </c>
      <c r="C127" s="53">
        <v>3</v>
      </c>
      <c r="D127" s="53" t="s">
        <v>95</v>
      </c>
      <c r="E127" s="11">
        <v>0</v>
      </c>
      <c r="F127" s="11">
        <v>250</v>
      </c>
      <c r="G127" s="80" t="s">
        <v>994</v>
      </c>
      <c r="H127" s="56" t="s">
        <v>37</v>
      </c>
      <c r="I127" s="102" t="s">
        <v>972</v>
      </c>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995</v>
      </c>
      <c r="C128" s="53">
        <v>4</v>
      </c>
      <c r="D128" s="53" t="s">
        <v>95</v>
      </c>
      <c r="E128" s="11">
        <v>0</v>
      </c>
      <c r="F128" s="11">
        <v>63</v>
      </c>
      <c r="G128" s="80" t="s">
        <v>976</v>
      </c>
      <c r="H128" s="56" t="s">
        <v>37</v>
      </c>
      <c r="I128" s="102" t="s">
        <v>996</v>
      </c>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995</v>
      </c>
      <c r="C129" s="53">
        <v>5</v>
      </c>
      <c r="D129" s="53" t="s">
        <v>95</v>
      </c>
      <c r="E129" s="11">
        <v>0</v>
      </c>
      <c r="F129" s="11">
        <v>805.04</v>
      </c>
      <c r="G129" s="56"/>
      <c r="H129" s="56" t="s">
        <v>37</v>
      </c>
      <c r="I129" s="102" t="s">
        <v>997</v>
      </c>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995</v>
      </c>
      <c r="C130" s="53">
        <v>6</v>
      </c>
      <c r="D130" s="53" t="s">
        <v>95</v>
      </c>
      <c r="E130" s="11">
        <v>0</v>
      </c>
      <c r="F130" s="11">
        <v>90</v>
      </c>
      <c r="G130" s="56"/>
      <c r="H130" s="56" t="s">
        <v>37</v>
      </c>
      <c r="I130" s="102" t="s">
        <v>998</v>
      </c>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995</v>
      </c>
      <c r="C131" s="53">
        <v>6</v>
      </c>
      <c r="D131" s="53" t="s">
        <v>95</v>
      </c>
      <c r="E131" s="11">
        <v>0</v>
      </c>
      <c r="F131" s="11">
        <v>42.4</v>
      </c>
      <c r="G131" s="56"/>
      <c r="H131" s="56" t="s">
        <v>37</v>
      </c>
      <c r="I131" s="102" t="s">
        <v>999</v>
      </c>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995</v>
      </c>
      <c r="C132" s="53">
        <v>6</v>
      </c>
      <c r="D132" s="53" t="s">
        <v>95</v>
      </c>
      <c r="E132" s="11">
        <v>0</v>
      </c>
      <c r="F132" s="11">
        <v>414.69</v>
      </c>
      <c r="G132" s="56"/>
      <c r="H132" s="56" t="s">
        <v>37</v>
      </c>
      <c r="I132" s="102" t="s">
        <v>1000</v>
      </c>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995</v>
      </c>
      <c r="C133" s="53">
        <v>6</v>
      </c>
      <c r="D133" s="53" t="s">
        <v>95</v>
      </c>
      <c r="E133" s="11">
        <v>0</v>
      </c>
      <c r="F133" s="11">
        <v>568.04</v>
      </c>
      <c r="G133" s="56" t="s">
        <v>950</v>
      </c>
      <c r="H133" s="56" t="s">
        <v>37</v>
      </c>
      <c r="I133" s="102" t="s">
        <v>1001</v>
      </c>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995</v>
      </c>
      <c r="C134" s="53">
        <v>6</v>
      </c>
      <c r="D134" s="53" t="s">
        <v>95</v>
      </c>
      <c r="E134" s="11">
        <v>0</v>
      </c>
      <c r="F134" s="11">
        <v>16.72</v>
      </c>
      <c r="G134" s="56"/>
      <c r="H134" s="56" t="s">
        <v>37</v>
      </c>
      <c r="I134" s="102" t="s">
        <v>1002</v>
      </c>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51</v>
      </c>
      <c r="C135" s="53"/>
      <c r="D135" s="53"/>
      <c r="E135" s="11">
        <v>0</v>
      </c>
      <c r="F135" s="11">
        <v>0</v>
      </c>
      <c r="G135" s="56"/>
      <c r="H135" s="56"/>
      <c r="I135" s="80"/>
      <c r="J135" s="56"/>
      <c r="K135" s="28"/>
      <c r="L135" s="28"/>
      <c r="M135" s="28"/>
      <c r="N135" s="28"/>
      <c r="O135" s="28"/>
      <c r="P135" s="28"/>
      <c r="Q135" s="28"/>
      <c r="R135" s="28"/>
      <c r="S135" s="28"/>
      <c r="T135" s="28"/>
      <c r="U135" s="3"/>
      <c r="W135" s="3"/>
      <c r="X135" s="3"/>
      <c r="Y135" s="3"/>
      <c r="Z135" s="3"/>
    </row>
    <row r="136" spans="1:26" ht="20.399999999999999" collapsed="1" x14ac:dyDescent="0.3">
      <c r="A136" s="3"/>
      <c r="B136" s="75" t="s">
        <v>88</v>
      </c>
      <c r="C136" s="76" t="s">
        <v>44</v>
      </c>
      <c r="D136" s="76" t="s">
        <v>44</v>
      </c>
      <c r="E136" s="77">
        <f>SUM(E137:E145)</f>
        <v>0</v>
      </c>
      <c r="F136" s="77">
        <f>SUMIF(D137:D145,"OK",F137:F145)</f>
        <v>513.21</v>
      </c>
      <c r="G136" s="78"/>
      <c r="H136" s="78"/>
      <c r="I136" s="79"/>
      <c r="J136" s="78"/>
      <c r="K136" s="28"/>
      <c r="L136" s="28"/>
      <c r="M136" s="28"/>
      <c r="N136" s="28"/>
      <c r="O136" s="28"/>
      <c r="P136" s="28"/>
      <c r="Q136" s="28"/>
      <c r="R136" s="28"/>
      <c r="S136" s="28"/>
      <c r="T136" s="28"/>
      <c r="U136" s="3"/>
      <c r="W136" s="3"/>
      <c r="X136" s="3"/>
      <c r="Y136" s="3"/>
      <c r="Z136" s="3"/>
    </row>
    <row r="137" spans="1:26" ht="14.4" hidden="1" outlineLevel="1" x14ac:dyDescent="0.3">
      <c r="A137" s="3"/>
      <c r="B137" s="9" t="s">
        <v>840</v>
      </c>
      <c r="C137" s="71">
        <v>10</v>
      </c>
      <c r="D137" s="53" t="s">
        <v>95</v>
      </c>
      <c r="E137" s="11">
        <v>0</v>
      </c>
      <c r="F137" s="11">
        <v>513.21</v>
      </c>
      <c r="G137" s="80" t="s">
        <v>1003</v>
      </c>
      <c r="H137" s="56" t="s">
        <v>37</v>
      </c>
      <c r="I137" s="102" t="s">
        <v>1004</v>
      </c>
      <c r="J137" s="80"/>
      <c r="K137" s="28"/>
      <c r="L137" s="28"/>
      <c r="M137" s="28"/>
      <c r="N137" s="28"/>
      <c r="O137" s="28"/>
      <c r="P137" s="28"/>
      <c r="Q137" s="28"/>
      <c r="R137" s="28"/>
      <c r="S137" s="28"/>
      <c r="T137" s="28"/>
      <c r="U137" s="3"/>
      <c r="W137" s="3"/>
      <c r="X137" s="3"/>
      <c r="Y137" s="3"/>
      <c r="Z137" s="3"/>
    </row>
    <row r="138" spans="1:26" ht="14.4" hidden="1" outlineLevel="1" x14ac:dyDescent="0.3">
      <c r="A138" s="3"/>
      <c r="B138" s="9" t="s">
        <v>355</v>
      </c>
      <c r="C138" s="53"/>
      <c r="D138" s="53"/>
      <c r="E138" s="11">
        <v>0</v>
      </c>
      <c r="F138" s="11">
        <v>0</v>
      </c>
      <c r="G138" s="80"/>
      <c r="H138" s="56"/>
      <c r="I138" s="102"/>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356</v>
      </c>
      <c r="C139" s="53"/>
      <c r="D139" s="53"/>
      <c r="E139" s="11">
        <v>0</v>
      </c>
      <c r="F139" s="11">
        <v>0</v>
      </c>
      <c r="G139" s="56"/>
      <c r="H139" s="56"/>
      <c r="I139" s="80"/>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370</v>
      </c>
      <c r="C140" s="53"/>
      <c r="D140" s="53"/>
      <c r="E140" s="11">
        <v>0</v>
      </c>
      <c r="F140" s="11">
        <v>0</v>
      </c>
      <c r="G140" s="56"/>
      <c r="H140" s="56"/>
      <c r="I140" s="80"/>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328</v>
      </c>
      <c r="C141" s="53"/>
      <c r="D141" s="53"/>
      <c r="E141" s="11">
        <v>0</v>
      </c>
      <c r="F141" s="11">
        <v>0</v>
      </c>
      <c r="G141" s="56"/>
      <c r="H141" s="56"/>
      <c r="I141" s="80"/>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329</v>
      </c>
      <c r="C142" s="53"/>
      <c r="D142" s="53"/>
      <c r="E142" s="11">
        <v>0</v>
      </c>
      <c r="F142" s="11">
        <v>0</v>
      </c>
      <c r="G142" s="56"/>
      <c r="H142" s="56"/>
      <c r="I142" s="80"/>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371</v>
      </c>
      <c r="C143" s="53"/>
      <c r="D143" s="53"/>
      <c r="E143" s="11">
        <v>0</v>
      </c>
      <c r="F143" s="11">
        <v>0</v>
      </c>
      <c r="G143" s="56"/>
      <c r="H143" s="56"/>
      <c r="I143" s="80"/>
      <c r="J143" s="56"/>
      <c r="K143" s="28"/>
      <c r="L143" s="28"/>
      <c r="M143" s="28"/>
      <c r="N143" s="28"/>
      <c r="O143" s="28"/>
      <c r="P143" s="28"/>
      <c r="Q143" s="28"/>
      <c r="R143" s="28"/>
      <c r="S143" s="28"/>
      <c r="T143" s="28"/>
      <c r="U143" s="3"/>
      <c r="W143" s="3"/>
      <c r="X143" s="3"/>
      <c r="Y143" s="3"/>
      <c r="Z143" s="3"/>
    </row>
    <row r="144" spans="1:26" ht="14.4" hidden="1" outlineLevel="1" x14ac:dyDescent="0.3">
      <c r="A144" s="3"/>
      <c r="B144" s="9" t="s">
        <v>372</v>
      </c>
      <c r="C144" s="53"/>
      <c r="D144" s="53"/>
      <c r="E144" s="11">
        <v>0</v>
      </c>
      <c r="F144" s="11">
        <v>0</v>
      </c>
      <c r="G144" s="56"/>
      <c r="H144" s="56"/>
      <c r="I144" s="80"/>
      <c r="J144" s="56"/>
      <c r="K144" s="28"/>
      <c r="L144" s="28"/>
      <c r="M144" s="28"/>
      <c r="N144" s="28"/>
      <c r="O144" s="28"/>
      <c r="P144" s="28"/>
      <c r="Q144" s="28"/>
      <c r="R144" s="28"/>
      <c r="S144" s="28"/>
      <c r="T144" s="28"/>
      <c r="U144" s="3"/>
      <c r="W144" s="3"/>
      <c r="X144" s="3"/>
      <c r="Y144" s="3"/>
      <c r="Z144" s="3"/>
    </row>
    <row r="145" spans="1:26" ht="14.4" hidden="1" outlineLevel="1" x14ac:dyDescent="0.3">
      <c r="A145" s="3"/>
      <c r="B145" s="9" t="s">
        <v>373</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20.399999999999999" collapsed="1" x14ac:dyDescent="0.3">
      <c r="A146" s="3"/>
      <c r="B146" s="75" t="s">
        <v>89</v>
      </c>
      <c r="C146" s="76" t="s">
        <v>44</v>
      </c>
      <c r="D146" s="76" t="s">
        <v>44</v>
      </c>
      <c r="E146" s="77">
        <f t="shared" ref="E146:F146" si="2">SUM(E147,E155,E161,E167)</f>
        <v>0</v>
      </c>
      <c r="F146" s="77">
        <f t="shared" si="2"/>
        <v>5666.7300000000005</v>
      </c>
      <c r="G146" s="78"/>
      <c r="H146" s="78"/>
      <c r="I146" s="79"/>
      <c r="J146" s="78"/>
      <c r="K146" s="28"/>
      <c r="L146" s="28"/>
      <c r="M146" s="28"/>
      <c r="N146" s="28"/>
      <c r="O146" s="28"/>
      <c r="P146" s="28"/>
      <c r="Q146" s="28"/>
      <c r="R146" s="28"/>
      <c r="S146" s="28"/>
      <c r="T146" s="28"/>
      <c r="U146" s="3"/>
      <c r="W146" s="3"/>
      <c r="X146" s="3"/>
      <c r="Y146" s="3"/>
      <c r="Z146" s="3"/>
    </row>
    <row r="147" spans="1:26" hidden="1" outlineLevel="1" x14ac:dyDescent="0.3">
      <c r="A147" s="3"/>
      <c r="B147" s="82" t="s">
        <v>381</v>
      </c>
      <c r="C147" s="83"/>
      <c r="D147" s="83"/>
      <c r="E147" s="84">
        <f>SUM(E148:E154)</f>
        <v>0</v>
      </c>
      <c r="F147" s="84">
        <f>SUMIF(D148:D154,"OK",F148:F154)</f>
        <v>5666.7300000000005</v>
      </c>
      <c r="G147" s="85"/>
      <c r="H147" s="85"/>
      <c r="I147" s="86"/>
      <c r="J147" s="85"/>
      <c r="K147" s="28"/>
      <c r="L147" s="28"/>
      <c r="M147" s="28"/>
      <c r="N147" s="28"/>
      <c r="O147" s="28"/>
      <c r="P147" s="28"/>
      <c r="Q147" s="28"/>
      <c r="R147" s="28"/>
      <c r="S147" s="28"/>
      <c r="T147" s="28"/>
      <c r="U147" s="3"/>
      <c r="W147" s="3"/>
      <c r="X147" s="3"/>
      <c r="Y147" s="3"/>
      <c r="Z147" s="3"/>
    </row>
    <row r="148" spans="1:26" ht="14.4" hidden="1" outlineLevel="1" x14ac:dyDescent="0.3">
      <c r="A148" s="3"/>
      <c r="B148" s="9" t="s">
        <v>845</v>
      </c>
      <c r="C148" s="53">
        <v>10</v>
      </c>
      <c r="D148" s="53" t="s">
        <v>95</v>
      </c>
      <c r="E148" s="11">
        <v>0</v>
      </c>
      <c r="F148" s="11">
        <v>537</v>
      </c>
      <c r="G148" s="56" t="s">
        <v>1005</v>
      </c>
      <c r="H148" s="56" t="s">
        <v>37</v>
      </c>
      <c r="I148" s="102" t="s">
        <v>1006</v>
      </c>
      <c r="J148" s="56"/>
      <c r="K148" s="28"/>
      <c r="L148" s="28"/>
      <c r="M148" s="28"/>
      <c r="N148" s="28"/>
      <c r="O148" s="28"/>
      <c r="P148" s="28"/>
      <c r="Q148" s="28"/>
      <c r="R148" s="28"/>
      <c r="S148" s="28"/>
      <c r="T148" s="28"/>
      <c r="U148" s="3"/>
      <c r="W148" s="3"/>
      <c r="X148" s="3"/>
      <c r="Y148" s="3"/>
      <c r="Z148" s="3"/>
    </row>
    <row r="149" spans="1:26" ht="14.4" hidden="1" outlineLevel="1" x14ac:dyDescent="0.3">
      <c r="A149" s="3"/>
      <c r="B149" s="9" t="s">
        <v>848</v>
      </c>
      <c r="C149" s="53">
        <v>10</v>
      </c>
      <c r="D149" s="53" t="s">
        <v>95</v>
      </c>
      <c r="E149" s="11">
        <v>0</v>
      </c>
      <c r="F149" s="11">
        <v>689.6</v>
      </c>
      <c r="G149" s="56" t="s">
        <v>1007</v>
      </c>
      <c r="H149" s="56" t="s">
        <v>37</v>
      </c>
      <c r="I149" s="102" t="s">
        <v>1008</v>
      </c>
      <c r="J149" s="56"/>
      <c r="K149" s="28"/>
      <c r="L149" s="28"/>
      <c r="M149" s="28"/>
      <c r="N149" s="28"/>
      <c r="O149" s="28"/>
      <c r="P149" s="28"/>
      <c r="Q149" s="28"/>
      <c r="R149" s="28"/>
      <c r="S149" s="28"/>
      <c r="T149" s="28"/>
      <c r="U149" s="3"/>
      <c r="W149" s="3"/>
      <c r="X149" s="3"/>
      <c r="Y149" s="3"/>
      <c r="Z149" s="3"/>
    </row>
    <row r="150" spans="1:26" ht="14.4" hidden="1" outlineLevel="1" x14ac:dyDescent="0.3">
      <c r="A150" s="3"/>
      <c r="B150" s="9" t="s">
        <v>851</v>
      </c>
      <c r="C150" s="53">
        <v>10</v>
      </c>
      <c r="D150" s="53" t="s">
        <v>95</v>
      </c>
      <c r="E150" s="11">
        <v>0</v>
      </c>
      <c r="F150" s="11">
        <v>665.08</v>
      </c>
      <c r="G150" s="56" t="s">
        <v>1009</v>
      </c>
      <c r="H150" s="56" t="s">
        <v>37</v>
      </c>
      <c r="I150" s="102" t="s">
        <v>1010</v>
      </c>
      <c r="J150" s="56"/>
      <c r="K150" s="28"/>
      <c r="L150" s="28"/>
      <c r="M150" s="28"/>
      <c r="N150" s="28"/>
      <c r="O150" s="28"/>
      <c r="P150" s="28"/>
      <c r="Q150" s="28"/>
      <c r="R150" s="28"/>
      <c r="S150" s="28"/>
      <c r="T150" s="28"/>
      <c r="U150" s="3"/>
      <c r="W150" s="3"/>
      <c r="X150" s="3"/>
      <c r="Y150" s="3"/>
      <c r="Z150" s="3"/>
    </row>
    <row r="151" spans="1:26" ht="14.4" hidden="1" outlineLevel="1" x14ac:dyDescent="0.3">
      <c r="A151" s="3"/>
      <c r="B151" s="9" t="s">
        <v>857</v>
      </c>
      <c r="C151" s="53">
        <v>14</v>
      </c>
      <c r="D151" s="53" t="s">
        <v>95</v>
      </c>
      <c r="E151" s="11">
        <v>0</v>
      </c>
      <c r="F151" s="11">
        <v>2727</v>
      </c>
      <c r="G151" s="56" t="s">
        <v>1011</v>
      </c>
      <c r="H151" s="56" t="s">
        <v>37</v>
      </c>
      <c r="I151" s="102" t="s">
        <v>1012</v>
      </c>
      <c r="J151" s="56"/>
      <c r="K151" s="28"/>
      <c r="L151" s="28"/>
      <c r="M151" s="28"/>
      <c r="N151" s="28"/>
      <c r="O151" s="28"/>
      <c r="P151" s="28"/>
      <c r="Q151" s="28"/>
      <c r="R151" s="28"/>
      <c r="S151" s="28"/>
      <c r="T151" s="28"/>
      <c r="U151" s="3"/>
      <c r="W151" s="3"/>
      <c r="X151" s="3"/>
      <c r="Y151" s="3"/>
      <c r="Z151" s="3"/>
    </row>
    <row r="152" spans="1:26" ht="24" hidden="1" outlineLevel="1" x14ac:dyDescent="0.3">
      <c r="A152" s="3"/>
      <c r="B152" s="114" t="s">
        <v>860</v>
      </c>
      <c r="C152" s="53">
        <v>14</v>
      </c>
      <c r="D152" s="53" t="s">
        <v>95</v>
      </c>
      <c r="E152" s="11">
        <v>0</v>
      </c>
      <c r="F152" s="11">
        <v>1048.05</v>
      </c>
      <c r="G152" s="80" t="s">
        <v>1013</v>
      </c>
      <c r="H152" s="56" t="s">
        <v>37</v>
      </c>
      <c r="I152" s="102" t="s">
        <v>1014</v>
      </c>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329</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371</v>
      </c>
      <c r="C154" s="53"/>
      <c r="D154" s="53"/>
      <c r="E154" s="11">
        <v>0</v>
      </c>
      <c r="F154" s="11">
        <v>0</v>
      </c>
      <c r="G154" s="56"/>
      <c r="H154" s="56"/>
      <c r="I154" s="80"/>
      <c r="J154" s="56"/>
      <c r="K154" s="28"/>
      <c r="L154" s="28"/>
      <c r="M154" s="28"/>
      <c r="N154" s="28"/>
      <c r="O154" s="28"/>
      <c r="P154" s="28"/>
      <c r="Q154" s="28"/>
      <c r="R154" s="28"/>
      <c r="S154" s="28"/>
      <c r="T154" s="28"/>
      <c r="U154" s="3"/>
      <c r="W154" s="3"/>
      <c r="X154" s="3"/>
      <c r="Y154" s="3"/>
      <c r="Z154" s="3"/>
    </row>
    <row r="155" spans="1:26" hidden="1" outlineLevel="1" x14ac:dyDescent="0.3">
      <c r="A155" s="3"/>
      <c r="B155" s="82" t="s">
        <v>644</v>
      </c>
      <c r="C155" s="83"/>
      <c r="D155" s="83"/>
      <c r="E155" s="84">
        <f>SUM(E156:E160)</f>
        <v>0</v>
      </c>
      <c r="F155" s="84">
        <f>SUMIF(D156:D160,"OK",F156:F160)</f>
        <v>0</v>
      </c>
      <c r="G155" s="85"/>
      <c r="H155" s="85"/>
      <c r="I155" s="86"/>
      <c r="J155" s="85"/>
      <c r="K155" s="28"/>
      <c r="L155" s="28"/>
      <c r="M155" s="28"/>
      <c r="N155" s="28"/>
      <c r="O155" s="28"/>
      <c r="P155" s="28"/>
      <c r="Q155" s="28"/>
      <c r="R155" s="28"/>
      <c r="S155" s="28"/>
      <c r="T155" s="28"/>
      <c r="U155" s="3"/>
      <c r="W155" s="3"/>
      <c r="X155" s="3"/>
      <c r="Y155" s="3"/>
      <c r="Z155" s="3"/>
    </row>
    <row r="156" spans="1:26" ht="14.4" hidden="1" outlineLevel="1" x14ac:dyDescent="0.3">
      <c r="A156" s="3"/>
      <c r="B156" s="9" t="s">
        <v>354</v>
      </c>
      <c r="C156" s="53"/>
      <c r="D156" s="53"/>
      <c r="E156" s="11">
        <v>0</v>
      </c>
      <c r="F156" s="11">
        <v>0</v>
      </c>
      <c r="G156" s="56"/>
      <c r="H156" s="56"/>
      <c r="I156" s="80"/>
      <c r="J156" s="56"/>
      <c r="K156" s="28"/>
      <c r="L156" s="28"/>
      <c r="M156" s="28"/>
      <c r="N156" s="28"/>
      <c r="O156" s="28"/>
      <c r="P156" s="28"/>
      <c r="Q156" s="28"/>
      <c r="R156" s="28"/>
      <c r="S156" s="28"/>
      <c r="T156" s="28"/>
      <c r="U156" s="3"/>
      <c r="W156" s="3"/>
      <c r="X156" s="3"/>
      <c r="Y156" s="3"/>
      <c r="Z156" s="3"/>
    </row>
    <row r="157" spans="1:26" ht="14.4" hidden="1" outlineLevel="1" x14ac:dyDescent="0.3">
      <c r="A157" s="3"/>
      <c r="B157" s="9" t="s">
        <v>355</v>
      </c>
      <c r="C157" s="53"/>
      <c r="D157" s="53"/>
      <c r="E157" s="11">
        <v>0</v>
      </c>
      <c r="F157" s="11">
        <v>0</v>
      </c>
      <c r="G157" s="56"/>
      <c r="H157" s="56"/>
      <c r="I157" s="80"/>
      <c r="J157" s="56"/>
      <c r="K157" s="28"/>
      <c r="L157" s="28"/>
      <c r="M157" s="28"/>
      <c r="N157" s="28"/>
      <c r="O157" s="28"/>
      <c r="P157" s="28"/>
      <c r="Q157" s="28"/>
      <c r="R157" s="28"/>
      <c r="S157" s="28"/>
      <c r="T157" s="28"/>
      <c r="U157" s="3"/>
      <c r="W157" s="3"/>
      <c r="X157" s="3"/>
      <c r="Y157" s="3"/>
      <c r="Z157" s="3"/>
    </row>
    <row r="158" spans="1:26" ht="14.4" hidden="1" outlineLevel="1" x14ac:dyDescent="0.3">
      <c r="A158" s="3"/>
      <c r="B158" s="9" t="s">
        <v>356</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370</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328</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hidden="1" outlineLevel="1" x14ac:dyDescent="0.3">
      <c r="A161" s="3"/>
      <c r="B161" s="82" t="s">
        <v>382</v>
      </c>
      <c r="C161" s="83"/>
      <c r="D161" s="83"/>
      <c r="E161" s="84">
        <f>SUM(E162:E166)</f>
        <v>0</v>
      </c>
      <c r="F161" s="84">
        <f>SUMIF(D162:D166,"OK",F162:F166)</f>
        <v>0</v>
      </c>
      <c r="G161" s="85"/>
      <c r="H161" s="85"/>
      <c r="I161" s="86"/>
      <c r="J161" s="85"/>
      <c r="K161" s="28"/>
      <c r="L161" s="28"/>
      <c r="M161" s="28"/>
      <c r="N161" s="28"/>
      <c r="O161" s="28"/>
      <c r="P161" s="28"/>
      <c r="Q161" s="28"/>
      <c r="R161" s="28"/>
      <c r="S161" s="28"/>
      <c r="T161" s="28"/>
      <c r="U161" s="3"/>
      <c r="W161" s="3"/>
      <c r="X161" s="3"/>
      <c r="Y161" s="3"/>
      <c r="Z161" s="3"/>
    </row>
    <row r="162" spans="1:26" ht="14.4" hidden="1" outlineLevel="1" x14ac:dyDescent="0.3">
      <c r="A162" s="3"/>
      <c r="B162" s="9" t="s">
        <v>354</v>
      </c>
      <c r="C162" s="53"/>
      <c r="D162" s="53"/>
      <c r="E162" s="11">
        <v>0</v>
      </c>
      <c r="F162" s="11">
        <v>0</v>
      </c>
      <c r="G162" s="56"/>
      <c r="H162" s="56"/>
      <c r="I162" s="80"/>
      <c r="J162" s="56"/>
      <c r="K162" s="28"/>
      <c r="L162" s="28"/>
      <c r="M162" s="28"/>
      <c r="N162" s="28"/>
      <c r="O162" s="28"/>
      <c r="P162" s="28"/>
      <c r="Q162" s="28"/>
      <c r="R162" s="28"/>
      <c r="S162" s="28"/>
      <c r="T162" s="28"/>
      <c r="U162" s="3"/>
      <c r="W162" s="3"/>
      <c r="X162" s="3"/>
      <c r="Y162" s="3"/>
      <c r="Z162" s="3"/>
    </row>
    <row r="163" spans="1:26" ht="14.4" hidden="1" outlineLevel="1" x14ac:dyDescent="0.3">
      <c r="A163" s="3"/>
      <c r="B163" s="9" t="s">
        <v>355</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4.4" hidden="1" outlineLevel="1" x14ac:dyDescent="0.3">
      <c r="A164" s="3"/>
      <c r="B164" s="9" t="s">
        <v>356</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4.4" hidden="1" outlineLevel="1" x14ac:dyDescent="0.3">
      <c r="A165" s="3"/>
      <c r="B165" s="9" t="s">
        <v>370</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4.4" hidden="1" outlineLevel="1" x14ac:dyDescent="0.3">
      <c r="A166" s="3"/>
      <c r="B166" s="9" t="s">
        <v>328</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idden="1" outlineLevel="1" x14ac:dyDescent="0.3">
      <c r="A167" s="3"/>
      <c r="B167" s="82" t="s">
        <v>383</v>
      </c>
      <c r="C167" s="83"/>
      <c r="D167" s="83"/>
      <c r="E167" s="84">
        <f>SUM(E168:E172)</f>
        <v>0</v>
      </c>
      <c r="F167" s="84">
        <f>SUMIF(D168:D172,"OK",F168:F172)</f>
        <v>0</v>
      </c>
      <c r="G167" s="85"/>
      <c r="H167" s="85"/>
      <c r="I167" s="86"/>
      <c r="J167" s="85"/>
      <c r="K167" s="28"/>
      <c r="L167" s="28"/>
      <c r="M167" s="28"/>
      <c r="N167" s="28"/>
      <c r="O167" s="28"/>
      <c r="P167" s="28"/>
      <c r="Q167" s="28"/>
      <c r="R167" s="28"/>
      <c r="S167" s="28"/>
      <c r="T167" s="28"/>
      <c r="U167" s="3"/>
      <c r="W167" s="3"/>
      <c r="X167" s="3"/>
      <c r="Y167" s="3"/>
      <c r="Z167" s="3"/>
    </row>
    <row r="168" spans="1:26" ht="14.4" hidden="1" outlineLevel="1" x14ac:dyDescent="0.3">
      <c r="A168" s="3"/>
      <c r="B168" s="9" t="s">
        <v>354</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t="14.4" hidden="1" outlineLevel="1" x14ac:dyDescent="0.3">
      <c r="A169" s="3"/>
      <c r="B169" s="9" t="s">
        <v>355</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hidden="1" outlineLevel="1" x14ac:dyDescent="0.3">
      <c r="A170" s="3"/>
      <c r="B170" s="9" t="s">
        <v>356</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4.4" hidden="1" outlineLevel="1" x14ac:dyDescent="0.3">
      <c r="A171" s="3"/>
      <c r="B171" s="9" t="s">
        <v>370</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328</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20.399999999999999" collapsed="1" x14ac:dyDescent="0.3">
      <c r="A173" s="3"/>
      <c r="B173" s="75" t="s">
        <v>384</v>
      </c>
      <c r="C173" s="76" t="s">
        <v>44</v>
      </c>
      <c r="D173" s="76" t="s">
        <v>44</v>
      </c>
      <c r="E173" s="77">
        <f>SUM(E174:E178)</f>
        <v>0</v>
      </c>
      <c r="F173" s="77">
        <f>SUMIF(D174:D178,"OK",F174:F178)</f>
        <v>0</v>
      </c>
      <c r="G173" s="78"/>
      <c r="H173" s="78"/>
      <c r="I173" s="79"/>
      <c r="J173" s="78"/>
      <c r="K173" s="28"/>
      <c r="L173" s="28"/>
      <c r="M173" s="28"/>
      <c r="N173" s="28"/>
      <c r="O173" s="28"/>
      <c r="P173" s="28"/>
      <c r="Q173" s="28"/>
      <c r="R173" s="28"/>
      <c r="S173" s="28"/>
      <c r="T173" s="28"/>
      <c r="U173" s="3"/>
      <c r="W173" s="3"/>
      <c r="X173" s="3"/>
      <c r="Y173" s="3"/>
      <c r="Z173" s="3"/>
    </row>
    <row r="174" spans="1:26" ht="14.4" hidden="1" outlineLevel="1" x14ac:dyDescent="0.3">
      <c r="A174" s="3"/>
      <c r="B174" s="9" t="s">
        <v>1015</v>
      </c>
      <c r="C174" s="53"/>
      <c r="D174" s="53"/>
      <c r="E174" s="11">
        <v>0</v>
      </c>
      <c r="F174" s="11">
        <v>0</v>
      </c>
      <c r="G174" s="56"/>
      <c r="H174" s="56"/>
      <c r="I174" s="102"/>
      <c r="J174" s="56"/>
      <c r="K174" s="28"/>
      <c r="L174" s="28"/>
      <c r="M174" s="28"/>
      <c r="N174" s="28"/>
      <c r="O174" s="28"/>
      <c r="P174" s="28"/>
      <c r="Q174" s="28"/>
      <c r="R174" s="28"/>
      <c r="S174" s="28"/>
      <c r="T174" s="28"/>
      <c r="U174" s="3"/>
      <c r="W174" s="3"/>
      <c r="X174" s="3"/>
      <c r="Y174" s="3"/>
      <c r="Z174" s="3"/>
    </row>
    <row r="175" spans="1:26" ht="14.4" hidden="1" outlineLevel="1" x14ac:dyDescent="0.3">
      <c r="A175" s="3"/>
      <c r="B175" s="9" t="s">
        <v>355</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4.4" hidden="1" outlineLevel="1" x14ac:dyDescent="0.3">
      <c r="A176" s="3"/>
      <c r="B176" s="9" t="s">
        <v>356</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14.4" hidden="1" outlineLevel="1" x14ac:dyDescent="0.3">
      <c r="A177" s="3"/>
      <c r="B177" s="9" t="s">
        <v>370</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4.4" hidden="1" outlineLevel="1" x14ac:dyDescent="0.3">
      <c r="A178" s="3"/>
      <c r="B178" s="9" t="s">
        <v>328</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20.399999999999999" collapsed="1" x14ac:dyDescent="0.3">
      <c r="A179" s="3"/>
      <c r="B179" s="75" t="s">
        <v>385</v>
      </c>
      <c r="C179" s="76" t="s">
        <v>44</v>
      </c>
      <c r="D179" s="76" t="s">
        <v>44</v>
      </c>
      <c r="E179" s="77">
        <f>SUM(E180:E184)</f>
        <v>0</v>
      </c>
      <c r="F179" s="77">
        <f>SUMIF(D180:D184,"OK",F180:F184)</f>
        <v>410.56</v>
      </c>
      <c r="G179" s="78"/>
      <c r="H179" s="78"/>
      <c r="I179" s="79"/>
      <c r="J179" s="78"/>
      <c r="K179" s="28"/>
      <c r="L179" s="28"/>
      <c r="M179" s="28"/>
      <c r="N179" s="28"/>
      <c r="O179" s="28"/>
      <c r="P179" s="28"/>
      <c r="Q179" s="28"/>
      <c r="R179" s="28"/>
      <c r="S179" s="28"/>
      <c r="T179" s="28"/>
      <c r="U179" s="3"/>
      <c r="W179" s="3"/>
      <c r="X179" s="3"/>
      <c r="Y179" s="3"/>
      <c r="Z179" s="3"/>
    </row>
    <row r="180" spans="1:26" ht="14.4" hidden="1" outlineLevel="1" x14ac:dyDescent="0.3">
      <c r="A180" s="3"/>
      <c r="B180" s="9" t="s">
        <v>1016</v>
      </c>
      <c r="C180" s="71">
        <v>26</v>
      </c>
      <c r="D180" s="53" t="s">
        <v>95</v>
      </c>
      <c r="E180" s="11">
        <v>0</v>
      </c>
      <c r="F180" s="11">
        <v>133.56</v>
      </c>
      <c r="G180" s="80"/>
      <c r="H180" s="56" t="s">
        <v>37</v>
      </c>
      <c r="I180" s="102" t="s">
        <v>1017</v>
      </c>
      <c r="J180" s="56"/>
      <c r="K180" s="28"/>
      <c r="L180" s="28"/>
      <c r="M180" s="28"/>
      <c r="N180" s="28"/>
      <c r="O180" s="28"/>
      <c r="P180" s="28"/>
      <c r="Q180" s="28"/>
      <c r="R180" s="28"/>
      <c r="S180" s="28"/>
      <c r="T180" s="28"/>
      <c r="U180" s="3"/>
      <c r="W180" s="3"/>
      <c r="X180" s="3"/>
      <c r="Y180" s="3"/>
      <c r="Z180" s="3"/>
    </row>
    <row r="181" spans="1:26" ht="14.4" hidden="1" outlineLevel="1" x14ac:dyDescent="0.3">
      <c r="A181" s="3"/>
      <c r="B181" s="9" t="s">
        <v>1016</v>
      </c>
      <c r="C181" s="53">
        <v>26</v>
      </c>
      <c r="D181" s="53" t="s">
        <v>95</v>
      </c>
      <c r="E181" s="11">
        <v>0</v>
      </c>
      <c r="F181" s="11">
        <v>77</v>
      </c>
      <c r="G181" s="80"/>
      <c r="H181" s="56" t="s">
        <v>37</v>
      </c>
      <c r="I181" s="102" t="s">
        <v>1018</v>
      </c>
      <c r="J181" s="80"/>
      <c r="K181" s="28"/>
      <c r="L181" s="28"/>
      <c r="M181" s="28"/>
      <c r="N181" s="28"/>
      <c r="O181" s="28"/>
      <c r="P181" s="28"/>
      <c r="Q181" s="28"/>
      <c r="R181" s="28"/>
      <c r="S181" s="28"/>
      <c r="T181" s="28"/>
      <c r="U181" s="3"/>
      <c r="W181" s="3"/>
      <c r="X181" s="3"/>
      <c r="Y181" s="3"/>
      <c r="Z181" s="3"/>
    </row>
    <row r="182" spans="1:26" ht="14.4" hidden="1" outlineLevel="1" x14ac:dyDescent="0.3">
      <c r="A182" s="3"/>
      <c r="B182" s="9" t="s">
        <v>1019</v>
      </c>
      <c r="C182" s="53">
        <v>28</v>
      </c>
      <c r="D182" s="53" t="s">
        <v>95</v>
      </c>
      <c r="E182" s="11">
        <v>0</v>
      </c>
      <c r="F182" s="11">
        <v>200</v>
      </c>
      <c r="G182" s="56"/>
      <c r="H182" s="56" t="s">
        <v>37</v>
      </c>
      <c r="I182" s="102" t="s">
        <v>1020</v>
      </c>
      <c r="J182" s="56"/>
      <c r="K182" s="28"/>
      <c r="L182" s="28"/>
      <c r="M182" s="28"/>
      <c r="N182" s="28"/>
      <c r="O182" s="28"/>
      <c r="P182" s="28"/>
      <c r="Q182" s="28"/>
      <c r="R182" s="28"/>
      <c r="S182" s="28"/>
      <c r="T182" s="28"/>
      <c r="U182" s="3"/>
      <c r="W182" s="3"/>
      <c r="X182" s="3"/>
      <c r="Y182" s="3"/>
      <c r="Z182" s="3"/>
    </row>
    <row r="183" spans="1:26" ht="14.4" hidden="1" outlineLevel="1" x14ac:dyDescent="0.3">
      <c r="A183" s="3"/>
      <c r="B183" s="9" t="s">
        <v>370</v>
      </c>
      <c r="C183" s="53"/>
      <c r="D183" s="53"/>
      <c r="E183" s="11">
        <v>0</v>
      </c>
      <c r="F183" s="11">
        <v>0</v>
      </c>
      <c r="G183" s="56"/>
      <c r="H183" s="56"/>
      <c r="I183" s="80"/>
      <c r="J183" s="56"/>
      <c r="K183" s="28"/>
      <c r="L183" s="28"/>
      <c r="M183" s="28"/>
      <c r="N183" s="28"/>
      <c r="O183" s="28"/>
      <c r="P183" s="28"/>
      <c r="Q183" s="28"/>
      <c r="R183" s="28"/>
      <c r="S183" s="28"/>
      <c r="T183" s="28"/>
      <c r="U183" s="3"/>
      <c r="W183" s="3"/>
      <c r="X183" s="3"/>
      <c r="Y183" s="3"/>
      <c r="Z183" s="3"/>
    </row>
    <row r="184" spans="1:26" ht="14.4" hidden="1" outlineLevel="1" x14ac:dyDescent="0.3">
      <c r="A184" s="3"/>
      <c r="B184" s="9" t="s">
        <v>328</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20.399999999999999" collapsed="1" x14ac:dyDescent="0.3">
      <c r="A185" s="3"/>
      <c r="B185" s="75" t="s">
        <v>395</v>
      </c>
      <c r="C185" s="76" t="s">
        <v>44</v>
      </c>
      <c r="D185" s="76" t="s">
        <v>44</v>
      </c>
      <c r="E185" s="77">
        <f>SUM(E186:E194)</f>
        <v>0</v>
      </c>
      <c r="F185" s="77">
        <f>SUMIF(D186:D194,"OK",F186:F194)</f>
        <v>100</v>
      </c>
      <c r="G185" s="78"/>
      <c r="H185" s="78"/>
      <c r="I185" s="79"/>
      <c r="J185" s="78"/>
      <c r="K185" s="28"/>
      <c r="L185" s="28"/>
      <c r="M185" s="28"/>
      <c r="N185" s="28"/>
      <c r="O185" s="28"/>
      <c r="P185" s="28"/>
      <c r="Q185" s="28"/>
      <c r="R185" s="28"/>
      <c r="S185" s="28"/>
      <c r="T185" s="28"/>
      <c r="U185" s="3"/>
      <c r="W185" s="3"/>
      <c r="X185" s="3"/>
      <c r="Y185" s="3"/>
      <c r="Z185" s="3"/>
    </row>
    <row r="186" spans="1:26" ht="14.4" hidden="1" outlineLevel="1" x14ac:dyDescent="0.3">
      <c r="A186" s="3"/>
      <c r="B186" s="9" t="s">
        <v>867</v>
      </c>
      <c r="C186" s="53">
        <v>11</v>
      </c>
      <c r="D186" s="53" t="s">
        <v>95</v>
      </c>
      <c r="E186" s="11">
        <v>0</v>
      </c>
      <c r="F186" s="11">
        <v>100</v>
      </c>
      <c r="G186" s="56"/>
      <c r="H186" s="56" t="s">
        <v>37</v>
      </c>
      <c r="I186" s="102" t="s">
        <v>1021</v>
      </c>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355</v>
      </c>
      <c r="C187" s="53"/>
      <c r="D187" s="53"/>
      <c r="E187" s="11">
        <v>0</v>
      </c>
      <c r="F187" s="11">
        <v>0</v>
      </c>
      <c r="G187" s="56"/>
      <c r="H187" s="56"/>
      <c r="I187" s="102"/>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356</v>
      </c>
      <c r="C188" s="53"/>
      <c r="D188" s="53"/>
      <c r="E188" s="11">
        <v>0</v>
      </c>
      <c r="F188" s="11">
        <v>0</v>
      </c>
      <c r="G188" s="56"/>
      <c r="H188" s="56"/>
      <c r="I188" s="80"/>
      <c r="J188" s="56"/>
      <c r="K188" s="28"/>
      <c r="L188" s="28"/>
      <c r="M188" s="28"/>
      <c r="N188" s="28"/>
      <c r="O188" s="28"/>
      <c r="P188" s="28"/>
      <c r="Q188" s="28"/>
      <c r="R188" s="28"/>
      <c r="S188" s="28"/>
      <c r="T188" s="28"/>
      <c r="U188" s="3"/>
      <c r="W188" s="3"/>
      <c r="X188" s="3"/>
      <c r="Y188" s="3"/>
      <c r="Z188" s="3"/>
    </row>
    <row r="189" spans="1:26" ht="14.4" hidden="1" outlineLevel="1" x14ac:dyDescent="0.3">
      <c r="A189" s="3"/>
      <c r="B189" s="9" t="s">
        <v>370</v>
      </c>
      <c r="C189" s="53"/>
      <c r="D189" s="53"/>
      <c r="E189" s="11">
        <v>0</v>
      </c>
      <c r="F189" s="11">
        <v>0</v>
      </c>
      <c r="G189" s="56"/>
      <c r="H189" s="56"/>
      <c r="I189" s="80"/>
      <c r="J189" s="56"/>
      <c r="K189" s="28"/>
      <c r="L189" s="28"/>
      <c r="M189" s="28"/>
      <c r="N189" s="28"/>
      <c r="O189" s="28"/>
      <c r="P189" s="28"/>
      <c r="Q189" s="28"/>
      <c r="R189" s="28"/>
      <c r="S189" s="28"/>
      <c r="T189" s="28"/>
      <c r="U189" s="3"/>
      <c r="W189" s="3"/>
      <c r="X189" s="3"/>
      <c r="Y189" s="3"/>
      <c r="Z189" s="3"/>
    </row>
    <row r="190" spans="1:26" ht="14.4" hidden="1" outlineLevel="1" x14ac:dyDescent="0.3">
      <c r="A190" s="3"/>
      <c r="B190" s="9" t="s">
        <v>328</v>
      </c>
      <c r="C190" s="53"/>
      <c r="D190" s="53"/>
      <c r="E190" s="11">
        <v>0</v>
      </c>
      <c r="F190" s="11">
        <v>0</v>
      </c>
      <c r="G190" s="56"/>
      <c r="H190" s="56"/>
      <c r="I190" s="80"/>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329</v>
      </c>
      <c r="C191" s="53"/>
      <c r="D191" s="53"/>
      <c r="E191" s="11">
        <v>0</v>
      </c>
      <c r="F191" s="11">
        <v>0</v>
      </c>
      <c r="G191" s="56"/>
      <c r="H191" s="56"/>
      <c r="I191" s="80"/>
      <c r="J191" s="56"/>
      <c r="K191" s="28"/>
      <c r="L191" s="28"/>
      <c r="M191" s="28"/>
      <c r="N191" s="28"/>
      <c r="O191" s="28"/>
      <c r="P191" s="28"/>
      <c r="Q191" s="28"/>
      <c r="R191" s="28"/>
      <c r="S191" s="28"/>
      <c r="T191" s="28"/>
      <c r="U191" s="3"/>
      <c r="W191" s="3"/>
      <c r="X191" s="3"/>
      <c r="Y191" s="3"/>
      <c r="Z191" s="3"/>
    </row>
    <row r="192" spans="1:26" ht="14.4" hidden="1" outlineLevel="1" x14ac:dyDescent="0.3">
      <c r="A192" s="3"/>
      <c r="B192" s="9" t="s">
        <v>371</v>
      </c>
      <c r="C192" s="53"/>
      <c r="D192" s="53"/>
      <c r="E192" s="11">
        <v>0</v>
      </c>
      <c r="F192" s="11">
        <v>0</v>
      </c>
      <c r="G192" s="56"/>
      <c r="H192" s="56"/>
      <c r="I192" s="80"/>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372</v>
      </c>
      <c r="C193" s="53"/>
      <c r="D193" s="53"/>
      <c r="E193" s="11">
        <v>0</v>
      </c>
      <c r="F193" s="11">
        <v>0</v>
      </c>
      <c r="G193" s="56"/>
      <c r="H193" s="56"/>
      <c r="I193" s="80"/>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373</v>
      </c>
      <c r="C194" s="53"/>
      <c r="D194" s="53"/>
      <c r="E194" s="11">
        <v>0</v>
      </c>
      <c r="F194" s="11">
        <v>0</v>
      </c>
      <c r="G194" s="56"/>
      <c r="H194" s="56"/>
      <c r="I194" s="80"/>
      <c r="J194" s="56"/>
      <c r="K194" s="28"/>
      <c r="L194" s="28"/>
      <c r="M194" s="28"/>
      <c r="N194" s="28"/>
      <c r="O194" s="28"/>
      <c r="P194" s="28"/>
      <c r="Q194" s="28"/>
      <c r="R194" s="28"/>
      <c r="S194" s="28"/>
      <c r="T194" s="28"/>
      <c r="U194" s="3"/>
      <c r="W194" s="3"/>
      <c r="X194" s="3"/>
      <c r="Y194" s="3"/>
      <c r="Z194" s="3"/>
    </row>
    <row r="195" spans="1:26" ht="20.399999999999999" collapsed="1" x14ac:dyDescent="0.3">
      <c r="A195" s="3"/>
      <c r="B195" s="75" t="s">
        <v>402</v>
      </c>
      <c r="C195" s="76" t="s">
        <v>44</v>
      </c>
      <c r="D195" s="76" t="s">
        <v>44</v>
      </c>
      <c r="E195" s="77">
        <f>SUM(E196:E204)</f>
        <v>0</v>
      </c>
      <c r="F195" s="77">
        <f>SUMIF(D196:D204,"OK",F196:F204)</f>
        <v>0</v>
      </c>
      <c r="G195" s="78"/>
      <c r="H195" s="78"/>
      <c r="I195" s="79"/>
      <c r="J195" s="78"/>
      <c r="K195" s="28"/>
      <c r="L195" s="28"/>
      <c r="M195" s="28"/>
      <c r="N195" s="28"/>
      <c r="O195" s="28"/>
      <c r="P195" s="28"/>
      <c r="Q195" s="28"/>
      <c r="R195" s="28"/>
      <c r="S195" s="28"/>
      <c r="T195" s="28"/>
      <c r="U195" s="3"/>
      <c r="W195" s="3"/>
      <c r="X195" s="3"/>
      <c r="Y195" s="3"/>
      <c r="Z195" s="3"/>
    </row>
    <row r="196" spans="1:26" ht="14.4" hidden="1" outlineLevel="1" x14ac:dyDescent="0.3">
      <c r="A196" s="3"/>
      <c r="B196" s="9" t="s">
        <v>354</v>
      </c>
      <c r="C196" s="53"/>
      <c r="D196" s="53"/>
      <c r="E196" s="11">
        <v>0</v>
      </c>
      <c r="F196" s="11">
        <v>0</v>
      </c>
      <c r="G196" s="80"/>
      <c r="H196" s="56"/>
      <c r="I196" s="102"/>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355</v>
      </c>
      <c r="C197" s="53"/>
      <c r="D197" s="53"/>
      <c r="E197" s="11">
        <v>0</v>
      </c>
      <c r="F197" s="11">
        <v>0</v>
      </c>
      <c r="G197" s="56"/>
      <c r="H197" s="56"/>
      <c r="I197" s="102"/>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356</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370</v>
      </c>
      <c r="C199" s="53"/>
      <c r="D199" s="53"/>
      <c r="E199" s="11">
        <v>0</v>
      </c>
      <c r="F199" s="11">
        <v>0</v>
      </c>
      <c r="G199" s="56"/>
      <c r="H199" s="56"/>
      <c r="I199" s="102"/>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328</v>
      </c>
      <c r="C200" s="53"/>
      <c r="D200" s="53"/>
      <c r="E200" s="11">
        <v>0</v>
      </c>
      <c r="F200" s="11">
        <v>0</v>
      </c>
      <c r="G200" s="56"/>
      <c r="H200" s="56"/>
      <c r="I200" s="102"/>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329</v>
      </c>
      <c r="C201" s="53"/>
      <c r="D201" s="53"/>
      <c r="E201" s="11">
        <v>0</v>
      </c>
      <c r="F201" s="11">
        <v>0</v>
      </c>
      <c r="G201" s="56"/>
      <c r="H201" s="56"/>
      <c r="I201" s="102"/>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371</v>
      </c>
      <c r="C202" s="53"/>
      <c r="D202" s="53"/>
      <c r="E202" s="11">
        <v>0</v>
      </c>
      <c r="F202" s="11">
        <v>0</v>
      </c>
      <c r="G202" s="56"/>
      <c r="H202" s="56"/>
      <c r="I202" s="102"/>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372</v>
      </c>
      <c r="C203" s="53"/>
      <c r="D203" s="53"/>
      <c r="E203" s="11">
        <v>0</v>
      </c>
      <c r="F203" s="11">
        <v>0</v>
      </c>
      <c r="G203" s="80"/>
      <c r="H203" s="56"/>
      <c r="I203" s="102"/>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373</v>
      </c>
      <c r="C204" s="53"/>
      <c r="D204" s="53"/>
      <c r="E204" s="11">
        <v>0</v>
      </c>
      <c r="F204" s="11">
        <v>0</v>
      </c>
      <c r="G204" s="80"/>
      <c r="H204" s="56"/>
      <c r="I204" s="102"/>
      <c r="J204" s="56"/>
      <c r="K204" s="28"/>
      <c r="L204" s="28"/>
      <c r="M204" s="28"/>
      <c r="N204" s="28"/>
      <c r="O204" s="28"/>
      <c r="P204" s="28"/>
      <c r="Q204" s="28"/>
      <c r="R204" s="28"/>
      <c r="S204" s="28"/>
      <c r="T204" s="28"/>
      <c r="U204" s="3"/>
      <c r="W204" s="3"/>
      <c r="X204" s="3"/>
      <c r="Y204" s="3"/>
      <c r="Z204" s="3"/>
    </row>
    <row r="205" spans="1:26" ht="20.399999999999999" collapsed="1" x14ac:dyDescent="0.3">
      <c r="A205" s="3"/>
      <c r="B205" s="75" t="s">
        <v>403</v>
      </c>
      <c r="C205" s="76" t="s">
        <v>44</v>
      </c>
      <c r="D205" s="76" t="s">
        <v>44</v>
      </c>
      <c r="E205" s="77">
        <f>SUM(E206:E214)</f>
        <v>0</v>
      </c>
      <c r="F205" s="77">
        <f>SUMIF(D206:D214,"OK",F206:F214)</f>
        <v>0</v>
      </c>
      <c r="G205" s="78"/>
      <c r="H205" s="78"/>
      <c r="I205" s="79"/>
      <c r="J205" s="78"/>
      <c r="K205" s="28"/>
      <c r="L205" s="28"/>
      <c r="M205" s="28"/>
      <c r="N205" s="28"/>
      <c r="O205" s="28"/>
      <c r="P205" s="28"/>
      <c r="Q205" s="28"/>
      <c r="R205" s="28"/>
      <c r="S205" s="28"/>
      <c r="T205" s="28"/>
      <c r="U205" s="3"/>
      <c r="W205" s="3"/>
      <c r="X205" s="3"/>
      <c r="Y205" s="3"/>
      <c r="Z205" s="3"/>
    </row>
    <row r="206" spans="1:26" ht="14.4" hidden="1" outlineLevel="1" x14ac:dyDescent="0.3">
      <c r="A206" s="3"/>
      <c r="B206" s="9" t="s">
        <v>354</v>
      </c>
      <c r="C206" s="53"/>
      <c r="D206" s="53"/>
      <c r="E206" s="11">
        <v>0</v>
      </c>
      <c r="F206" s="11">
        <v>0</v>
      </c>
      <c r="G206" s="56"/>
      <c r="H206" s="56"/>
      <c r="I206" s="80"/>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355</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356</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370</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328</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329</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371</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372</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373</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20.399999999999999" collapsed="1" x14ac:dyDescent="0.3">
      <c r="A215" s="3"/>
      <c r="B215" s="75" t="s">
        <v>404</v>
      </c>
      <c r="C215" s="76" t="s">
        <v>44</v>
      </c>
      <c r="D215" s="76" t="s">
        <v>44</v>
      </c>
      <c r="E215" s="77">
        <f>SUM(E216:E224)</f>
        <v>0</v>
      </c>
      <c r="F215" s="77">
        <f>SUMIF(D216:D224,"OK",F216:F224)</f>
        <v>800</v>
      </c>
      <c r="G215" s="78"/>
      <c r="H215" s="78"/>
      <c r="I215" s="79"/>
      <c r="J215" s="78"/>
      <c r="K215" s="28"/>
      <c r="L215" s="28"/>
      <c r="M215" s="28"/>
      <c r="N215" s="28"/>
      <c r="O215" s="28"/>
      <c r="P215" s="28"/>
      <c r="Q215" s="28"/>
      <c r="R215" s="28"/>
      <c r="S215" s="28"/>
      <c r="T215" s="28"/>
      <c r="U215" s="3"/>
      <c r="W215" s="3"/>
      <c r="X215" s="3"/>
      <c r="Y215" s="3"/>
      <c r="Z215" s="3"/>
    </row>
    <row r="216" spans="1:26" ht="14.4" hidden="1" outlineLevel="1" x14ac:dyDescent="0.3">
      <c r="A216" s="3"/>
      <c r="B216" s="9" t="s">
        <v>1022</v>
      </c>
      <c r="C216" s="53">
        <v>1</v>
      </c>
      <c r="D216" s="53" t="s">
        <v>95</v>
      </c>
      <c r="E216" s="11">
        <v>0</v>
      </c>
      <c r="F216" s="11">
        <v>80</v>
      </c>
      <c r="G216" s="80" t="s">
        <v>929</v>
      </c>
      <c r="H216" s="56" t="s">
        <v>37</v>
      </c>
      <c r="I216" s="102" t="s">
        <v>930</v>
      </c>
      <c r="J216" s="56"/>
      <c r="K216" s="28"/>
      <c r="L216" s="28"/>
      <c r="M216" s="28"/>
      <c r="N216" s="28"/>
      <c r="O216" s="28"/>
      <c r="P216" s="28"/>
      <c r="Q216" s="28"/>
      <c r="R216" s="28"/>
      <c r="S216" s="28"/>
      <c r="T216" s="28"/>
      <c r="U216" s="3"/>
      <c r="W216" s="3"/>
      <c r="X216" s="3"/>
      <c r="Y216" s="3"/>
      <c r="Z216" s="3"/>
    </row>
    <row r="217" spans="1:26" ht="24" hidden="1" outlineLevel="1" x14ac:dyDescent="0.3">
      <c r="A217" s="3"/>
      <c r="B217" s="9" t="s">
        <v>1022</v>
      </c>
      <c r="C217" s="53">
        <v>28</v>
      </c>
      <c r="D217" s="53" t="s">
        <v>95</v>
      </c>
      <c r="E217" s="11">
        <v>0</v>
      </c>
      <c r="F217" s="11">
        <v>80</v>
      </c>
      <c r="G217" s="80" t="s">
        <v>931</v>
      </c>
      <c r="H217" s="56" t="s">
        <v>37</v>
      </c>
      <c r="I217" s="102" t="s">
        <v>932</v>
      </c>
      <c r="J217" s="56"/>
      <c r="K217" s="28"/>
      <c r="L217" s="28"/>
      <c r="M217" s="28"/>
      <c r="N217" s="28"/>
      <c r="O217" s="28"/>
      <c r="P217" s="28"/>
      <c r="Q217" s="28"/>
      <c r="R217" s="28"/>
      <c r="S217" s="28"/>
      <c r="T217" s="28"/>
      <c r="U217" s="3"/>
      <c r="W217" s="3"/>
      <c r="X217" s="3"/>
      <c r="Y217" s="3"/>
      <c r="Z217" s="3"/>
    </row>
    <row r="218" spans="1:26" ht="24" hidden="1" outlineLevel="1" x14ac:dyDescent="0.3">
      <c r="A218" s="3"/>
      <c r="B218" s="9" t="s">
        <v>1023</v>
      </c>
      <c r="C218" s="53">
        <v>28</v>
      </c>
      <c r="D218" s="53" t="s">
        <v>95</v>
      </c>
      <c r="E218" s="11">
        <v>0</v>
      </c>
      <c r="F218" s="11">
        <v>640</v>
      </c>
      <c r="G218" s="80" t="s">
        <v>931</v>
      </c>
      <c r="H218" s="56" t="s">
        <v>37</v>
      </c>
      <c r="I218" s="102" t="s">
        <v>932</v>
      </c>
      <c r="J218" s="56"/>
      <c r="K218" s="28"/>
      <c r="L218" s="28"/>
      <c r="M218" s="28"/>
      <c r="N218" s="28"/>
      <c r="O218" s="28"/>
      <c r="P218" s="28"/>
      <c r="Q218" s="28"/>
      <c r="R218" s="28"/>
      <c r="S218" s="28"/>
      <c r="T218" s="28"/>
      <c r="U218" s="3"/>
      <c r="W218" s="3"/>
      <c r="X218" s="3"/>
      <c r="Y218" s="3"/>
      <c r="Z218" s="3"/>
    </row>
    <row r="219" spans="1:26" ht="14.4" hidden="1" outlineLevel="1" x14ac:dyDescent="0.3">
      <c r="A219" s="3"/>
      <c r="B219" s="9" t="s">
        <v>370</v>
      </c>
      <c r="C219" s="53"/>
      <c r="D219" s="53"/>
      <c r="E219" s="11">
        <v>0</v>
      </c>
      <c r="F219" s="11">
        <v>0</v>
      </c>
      <c r="G219" s="56"/>
      <c r="H219" s="56"/>
      <c r="I219" s="80"/>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328</v>
      </c>
      <c r="C220" s="53"/>
      <c r="D220" s="53"/>
      <c r="E220" s="11">
        <v>0</v>
      </c>
      <c r="F220" s="11">
        <v>0</v>
      </c>
      <c r="G220" s="56"/>
      <c r="H220" s="56"/>
      <c r="I220" s="80"/>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329</v>
      </c>
      <c r="C221" s="53"/>
      <c r="D221" s="53"/>
      <c r="E221" s="11">
        <v>0</v>
      </c>
      <c r="F221" s="11">
        <v>0</v>
      </c>
      <c r="G221" s="56"/>
      <c r="H221" s="56"/>
      <c r="I221" s="80"/>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371</v>
      </c>
      <c r="C222" s="53"/>
      <c r="D222" s="53"/>
      <c r="E222" s="11">
        <v>0</v>
      </c>
      <c r="F222" s="11">
        <v>0</v>
      </c>
      <c r="G222" s="56"/>
      <c r="H222" s="56"/>
      <c r="I222" s="80"/>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372</v>
      </c>
      <c r="C223" s="53"/>
      <c r="D223" s="53"/>
      <c r="E223" s="11">
        <v>0</v>
      </c>
      <c r="F223" s="11">
        <v>0</v>
      </c>
      <c r="G223" s="56"/>
      <c r="H223" s="56"/>
      <c r="I223" s="80"/>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373</v>
      </c>
      <c r="C224" s="53"/>
      <c r="D224" s="53"/>
      <c r="E224" s="11">
        <v>0</v>
      </c>
      <c r="F224" s="11">
        <v>0</v>
      </c>
      <c r="G224" s="56"/>
      <c r="H224" s="56"/>
      <c r="I224" s="80"/>
      <c r="J224" s="56"/>
      <c r="K224" s="28"/>
      <c r="L224" s="28"/>
      <c r="M224" s="28"/>
      <c r="N224" s="28"/>
      <c r="O224" s="28"/>
      <c r="P224" s="28"/>
      <c r="Q224" s="28"/>
      <c r="R224" s="28"/>
      <c r="S224" s="28"/>
      <c r="T224" s="28"/>
      <c r="U224" s="3"/>
      <c r="W224" s="3"/>
      <c r="X224" s="3"/>
      <c r="Y224" s="3"/>
      <c r="Z224" s="3"/>
    </row>
    <row r="225" spans="1:26" ht="20.399999999999999" collapsed="1" x14ac:dyDescent="0.3">
      <c r="A225" s="3"/>
      <c r="B225" s="75" t="s">
        <v>406</v>
      </c>
      <c r="C225" s="76" t="s">
        <v>44</v>
      </c>
      <c r="D225" s="76" t="s">
        <v>44</v>
      </c>
      <c r="E225" s="77">
        <f>SUM(E226:E234)</f>
        <v>0</v>
      </c>
      <c r="F225" s="77">
        <f>SUMIF(D226:D234,"OK",F226:F234)</f>
        <v>0</v>
      </c>
      <c r="G225" s="78"/>
      <c r="H225" s="78"/>
      <c r="I225" s="79"/>
      <c r="J225" s="78"/>
      <c r="K225" s="28"/>
      <c r="L225" s="28"/>
      <c r="M225" s="28"/>
      <c r="N225" s="28"/>
      <c r="O225" s="28"/>
      <c r="P225" s="28"/>
      <c r="Q225" s="28"/>
      <c r="R225" s="28"/>
      <c r="S225" s="28"/>
      <c r="T225" s="28"/>
      <c r="U225" s="3"/>
      <c r="W225" s="3"/>
      <c r="X225" s="3"/>
      <c r="Y225" s="3"/>
      <c r="Z225" s="3"/>
    </row>
    <row r="226" spans="1:26" ht="14.4" hidden="1" outlineLevel="1" x14ac:dyDescent="0.3">
      <c r="A226" s="3"/>
      <c r="B226" s="9" t="s">
        <v>1024</v>
      </c>
      <c r="C226" s="53"/>
      <c r="D226" s="53"/>
      <c r="E226" s="11">
        <v>0</v>
      </c>
      <c r="F226" s="11">
        <v>0</v>
      </c>
      <c r="G226" s="56"/>
      <c r="H226" s="56"/>
      <c r="I226" s="102"/>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355</v>
      </c>
      <c r="C227" s="53"/>
      <c r="D227" s="53"/>
      <c r="E227" s="11">
        <v>0</v>
      </c>
      <c r="F227" s="11">
        <v>0</v>
      </c>
      <c r="G227" s="56"/>
      <c r="H227" s="56"/>
      <c r="I227" s="80"/>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356</v>
      </c>
      <c r="C228" s="53"/>
      <c r="D228" s="53"/>
      <c r="E228" s="11">
        <v>0</v>
      </c>
      <c r="F228" s="11">
        <v>0</v>
      </c>
      <c r="G228" s="56"/>
      <c r="H228" s="56"/>
      <c r="I228" s="80"/>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370</v>
      </c>
      <c r="C229" s="53"/>
      <c r="D229" s="53"/>
      <c r="E229" s="11">
        <v>0</v>
      </c>
      <c r="F229" s="11">
        <v>0</v>
      </c>
      <c r="G229" s="56"/>
      <c r="H229" s="56"/>
      <c r="I229" s="80"/>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328</v>
      </c>
      <c r="C230" s="53"/>
      <c r="D230" s="53"/>
      <c r="E230" s="11">
        <v>0</v>
      </c>
      <c r="F230" s="11">
        <v>0</v>
      </c>
      <c r="G230" s="56"/>
      <c r="H230" s="56"/>
      <c r="I230" s="80"/>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329</v>
      </c>
      <c r="C231" s="53"/>
      <c r="D231" s="53"/>
      <c r="E231" s="11">
        <v>0</v>
      </c>
      <c r="F231" s="11">
        <v>0</v>
      </c>
      <c r="G231" s="56"/>
      <c r="H231" s="56"/>
      <c r="I231" s="80"/>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371</v>
      </c>
      <c r="C232" s="53"/>
      <c r="D232" s="53"/>
      <c r="E232" s="11">
        <v>0</v>
      </c>
      <c r="F232" s="11">
        <v>0</v>
      </c>
      <c r="G232" s="56"/>
      <c r="H232" s="56"/>
      <c r="I232" s="80"/>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372</v>
      </c>
      <c r="C233" s="53"/>
      <c r="D233" s="53"/>
      <c r="E233" s="11">
        <v>0</v>
      </c>
      <c r="F233" s="11">
        <v>0</v>
      </c>
      <c r="G233" s="56"/>
      <c r="H233" s="56"/>
      <c r="I233" s="80"/>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373</v>
      </c>
      <c r="C234" s="53"/>
      <c r="D234" s="53"/>
      <c r="E234" s="11">
        <v>0</v>
      </c>
      <c r="F234" s="11">
        <v>0</v>
      </c>
      <c r="G234" s="56"/>
      <c r="H234" s="56"/>
      <c r="I234" s="80"/>
      <c r="J234" s="56"/>
      <c r="K234" s="28"/>
      <c r="L234" s="28"/>
      <c r="M234" s="28"/>
      <c r="N234" s="28"/>
      <c r="O234" s="28"/>
      <c r="P234" s="28"/>
      <c r="Q234" s="28"/>
      <c r="R234" s="28"/>
      <c r="S234" s="28"/>
      <c r="T234" s="28"/>
      <c r="U234" s="3"/>
      <c r="W234" s="3"/>
      <c r="X234" s="3"/>
      <c r="Y234" s="3"/>
      <c r="Z234" s="3"/>
    </row>
    <row r="235" spans="1:26" ht="20.399999999999999" collapsed="1" x14ac:dyDescent="0.3">
      <c r="A235" s="3"/>
      <c r="B235" s="75" t="s">
        <v>409</v>
      </c>
      <c r="C235" s="76" t="s">
        <v>44</v>
      </c>
      <c r="D235" s="76" t="s">
        <v>44</v>
      </c>
      <c r="E235" s="77">
        <f t="shared" ref="E235:F235" si="3">SUM(E236,E246,E256,E266)</f>
        <v>0</v>
      </c>
      <c r="F235" s="77">
        <f t="shared" si="3"/>
        <v>0</v>
      </c>
      <c r="G235" s="78"/>
      <c r="H235" s="78"/>
      <c r="I235" s="79"/>
      <c r="J235" s="78"/>
      <c r="K235" s="28"/>
      <c r="L235" s="28"/>
      <c r="M235" s="28"/>
      <c r="N235" s="28"/>
      <c r="O235" s="28"/>
      <c r="P235" s="28"/>
      <c r="Q235" s="28"/>
      <c r="R235" s="28"/>
      <c r="S235" s="28"/>
      <c r="T235" s="28"/>
      <c r="U235" s="3"/>
      <c r="W235" s="3"/>
      <c r="X235" s="3"/>
      <c r="Y235" s="3"/>
      <c r="Z235" s="3"/>
    </row>
    <row r="236" spans="1:26" hidden="1" outlineLevel="1" x14ac:dyDescent="0.3">
      <c r="A236" s="3"/>
      <c r="B236" s="82" t="s">
        <v>233</v>
      </c>
      <c r="C236" s="83"/>
      <c r="D236" s="83"/>
      <c r="E236" s="84">
        <f>SUM(E237:E245)</f>
        <v>0</v>
      </c>
      <c r="F236" s="84">
        <f>SUMIF(D237:D245,"OK",F237:F245)</f>
        <v>0</v>
      </c>
      <c r="G236" s="85"/>
      <c r="H236" s="85"/>
      <c r="I236" s="86"/>
      <c r="J236" s="85"/>
      <c r="K236" s="28"/>
      <c r="L236" s="28"/>
      <c r="M236" s="28"/>
      <c r="N236" s="28"/>
      <c r="O236" s="28"/>
      <c r="P236" s="28"/>
      <c r="Q236" s="28"/>
      <c r="R236" s="28"/>
      <c r="S236" s="28"/>
      <c r="T236" s="28"/>
      <c r="U236" s="3"/>
      <c r="W236" s="3"/>
      <c r="X236" s="3"/>
      <c r="Y236" s="3"/>
      <c r="Z236" s="3"/>
    </row>
    <row r="237" spans="1:26" ht="14.4" hidden="1" outlineLevel="1" x14ac:dyDescent="0.3">
      <c r="A237" s="3"/>
      <c r="B237" s="9" t="s">
        <v>354</v>
      </c>
      <c r="C237" s="53"/>
      <c r="D237" s="53"/>
      <c r="E237" s="11">
        <v>0</v>
      </c>
      <c r="F237" s="11">
        <v>0</v>
      </c>
      <c r="G237" s="56"/>
      <c r="H237" s="56"/>
      <c r="I237" s="115"/>
      <c r="J237" s="56"/>
      <c r="K237" s="28"/>
      <c r="L237" s="28"/>
      <c r="M237" s="28"/>
      <c r="N237" s="28"/>
      <c r="O237" s="28"/>
      <c r="P237" s="28"/>
      <c r="Q237" s="28"/>
      <c r="R237" s="28"/>
      <c r="S237" s="28"/>
      <c r="T237" s="28"/>
      <c r="U237" s="3"/>
      <c r="W237" s="3"/>
      <c r="X237" s="3"/>
      <c r="Y237" s="3"/>
      <c r="Z237" s="3"/>
    </row>
    <row r="238" spans="1:26" ht="14.4" hidden="1" outlineLevel="1" x14ac:dyDescent="0.3">
      <c r="A238" s="3"/>
      <c r="B238" s="9" t="s">
        <v>355</v>
      </c>
      <c r="C238" s="53"/>
      <c r="D238" s="53"/>
      <c r="E238" s="11">
        <v>0</v>
      </c>
      <c r="F238" s="11">
        <v>0</v>
      </c>
      <c r="G238" s="56"/>
      <c r="H238" s="56"/>
      <c r="I238" s="115"/>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356</v>
      </c>
      <c r="C239" s="53"/>
      <c r="D239" s="53"/>
      <c r="E239" s="11">
        <v>0</v>
      </c>
      <c r="F239" s="11">
        <v>0</v>
      </c>
      <c r="G239" s="56"/>
      <c r="H239" s="56"/>
      <c r="I239" s="115"/>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370</v>
      </c>
      <c r="C240" s="53"/>
      <c r="D240" s="53"/>
      <c r="E240" s="11">
        <v>0</v>
      </c>
      <c r="F240" s="11">
        <v>0</v>
      </c>
      <c r="G240" s="56"/>
      <c r="H240" s="56"/>
      <c r="I240" s="102"/>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328</v>
      </c>
      <c r="C241" s="53"/>
      <c r="D241" s="53"/>
      <c r="E241" s="11">
        <v>0</v>
      </c>
      <c r="F241" s="11">
        <v>0</v>
      </c>
      <c r="G241" s="56"/>
      <c r="H241" s="56"/>
      <c r="I241" s="102"/>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329</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371</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372</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373</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idden="1" outlineLevel="1" x14ac:dyDescent="0.3">
      <c r="A246" s="3"/>
      <c r="B246" s="82" t="s">
        <v>652</v>
      </c>
      <c r="C246" s="83"/>
      <c r="D246" s="83"/>
      <c r="E246" s="84">
        <f>SUM(E247:E255)</f>
        <v>0</v>
      </c>
      <c r="F246" s="84">
        <f>SUMIF(D247:D255,"OK",F247:F255)</f>
        <v>0</v>
      </c>
      <c r="G246" s="85"/>
      <c r="H246" s="85"/>
      <c r="I246" s="86"/>
      <c r="J246" s="85"/>
      <c r="K246" s="28"/>
      <c r="L246" s="28"/>
      <c r="M246" s="28"/>
      <c r="N246" s="28"/>
      <c r="O246" s="28"/>
      <c r="P246" s="28"/>
      <c r="Q246" s="28"/>
      <c r="R246" s="28"/>
      <c r="S246" s="28"/>
      <c r="T246" s="28"/>
      <c r="U246" s="3"/>
      <c r="W246" s="3"/>
      <c r="X246" s="3"/>
      <c r="Y246" s="3"/>
      <c r="Z246" s="3"/>
    </row>
    <row r="247" spans="1:26" ht="14.4" hidden="1" outlineLevel="1" x14ac:dyDescent="0.3">
      <c r="A247" s="3"/>
      <c r="B247" s="9" t="s">
        <v>354</v>
      </c>
      <c r="C247" s="53"/>
      <c r="D247" s="53"/>
      <c r="E247" s="11">
        <v>0</v>
      </c>
      <c r="F247" s="11">
        <v>0</v>
      </c>
      <c r="G247" s="56"/>
      <c r="H247" s="56"/>
      <c r="I247" s="102"/>
      <c r="J247" s="56"/>
      <c r="K247" s="28"/>
      <c r="L247" s="28"/>
      <c r="M247" s="28"/>
      <c r="N247" s="28"/>
      <c r="O247" s="28"/>
      <c r="P247" s="28"/>
      <c r="Q247" s="28"/>
      <c r="R247" s="28"/>
      <c r="S247" s="28"/>
      <c r="T247" s="28"/>
      <c r="U247" s="3"/>
      <c r="W247" s="3"/>
      <c r="X247" s="3"/>
      <c r="Y247" s="3"/>
      <c r="Z247" s="3"/>
    </row>
    <row r="248" spans="1:26" ht="14.4" hidden="1" outlineLevel="1" x14ac:dyDescent="0.3">
      <c r="A248" s="3"/>
      <c r="B248" s="9" t="s">
        <v>355</v>
      </c>
      <c r="C248" s="53"/>
      <c r="D248" s="53"/>
      <c r="E248" s="11">
        <v>0</v>
      </c>
      <c r="F248" s="11">
        <v>0</v>
      </c>
      <c r="G248" s="56"/>
      <c r="H248" s="56"/>
      <c r="I248" s="102"/>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356</v>
      </c>
      <c r="C249" s="53"/>
      <c r="D249" s="53"/>
      <c r="E249" s="11">
        <v>0</v>
      </c>
      <c r="F249" s="11">
        <v>0</v>
      </c>
      <c r="G249" s="56"/>
      <c r="H249" s="56"/>
      <c r="I249" s="102"/>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370</v>
      </c>
      <c r="C250" s="53"/>
      <c r="D250" s="53"/>
      <c r="E250" s="11">
        <v>0</v>
      </c>
      <c r="F250" s="11">
        <v>0</v>
      </c>
      <c r="G250" s="56"/>
      <c r="H250" s="56"/>
      <c r="I250" s="102"/>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328</v>
      </c>
      <c r="C251" s="53"/>
      <c r="D251" s="53"/>
      <c r="E251" s="11">
        <v>0</v>
      </c>
      <c r="F251" s="11">
        <v>0</v>
      </c>
      <c r="G251" s="56"/>
      <c r="H251" s="56"/>
      <c r="I251" s="102"/>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329</v>
      </c>
      <c r="C252" s="53"/>
      <c r="D252" s="53"/>
      <c r="E252" s="11">
        <v>0</v>
      </c>
      <c r="F252" s="11">
        <v>0</v>
      </c>
      <c r="G252" s="56"/>
      <c r="H252" s="56"/>
      <c r="I252" s="102"/>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371</v>
      </c>
      <c r="C253" s="53"/>
      <c r="D253" s="53"/>
      <c r="E253" s="11">
        <v>0</v>
      </c>
      <c r="F253" s="11">
        <v>0</v>
      </c>
      <c r="G253" s="56"/>
      <c r="H253" s="56"/>
      <c r="I253" s="102"/>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372</v>
      </c>
      <c r="C254" s="53"/>
      <c r="D254" s="53"/>
      <c r="E254" s="11">
        <v>0</v>
      </c>
      <c r="F254" s="11">
        <v>0</v>
      </c>
      <c r="G254" s="56"/>
      <c r="H254" s="56"/>
      <c r="I254" s="102"/>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373</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idden="1" outlineLevel="1" x14ac:dyDescent="0.3">
      <c r="A256" s="3"/>
      <c r="B256" s="82" t="s">
        <v>1025</v>
      </c>
      <c r="C256" s="83"/>
      <c r="D256" s="83"/>
      <c r="E256" s="84">
        <f>SUM(E257:E265)</f>
        <v>0</v>
      </c>
      <c r="F256" s="84">
        <f>SUMIF(D257:D265,"OK",F257:F265)</f>
        <v>0</v>
      </c>
      <c r="G256" s="85"/>
      <c r="H256" s="85"/>
      <c r="I256" s="86"/>
      <c r="J256" s="85"/>
      <c r="K256" s="28"/>
      <c r="L256" s="28"/>
      <c r="M256" s="28"/>
      <c r="N256" s="28"/>
      <c r="O256" s="28"/>
      <c r="P256" s="28"/>
      <c r="Q256" s="28"/>
      <c r="R256" s="28"/>
      <c r="S256" s="28"/>
      <c r="T256" s="28"/>
      <c r="U256" s="3"/>
      <c r="W256" s="3"/>
      <c r="X256" s="3"/>
      <c r="Y256" s="3"/>
      <c r="Z256" s="3"/>
    </row>
    <row r="257" spans="1:26" ht="14.4" hidden="1" outlineLevel="1" x14ac:dyDescent="0.3">
      <c r="A257" s="3"/>
      <c r="B257" s="9" t="s">
        <v>1026</v>
      </c>
      <c r="C257" s="53"/>
      <c r="D257" s="53"/>
      <c r="E257" s="11">
        <v>0</v>
      </c>
      <c r="F257" s="11">
        <v>0</v>
      </c>
      <c r="G257" s="56"/>
      <c r="H257" s="56"/>
      <c r="I257" s="102"/>
      <c r="J257" s="56"/>
      <c r="K257" s="28"/>
      <c r="L257" s="28"/>
      <c r="M257" s="28"/>
      <c r="N257" s="28"/>
      <c r="O257" s="28"/>
      <c r="P257" s="28"/>
      <c r="Q257" s="28"/>
      <c r="R257" s="28"/>
      <c r="S257" s="28"/>
      <c r="T257" s="28"/>
      <c r="U257" s="3"/>
      <c r="W257" s="3"/>
      <c r="X257" s="3"/>
      <c r="Y257" s="3"/>
      <c r="Z257" s="3"/>
    </row>
    <row r="258" spans="1:26" ht="14.4" hidden="1" outlineLevel="1" x14ac:dyDescent="0.3">
      <c r="A258" s="3"/>
      <c r="B258" s="9" t="s">
        <v>355</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356</v>
      </c>
      <c r="C259" s="53"/>
      <c r="D259" s="53"/>
      <c r="E259" s="11">
        <v>0</v>
      </c>
      <c r="F259" s="11">
        <v>0</v>
      </c>
      <c r="G259" s="56"/>
      <c r="H259" s="56"/>
      <c r="I259" s="80"/>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370</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328</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329</v>
      </c>
      <c r="C262" s="53"/>
      <c r="D262" s="53"/>
      <c r="E262" s="11">
        <v>0</v>
      </c>
      <c r="F262" s="11">
        <v>0</v>
      </c>
      <c r="G262" s="56"/>
      <c r="H262" s="56"/>
      <c r="I262" s="80"/>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371</v>
      </c>
      <c r="C263" s="53"/>
      <c r="D263" s="53"/>
      <c r="E263" s="11">
        <v>0</v>
      </c>
      <c r="F263" s="11">
        <v>0</v>
      </c>
      <c r="G263" s="56"/>
      <c r="H263" s="56"/>
      <c r="I263" s="80"/>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372</v>
      </c>
      <c r="C264" s="53"/>
      <c r="D264" s="53"/>
      <c r="E264" s="11">
        <v>0</v>
      </c>
      <c r="F264" s="11">
        <v>0</v>
      </c>
      <c r="G264" s="56"/>
      <c r="H264" s="56"/>
      <c r="I264" s="80"/>
      <c r="J264" s="56"/>
      <c r="K264" s="28"/>
      <c r="L264" s="28"/>
      <c r="M264" s="28"/>
      <c r="N264" s="28"/>
      <c r="O264" s="28"/>
      <c r="P264" s="28"/>
      <c r="Q264" s="28"/>
      <c r="R264" s="28"/>
      <c r="S264" s="28"/>
      <c r="T264" s="28"/>
      <c r="U264" s="3"/>
      <c r="W264" s="3"/>
      <c r="X264" s="3"/>
      <c r="Y264" s="3"/>
      <c r="Z264" s="3"/>
    </row>
    <row r="265" spans="1:26" ht="14.4" hidden="1" outlineLevel="1" x14ac:dyDescent="0.3">
      <c r="A265" s="3"/>
      <c r="B265" s="9" t="s">
        <v>373</v>
      </c>
      <c r="C265" s="53"/>
      <c r="D265" s="53"/>
      <c r="E265" s="11">
        <v>0</v>
      </c>
      <c r="F265" s="11">
        <v>0</v>
      </c>
      <c r="G265" s="56"/>
      <c r="H265" s="56"/>
      <c r="I265" s="80"/>
      <c r="J265" s="56"/>
      <c r="K265" s="28"/>
      <c r="L265" s="28"/>
      <c r="M265" s="28"/>
      <c r="N265" s="28"/>
      <c r="O265" s="28"/>
      <c r="P265" s="28"/>
      <c r="Q265" s="28"/>
      <c r="R265" s="28"/>
      <c r="S265" s="28"/>
      <c r="T265" s="28"/>
      <c r="U265" s="3"/>
      <c r="W265" s="3"/>
      <c r="X265" s="3"/>
      <c r="Y265" s="3"/>
      <c r="Z265" s="3"/>
    </row>
    <row r="266" spans="1:26" hidden="1" outlineLevel="1" x14ac:dyDescent="0.3">
      <c r="A266" s="3"/>
      <c r="B266" s="82" t="s">
        <v>63</v>
      </c>
      <c r="C266" s="83"/>
      <c r="D266" s="83"/>
      <c r="E266" s="84">
        <f>SUM(E267:E275)</f>
        <v>0</v>
      </c>
      <c r="F266" s="84">
        <f>SUMIF(D267:D275,"OK",F267:F275)</f>
        <v>0</v>
      </c>
      <c r="G266" s="85"/>
      <c r="H266" s="85"/>
      <c r="I266" s="86"/>
      <c r="J266" s="85"/>
      <c r="K266" s="28"/>
      <c r="L266" s="28"/>
      <c r="M266" s="28"/>
      <c r="N266" s="28"/>
      <c r="O266" s="28"/>
      <c r="P266" s="28"/>
      <c r="Q266" s="28"/>
      <c r="R266" s="28"/>
      <c r="S266" s="28"/>
      <c r="T266" s="28"/>
      <c r="U266" s="3"/>
      <c r="W266" s="3"/>
      <c r="X266" s="3"/>
      <c r="Y266" s="3"/>
      <c r="Z266" s="3"/>
    </row>
    <row r="267" spans="1:26" ht="14.4" hidden="1" outlineLevel="1" x14ac:dyDescent="0.3">
      <c r="A267" s="3"/>
      <c r="B267" s="9" t="s">
        <v>354</v>
      </c>
      <c r="C267" s="53"/>
      <c r="D267" s="53"/>
      <c r="E267" s="11">
        <v>0</v>
      </c>
      <c r="F267" s="11">
        <v>0</v>
      </c>
      <c r="G267" s="56"/>
      <c r="H267" s="56"/>
      <c r="I267" s="80"/>
      <c r="J267" s="56"/>
      <c r="K267" s="28"/>
      <c r="L267" s="28"/>
      <c r="M267" s="28"/>
      <c r="N267" s="28"/>
      <c r="O267" s="28"/>
      <c r="P267" s="28"/>
      <c r="Q267" s="28"/>
      <c r="R267" s="28"/>
      <c r="S267" s="28"/>
      <c r="T267" s="28"/>
      <c r="U267" s="3"/>
      <c r="W267" s="3"/>
      <c r="X267" s="3"/>
      <c r="Y267" s="3"/>
      <c r="Z267" s="3"/>
    </row>
    <row r="268" spans="1:26" ht="14.4" hidden="1" outlineLevel="1" x14ac:dyDescent="0.3">
      <c r="A268" s="3"/>
      <c r="B268" s="9" t="s">
        <v>355</v>
      </c>
      <c r="C268" s="53"/>
      <c r="D268" s="53"/>
      <c r="E268" s="11">
        <v>0</v>
      </c>
      <c r="F268" s="11">
        <v>0</v>
      </c>
      <c r="G268" s="56"/>
      <c r="H268" s="56"/>
      <c r="I268" s="80"/>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356</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t="14.4" hidden="1" outlineLevel="1" x14ac:dyDescent="0.3">
      <c r="A270" s="3"/>
      <c r="B270" s="9" t="s">
        <v>370</v>
      </c>
      <c r="C270" s="53"/>
      <c r="D270" s="53"/>
      <c r="E270" s="11">
        <v>0</v>
      </c>
      <c r="F270" s="11">
        <v>0</v>
      </c>
      <c r="G270" s="56"/>
      <c r="H270" s="56"/>
      <c r="I270" s="80"/>
      <c r="J270" s="56"/>
      <c r="K270" s="28"/>
      <c r="L270" s="28"/>
      <c r="M270" s="28"/>
      <c r="N270" s="28"/>
      <c r="O270" s="28"/>
      <c r="P270" s="28"/>
      <c r="Q270" s="28"/>
      <c r="R270" s="28"/>
      <c r="S270" s="28"/>
      <c r="T270" s="28"/>
      <c r="U270" s="3"/>
      <c r="W270" s="3"/>
      <c r="X270" s="3"/>
      <c r="Y270" s="3"/>
      <c r="Z270" s="3"/>
    </row>
    <row r="271" spans="1:26" ht="14.4" hidden="1" outlineLevel="1" x14ac:dyDescent="0.3">
      <c r="A271" s="3"/>
      <c r="B271" s="9" t="s">
        <v>328</v>
      </c>
      <c r="C271" s="53"/>
      <c r="D271" s="53"/>
      <c r="E271" s="11">
        <v>0</v>
      </c>
      <c r="F271" s="11">
        <v>0</v>
      </c>
      <c r="G271" s="56"/>
      <c r="H271" s="56"/>
      <c r="I271" s="80"/>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329</v>
      </c>
      <c r="C272" s="53"/>
      <c r="D272" s="53"/>
      <c r="E272" s="11">
        <v>0</v>
      </c>
      <c r="F272" s="11">
        <v>0</v>
      </c>
      <c r="G272" s="56"/>
      <c r="H272" s="56"/>
      <c r="I272" s="80"/>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371</v>
      </c>
      <c r="C273" s="53"/>
      <c r="D273" s="53"/>
      <c r="E273" s="11">
        <v>0</v>
      </c>
      <c r="F273" s="11">
        <v>0</v>
      </c>
      <c r="G273" s="56"/>
      <c r="H273" s="56"/>
      <c r="I273" s="80"/>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372</v>
      </c>
      <c r="C274" s="53"/>
      <c r="D274" s="53"/>
      <c r="E274" s="11">
        <v>0</v>
      </c>
      <c r="F274" s="11">
        <v>0</v>
      </c>
      <c r="G274" s="56"/>
      <c r="H274" s="56"/>
      <c r="I274" s="80"/>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373</v>
      </c>
      <c r="C275" s="53"/>
      <c r="D275" s="53"/>
      <c r="E275" s="11">
        <v>0</v>
      </c>
      <c r="F275" s="11">
        <v>0</v>
      </c>
      <c r="G275" s="56"/>
      <c r="H275" s="56"/>
      <c r="I275" s="80"/>
      <c r="J275" s="56"/>
      <c r="K275" s="28"/>
      <c r="L275" s="28"/>
      <c r="M275" s="28"/>
      <c r="N275" s="28"/>
      <c r="O275" s="28"/>
      <c r="P275" s="28"/>
      <c r="Q275" s="28"/>
      <c r="R275" s="28"/>
      <c r="S275" s="28"/>
      <c r="T275" s="28"/>
      <c r="U275" s="3"/>
      <c r="W275" s="3"/>
      <c r="X275" s="3"/>
      <c r="Y275" s="3"/>
      <c r="Z275" s="3"/>
    </row>
    <row r="276" spans="1:26" ht="20.399999999999999" collapsed="1" x14ac:dyDescent="0.3">
      <c r="A276" s="3"/>
      <c r="B276" s="75" t="s">
        <v>412</v>
      </c>
      <c r="C276" s="76" t="s">
        <v>44</v>
      </c>
      <c r="D276" s="76" t="s">
        <v>44</v>
      </c>
      <c r="E276" s="77">
        <f>SUM(E277:E289)</f>
        <v>0</v>
      </c>
      <c r="F276" s="77">
        <f>SUMIF(D277:D289,"OK",F277:F289)</f>
        <v>0</v>
      </c>
      <c r="G276" s="78"/>
      <c r="H276" s="78"/>
      <c r="I276" s="79"/>
      <c r="J276" s="78"/>
      <c r="K276" s="28"/>
      <c r="L276" s="28"/>
      <c r="M276" s="28"/>
      <c r="N276" s="28"/>
      <c r="O276" s="28"/>
      <c r="P276" s="28"/>
      <c r="Q276" s="28"/>
      <c r="R276" s="28"/>
      <c r="S276" s="28"/>
      <c r="T276" s="28"/>
      <c r="U276" s="3"/>
      <c r="W276" s="3"/>
      <c r="X276" s="3"/>
      <c r="Y276" s="3"/>
      <c r="Z276" s="3"/>
    </row>
    <row r="277" spans="1:26" ht="15.75" hidden="1" customHeight="1" outlineLevel="1" x14ac:dyDescent="0.3">
      <c r="A277" s="3"/>
      <c r="B277" s="9" t="s">
        <v>413</v>
      </c>
      <c r="C277" s="53"/>
      <c r="D277" s="53"/>
      <c r="E277" s="11">
        <v>0</v>
      </c>
      <c r="F277" s="11">
        <v>0</v>
      </c>
      <c r="G277" s="56"/>
      <c r="H277" s="56"/>
      <c r="I277" s="80"/>
      <c r="J277" s="56"/>
      <c r="K277" s="28"/>
      <c r="L277" s="28"/>
      <c r="M277" s="28"/>
      <c r="N277" s="28"/>
      <c r="O277" s="28"/>
      <c r="P277" s="28"/>
      <c r="Q277" s="28"/>
      <c r="R277" s="28"/>
      <c r="S277" s="28"/>
      <c r="T277" s="28"/>
      <c r="U277" s="3"/>
      <c r="W277" s="3"/>
      <c r="X277" s="3"/>
      <c r="Y277" s="3"/>
      <c r="Z277" s="3"/>
    </row>
    <row r="278" spans="1:26" ht="15.75" hidden="1" customHeight="1" outlineLevel="1" x14ac:dyDescent="0.3">
      <c r="A278" s="3"/>
      <c r="B278" s="9" t="s">
        <v>414</v>
      </c>
      <c r="C278" s="53"/>
      <c r="D278" s="53"/>
      <c r="E278" s="11">
        <v>0</v>
      </c>
      <c r="F278" s="11">
        <v>0</v>
      </c>
      <c r="G278" s="80"/>
      <c r="H278" s="56"/>
      <c r="I278" s="102"/>
      <c r="J278" s="56"/>
      <c r="K278" s="28"/>
      <c r="L278" s="28"/>
      <c r="M278" s="28"/>
      <c r="N278" s="28"/>
      <c r="O278" s="28"/>
      <c r="P278" s="28"/>
      <c r="Q278" s="28"/>
      <c r="R278" s="28"/>
      <c r="S278" s="28"/>
      <c r="T278" s="28"/>
      <c r="U278" s="3"/>
      <c r="W278" s="3"/>
      <c r="X278" s="3"/>
      <c r="Y278" s="3"/>
      <c r="Z278" s="3"/>
    </row>
    <row r="279" spans="1:26" ht="15.75" hidden="1" customHeight="1" outlineLevel="1" x14ac:dyDescent="0.3">
      <c r="A279" s="3"/>
      <c r="B279" s="9" t="s">
        <v>414</v>
      </c>
      <c r="C279" s="53"/>
      <c r="D279" s="53"/>
      <c r="E279" s="11">
        <v>0</v>
      </c>
      <c r="F279" s="11">
        <v>0</v>
      </c>
      <c r="G279" s="56"/>
      <c r="H279" s="56"/>
      <c r="I279" s="102"/>
      <c r="J279" s="56"/>
      <c r="K279" s="28"/>
      <c r="L279" s="28"/>
      <c r="M279" s="28"/>
      <c r="N279" s="28"/>
      <c r="O279" s="28"/>
      <c r="P279" s="28"/>
      <c r="Q279" s="28"/>
      <c r="R279" s="28"/>
      <c r="S279" s="28"/>
      <c r="T279" s="28"/>
      <c r="U279" s="3"/>
      <c r="W279" s="3"/>
      <c r="X279" s="3"/>
      <c r="Y279" s="3"/>
      <c r="Z279" s="3"/>
    </row>
    <row r="280" spans="1:26" ht="15.75" hidden="1" customHeight="1" outlineLevel="1" x14ac:dyDescent="0.3">
      <c r="A280" s="3"/>
      <c r="B280" s="9" t="s">
        <v>415</v>
      </c>
      <c r="C280" s="53"/>
      <c r="D280" s="53"/>
      <c r="E280" s="11">
        <v>0</v>
      </c>
      <c r="F280" s="11">
        <v>0</v>
      </c>
      <c r="G280" s="56"/>
      <c r="H280" s="56"/>
      <c r="I280" s="102"/>
      <c r="J280" s="56"/>
      <c r="K280" s="28"/>
      <c r="L280" s="28"/>
      <c r="M280" s="28"/>
      <c r="N280" s="28"/>
      <c r="O280" s="28"/>
      <c r="P280" s="28"/>
      <c r="Q280" s="28"/>
      <c r="R280" s="28"/>
      <c r="S280" s="28"/>
      <c r="T280" s="28"/>
      <c r="U280" s="3"/>
      <c r="W280" s="3"/>
      <c r="X280" s="3"/>
      <c r="Y280" s="3"/>
      <c r="Z280" s="3"/>
    </row>
    <row r="281" spans="1:26" ht="15.75" hidden="1" customHeight="1" outlineLevel="1" x14ac:dyDescent="0.3">
      <c r="A281" s="3"/>
      <c r="B281" s="9" t="s">
        <v>415</v>
      </c>
      <c r="C281" s="53"/>
      <c r="D281" s="53"/>
      <c r="E281" s="11">
        <v>0</v>
      </c>
      <c r="F281" s="11">
        <v>0</v>
      </c>
      <c r="G281" s="56"/>
      <c r="H281" s="56"/>
      <c r="I281" s="102"/>
      <c r="J281" s="56"/>
      <c r="K281" s="28"/>
      <c r="L281" s="28"/>
      <c r="M281" s="28"/>
      <c r="N281" s="28"/>
      <c r="O281" s="28"/>
      <c r="P281" s="28"/>
      <c r="Q281" s="28"/>
      <c r="R281" s="28"/>
      <c r="S281" s="28"/>
      <c r="T281" s="28"/>
      <c r="U281" s="3"/>
      <c r="W281" s="3"/>
      <c r="X281" s="3"/>
      <c r="Y281" s="3"/>
      <c r="Z281" s="3"/>
    </row>
    <row r="282" spans="1:26" ht="15.75" hidden="1" customHeight="1" outlineLevel="1" x14ac:dyDescent="0.3">
      <c r="A282" s="3"/>
      <c r="B282" s="9" t="s">
        <v>415</v>
      </c>
      <c r="C282" s="53"/>
      <c r="D282" s="53"/>
      <c r="E282" s="11">
        <v>0</v>
      </c>
      <c r="F282" s="11">
        <v>0</v>
      </c>
      <c r="G282" s="56"/>
      <c r="H282" s="56"/>
      <c r="I282" s="102"/>
      <c r="J282" s="56"/>
      <c r="K282" s="28"/>
      <c r="L282" s="28"/>
      <c r="M282" s="28"/>
      <c r="N282" s="28"/>
      <c r="O282" s="28"/>
      <c r="P282" s="28"/>
      <c r="Q282" s="28"/>
      <c r="R282" s="28"/>
      <c r="S282" s="28"/>
      <c r="T282" s="28"/>
      <c r="U282" s="3"/>
      <c r="W282" s="3"/>
      <c r="X282" s="3"/>
      <c r="Y282" s="3"/>
      <c r="Z282" s="3"/>
    </row>
    <row r="283" spans="1:26" ht="15.75" hidden="1" customHeight="1" outlineLevel="1" x14ac:dyDescent="0.3">
      <c r="A283" s="3"/>
      <c r="B283" s="9" t="s">
        <v>416</v>
      </c>
      <c r="C283" s="53"/>
      <c r="D283" s="53"/>
      <c r="E283" s="11">
        <v>0</v>
      </c>
      <c r="F283" s="11">
        <v>0</v>
      </c>
      <c r="G283" s="56"/>
      <c r="H283" s="56"/>
      <c r="I283" s="80"/>
      <c r="J283" s="56"/>
      <c r="K283" s="28"/>
      <c r="L283" s="28"/>
      <c r="M283" s="28"/>
      <c r="N283" s="28"/>
      <c r="O283" s="28"/>
      <c r="P283" s="28"/>
      <c r="Q283" s="28"/>
      <c r="R283" s="28"/>
      <c r="S283" s="28"/>
      <c r="T283" s="28"/>
      <c r="U283" s="3"/>
      <c r="W283" s="3"/>
      <c r="X283" s="3"/>
      <c r="Y283" s="3"/>
      <c r="Z283" s="3"/>
    </row>
    <row r="284" spans="1:26" ht="15.75" hidden="1" customHeight="1" outlineLevel="1" x14ac:dyDescent="0.3">
      <c r="A284" s="3"/>
      <c r="B284" s="9" t="s">
        <v>417</v>
      </c>
      <c r="C284" s="53"/>
      <c r="D284" s="53"/>
      <c r="E284" s="11">
        <v>0</v>
      </c>
      <c r="F284" s="11">
        <v>0</v>
      </c>
      <c r="G284" s="56"/>
      <c r="H284" s="56"/>
      <c r="I284" s="80"/>
      <c r="J284" s="56"/>
      <c r="K284" s="28"/>
      <c r="L284" s="28"/>
      <c r="M284" s="28"/>
      <c r="N284" s="28"/>
      <c r="O284" s="28"/>
      <c r="P284" s="28"/>
      <c r="Q284" s="28"/>
      <c r="R284" s="28"/>
      <c r="S284" s="28"/>
      <c r="T284" s="28"/>
      <c r="U284" s="3"/>
      <c r="W284" s="3"/>
      <c r="X284" s="3"/>
      <c r="Y284" s="3"/>
      <c r="Z284" s="3"/>
    </row>
    <row r="285" spans="1:26" ht="15.75" hidden="1" customHeight="1" outlineLevel="1" x14ac:dyDescent="0.3">
      <c r="A285" s="3"/>
      <c r="B285" s="9" t="s">
        <v>418</v>
      </c>
      <c r="C285" s="53"/>
      <c r="D285" s="53"/>
      <c r="E285" s="11">
        <v>0</v>
      </c>
      <c r="F285" s="11">
        <v>0</v>
      </c>
      <c r="G285" s="56"/>
      <c r="H285" s="56"/>
      <c r="I285" s="80"/>
      <c r="J285" s="56"/>
      <c r="K285" s="28"/>
      <c r="L285" s="28"/>
      <c r="M285" s="28"/>
      <c r="N285" s="28"/>
      <c r="O285" s="28"/>
      <c r="P285" s="28"/>
      <c r="Q285" s="28"/>
      <c r="R285" s="28"/>
      <c r="S285" s="28"/>
      <c r="T285" s="28"/>
      <c r="U285" s="3"/>
      <c r="W285" s="3"/>
      <c r="X285" s="3"/>
      <c r="Y285" s="3"/>
      <c r="Z285" s="3"/>
    </row>
    <row r="286" spans="1:26" ht="15.75" hidden="1" customHeight="1" outlineLevel="1" x14ac:dyDescent="0.3">
      <c r="A286" s="3"/>
      <c r="B286" s="9" t="s">
        <v>419</v>
      </c>
      <c r="C286" s="53"/>
      <c r="D286" s="53"/>
      <c r="E286" s="11">
        <v>0</v>
      </c>
      <c r="F286" s="11">
        <v>0</v>
      </c>
      <c r="G286" s="56"/>
      <c r="H286" s="56"/>
      <c r="I286" s="80"/>
      <c r="J286" s="56"/>
      <c r="K286" s="28"/>
      <c r="L286" s="28"/>
      <c r="M286" s="28"/>
      <c r="N286" s="28"/>
      <c r="O286" s="28"/>
      <c r="P286" s="28"/>
      <c r="Q286" s="28"/>
      <c r="R286" s="28"/>
      <c r="S286" s="28"/>
      <c r="T286" s="28"/>
      <c r="U286" s="3"/>
      <c r="W286" s="3"/>
      <c r="X286" s="3"/>
      <c r="Y286" s="3"/>
      <c r="Z286" s="3"/>
    </row>
    <row r="287" spans="1:26" ht="15.75" hidden="1" customHeight="1" outlineLevel="1" x14ac:dyDescent="0.3">
      <c r="A287" s="3"/>
      <c r="B287" s="9" t="s">
        <v>420</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5.75" hidden="1" customHeight="1" outlineLevel="1" x14ac:dyDescent="0.3">
      <c r="A288" s="3"/>
      <c r="B288" s="9" t="s">
        <v>421</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5.75" hidden="1" customHeight="1" outlineLevel="1" x14ac:dyDescent="0.3">
      <c r="A289" s="3"/>
      <c r="B289" s="9" t="s">
        <v>66</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5.75" customHeight="1" collapsed="1" x14ac:dyDescent="0.3">
      <c r="A290" s="3"/>
      <c r="B290" s="3"/>
      <c r="C290" s="28"/>
      <c r="D290" s="28"/>
      <c r="E290" s="28"/>
      <c r="F290" s="28"/>
      <c r="G290" s="89"/>
      <c r="H290" s="89"/>
      <c r="I290" s="90"/>
      <c r="J290" s="89"/>
      <c r="K290" s="28"/>
      <c r="L290" s="28"/>
      <c r="M290" s="28"/>
      <c r="N290" s="28"/>
      <c r="O290" s="28"/>
      <c r="P290" s="28"/>
      <c r="Q290" s="28"/>
      <c r="R290" s="28"/>
      <c r="S290" s="28"/>
      <c r="T290" s="28"/>
      <c r="U290" s="3"/>
    </row>
    <row r="291" spans="1:26" ht="15.75" customHeight="1" x14ac:dyDescent="0.3">
      <c r="A291" s="3"/>
      <c r="B291" s="3"/>
      <c r="C291" s="28"/>
      <c r="D291" s="28"/>
      <c r="E291" s="28"/>
      <c r="F291" s="28"/>
      <c r="G291" s="89"/>
      <c r="H291" s="89"/>
      <c r="I291" s="90"/>
      <c r="J291" s="89"/>
      <c r="K291" s="28"/>
      <c r="L291" s="28"/>
      <c r="M291" s="28"/>
      <c r="N291" s="28"/>
      <c r="O291" s="28"/>
      <c r="P291" s="28"/>
      <c r="Q291" s="28"/>
      <c r="R291" s="28"/>
      <c r="S291" s="28"/>
      <c r="T291" s="28"/>
      <c r="U291" s="3"/>
    </row>
    <row r="292" spans="1:26" ht="15.75" customHeight="1" x14ac:dyDescent="0.3">
      <c r="A292" s="3"/>
      <c r="B292" s="3"/>
      <c r="C292" s="28"/>
      <c r="D292" s="28"/>
      <c r="E292" s="28"/>
      <c r="F292" s="28"/>
      <c r="G292" s="89"/>
      <c r="H292" s="89"/>
      <c r="I292" s="90"/>
      <c r="J292" s="89"/>
      <c r="K292" s="28"/>
      <c r="L292" s="28"/>
      <c r="M292" s="28"/>
      <c r="N292" s="28"/>
      <c r="O292" s="28"/>
      <c r="P292" s="28"/>
      <c r="Q292" s="28"/>
      <c r="R292" s="28"/>
      <c r="S292" s="28"/>
      <c r="T292" s="28"/>
      <c r="U292" s="3"/>
    </row>
    <row r="293" spans="1:26" ht="15.75" customHeight="1" x14ac:dyDescent="0.3">
      <c r="A293" s="3"/>
      <c r="B293" s="3"/>
      <c r="C293" s="28"/>
      <c r="D293" s="28"/>
      <c r="E293" s="28"/>
      <c r="F293" s="28"/>
      <c r="G293" s="89"/>
      <c r="H293" s="89"/>
      <c r="I293" s="90"/>
      <c r="J293" s="89"/>
      <c r="K293" s="28"/>
      <c r="L293" s="28"/>
      <c r="M293" s="28"/>
      <c r="N293" s="28"/>
      <c r="O293" s="28"/>
      <c r="P293" s="28"/>
      <c r="Q293" s="28"/>
      <c r="R293" s="28"/>
      <c r="S293" s="28"/>
      <c r="T293" s="28"/>
      <c r="U293" s="3"/>
    </row>
    <row r="294" spans="1:26" ht="15.75" customHeight="1" x14ac:dyDescent="0.3">
      <c r="A294" s="3"/>
      <c r="B294" s="3"/>
      <c r="C294" s="28"/>
      <c r="D294" s="28"/>
      <c r="E294" s="28"/>
      <c r="F294" s="28"/>
      <c r="G294" s="89"/>
      <c r="H294" s="89"/>
      <c r="I294" s="90"/>
      <c r="J294" s="89"/>
      <c r="K294" s="28"/>
      <c r="L294" s="28"/>
      <c r="M294" s="28"/>
      <c r="N294" s="28"/>
      <c r="O294" s="28"/>
      <c r="P294" s="28"/>
      <c r="Q294" s="28"/>
      <c r="R294" s="28"/>
      <c r="S294" s="28"/>
      <c r="T294" s="28"/>
      <c r="U294" s="3"/>
    </row>
    <row r="295" spans="1:26" ht="15.75" customHeight="1" x14ac:dyDescent="0.3">
      <c r="A295" s="3"/>
      <c r="B295" s="3"/>
      <c r="C295" s="28"/>
      <c r="D295" s="28"/>
      <c r="E295" s="28"/>
      <c r="F295" s="28"/>
      <c r="G295" s="89"/>
      <c r="H295" s="89"/>
      <c r="I295" s="90"/>
      <c r="J295" s="89"/>
      <c r="K295" s="28"/>
      <c r="L295" s="28"/>
      <c r="M295" s="28"/>
      <c r="N295" s="28"/>
      <c r="O295" s="28"/>
      <c r="P295" s="28"/>
      <c r="Q295" s="28"/>
      <c r="R295" s="28"/>
      <c r="S295" s="28"/>
      <c r="T295" s="28"/>
      <c r="U295" s="3"/>
    </row>
    <row r="296" spans="1:26" ht="15.75" customHeight="1" x14ac:dyDescent="0.3">
      <c r="A296" s="3"/>
      <c r="B296" s="3"/>
      <c r="C296" s="28"/>
      <c r="D296" s="28"/>
      <c r="E296" s="28"/>
      <c r="F296" s="28"/>
      <c r="G296" s="89"/>
      <c r="H296" s="89"/>
      <c r="I296" s="90"/>
      <c r="J296" s="89"/>
      <c r="K296" s="28"/>
      <c r="L296" s="28"/>
      <c r="M296" s="28"/>
      <c r="N296" s="28"/>
      <c r="O296" s="28"/>
      <c r="P296" s="28"/>
      <c r="Q296" s="28"/>
      <c r="R296" s="28"/>
      <c r="S296" s="28"/>
      <c r="T296" s="28"/>
      <c r="U296" s="3"/>
    </row>
    <row r="297" spans="1:26" ht="15.75" customHeight="1" x14ac:dyDescent="0.3">
      <c r="A297" s="3"/>
      <c r="B297" s="3"/>
      <c r="C297" s="28"/>
      <c r="D297" s="28"/>
      <c r="E297" s="28"/>
      <c r="F297" s="28"/>
      <c r="G297" s="89"/>
      <c r="H297" s="89"/>
      <c r="I297" s="90"/>
      <c r="J297" s="89"/>
      <c r="K297" s="28"/>
      <c r="L297" s="28"/>
      <c r="M297" s="28"/>
      <c r="N297" s="28"/>
      <c r="O297" s="28"/>
      <c r="P297" s="28"/>
      <c r="Q297" s="28"/>
      <c r="R297" s="28"/>
      <c r="S297" s="28"/>
      <c r="T297" s="28"/>
      <c r="U297" s="3"/>
    </row>
    <row r="298" spans="1:26" ht="15.75" customHeight="1" x14ac:dyDescent="0.3">
      <c r="A298" s="3"/>
      <c r="B298" s="3"/>
      <c r="C298" s="28"/>
      <c r="D298" s="28"/>
      <c r="E298" s="28"/>
      <c r="F298" s="28"/>
      <c r="G298" s="89"/>
      <c r="H298" s="89"/>
      <c r="I298" s="90"/>
      <c r="J298" s="89"/>
      <c r="K298" s="28"/>
      <c r="L298" s="28"/>
      <c r="M298" s="28"/>
      <c r="N298" s="28"/>
      <c r="O298" s="28"/>
      <c r="P298" s="28"/>
      <c r="Q298" s="28"/>
      <c r="R298" s="28"/>
      <c r="S298" s="28"/>
      <c r="T298" s="28"/>
      <c r="U298" s="3"/>
    </row>
    <row r="299" spans="1:26" ht="15.75" customHeight="1" x14ac:dyDescent="0.3">
      <c r="A299" s="3"/>
      <c r="B299" s="3"/>
      <c r="C299" s="28"/>
      <c r="D299" s="28"/>
      <c r="E299" s="28"/>
      <c r="F299" s="28"/>
      <c r="G299" s="89"/>
      <c r="H299" s="89"/>
      <c r="I299" s="90"/>
      <c r="J299" s="89"/>
      <c r="K299" s="28"/>
      <c r="L299" s="28"/>
      <c r="M299" s="28"/>
      <c r="N299" s="28"/>
      <c r="O299" s="28"/>
      <c r="P299" s="28"/>
      <c r="Q299" s="28"/>
      <c r="R299" s="28"/>
      <c r="S299" s="28"/>
      <c r="T299" s="28"/>
      <c r="U299" s="3"/>
    </row>
    <row r="300" spans="1:26" ht="15.75" customHeight="1" x14ac:dyDescent="0.3">
      <c r="A300" s="3"/>
      <c r="B300" s="3"/>
      <c r="C300" s="28"/>
      <c r="D300" s="28"/>
      <c r="E300" s="28"/>
      <c r="F300" s="28"/>
      <c r="G300" s="89"/>
      <c r="H300" s="89"/>
      <c r="I300" s="90"/>
      <c r="J300" s="89"/>
      <c r="K300" s="28"/>
      <c r="L300" s="28"/>
      <c r="M300" s="28"/>
      <c r="N300" s="28"/>
      <c r="O300" s="28"/>
      <c r="P300" s="28"/>
      <c r="Q300" s="28"/>
      <c r="R300" s="28"/>
      <c r="S300" s="28"/>
      <c r="T300" s="28"/>
      <c r="U300" s="3"/>
    </row>
    <row r="301" spans="1:26" ht="15.75" customHeight="1" x14ac:dyDescent="0.3">
      <c r="A301" s="3"/>
      <c r="B301" s="3"/>
      <c r="C301" s="28"/>
      <c r="D301" s="28"/>
      <c r="E301" s="28"/>
      <c r="F301" s="28"/>
      <c r="G301" s="89"/>
      <c r="H301" s="89"/>
      <c r="I301" s="90"/>
      <c r="J301" s="89"/>
      <c r="K301" s="28"/>
      <c r="L301" s="28"/>
      <c r="M301" s="28"/>
      <c r="N301" s="28"/>
      <c r="O301" s="28"/>
      <c r="P301" s="28"/>
      <c r="Q301" s="28"/>
      <c r="R301" s="28"/>
      <c r="S301" s="28"/>
      <c r="T301" s="28"/>
      <c r="U301" s="3"/>
    </row>
    <row r="302" spans="1:26" ht="15.75" customHeight="1" x14ac:dyDescent="0.3">
      <c r="A302" s="3"/>
      <c r="B302" s="3"/>
      <c r="C302" s="28"/>
      <c r="D302" s="28"/>
      <c r="E302" s="28"/>
      <c r="F302" s="28"/>
      <c r="G302" s="89"/>
      <c r="H302" s="89"/>
      <c r="I302" s="90"/>
      <c r="J302" s="89"/>
      <c r="K302" s="28"/>
      <c r="L302" s="28"/>
      <c r="M302" s="28"/>
      <c r="N302" s="28"/>
      <c r="O302" s="28"/>
      <c r="P302" s="28"/>
      <c r="Q302" s="28"/>
      <c r="R302" s="28"/>
      <c r="S302" s="28"/>
      <c r="T302" s="28"/>
      <c r="U302" s="3"/>
    </row>
    <row r="303" spans="1:26" ht="15.75" customHeight="1" x14ac:dyDescent="0.3">
      <c r="A303" s="3"/>
      <c r="B303" s="3"/>
      <c r="C303" s="28"/>
      <c r="D303" s="28"/>
      <c r="E303" s="28"/>
      <c r="F303" s="28"/>
      <c r="G303" s="89"/>
      <c r="H303" s="89"/>
      <c r="I303" s="90"/>
      <c r="J303" s="89"/>
      <c r="K303" s="28"/>
      <c r="L303" s="28"/>
      <c r="M303" s="28"/>
      <c r="N303" s="28"/>
      <c r="O303" s="28"/>
      <c r="P303" s="28"/>
      <c r="Q303" s="28"/>
      <c r="R303" s="28"/>
      <c r="S303" s="28"/>
      <c r="T303" s="28"/>
      <c r="U303" s="3"/>
    </row>
    <row r="304" spans="1:26" ht="15.75" customHeight="1" x14ac:dyDescent="0.3">
      <c r="A304" s="3"/>
      <c r="B304" s="3"/>
      <c r="C304" s="28"/>
      <c r="D304" s="28"/>
      <c r="E304" s="28"/>
      <c r="F304" s="28"/>
      <c r="G304" s="89"/>
      <c r="H304" s="89"/>
      <c r="I304" s="90"/>
      <c r="J304" s="89"/>
      <c r="K304" s="28"/>
      <c r="L304" s="28"/>
      <c r="M304" s="28"/>
      <c r="N304" s="28"/>
      <c r="O304" s="28"/>
      <c r="P304" s="28"/>
      <c r="Q304" s="28"/>
      <c r="R304" s="28"/>
      <c r="S304" s="28"/>
      <c r="T304" s="28"/>
      <c r="U304" s="3"/>
    </row>
    <row r="305" spans="1:21" ht="15.75" customHeight="1" x14ac:dyDescent="0.3">
      <c r="A305" s="3"/>
      <c r="B305" s="3"/>
      <c r="C305" s="28"/>
      <c r="D305" s="28"/>
      <c r="E305" s="28"/>
      <c r="F305" s="28"/>
      <c r="G305" s="89"/>
      <c r="H305" s="89"/>
      <c r="I305" s="90"/>
      <c r="J305" s="89"/>
      <c r="K305" s="28"/>
      <c r="L305" s="28"/>
      <c r="M305" s="28"/>
      <c r="N305" s="28"/>
      <c r="O305" s="28"/>
      <c r="P305" s="28"/>
      <c r="Q305" s="28"/>
      <c r="R305" s="28"/>
      <c r="S305" s="28"/>
      <c r="T305" s="28"/>
      <c r="U305" s="3"/>
    </row>
    <row r="306" spans="1:21" ht="15.75" customHeight="1" x14ac:dyDescent="0.3">
      <c r="A306" s="3"/>
      <c r="B306" s="3"/>
      <c r="C306" s="28"/>
      <c r="D306" s="28"/>
      <c r="E306" s="28"/>
      <c r="F306" s="28"/>
      <c r="G306" s="89"/>
      <c r="H306" s="89"/>
      <c r="I306" s="90"/>
      <c r="J306" s="89"/>
      <c r="K306" s="28"/>
      <c r="L306" s="28"/>
      <c r="M306" s="28"/>
      <c r="N306" s="28"/>
      <c r="O306" s="28"/>
      <c r="P306" s="28"/>
      <c r="Q306" s="28"/>
      <c r="R306" s="28"/>
      <c r="S306" s="28"/>
      <c r="T306" s="28"/>
      <c r="U306" s="3"/>
    </row>
    <row r="307" spans="1:21" ht="15.75" customHeight="1" x14ac:dyDescent="0.3">
      <c r="A307" s="3"/>
      <c r="B307" s="3"/>
      <c r="C307" s="28"/>
      <c r="D307" s="28"/>
      <c r="E307" s="28"/>
      <c r="F307" s="28"/>
      <c r="G307" s="89"/>
      <c r="H307" s="89"/>
      <c r="I307" s="90"/>
      <c r="J307" s="89"/>
      <c r="K307" s="28"/>
      <c r="L307" s="28"/>
      <c r="M307" s="28"/>
      <c r="N307" s="28"/>
      <c r="O307" s="28"/>
      <c r="P307" s="28"/>
      <c r="Q307" s="28"/>
      <c r="R307" s="28"/>
      <c r="S307" s="28"/>
      <c r="T307" s="28"/>
      <c r="U307" s="3"/>
    </row>
    <row r="308" spans="1:21" ht="15.75" customHeight="1" x14ac:dyDescent="0.3">
      <c r="A308" s="3"/>
      <c r="B308" s="3"/>
      <c r="C308" s="28"/>
      <c r="D308" s="28"/>
      <c r="E308" s="28"/>
      <c r="F308" s="28"/>
      <c r="G308" s="89"/>
      <c r="H308" s="89"/>
      <c r="I308" s="90"/>
      <c r="J308" s="89"/>
      <c r="K308" s="28"/>
      <c r="L308" s="28"/>
      <c r="M308" s="28"/>
      <c r="N308" s="28"/>
      <c r="O308" s="28"/>
      <c r="P308" s="28"/>
      <c r="Q308" s="28"/>
      <c r="R308" s="28"/>
      <c r="S308" s="28"/>
      <c r="T308" s="28"/>
      <c r="U308" s="3"/>
    </row>
    <row r="309" spans="1:21" ht="15.75" customHeight="1" x14ac:dyDescent="0.3">
      <c r="A309" s="3"/>
      <c r="B309" s="3"/>
      <c r="C309" s="28"/>
      <c r="D309" s="28"/>
      <c r="E309" s="28"/>
      <c r="F309" s="28"/>
      <c r="G309" s="89"/>
      <c r="H309" s="89"/>
      <c r="I309" s="90"/>
      <c r="J309" s="89"/>
      <c r="K309" s="28"/>
      <c r="L309" s="28"/>
      <c r="M309" s="28"/>
      <c r="N309" s="28"/>
      <c r="O309" s="28"/>
      <c r="P309" s="28"/>
      <c r="Q309" s="28"/>
      <c r="R309" s="28"/>
      <c r="S309" s="28"/>
      <c r="T309" s="28"/>
      <c r="U309" s="3"/>
    </row>
    <row r="310" spans="1:21" ht="15.75" customHeight="1" x14ac:dyDescent="0.3">
      <c r="A310" s="3"/>
      <c r="B310" s="3"/>
      <c r="C310" s="28"/>
      <c r="D310" s="28"/>
      <c r="E310" s="28"/>
      <c r="F310" s="28"/>
      <c r="G310" s="89"/>
      <c r="H310" s="89"/>
      <c r="I310" s="90"/>
      <c r="J310" s="89"/>
      <c r="K310" s="28"/>
      <c r="L310" s="28"/>
      <c r="M310" s="28"/>
      <c r="N310" s="28"/>
      <c r="O310" s="28"/>
      <c r="P310" s="28"/>
      <c r="Q310" s="28"/>
      <c r="R310" s="28"/>
      <c r="S310" s="28"/>
      <c r="T310" s="28"/>
      <c r="U310" s="3"/>
    </row>
    <row r="311" spans="1:21" ht="15.75" customHeight="1" x14ac:dyDescent="0.3">
      <c r="A311" s="3"/>
      <c r="B311" s="3"/>
      <c r="C311" s="28"/>
      <c r="D311" s="28"/>
      <c r="E311" s="28"/>
      <c r="F311" s="28"/>
      <c r="G311" s="89"/>
      <c r="H311" s="89"/>
      <c r="I311" s="90"/>
      <c r="J311" s="89"/>
      <c r="K311" s="28"/>
      <c r="L311" s="28"/>
      <c r="M311" s="28"/>
      <c r="N311" s="28"/>
      <c r="O311" s="28"/>
      <c r="P311" s="28"/>
      <c r="Q311" s="28"/>
      <c r="R311" s="28"/>
      <c r="S311" s="28"/>
      <c r="T311" s="28"/>
      <c r="U311" s="3"/>
    </row>
    <row r="312" spans="1:21" ht="15.75" customHeight="1" x14ac:dyDescent="0.3">
      <c r="A312" s="3"/>
      <c r="B312" s="3"/>
      <c r="C312" s="28"/>
      <c r="D312" s="28"/>
      <c r="E312" s="28"/>
      <c r="F312" s="28"/>
      <c r="G312" s="89"/>
      <c r="H312" s="89"/>
      <c r="I312" s="90"/>
      <c r="J312" s="89"/>
      <c r="K312" s="28"/>
      <c r="L312" s="28"/>
      <c r="M312" s="28"/>
      <c r="N312" s="28"/>
      <c r="O312" s="28"/>
      <c r="P312" s="28"/>
      <c r="Q312" s="28"/>
      <c r="R312" s="28"/>
      <c r="S312" s="28"/>
      <c r="T312" s="28"/>
      <c r="U312" s="3"/>
    </row>
    <row r="313" spans="1:21" ht="15.75" customHeight="1" x14ac:dyDescent="0.3">
      <c r="A313" s="3"/>
      <c r="B313" s="3"/>
      <c r="C313" s="28"/>
      <c r="D313" s="28"/>
      <c r="E313" s="28"/>
      <c r="F313" s="28"/>
      <c r="G313" s="89"/>
      <c r="H313" s="89"/>
      <c r="I313" s="90"/>
      <c r="J313" s="89"/>
      <c r="K313" s="28"/>
      <c r="L313" s="28"/>
      <c r="M313" s="28"/>
      <c r="N313" s="28"/>
      <c r="O313" s="28"/>
      <c r="P313" s="28"/>
      <c r="Q313" s="28"/>
      <c r="R313" s="28"/>
      <c r="S313" s="28"/>
      <c r="T313" s="28"/>
      <c r="U313" s="3"/>
    </row>
    <row r="314" spans="1:21" ht="15.75" customHeight="1" x14ac:dyDescent="0.3">
      <c r="A314" s="3"/>
      <c r="B314" s="3"/>
      <c r="C314" s="28"/>
      <c r="D314" s="28"/>
      <c r="E314" s="28"/>
      <c r="F314" s="28"/>
      <c r="G314" s="89"/>
      <c r="H314" s="89"/>
      <c r="I314" s="90"/>
      <c r="J314" s="89"/>
      <c r="K314" s="28"/>
      <c r="L314" s="28"/>
      <c r="M314" s="28"/>
      <c r="N314" s="28"/>
      <c r="O314" s="28"/>
      <c r="P314" s="28"/>
      <c r="Q314" s="28"/>
      <c r="R314" s="28"/>
      <c r="S314" s="28"/>
      <c r="T314" s="28"/>
      <c r="U314" s="3"/>
    </row>
    <row r="315" spans="1:21" ht="15.75" customHeight="1" x14ac:dyDescent="0.3">
      <c r="A315" s="3"/>
      <c r="B315" s="3"/>
      <c r="C315" s="28"/>
      <c r="D315" s="28"/>
      <c r="E315" s="28"/>
      <c r="F315" s="28"/>
      <c r="G315" s="89"/>
      <c r="H315" s="89"/>
      <c r="I315" s="90"/>
      <c r="J315" s="89"/>
      <c r="K315" s="28"/>
      <c r="L315" s="28"/>
      <c r="M315" s="28"/>
      <c r="N315" s="28"/>
      <c r="O315" s="28"/>
      <c r="P315" s="28"/>
      <c r="Q315" s="28"/>
      <c r="R315" s="28"/>
      <c r="S315" s="28"/>
      <c r="T315" s="28"/>
      <c r="U315" s="3"/>
    </row>
    <row r="316" spans="1:21" ht="15.75" customHeight="1" x14ac:dyDescent="0.3">
      <c r="A316" s="3"/>
      <c r="B316" s="3"/>
      <c r="C316" s="28"/>
      <c r="D316" s="28"/>
      <c r="E316" s="28"/>
      <c r="F316" s="28"/>
      <c r="G316" s="89"/>
      <c r="H316" s="89"/>
      <c r="I316" s="90"/>
      <c r="J316" s="89"/>
      <c r="K316" s="28"/>
      <c r="L316" s="28"/>
      <c r="M316" s="28"/>
      <c r="N316" s="28"/>
      <c r="O316" s="28"/>
      <c r="P316" s="28"/>
      <c r="Q316" s="28"/>
      <c r="R316" s="28"/>
      <c r="S316" s="28"/>
      <c r="T316" s="28"/>
      <c r="U316" s="3"/>
    </row>
    <row r="317" spans="1:21" ht="15.75" customHeight="1" x14ac:dyDescent="0.3">
      <c r="A317" s="3"/>
      <c r="B317" s="3"/>
      <c r="C317" s="28"/>
      <c r="D317" s="28"/>
      <c r="E317" s="28"/>
      <c r="F317" s="28"/>
      <c r="G317" s="89"/>
      <c r="H317" s="89"/>
      <c r="I317" s="90"/>
      <c r="J317" s="89"/>
      <c r="K317" s="28"/>
      <c r="L317" s="28"/>
      <c r="M317" s="28"/>
      <c r="N317" s="28"/>
      <c r="O317" s="28"/>
      <c r="P317" s="28"/>
      <c r="Q317" s="28"/>
      <c r="R317" s="28"/>
      <c r="S317" s="28"/>
      <c r="T317" s="28"/>
      <c r="U317" s="3"/>
    </row>
    <row r="318" spans="1:21" ht="15.75" customHeight="1" x14ac:dyDescent="0.3">
      <c r="A318" s="3"/>
      <c r="B318" s="3"/>
      <c r="C318" s="28"/>
      <c r="D318" s="28"/>
      <c r="E318" s="28"/>
      <c r="F318" s="28"/>
      <c r="G318" s="89"/>
      <c r="H318" s="89"/>
      <c r="I318" s="90"/>
      <c r="J318" s="89"/>
      <c r="K318" s="28"/>
      <c r="L318" s="28"/>
      <c r="M318" s="28"/>
      <c r="N318" s="28"/>
      <c r="O318" s="28"/>
      <c r="P318" s="28"/>
      <c r="Q318" s="28"/>
      <c r="R318" s="28"/>
      <c r="S318" s="28"/>
      <c r="T318" s="28"/>
      <c r="U318" s="3"/>
    </row>
    <row r="319" spans="1:21" ht="15.75" customHeight="1" x14ac:dyDescent="0.3">
      <c r="A319" s="3"/>
      <c r="B319" s="3"/>
      <c r="C319" s="28"/>
      <c r="D319" s="28"/>
      <c r="E319" s="28"/>
      <c r="F319" s="28"/>
      <c r="G319" s="89"/>
      <c r="H319" s="89"/>
      <c r="I319" s="90"/>
      <c r="J319" s="89"/>
      <c r="K319" s="28"/>
      <c r="L319" s="28"/>
      <c r="M319" s="28"/>
      <c r="N319" s="28"/>
      <c r="O319" s="28"/>
      <c r="P319" s="28"/>
      <c r="Q319" s="28"/>
      <c r="R319" s="28"/>
      <c r="S319" s="28"/>
      <c r="T319" s="28"/>
      <c r="U319" s="3"/>
    </row>
    <row r="320" spans="1:21" ht="15.75" customHeight="1" x14ac:dyDescent="0.3">
      <c r="A320" s="3"/>
      <c r="B320" s="3"/>
      <c r="C320" s="28"/>
      <c r="D320" s="28"/>
      <c r="E320" s="28"/>
      <c r="F320" s="28"/>
      <c r="G320" s="89"/>
      <c r="H320" s="89"/>
      <c r="I320" s="90"/>
      <c r="J320" s="89"/>
      <c r="K320" s="28"/>
      <c r="L320" s="28"/>
      <c r="M320" s="28"/>
      <c r="N320" s="28"/>
      <c r="O320" s="28"/>
      <c r="P320" s="28"/>
      <c r="Q320" s="28"/>
      <c r="R320" s="28"/>
      <c r="S320" s="28"/>
      <c r="T320" s="28"/>
      <c r="U320" s="3"/>
    </row>
    <row r="321" spans="1:21" ht="15.75" customHeight="1" x14ac:dyDescent="0.3">
      <c r="A321" s="3"/>
      <c r="B321" s="3"/>
      <c r="C321" s="28"/>
      <c r="D321" s="28"/>
      <c r="E321" s="28"/>
      <c r="F321" s="28"/>
      <c r="G321" s="89"/>
      <c r="H321" s="89"/>
      <c r="I321" s="90"/>
      <c r="J321" s="89"/>
      <c r="K321" s="28"/>
      <c r="L321" s="28"/>
      <c r="M321" s="28"/>
      <c r="N321" s="28"/>
      <c r="O321" s="28"/>
      <c r="P321" s="28"/>
      <c r="Q321" s="28"/>
      <c r="R321" s="28"/>
      <c r="S321" s="28"/>
      <c r="T321" s="28"/>
      <c r="U321" s="3"/>
    </row>
    <row r="322" spans="1:21" ht="15.75" customHeight="1" x14ac:dyDescent="0.3">
      <c r="A322" s="3"/>
      <c r="B322" s="3"/>
      <c r="C322" s="28"/>
      <c r="D322" s="28"/>
      <c r="E322" s="28"/>
      <c r="F322" s="28"/>
      <c r="G322" s="89"/>
      <c r="H322" s="89"/>
      <c r="I322" s="90"/>
      <c r="J322" s="89"/>
      <c r="K322" s="28"/>
      <c r="L322" s="28"/>
      <c r="M322" s="28"/>
      <c r="N322" s="28"/>
      <c r="O322" s="28"/>
      <c r="P322" s="28"/>
      <c r="Q322" s="28"/>
      <c r="R322" s="28"/>
      <c r="S322" s="28"/>
      <c r="T322" s="28"/>
      <c r="U322" s="3"/>
    </row>
    <row r="323" spans="1:21" ht="15.75" customHeight="1" x14ac:dyDescent="0.3">
      <c r="A323" s="3"/>
      <c r="B323" s="3"/>
      <c r="C323" s="28"/>
      <c r="D323" s="28"/>
      <c r="E323" s="28"/>
      <c r="F323" s="28"/>
      <c r="G323" s="89"/>
      <c r="H323" s="89"/>
      <c r="I323" s="90"/>
      <c r="J323" s="89"/>
      <c r="K323" s="28"/>
      <c r="L323" s="28"/>
      <c r="M323" s="28"/>
      <c r="N323" s="28"/>
      <c r="O323" s="28"/>
      <c r="P323" s="28"/>
      <c r="Q323" s="28"/>
      <c r="R323" s="28"/>
      <c r="S323" s="28"/>
      <c r="T323" s="28"/>
      <c r="U323" s="3"/>
    </row>
    <row r="324" spans="1:21" ht="15.75" customHeight="1" x14ac:dyDescent="0.3">
      <c r="A324" s="3"/>
      <c r="B324" s="3"/>
      <c r="C324" s="28"/>
      <c r="D324" s="28"/>
      <c r="E324" s="28"/>
      <c r="F324" s="28"/>
      <c r="G324" s="89"/>
      <c r="H324" s="89"/>
      <c r="I324" s="90"/>
      <c r="J324" s="89"/>
      <c r="K324" s="28"/>
      <c r="L324" s="28"/>
      <c r="M324" s="28"/>
      <c r="N324" s="28"/>
      <c r="O324" s="28"/>
      <c r="P324" s="28"/>
      <c r="Q324" s="28"/>
      <c r="R324" s="28"/>
      <c r="S324" s="28"/>
      <c r="T324" s="28"/>
      <c r="U324" s="3"/>
    </row>
    <row r="325" spans="1:21" ht="15.75" customHeight="1" x14ac:dyDescent="0.3">
      <c r="A325" s="3"/>
      <c r="B325" s="3"/>
      <c r="C325" s="28"/>
      <c r="D325" s="28"/>
      <c r="E325" s="28"/>
      <c r="F325" s="28"/>
      <c r="G325" s="89"/>
      <c r="H325" s="89"/>
      <c r="I325" s="90"/>
      <c r="J325" s="89"/>
      <c r="K325" s="28"/>
      <c r="L325" s="28"/>
      <c r="M325" s="28"/>
      <c r="N325" s="28"/>
      <c r="O325" s="28"/>
      <c r="P325" s="28"/>
      <c r="Q325" s="28"/>
      <c r="R325" s="28"/>
      <c r="S325" s="28"/>
      <c r="T325" s="28"/>
      <c r="U325" s="3"/>
    </row>
    <row r="326" spans="1:21" ht="15.75" customHeight="1" x14ac:dyDescent="0.3">
      <c r="A326" s="3"/>
      <c r="B326" s="3"/>
      <c r="C326" s="28"/>
      <c r="D326" s="28"/>
      <c r="E326" s="28"/>
      <c r="F326" s="28"/>
      <c r="G326" s="89"/>
      <c r="H326" s="89"/>
      <c r="I326" s="90"/>
      <c r="J326" s="89"/>
      <c r="K326" s="28"/>
      <c r="L326" s="28"/>
      <c r="M326" s="28"/>
      <c r="N326" s="28"/>
      <c r="O326" s="28"/>
      <c r="P326" s="28"/>
      <c r="Q326" s="28"/>
      <c r="R326" s="28"/>
      <c r="S326" s="28"/>
      <c r="T326" s="28"/>
      <c r="U326" s="3"/>
    </row>
    <row r="327" spans="1:21" ht="15.75" customHeight="1" x14ac:dyDescent="0.3">
      <c r="A327" s="3"/>
      <c r="B327" s="3"/>
      <c r="C327" s="28"/>
      <c r="D327" s="28"/>
      <c r="E327" s="28"/>
      <c r="F327" s="28"/>
      <c r="G327" s="89"/>
      <c r="H327" s="89"/>
      <c r="I327" s="90"/>
      <c r="J327" s="89"/>
      <c r="K327" s="28"/>
      <c r="L327" s="28"/>
      <c r="M327" s="28"/>
      <c r="N327" s="28"/>
      <c r="O327" s="28"/>
      <c r="P327" s="28"/>
      <c r="Q327" s="28"/>
      <c r="R327" s="28"/>
      <c r="S327" s="28"/>
      <c r="T327" s="28"/>
      <c r="U327" s="3"/>
    </row>
    <row r="328" spans="1:21" ht="15.75" customHeight="1" x14ac:dyDescent="0.3">
      <c r="A328" s="3"/>
      <c r="B328" s="3"/>
      <c r="C328" s="28"/>
      <c r="D328" s="28"/>
      <c r="E328" s="28"/>
      <c r="F328" s="28"/>
      <c r="G328" s="89"/>
      <c r="H328" s="89"/>
      <c r="I328" s="90"/>
      <c r="J328" s="89"/>
      <c r="K328" s="28"/>
      <c r="L328" s="28"/>
      <c r="M328" s="28"/>
      <c r="N328" s="28"/>
      <c r="O328" s="28"/>
      <c r="P328" s="28"/>
      <c r="Q328" s="28"/>
      <c r="R328" s="28"/>
      <c r="S328" s="28"/>
      <c r="T328" s="28"/>
      <c r="U328" s="3"/>
    </row>
    <row r="329" spans="1:21" ht="15.75" customHeight="1" x14ac:dyDescent="0.3">
      <c r="A329" s="3"/>
      <c r="B329" s="3"/>
      <c r="C329" s="28"/>
      <c r="D329" s="28"/>
      <c r="E329" s="28"/>
      <c r="F329" s="28"/>
      <c r="G329" s="89"/>
      <c r="H329" s="89"/>
      <c r="I329" s="90"/>
      <c r="J329" s="89"/>
      <c r="K329" s="28"/>
      <c r="L329" s="28"/>
      <c r="M329" s="28"/>
      <c r="N329" s="28"/>
      <c r="O329" s="28"/>
      <c r="P329" s="28"/>
      <c r="Q329" s="28"/>
      <c r="R329" s="28"/>
      <c r="S329" s="28"/>
      <c r="T329" s="28"/>
      <c r="U329" s="3"/>
    </row>
    <row r="330" spans="1:21" ht="15.75" customHeight="1" x14ac:dyDescent="0.3">
      <c r="A330" s="3"/>
      <c r="B330" s="3"/>
      <c r="C330" s="28"/>
      <c r="D330" s="28"/>
      <c r="E330" s="28"/>
      <c r="F330" s="28"/>
      <c r="G330" s="89"/>
      <c r="H330" s="89"/>
      <c r="I330" s="90"/>
      <c r="J330" s="89"/>
      <c r="K330" s="28"/>
      <c r="L330" s="28"/>
      <c r="M330" s="28"/>
      <c r="N330" s="28"/>
      <c r="O330" s="28"/>
      <c r="P330" s="28"/>
      <c r="Q330" s="28"/>
      <c r="R330" s="28"/>
      <c r="S330" s="28"/>
      <c r="T330" s="28"/>
      <c r="U330" s="3"/>
    </row>
    <row r="331" spans="1:21" ht="15.75" customHeight="1" x14ac:dyDescent="0.3">
      <c r="A331" s="3"/>
      <c r="B331" s="3"/>
      <c r="C331" s="28"/>
      <c r="D331" s="28"/>
      <c r="E331" s="28"/>
      <c r="F331" s="28"/>
      <c r="G331" s="89"/>
      <c r="H331" s="89"/>
      <c r="I331" s="90"/>
      <c r="J331" s="89"/>
      <c r="K331" s="28"/>
      <c r="L331" s="28"/>
      <c r="M331" s="28"/>
      <c r="N331" s="28"/>
      <c r="O331" s="28"/>
      <c r="P331" s="28"/>
      <c r="Q331" s="28"/>
      <c r="R331" s="28"/>
      <c r="S331" s="28"/>
      <c r="T331" s="28"/>
      <c r="U331" s="3"/>
    </row>
    <row r="332" spans="1:21" ht="15.75" customHeight="1" x14ac:dyDescent="0.3">
      <c r="A332" s="3"/>
      <c r="B332" s="3"/>
      <c r="C332" s="28"/>
      <c r="D332" s="28"/>
      <c r="E332" s="28"/>
      <c r="F332" s="28"/>
      <c r="G332" s="89"/>
      <c r="H332" s="89"/>
      <c r="I332" s="90"/>
      <c r="J332" s="89"/>
      <c r="K332" s="28"/>
      <c r="L332" s="28"/>
      <c r="M332" s="28"/>
      <c r="N332" s="28"/>
      <c r="O332" s="28"/>
      <c r="P332" s="28"/>
      <c r="Q332" s="28"/>
      <c r="R332" s="28"/>
      <c r="S332" s="28"/>
      <c r="T332" s="28"/>
      <c r="U332" s="3"/>
    </row>
    <row r="333" spans="1:21" ht="15.75" customHeight="1" x14ac:dyDescent="0.3">
      <c r="A333" s="3"/>
      <c r="B333" s="3"/>
      <c r="C333" s="28"/>
      <c r="D333" s="28"/>
      <c r="E333" s="28"/>
      <c r="F333" s="28"/>
      <c r="G333" s="89"/>
      <c r="H333" s="89"/>
      <c r="I333" s="90"/>
      <c r="J333" s="89"/>
      <c r="K333" s="28"/>
      <c r="L333" s="28"/>
      <c r="M333" s="28"/>
      <c r="N333" s="28"/>
      <c r="O333" s="28"/>
      <c r="P333" s="28"/>
      <c r="Q333" s="28"/>
      <c r="R333" s="28"/>
      <c r="S333" s="28"/>
      <c r="T333" s="28"/>
      <c r="U333" s="3"/>
    </row>
    <row r="334" spans="1:21" ht="15.75" customHeight="1" x14ac:dyDescent="0.3">
      <c r="A334" s="3"/>
      <c r="B334" s="3"/>
      <c r="C334" s="28"/>
      <c r="D334" s="28"/>
      <c r="E334" s="28"/>
      <c r="F334" s="28"/>
      <c r="G334" s="89"/>
      <c r="H334" s="89"/>
      <c r="I334" s="90"/>
      <c r="J334" s="89"/>
      <c r="K334" s="28"/>
      <c r="L334" s="28"/>
      <c r="M334" s="28"/>
      <c r="N334" s="28"/>
      <c r="O334" s="28"/>
      <c r="P334" s="28"/>
      <c r="Q334" s="28"/>
      <c r="R334" s="28"/>
      <c r="S334" s="28"/>
      <c r="T334" s="28"/>
      <c r="U334" s="3"/>
    </row>
    <row r="335" spans="1:21" ht="15.75" customHeight="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1"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5.7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5.7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5.7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5.7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5.7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5.7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5.7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5.7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5.7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5.7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5.7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5.7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5.7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5.7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5.7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5.7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5.7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5.7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5.7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5.7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5.7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5.7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5.7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5.7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5.7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5.7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5.7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5.7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5.7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5.7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5.7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5.7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5.7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5.7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5.7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5.7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5.7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5.7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5.7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5.7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5.7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5.7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5.7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5.7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5.7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5.75" customHeight="1" x14ac:dyDescent="0.3"/>
    <row r="491" spans="1:21" ht="15.75" customHeight="1" x14ac:dyDescent="0.3"/>
    <row r="492" spans="1:21" ht="15.75" customHeight="1" x14ac:dyDescent="0.3"/>
    <row r="493" spans="1:21" ht="15.75" customHeight="1" x14ac:dyDescent="0.3"/>
    <row r="494" spans="1:21" ht="15.75" customHeight="1" x14ac:dyDescent="0.3"/>
    <row r="495" spans="1:21" ht="15.75" customHeight="1" x14ac:dyDescent="0.3"/>
    <row r="496" spans="1:21"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sheetData>
  <autoFilter ref="C5:F289" xr:uid="{00000000-0009-0000-0000-00000C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5 D137:D145 D148:D154 D156:D160 D162:D166 D168:D172 D174:D178 D180:D234 D237:D245 D247:D255 D257:D265 D267:D275 D277:D289" xr:uid="{00000000-0002-0000-0C00-000001000000}">
      <formula1>"OK,Parcial,Pendente"</formula1>
    </dataValidation>
  </dataValidations>
  <hyperlinks>
    <hyperlink ref="I7" r:id="rId1" xr:uid="{00000000-0004-0000-0C00-000000000000}"/>
    <hyperlink ref="I10" r:id="rId2" xr:uid="{00000000-0004-0000-0C00-000001000000}"/>
    <hyperlink ref="I11" r:id="rId3" xr:uid="{00000000-0004-0000-0C00-000002000000}"/>
    <hyperlink ref="I12" r:id="rId4" xr:uid="{00000000-0004-0000-0C00-000003000000}"/>
    <hyperlink ref="I14" r:id="rId5" xr:uid="{00000000-0004-0000-0C00-000004000000}"/>
    <hyperlink ref="I17" r:id="rId6" xr:uid="{00000000-0004-0000-0C00-000005000000}"/>
    <hyperlink ref="I22" r:id="rId7" xr:uid="{00000000-0004-0000-0C00-000006000000}"/>
    <hyperlink ref="I29" r:id="rId8" xr:uid="{00000000-0004-0000-0C00-000007000000}"/>
    <hyperlink ref="I30" r:id="rId9" xr:uid="{00000000-0004-0000-0C00-000008000000}"/>
    <hyperlink ref="I31" r:id="rId10" xr:uid="{00000000-0004-0000-0C00-000009000000}"/>
    <hyperlink ref="I32" r:id="rId11" xr:uid="{00000000-0004-0000-0C00-00000A000000}"/>
    <hyperlink ref="I33" r:id="rId12" xr:uid="{00000000-0004-0000-0C00-00000B000000}"/>
    <hyperlink ref="I35" r:id="rId13" xr:uid="{00000000-0004-0000-0C00-00000C000000}"/>
    <hyperlink ref="I39" r:id="rId14" xr:uid="{00000000-0004-0000-0C00-00000D000000}"/>
    <hyperlink ref="I40" r:id="rId15" xr:uid="{00000000-0004-0000-0C00-00000E000000}"/>
    <hyperlink ref="I43" r:id="rId16" xr:uid="{00000000-0004-0000-0C00-00000F000000}"/>
    <hyperlink ref="I44" r:id="rId17" xr:uid="{00000000-0004-0000-0C00-000010000000}"/>
    <hyperlink ref="I45" r:id="rId18" xr:uid="{00000000-0004-0000-0C00-000011000000}"/>
    <hyperlink ref="I46" r:id="rId19" xr:uid="{00000000-0004-0000-0C00-000012000000}"/>
    <hyperlink ref="I64" r:id="rId20" xr:uid="{00000000-0004-0000-0C00-000013000000}"/>
    <hyperlink ref="I65" r:id="rId21" xr:uid="{00000000-0004-0000-0C00-000014000000}"/>
    <hyperlink ref="I66" r:id="rId22" xr:uid="{00000000-0004-0000-0C00-000015000000}"/>
    <hyperlink ref="I67" r:id="rId23" xr:uid="{00000000-0004-0000-0C00-000016000000}"/>
    <hyperlink ref="I72" r:id="rId24" xr:uid="{00000000-0004-0000-0C00-000017000000}"/>
    <hyperlink ref="I73" r:id="rId25" xr:uid="{00000000-0004-0000-0C00-000018000000}"/>
    <hyperlink ref="I74" r:id="rId26" xr:uid="{00000000-0004-0000-0C00-000019000000}"/>
    <hyperlink ref="I80" r:id="rId27" xr:uid="{00000000-0004-0000-0C00-00001A000000}"/>
    <hyperlink ref="I85" r:id="rId28" xr:uid="{00000000-0004-0000-0C00-00001B000000}"/>
    <hyperlink ref="I89" r:id="rId29" xr:uid="{00000000-0004-0000-0C00-00001C000000}"/>
    <hyperlink ref="I95" r:id="rId30" xr:uid="{00000000-0004-0000-0C00-00001D000000}"/>
    <hyperlink ref="I96" r:id="rId31" xr:uid="{00000000-0004-0000-0C00-00001E000000}"/>
    <hyperlink ref="I97" r:id="rId32" xr:uid="{00000000-0004-0000-0C00-00001F000000}"/>
    <hyperlink ref="I98" r:id="rId33" xr:uid="{00000000-0004-0000-0C00-000020000000}"/>
    <hyperlink ref="I99" r:id="rId34" xr:uid="{00000000-0004-0000-0C00-000021000000}"/>
    <hyperlink ref="I100" r:id="rId35" xr:uid="{00000000-0004-0000-0C00-000022000000}"/>
    <hyperlink ref="I101" r:id="rId36" xr:uid="{00000000-0004-0000-0C00-000023000000}"/>
    <hyperlink ref="I102" r:id="rId37" xr:uid="{00000000-0004-0000-0C00-000024000000}"/>
    <hyperlink ref="I103" r:id="rId38" xr:uid="{00000000-0004-0000-0C00-000025000000}"/>
    <hyperlink ref="I104" r:id="rId39" xr:uid="{00000000-0004-0000-0C00-000026000000}"/>
    <hyperlink ref="I105" r:id="rId40" xr:uid="{00000000-0004-0000-0C00-000027000000}"/>
    <hyperlink ref="I106" r:id="rId41" xr:uid="{00000000-0004-0000-0C00-000028000000}"/>
    <hyperlink ref="I107" r:id="rId42" xr:uid="{00000000-0004-0000-0C00-000029000000}"/>
    <hyperlink ref="I109" r:id="rId43" xr:uid="{00000000-0004-0000-0C00-00002A000000}"/>
    <hyperlink ref="I111" r:id="rId44" xr:uid="{00000000-0004-0000-0C00-00002B000000}"/>
    <hyperlink ref="I112" r:id="rId45" xr:uid="{00000000-0004-0000-0C00-00002C000000}"/>
    <hyperlink ref="I113" r:id="rId46" xr:uid="{00000000-0004-0000-0C00-00002D000000}"/>
    <hyperlink ref="I121" r:id="rId47" xr:uid="{00000000-0004-0000-0C00-00002E000000}"/>
    <hyperlink ref="I122" r:id="rId48" xr:uid="{00000000-0004-0000-0C00-00002F000000}"/>
    <hyperlink ref="I123" r:id="rId49" xr:uid="{00000000-0004-0000-0C00-000030000000}"/>
    <hyperlink ref="I124" r:id="rId50" xr:uid="{00000000-0004-0000-0C00-000031000000}"/>
    <hyperlink ref="I125" r:id="rId51" xr:uid="{00000000-0004-0000-0C00-000032000000}"/>
    <hyperlink ref="I127" r:id="rId52" xr:uid="{00000000-0004-0000-0C00-000033000000}"/>
    <hyperlink ref="I128" r:id="rId53" xr:uid="{00000000-0004-0000-0C00-000034000000}"/>
    <hyperlink ref="I129" r:id="rId54" xr:uid="{00000000-0004-0000-0C00-000035000000}"/>
    <hyperlink ref="I130" r:id="rId55" xr:uid="{00000000-0004-0000-0C00-000036000000}"/>
    <hyperlink ref="I132" r:id="rId56" xr:uid="{00000000-0004-0000-0C00-000037000000}"/>
    <hyperlink ref="I133" r:id="rId57" xr:uid="{00000000-0004-0000-0C00-000038000000}"/>
    <hyperlink ref="I134" r:id="rId58" xr:uid="{00000000-0004-0000-0C00-000039000000}"/>
    <hyperlink ref="I137" r:id="rId59" xr:uid="{00000000-0004-0000-0C00-00003A000000}"/>
    <hyperlink ref="I148" r:id="rId60" xr:uid="{00000000-0004-0000-0C00-00003B000000}"/>
    <hyperlink ref="I149" r:id="rId61" xr:uid="{00000000-0004-0000-0C00-00003C000000}"/>
    <hyperlink ref="I150" r:id="rId62" xr:uid="{00000000-0004-0000-0C00-00003D000000}"/>
    <hyperlink ref="I151" r:id="rId63" xr:uid="{00000000-0004-0000-0C00-00003E000000}"/>
    <hyperlink ref="I152" r:id="rId64" xr:uid="{00000000-0004-0000-0C00-00003F000000}"/>
    <hyperlink ref="I180" r:id="rId65" xr:uid="{00000000-0004-0000-0C00-000040000000}"/>
    <hyperlink ref="I181" r:id="rId66" xr:uid="{00000000-0004-0000-0C00-000041000000}"/>
    <hyperlink ref="I182" r:id="rId67" xr:uid="{00000000-0004-0000-0C00-000042000000}"/>
    <hyperlink ref="I186" r:id="rId68" xr:uid="{00000000-0004-0000-0C00-000043000000}"/>
    <hyperlink ref="I216" r:id="rId69" xr:uid="{00000000-0004-0000-0C00-000044000000}"/>
    <hyperlink ref="I217" r:id="rId70" xr:uid="{00000000-0004-0000-0C00-000045000000}"/>
    <hyperlink ref="I218" r:id="rId71" xr:uid="{00000000-0004-0000-0C00-000046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C00-000000000000}">
          <x14:formula1>
            <xm:f>Caixa!$B$5:$B$8</xm:f>
          </x14:formula1>
          <xm:sqref>H7:H15 H17:H33 H35:H37 H39:H62 H64:H92 H95:H109 H111:H114 H116:H118 H121:H125 H127:H135 H137:H145 H148:H154 H156:H160 H162:H166 H168:H172 H174:H178 H180:H184 H186:H194 H196:H204 H206:H214 H216:H224 H226:H234 H237:H245 H247:H255 H257:H265 H267:H275 H277:H289</xm:sqref>
        </x14:dataValidation>
        <x14:dataValidation type="list" allowBlank="1" showErrorMessage="1" xr:uid="{00000000-0002-0000-0C00-000002000000}">
          <x14:formula1>
            <xm:f>'Plano de contas DG'!$C$43:$C$145</xm:f>
          </x14:formula1>
          <xm:sqref>J217</xm:sqref>
        </x14:dataValidation>
        <x14:dataValidation type="list" allowBlank="1" showErrorMessage="1" xr:uid="{00000000-0002-0000-0C00-000003000000}">
          <x14:formula1>
            <xm:f>'Plano de contas DG'!$C$5:$C$145</xm:f>
          </x14:formula1>
          <xm:sqref>J6:J216 J218:J289</xm:sqref>
        </x14:dataValidation>
        <x14:dataValidation type="list" allowBlank="1" showErrorMessage="1" xr:uid="{00000000-0002-0000-0C00-000004000000}">
          <x14:formula1>
            <xm:f>Caixa!$B$5:$B$7</xm:f>
          </x14:formula1>
          <xm:sqref>H16 H34 H93:H94 H110 H115 H119:H120 H126 H185 H195 H205 H215 H225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SUM(E6,E126,E150,E180,E184)</f>
        <v>19497.240000000002</v>
      </c>
      <c r="F4" s="18">
        <f t="shared" si="0"/>
        <v>38989.99</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SUM(E7:E125)</f>
        <v>19497.240000000002</v>
      </c>
      <c r="F6" s="48">
        <f>SUMIF(D7:D125,"OK",F7:F125)+SUMIF(D7:D125,"Parcial",F7:F125)</f>
        <v>19044.45</v>
      </c>
      <c r="G6" s="107" t="s">
        <v>44</v>
      </c>
      <c r="H6" s="50"/>
      <c r="I6" s="50"/>
      <c r="J6" s="51">
        <f>(COUNTIF(D7:D125,"Pendente")+COUNTIF(D7:D125,"Parcial"))/COUNTA(B7:B125)</f>
        <v>0.20202020202020202</v>
      </c>
      <c r="K6" s="51">
        <f>IFERROR(-(X6/E6),"Pendente info")</f>
        <v>0.18147491644971286</v>
      </c>
      <c r="L6" s="91">
        <f>SUM(L7:L104)/COUNTA(B7:B104)</f>
        <v>0.16326530612244897</v>
      </c>
      <c r="M6" s="48">
        <f t="shared" ref="M6:U6" si="1">SUMIF($D$7:$D$125,"OK",M7:M125)+SUMIF($D$7:$D$125,"Parcial",M7:M125)</f>
        <v>10274.590000000002</v>
      </c>
      <c r="N6" s="48">
        <f t="shared" si="1"/>
        <v>2113.0199999999991</v>
      </c>
      <c r="O6" s="48">
        <f t="shared" si="1"/>
        <v>1032</v>
      </c>
      <c r="P6" s="48">
        <f t="shared" si="1"/>
        <v>191.75999999999996</v>
      </c>
      <c r="Q6" s="48">
        <f t="shared" si="1"/>
        <v>190</v>
      </c>
      <c r="R6" s="48">
        <f t="shared" si="1"/>
        <v>210</v>
      </c>
      <c r="S6" s="48">
        <f t="shared" si="1"/>
        <v>297</v>
      </c>
      <c r="T6" s="48">
        <f t="shared" si="1"/>
        <v>600</v>
      </c>
      <c r="U6" s="48">
        <f t="shared" si="1"/>
        <v>4768.3999999999996</v>
      </c>
      <c r="V6" s="47" t="s">
        <v>44</v>
      </c>
      <c r="W6" s="35" t="str">
        <f t="shared" ref="W6:W125" si="2">IF(F6=SUM(M6:U6),"OK","Diferente")</f>
        <v>Diferente</v>
      </c>
      <c r="X6" s="38">
        <f>SUM(X7:X125)</f>
        <v>-3538.2599999999998</v>
      </c>
      <c r="Y6" s="14">
        <f>SUM(M6:U6)-F6</f>
        <v>632.31999999999971</v>
      </c>
      <c r="Z6" s="3"/>
    </row>
    <row r="7" spans="1:26" ht="14.4" hidden="1" outlineLevel="1" x14ac:dyDescent="0.3">
      <c r="A7" s="3"/>
      <c r="B7" s="52" t="s">
        <v>423</v>
      </c>
      <c r="C7" s="53"/>
      <c r="D7" s="53" t="s">
        <v>95</v>
      </c>
      <c r="E7" s="11">
        <v>0</v>
      </c>
      <c r="F7" s="92">
        <v>0</v>
      </c>
      <c r="G7" s="58"/>
      <c r="H7" s="54"/>
      <c r="I7" s="54"/>
      <c r="J7" s="55"/>
      <c r="K7" s="53"/>
      <c r="L7" s="53" t="str">
        <f t="shared" ref="L7:L125" si="3">IF(C7&gt;=13,1,"")</f>
        <v/>
      </c>
      <c r="M7" s="11">
        <v>91.34</v>
      </c>
      <c r="N7" s="11">
        <v>24.57</v>
      </c>
      <c r="O7" s="11">
        <v>12</v>
      </c>
      <c r="P7" s="11">
        <v>1.44</v>
      </c>
      <c r="Q7" s="11">
        <v>5</v>
      </c>
      <c r="R7" s="11">
        <v>5</v>
      </c>
      <c r="S7" s="11">
        <v>15</v>
      </c>
      <c r="T7" s="11"/>
      <c r="U7" s="11">
        <v>35</v>
      </c>
      <c r="V7" s="56" t="s">
        <v>1027</v>
      </c>
      <c r="W7" s="35" t="str">
        <f t="shared" si="2"/>
        <v>Diferente</v>
      </c>
      <c r="X7" s="38">
        <f t="shared" ref="X7:X125" si="4">IF(W7="Diferente",F7-SUM(M7:U7),"")</f>
        <v>-189.35</v>
      </c>
      <c r="Y7" s="3"/>
      <c r="Z7" s="116"/>
    </row>
    <row r="8" spans="1:26" ht="14.4" hidden="1" outlineLevel="1" x14ac:dyDescent="0.3">
      <c r="A8" s="3"/>
      <c r="B8" s="52" t="s">
        <v>425</v>
      </c>
      <c r="C8" s="53"/>
      <c r="D8" s="53" t="s">
        <v>95</v>
      </c>
      <c r="E8" s="11">
        <v>0</v>
      </c>
      <c r="F8" s="92">
        <v>0</v>
      </c>
      <c r="G8" s="58"/>
      <c r="H8" s="54"/>
      <c r="I8" s="54"/>
      <c r="J8" s="55"/>
      <c r="K8" s="53"/>
      <c r="L8" s="53" t="str">
        <f t="shared" si="3"/>
        <v/>
      </c>
      <c r="M8" s="11">
        <v>63.57</v>
      </c>
      <c r="N8" s="11">
        <v>24.57</v>
      </c>
      <c r="O8" s="11">
        <v>12</v>
      </c>
      <c r="P8" s="11">
        <v>1.44</v>
      </c>
      <c r="Q8" s="11">
        <v>5</v>
      </c>
      <c r="R8" s="11">
        <v>5</v>
      </c>
      <c r="S8" s="11"/>
      <c r="T8" s="11"/>
      <c r="U8" s="11">
        <v>35</v>
      </c>
      <c r="V8" s="56" t="s">
        <v>1027</v>
      </c>
      <c r="W8" s="35" t="str">
        <f t="shared" si="2"/>
        <v>Diferente</v>
      </c>
      <c r="X8" s="38">
        <f t="shared" si="4"/>
        <v>-146.57999999999998</v>
      </c>
      <c r="Y8" s="3"/>
      <c r="Z8" s="116"/>
    </row>
    <row r="9" spans="1:26" ht="14.4" hidden="1" outlineLevel="1" x14ac:dyDescent="0.3">
      <c r="A9" s="3"/>
      <c r="B9" s="52" t="s">
        <v>426</v>
      </c>
      <c r="C9" s="53"/>
      <c r="D9" s="53" t="s">
        <v>95</v>
      </c>
      <c r="E9" s="11">
        <v>0</v>
      </c>
      <c r="F9" s="92">
        <v>0</v>
      </c>
      <c r="G9" s="58"/>
      <c r="H9" s="54"/>
      <c r="I9" s="54"/>
      <c r="J9" s="55"/>
      <c r="K9" s="53"/>
      <c r="L9" s="53" t="str">
        <f t="shared" si="3"/>
        <v/>
      </c>
      <c r="M9" s="11">
        <v>63.57</v>
      </c>
      <c r="N9" s="11">
        <v>24.57</v>
      </c>
      <c r="O9" s="11">
        <v>12</v>
      </c>
      <c r="P9" s="11">
        <v>1.44</v>
      </c>
      <c r="Q9" s="11"/>
      <c r="R9" s="11"/>
      <c r="S9" s="11"/>
      <c r="T9" s="11"/>
      <c r="U9" s="11">
        <v>35</v>
      </c>
      <c r="V9" s="56" t="s">
        <v>1027</v>
      </c>
      <c r="W9" s="35" t="str">
        <f t="shared" si="2"/>
        <v>Diferente</v>
      </c>
      <c r="X9" s="38">
        <f t="shared" si="4"/>
        <v>-136.57999999999998</v>
      </c>
      <c r="Y9" s="3"/>
      <c r="Z9" s="116"/>
    </row>
    <row r="10" spans="1:26" ht="14.4" hidden="1" outlineLevel="1" x14ac:dyDescent="0.3">
      <c r="A10" s="3"/>
      <c r="B10" s="52" t="s">
        <v>427</v>
      </c>
      <c r="C10" s="53"/>
      <c r="D10" s="53" t="s">
        <v>95</v>
      </c>
      <c r="E10" s="11">
        <v>0</v>
      </c>
      <c r="F10" s="92">
        <v>0</v>
      </c>
      <c r="G10" s="58"/>
      <c r="H10" s="54"/>
      <c r="I10" s="54"/>
      <c r="J10" s="55"/>
      <c r="K10" s="53"/>
      <c r="L10" s="53" t="str">
        <f t="shared" si="3"/>
        <v/>
      </c>
      <c r="M10" s="11">
        <v>76.8</v>
      </c>
      <c r="N10" s="11">
        <v>24.57</v>
      </c>
      <c r="O10" s="11">
        <v>12</v>
      </c>
      <c r="P10" s="11">
        <v>1.44</v>
      </c>
      <c r="Q10" s="11">
        <v>5</v>
      </c>
      <c r="R10" s="11">
        <v>5</v>
      </c>
      <c r="S10" s="11"/>
      <c r="T10" s="11"/>
      <c r="U10" s="11">
        <v>35</v>
      </c>
      <c r="V10" s="56" t="s">
        <v>1027</v>
      </c>
      <c r="W10" s="35" t="str">
        <f t="shared" si="2"/>
        <v>Diferente</v>
      </c>
      <c r="X10" s="38">
        <f t="shared" si="4"/>
        <v>-159.81</v>
      </c>
      <c r="Y10" s="3"/>
      <c r="Z10" s="116"/>
    </row>
    <row r="11" spans="1:26" ht="14.4" hidden="1" outlineLevel="1" x14ac:dyDescent="0.3">
      <c r="A11" s="3"/>
      <c r="B11" s="9" t="s">
        <v>428</v>
      </c>
      <c r="C11" s="53">
        <v>10</v>
      </c>
      <c r="D11" s="53" t="s">
        <v>95</v>
      </c>
      <c r="E11" s="11">
        <f t="shared" ref="E11:E12" si="5">SUM(M11:U11)</f>
        <v>210.43</v>
      </c>
      <c r="F11" s="92">
        <f t="shared" ref="F11:F12" si="6">E11</f>
        <v>210.43</v>
      </c>
      <c r="G11" s="58"/>
      <c r="H11" s="54" t="s">
        <v>37</v>
      </c>
      <c r="I11" s="54"/>
      <c r="J11" s="55"/>
      <c r="K11" s="53"/>
      <c r="L11" s="53" t="str">
        <f t="shared" si="3"/>
        <v/>
      </c>
      <c r="M11" s="11">
        <v>130</v>
      </c>
      <c r="N11" s="11">
        <v>24.57</v>
      </c>
      <c r="O11" s="11">
        <v>12</v>
      </c>
      <c r="P11" s="11">
        <v>3.86</v>
      </c>
      <c r="Q11" s="11">
        <v>5</v>
      </c>
      <c r="R11" s="11"/>
      <c r="S11" s="11"/>
      <c r="T11" s="11"/>
      <c r="U11" s="11">
        <v>35</v>
      </c>
      <c r="V11" s="56" t="s">
        <v>1027</v>
      </c>
      <c r="W11" s="35" t="str">
        <f t="shared" si="2"/>
        <v>OK</v>
      </c>
      <c r="X11" s="38" t="str">
        <f t="shared" si="4"/>
        <v/>
      </c>
      <c r="Y11" s="3"/>
      <c r="Z11" s="116"/>
    </row>
    <row r="12" spans="1:26" ht="14.4" hidden="1" outlineLevel="1" x14ac:dyDescent="0.3">
      <c r="A12" s="3"/>
      <c r="B12" s="9" t="s">
        <v>429</v>
      </c>
      <c r="C12" s="53">
        <v>10</v>
      </c>
      <c r="D12" s="53" t="s">
        <v>95</v>
      </c>
      <c r="E12" s="11">
        <f t="shared" si="5"/>
        <v>244.57</v>
      </c>
      <c r="F12" s="92">
        <f t="shared" si="6"/>
        <v>244.57</v>
      </c>
      <c r="G12" s="58"/>
      <c r="H12" s="54" t="s">
        <v>37</v>
      </c>
      <c r="I12" s="54"/>
      <c r="J12" s="55"/>
      <c r="K12" s="53"/>
      <c r="L12" s="53" t="str">
        <f t="shared" si="3"/>
        <v/>
      </c>
      <c r="M12" s="11">
        <v>130</v>
      </c>
      <c r="N12" s="11">
        <v>24.57</v>
      </c>
      <c r="O12" s="11">
        <v>12</v>
      </c>
      <c r="P12" s="11">
        <v>2</v>
      </c>
      <c r="Q12" s="11"/>
      <c r="R12" s="11"/>
      <c r="S12" s="11"/>
      <c r="T12" s="11"/>
      <c r="U12" s="11">
        <v>76</v>
      </c>
      <c r="V12" s="56" t="s">
        <v>1028</v>
      </c>
      <c r="W12" s="35" t="str">
        <f t="shared" si="2"/>
        <v>OK</v>
      </c>
      <c r="X12" s="38" t="str">
        <f t="shared" si="4"/>
        <v/>
      </c>
      <c r="Y12" s="3"/>
      <c r="Z12" s="116"/>
    </row>
    <row r="13" spans="1:26" ht="14.4" hidden="1" outlineLevel="1" x14ac:dyDescent="0.3">
      <c r="A13" s="3"/>
      <c r="B13" s="52" t="s">
        <v>430</v>
      </c>
      <c r="C13" s="53">
        <v>16</v>
      </c>
      <c r="D13" s="53" t="s">
        <v>95</v>
      </c>
      <c r="E13" s="11">
        <v>424.49</v>
      </c>
      <c r="F13" s="92">
        <f t="shared" ref="F13:F16" si="7">SUM(M13:U13)</f>
        <v>1352.34</v>
      </c>
      <c r="G13" s="58"/>
      <c r="H13" s="54" t="s">
        <v>37</v>
      </c>
      <c r="I13" s="54"/>
      <c r="J13" s="55"/>
      <c r="K13" s="53"/>
      <c r="L13" s="53">
        <f t="shared" si="3"/>
        <v>1</v>
      </c>
      <c r="M13" s="11">
        <f>130.48+927.85</f>
        <v>1058.33</v>
      </c>
      <c r="N13" s="11">
        <v>24.57</v>
      </c>
      <c r="O13" s="11">
        <v>12</v>
      </c>
      <c r="P13" s="11">
        <v>1.44</v>
      </c>
      <c r="Q13" s="11">
        <v>10</v>
      </c>
      <c r="R13" s="11">
        <v>20</v>
      </c>
      <c r="S13" s="11">
        <v>50</v>
      </c>
      <c r="T13" s="11">
        <v>50</v>
      </c>
      <c r="U13" s="11">
        <v>126</v>
      </c>
      <c r="V13" s="56" t="s">
        <v>1029</v>
      </c>
      <c r="W13" s="35" t="str">
        <f t="shared" si="2"/>
        <v>OK</v>
      </c>
      <c r="X13" s="38" t="str">
        <f t="shared" si="4"/>
        <v/>
      </c>
      <c r="Y13" s="3"/>
      <c r="Z13" s="116"/>
    </row>
    <row r="14" spans="1:26" ht="14.4" hidden="1" outlineLevel="1" x14ac:dyDescent="0.3">
      <c r="A14" s="3"/>
      <c r="B14" s="52" t="s">
        <v>432</v>
      </c>
      <c r="C14" s="53">
        <v>16</v>
      </c>
      <c r="D14" s="53" t="s">
        <v>95</v>
      </c>
      <c r="E14" s="11">
        <v>226.29</v>
      </c>
      <c r="F14" s="92">
        <f t="shared" si="7"/>
        <v>226.29</v>
      </c>
      <c r="G14" s="58"/>
      <c r="H14" s="54" t="s">
        <v>37</v>
      </c>
      <c r="I14" s="54"/>
      <c r="J14" s="55"/>
      <c r="K14" s="53"/>
      <c r="L14" s="53">
        <f t="shared" si="3"/>
        <v>1</v>
      </c>
      <c r="M14" s="11">
        <v>98.28</v>
      </c>
      <c r="N14" s="11">
        <v>24.57</v>
      </c>
      <c r="O14" s="11">
        <v>12</v>
      </c>
      <c r="P14" s="11">
        <v>1.44</v>
      </c>
      <c r="Q14" s="11">
        <v>5</v>
      </c>
      <c r="R14" s="11"/>
      <c r="S14" s="11"/>
      <c r="T14" s="11">
        <v>50</v>
      </c>
      <c r="U14" s="11">
        <v>35</v>
      </c>
      <c r="V14" s="56" t="s">
        <v>1027</v>
      </c>
      <c r="W14" s="35" t="str">
        <f t="shared" si="2"/>
        <v>OK</v>
      </c>
      <c r="X14" s="38" t="str">
        <f t="shared" si="4"/>
        <v/>
      </c>
      <c r="Y14" s="3"/>
      <c r="Z14" s="116"/>
    </row>
    <row r="15" spans="1:26" ht="14.4" hidden="1" outlineLevel="1" x14ac:dyDescent="0.3">
      <c r="A15" s="3"/>
      <c r="B15" s="9" t="s">
        <v>433</v>
      </c>
      <c r="C15" s="53" t="s">
        <v>1030</v>
      </c>
      <c r="D15" s="53" t="s">
        <v>95</v>
      </c>
      <c r="E15" s="11">
        <v>374.14</v>
      </c>
      <c r="F15" s="92">
        <f t="shared" si="7"/>
        <v>300</v>
      </c>
      <c r="G15" s="58"/>
      <c r="H15" s="54" t="s">
        <v>37</v>
      </c>
      <c r="I15" s="54"/>
      <c r="J15" s="55"/>
      <c r="K15" s="53"/>
      <c r="L15" s="53">
        <f t="shared" si="3"/>
        <v>1</v>
      </c>
      <c r="M15" s="11">
        <v>22.98</v>
      </c>
      <c r="N15" s="11">
        <f>24.57*2</f>
        <v>49.14</v>
      </c>
      <c r="O15" s="11">
        <v>24</v>
      </c>
      <c r="P15" s="11">
        <v>2.88</v>
      </c>
      <c r="Q15" s="11">
        <v>10</v>
      </c>
      <c r="R15" s="11">
        <v>10</v>
      </c>
      <c r="S15" s="11">
        <v>20</v>
      </c>
      <c r="T15" s="11"/>
      <c r="U15" s="11">
        <f>126+35</f>
        <v>161</v>
      </c>
      <c r="V15" s="56" t="s">
        <v>1029</v>
      </c>
      <c r="W15" s="35" t="str">
        <f t="shared" si="2"/>
        <v>OK</v>
      </c>
      <c r="X15" s="38" t="str">
        <f t="shared" si="4"/>
        <v/>
      </c>
      <c r="Y15" s="3"/>
      <c r="Z15" s="116"/>
    </row>
    <row r="16" spans="1:26" ht="14.4" hidden="1" outlineLevel="1" x14ac:dyDescent="0.3">
      <c r="A16" s="3"/>
      <c r="B16" s="9" t="s">
        <v>434</v>
      </c>
      <c r="C16" s="53" t="s">
        <v>1030</v>
      </c>
      <c r="D16" s="53" t="s">
        <v>95</v>
      </c>
      <c r="E16" s="11">
        <v>172.99</v>
      </c>
      <c r="F16" s="92">
        <f t="shared" si="7"/>
        <v>400</v>
      </c>
      <c r="G16" s="58"/>
      <c r="H16" s="54" t="s">
        <v>36</v>
      </c>
      <c r="I16" s="54"/>
      <c r="J16" s="55"/>
      <c r="K16" s="53"/>
      <c r="L16" s="53">
        <f t="shared" si="3"/>
        <v>1</v>
      </c>
      <c r="M16" s="11">
        <v>400</v>
      </c>
      <c r="N16" s="11"/>
      <c r="O16" s="11"/>
      <c r="P16" s="11"/>
      <c r="Q16" s="11"/>
      <c r="R16" s="11"/>
      <c r="S16" s="11"/>
      <c r="T16" s="11"/>
      <c r="U16" s="11"/>
      <c r="V16" s="56" t="s">
        <v>1027</v>
      </c>
      <c r="W16" s="35" t="str">
        <f t="shared" si="2"/>
        <v>OK</v>
      </c>
      <c r="X16" s="38" t="str">
        <f t="shared" si="4"/>
        <v/>
      </c>
      <c r="Y16" s="3"/>
      <c r="Z16" s="116"/>
    </row>
    <row r="17" spans="1:26" ht="14.4" hidden="1" outlineLevel="1" x14ac:dyDescent="0.3">
      <c r="A17" s="3"/>
      <c r="B17" s="52" t="s">
        <v>435</v>
      </c>
      <c r="C17" s="53">
        <v>7</v>
      </c>
      <c r="D17" s="53" t="s">
        <v>95</v>
      </c>
      <c r="E17" s="11">
        <f t="shared" ref="E17:E30" si="8">SUM(M17:U17)</f>
        <v>269.19</v>
      </c>
      <c r="F17" s="92">
        <f t="shared" ref="F17:F22" si="9">E17</f>
        <v>269.19</v>
      </c>
      <c r="G17" s="58"/>
      <c r="H17" s="54" t="s">
        <v>37</v>
      </c>
      <c r="I17" s="54"/>
      <c r="J17" s="55"/>
      <c r="K17" s="53"/>
      <c r="L17" s="53" t="str">
        <f t="shared" si="3"/>
        <v/>
      </c>
      <c r="M17" s="11">
        <v>191.18</v>
      </c>
      <c r="N17" s="11">
        <v>24.57</v>
      </c>
      <c r="O17" s="11">
        <v>12</v>
      </c>
      <c r="P17" s="11">
        <v>1.44</v>
      </c>
      <c r="Q17" s="11">
        <v>5</v>
      </c>
      <c r="R17" s="11"/>
      <c r="S17" s="11"/>
      <c r="T17" s="11"/>
      <c r="U17" s="11">
        <v>35</v>
      </c>
      <c r="V17" s="56" t="s">
        <v>1027</v>
      </c>
      <c r="W17" s="35" t="str">
        <f t="shared" si="2"/>
        <v>OK</v>
      </c>
      <c r="X17" s="38" t="str">
        <f t="shared" si="4"/>
        <v/>
      </c>
      <c r="Y17" s="3"/>
      <c r="Z17" s="116"/>
    </row>
    <row r="18" spans="1:26" ht="14.4" hidden="1" outlineLevel="1" x14ac:dyDescent="0.3">
      <c r="A18" s="3"/>
      <c r="B18" s="52" t="s">
        <v>436</v>
      </c>
      <c r="C18" s="53">
        <v>7</v>
      </c>
      <c r="D18" s="53" t="s">
        <v>95</v>
      </c>
      <c r="E18" s="11">
        <f t="shared" si="8"/>
        <v>208.98999999999998</v>
      </c>
      <c r="F18" s="92">
        <f t="shared" si="9"/>
        <v>208.98999999999998</v>
      </c>
      <c r="G18" s="58"/>
      <c r="H18" s="54" t="s">
        <v>37</v>
      </c>
      <c r="I18" s="54"/>
      <c r="J18" s="55"/>
      <c r="K18" s="53"/>
      <c r="L18" s="53" t="str">
        <f t="shared" si="3"/>
        <v/>
      </c>
      <c r="M18" s="11">
        <v>135.97999999999999</v>
      </c>
      <c r="N18" s="11">
        <v>24.57</v>
      </c>
      <c r="O18" s="11">
        <v>12</v>
      </c>
      <c r="P18" s="11">
        <v>1.44</v>
      </c>
      <c r="Q18" s="11"/>
      <c r="R18" s="11"/>
      <c r="S18" s="11"/>
      <c r="T18" s="11"/>
      <c r="U18" s="11">
        <v>35</v>
      </c>
      <c r="V18" s="56" t="s">
        <v>1027</v>
      </c>
      <c r="W18" s="35" t="str">
        <f t="shared" si="2"/>
        <v>OK</v>
      </c>
      <c r="X18" s="38" t="str">
        <f t="shared" si="4"/>
        <v/>
      </c>
      <c r="Y18" s="3"/>
      <c r="Z18" s="116"/>
    </row>
    <row r="19" spans="1:26" ht="14.4" hidden="1" outlineLevel="1" x14ac:dyDescent="0.3">
      <c r="A19" s="3"/>
      <c r="B19" s="9" t="s">
        <v>437</v>
      </c>
      <c r="C19" s="53">
        <v>2</v>
      </c>
      <c r="D19" s="53" t="s">
        <v>95</v>
      </c>
      <c r="E19" s="11">
        <f t="shared" si="8"/>
        <v>517.29</v>
      </c>
      <c r="F19" s="92">
        <f t="shared" si="9"/>
        <v>517.29</v>
      </c>
      <c r="G19" s="58"/>
      <c r="H19" s="54" t="s">
        <v>37</v>
      </c>
      <c r="I19" s="54"/>
      <c r="J19" s="55"/>
      <c r="K19" s="53"/>
      <c r="L19" s="53" t="str">
        <f t="shared" si="3"/>
        <v/>
      </c>
      <c r="M19" s="11">
        <v>328.28</v>
      </c>
      <c r="N19" s="11">
        <v>24.57</v>
      </c>
      <c r="O19" s="11">
        <v>12</v>
      </c>
      <c r="P19" s="11">
        <v>11.44</v>
      </c>
      <c r="Q19" s="11">
        <v>5</v>
      </c>
      <c r="R19" s="11">
        <v>10</v>
      </c>
      <c r="S19" s="11"/>
      <c r="T19" s="11">
        <v>50</v>
      </c>
      <c r="U19" s="11">
        <v>76</v>
      </c>
      <c r="V19" s="56" t="s">
        <v>1028</v>
      </c>
      <c r="W19" s="35" t="str">
        <f t="shared" si="2"/>
        <v>OK</v>
      </c>
      <c r="X19" s="38" t="str">
        <f t="shared" si="4"/>
        <v/>
      </c>
      <c r="Y19" s="3"/>
      <c r="Z19" s="116"/>
    </row>
    <row r="20" spans="1:26" ht="14.4" hidden="1" outlineLevel="1" x14ac:dyDescent="0.3">
      <c r="A20" s="3"/>
      <c r="B20" s="9" t="s">
        <v>438</v>
      </c>
      <c r="C20" s="53">
        <v>2</v>
      </c>
      <c r="D20" s="53" t="s">
        <v>95</v>
      </c>
      <c r="E20" s="11">
        <f t="shared" si="8"/>
        <v>466.28999999999996</v>
      </c>
      <c r="F20" s="92">
        <f t="shared" si="9"/>
        <v>466.28999999999996</v>
      </c>
      <c r="G20" s="58"/>
      <c r="H20" s="54" t="s">
        <v>37</v>
      </c>
      <c r="I20" s="54"/>
      <c r="J20" s="55"/>
      <c r="K20" s="53"/>
      <c r="L20" s="53" t="str">
        <f t="shared" si="3"/>
        <v/>
      </c>
      <c r="M20" s="11">
        <v>328.28</v>
      </c>
      <c r="N20" s="11">
        <v>24.57</v>
      </c>
      <c r="O20" s="11">
        <v>12</v>
      </c>
      <c r="P20" s="11">
        <v>1.44</v>
      </c>
      <c r="Q20" s="11">
        <v>5</v>
      </c>
      <c r="R20" s="11">
        <v>10</v>
      </c>
      <c r="S20" s="11"/>
      <c r="T20" s="11">
        <v>50</v>
      </c>
      <c r="U20" s="11">
        <v>35</v>
      </c>
      <c r="V20" s="56" t="s">
        <v>1027</v>
      </c>
      <c r="W20" s="35" t="str">
        <f t="shared" si="2"/>
        <v>OK</v>
      </c>
      <c r="X20" s="38" t="str">
        <f t="shared" si="4"/>
        <v/>
      </c>
      <c r="Y20" s="3"/>
      <c r="Z20" s="116"/>
    </row>
    <row r="21" spans="1:26" ht="14.4" hidden="1" outlineLevel="1" x14ac:dyDescent="0.3">
      <c r="A21" s="3"/>
      <c r="B21" s="52" t="s">
        <v>439</v>
      </c>
      <c r="C21" s="53">
        <v>30</v>
      </c>
      <c r="D21" s="53" t="s">
        <v>95</v>
      </c>
      <c r="E21" s="11">
        <f t="shared" si="8"/>
        <v>324.99</v>
      </c>
      <c r="F21" s="92">
        <f t="shared" si="9"/>
        <v>324.99</v>
      </c>
      <c r="G21" s="58"/>
      <c r="H21" s="54" t="s">
        <v>37</v>
      </c>
      <c r="I21" s="54"/>
      <c r="J21" s="55"/>
      <c r="K21" s="53"/>
      <c r="L21" s="53">
        <f t="shared" si="3"/>
        <v>1</v>
      </c>
      <c r="M21" s="11">
        <v>120.98</v>
      </c>
      <c r="N21" s="11">
        <v>24.57</v>
      </c>
      <c r="O21" s="11">
        <v>12</v>
      </c>
      <c r="P21" s="11">
        <v>1.44</v>
      </c>
      <c r="Q21" s="11">
        <v>5</v>
      </c>
      <c r="R21" s="11">
        <v>5</v>
      </c>
      <c r="S21" s="11"/>
      <c r="T21" s="11">
        <v>30</v>
      </c>
      <c r="U21" s="11">
        <v>126</v>
      </c>
      <c r="V21" s="56" t="s">
        <v>1029</v>
      </c>
      <c r="W21" s="35" t="str">
        <f t="shared" si="2"/>
        <v>OK</v>
      </c>
      <c r="X21" s="38" t="str">
        <f t="shared" si="4"/>
        <v/>
      </c>
      <c r="Y21" s="3"/>
      <c r="Z21" s="116"/>
    </row>
    <row r="22" spans="1:26" ht="14.4" hidden="1" outlineLevel="1" x14ac:dyDescent="0.3">
      <c r="A22" s="3"/>
      <c r="B22" s="52" t="s">
        <v>440</v>
      </c>
      <c r="C22" s="53">
        <v>30</v>
      </c>
      <c r="D22" s="53" t="s">
        <v>95</v>
      </c>
      <c r="E22" s="11">
        <f t="shared" si="8"/>
        <v>210.59</v>
      </c>
      <c r="F22" s="92">
        <f t="shared" si="9"/>
        <v>210.59</v>
      </c>
      <c r="G22" s="58"/>
      <c r="H22" s="54" t="s">
        <v>37</v>
      </c>
      <c r="I22" s="54"/>
      <c r="J22" s="55"/>
      <c r="K22" s="53"/>
      <c r="L22" s="53">
        <f t="shared" si="3"/>
        <v>1</v>
      </c>
      <c r="M22" s="11">
        <v>102.58</v>
      </c>
      <c r="N22" s="11">
        <v>24.57</v>
      </c>
      <c r="O22" s="11">
        <v>12</v>
      </c>
      <c r="P22" s="11">
        <v>1.44</v>
      </c>
      <c r="Q22" s="11">
        <v>5</v>
      </c>
      <c r="R22" s="11"/>
      <c r="S22" s="11"/>
      <c r="T22" s="11">
        <v>30</v>
      </c>
      <c r="U22" s="11">
        <v>35</v>
      </c>
      <c r="V22" s="56" t="s">
        <v>1027</v>
      </c>
      <c r="W22" s="35" t="str">
        <f t="shared" si="2"/>
        <v>OK</v>
      </c>
      <c r="X22" s="38" t="str">
        <f t="shared" si="4"/>
        <v/>
      </c>
      <c r="Y22" s="3"/>
      <c r="Z22" s="116"/>
    </row>
    <row r="23" spans="1:26" ht="14.4" hidden="1" outlineLevel="1" x14ac:dyDescent="0.3">
      <c r="A23" s="3"/>
      <c r="B23" s="9" t="s">
        <v>441</v>
      </c>
      <c r="C23" s="53"/>
      <c r="D23" s="53" t="s">
        <v>105</v>
      </c>
      <c r="E23" s="11">
        <f t="shared" si="8"/>
        <v>170.34</v>
      </c>
      <c r="F23" s="92">
        <v>0</v>
      </c>
      <c r="G23" s="58"/>
      <c r="H23" s="54"/>
      <c r="I23" s="54"/>
      <c r="J23" s="55"/>
      <c r="K23" s="11"/>
      <c r="L23" s="53" t="str">
        <f t="shared" si="3"/>
        <v/>
      </c>
      <c r="M23" s="11">
        <v>37.33</v>
      </c>
      <c r="N23" s="11">
        <v>24.57</v>
      </c>
      <c r="O23" s="11">
        <v>12</v>
      </c>
      <c r="P23" s="11">
        <v>1.44</v>
      </c>
      <c r="Q23" s="11">
        <v>5</v>
      </c>
      <c r="R23" s="11">
        <v>5</v>
      </c>
      <c r="S23" s="11"/>
      <c r="T23" s="11"/>
      <c r="U23" s="11">
        <v>85</v>
      </c>
      <c r="V23" s="56" t="s">
        <v>1031</v>
      </c>
      <c r="W23" s="35" t="str">
        <f t="shared" si="2"/>
        <v>Diferente</v>
      </c>
      <c r="X23" s="38">
        <f t="shared" si="4"/>
        <v>-170.34</v>
      </c>
      <c r="Y23" s="3"/>
      <c r="Z23" s="116"/>
    </row>
    <row r="24" spans="1:26" ht="14.4" hidden="1" outlineLevel="1" x14ac:dyDescent="0.3">
      <c r="A24" s="3"/>
      <c r="B24" s="9" t="s">
        <v>442</v>
      </c>
      <c r="C24" s="53"/>
      <c r="D24" s="53" t="s">
        <v>105</v>
      </c>
      <c r="E24" s="11">
        <f t="shared" si="8"/>
        <v>151.44</v>
      </c>
      <c r="F24" s="92">
        <v>0</v>
      </c>
      <c r="G24" s="58"/>
      <c r="H24" s="54"/>
      <c r="I24" s="54"/>
      <c r="J24" s="55"/>
      <c r="K24" s="11"/>
      <c r="L24" s="53" t="str">
        <f t="shared" si="3"/>
        <v/>
      </c>
      <c r="M24" s="11">
        <v>53.43</v>
      </c>
      <c r="N24" s="11">
        <v>24.57</v>
      </c>
      <c r="O24" s="11">
        <v>12</v>
      </c>
      <c r="P24" s="11">
        <v>1.44</v>
      </c>
      <c r="Q24" s="11">
        <v>5</v>
      </c>
      <c r="R24" s="11">
        <v>5</v>
      </c>
      <c r="S24" s="11"/>
      <c r="T24" s="11">
        <v>15</v>
      </c>
      <c r="U24" s="11">
        <v>35</v>
      </c>
      <c r="V24" s="56" t="s">
        <v>1027</v>
      </c>
      <c r="W24" s="35" t="str">
        <f t="shared" si="2"/>
        <v>Diferente</v>
      </c>
      <c r="X24" s="38">
        <f t="shared" si="4"/>
        <v>-151.44</v>
      </c>
      <c r="Y24" s="3"/>
      <c r="Z24" s="116"/>
    </row>
    <row r="25" spans="1:26" ht="14.4" hidden="1" outlineLevel="1" x14ac:dyDescent="0.3">
      <c r="A25" s="3"/>
      <c r="B25" s="52" t="s">
        <v>443</v>
      </c>
      <c r="C25" s="53"/>
      <c r="D25" s="53" t="s">
        <v>105</v>
      </c>
      <c r="E25" s="11">
        <f t="shared" si="8"/>
        <v>220</v>
      </c>
      <c r="F25" s="92">
        <v>0</v>
      </c>
      <c r="G25" s="58"/>
      <c r="H25" s="54"/>
      <c r="I25" s="54"/>
      <c r="J25" s="55"/>
      <c r="K25" s="11"/>
      <c r="L25" s="53" t="str">
        <f t="shared" si="3"/>
        <v/>
      </c>
      <c r="M25" s="11">
        <v>131.99</v>
      </c>
      <c r="N25" s="11">
        <v>24.57</v>
      </c>
      <c r="O25" s="11">
        <v>12</v>
      </c>
      <c r="P25" s="11">
        <v>6.44</v>
      </c>
      <c r="Q25" s="11"/>
      <c r="R25" s="11">
        <v>10</v>
      </c>
      <c r="S25" s="11"/>
      <c r="T25" s="11"/>
      <c r="U25" s="11">
        <v>35</v>
      </c>
      <c r="V25" s="56" t="s">
        <v>1027</v>
      </c>
      <c r="W25" s="35" t="str">
        <f t="shared" si="2"/>
        <v>Diferente</v>
      </c>
      <c r="X25" s="38">
        <f t="shared" si="4"/>
        <v>-220</v>
      </c>
      <c r="Y25" s="3"/>
      <c r="Z25" s="116"/>
    </row>
    <row r="26" spans="1:26" ht="14.4" hidden="1" outlineLevel="1" x14ac:dyDescent="0.3">
      <c r="A26" s="3"/>
      <c r="B26" s="9" t="s">
        <v>444</v>
      </c>
      <c r="C26" s="53">
        <v>10</v>
      </c>
      <c r="D26" s="53" t="s">
        <v>95</v>
      </c>
      <c r="E26" s="11">
        <f t="shared" si="8"/>
        <v>50</v>
      </c>
      <c r="F26" s="92">
        <f t="shared" ref="F26:F30" si="10">E26</f>
        <v>50</v>
      </c>
      <c r="G26" s="58"/>
      <c r="H26" s="54" t="s">
        <v>37</v>
      </c>
      <c r="I26" s="54"/>
      <c r="J26" s="55"/>
      <c r="K26" s="11"/>
      <c r="L26" s="53" t="str">
        <f t="shared" si="3"/>
        <v/>
      </c>
      <c r="M26" s="11">
        <v>11.43</v>
      </c>
      <c r="N26" s="11">
        <v>24.57</v>
      </c>
      <c r="O26" s="11">
        <v>12</v>
      </c>
      <c r="P26" s="11">
        <v>2</v>
      </c>
      <c r="Q26" s="11"/>
      <c r="R26" s="11"/>
      <c r="S26" s="11"/>
      <c r="T26" s="11"/>
      <c r="U26" s="11"/>
      <c r="V26" s="56"/>
      <c r="W26" s="35" t="str">
        <f t="shared" si="2"/>
        <v>OK</v>
      </c>
      <c r="X26" s="38" t="str">
        <f t="shared" si="4"/>
        <v/>
      </c>
      <c r="Y26" s="3"/>
      <c r="Z26" s="116"/>
    </row>
    <row r="27" spans="1:26" ht="14.4" hidden="1" outlineLevel="1" x14ac:dyDescent="0.3">
      <c r="A27" s="3"/>
      <c r="B27" s="52" t="s">
        <v>445</v>
      </c>
      <c r="C27" s="53">
        <v>14</v>
      </c>
      <c r="D27" s="53" t="s">
        <v>95</v>
      </c>
      <c r="E27" s="11">
        <f t="shared" si="8"/>
        <v>356</v>
      </c>
      <c r="F27" s="92">
        <f t="shared" si="10"/>
        <v>356</v>
      </c>
      <c r="G27" s="58"/>
      <c r="H27" s="54" t="s">
        <v>37</v>
      </c>
      <c r="I27" s="54"/>
      <c r="J27" s="55"/>
      <c r="K27" s="11"/>
      <c r="L27" s="53">
        <f t="shared" si="3"/>
        <v>1</v>
      </c>
      <c r="M27" s="11">
        <v>131.99</v>
      </c>
      <c r="N27" s="11">
        <v>24.57</v>
      </c>
      <c r="O27" s="11">
        <v>12</v>
      </c>
      <c r="P27" s="11">
        <v>11.44</v>
      </c>
      <c r="Q27" s="11">
        <v>5</v>
      </c>
      <c r="R27" s="11">
        <v>5</v>
      </c>
      <c r="S27" s="11">
        <v>10</v>
      </c>
      <c r="T27" s="11">
        <v>30</v>
      </c>
      <c r="U27" s="11">
        <v>126</v>
      </c>
      <c r="V27" s="56" t="s">
        <v>1029</v>
      </c>
      <c r="W27" s="35" t="str">
        <f t="shared" si="2"/>
        <v>OK</v>
      </c>
      <c r="X27" s="38" t="str">
        <f t="shared" si="4"/>
        <v/>
      </c>
      <c r="Y27" s="3"/>
      <c r="Z27" s="116"/>
    </row>
    <row r="28" spans="1:26" ht="14.4" hidden="1" outlineLevel="1" x14ac:dyDescent="0.3">
      <c r="A28" s="3"/>
      <c r="B28" s="52" t="s">
        <v>447</v>
      </c>
      <c r="C28" s="53">
        <v>14</v>
      </c>
      <c r="D28" s="53" t="s">
        <v>95</v>
      </c>
      <c r="E28" s="11">
        <f t="shared" si="8"/>
        <v>255</v>
      </c>
      <c r="F28" s="92">
        <f t="shared" si="10"/>
        <v>255</v>
      </c>
      <c r="G28" s="58"/>
      <c r="H28" s="54" t="s">
        <v>37</v>
      </c>
      <c r="I28" s="54"/>
      <c r="J28" s="55"/>
      <c r="K28" s="11"/>
      <c r="L28" s="53">
        <f t="shared" si="3"/>
        <v>1</v>
      </c>
      <c r="M28" s="11">
        <v>131.99</v>
      </c>
      <c r="N28" s="11">
        <v>24.57</v>
      </c>
      <c r="O28" s="11">
        <v>12</v>
      </c>
      <c r="P28" s="11">
        <v>1.44</v>
      </c>
      <c r="Q28" s="11">
        <v>5</v>
      </c>
      <c r="R28" s="11">
        <v>5</v>
      </c>
      <c r="S28" s="11">
        <v>10</v>
      </c>
      <c r="T28" s="11">
        <v>30</v>
      </c>
      <c r="U28" s="11">
        <v>35</v>
      </c>
      <c r="V28" s="56" t="s">
        <v>1027</v>
      </c>
      <c r="W28" s="35" t="str">
        <f t="shared" si="2"/>
        <v>OK</v>
      </c>
      <c r="X28" s="38" t="str">
        <f t="shared" si="4"/>
        <v/>
      </c>
      <c r="Y28" s="3"/>
      <c r="Z28" s="116"/>
    </row>
    <row r="29" spans="1:26" ht="14.4" hidden="1" outlineLevel="1" x14ac:dyDescent="0.3">
      <c r="A29" s="3"/>
      <c r="B29" s="9" t="s">
        <v>448</v>
      </c>
      <c r="C29" s="53">
        <v>11</v>
      </c>
      <c r="D29" s="53" t="s">
        <v>95</v>
      </c>
      <c r="E29" s="11">
        <f t="shared" si="8"/>
        <v>294.69</v>
      </c>
      <c r="F29" s="92">
        <f t="shared" si="10"/>
        <v>294.69</v>
      </c>
      <c r="G29" s="58"/>
      <c r="H29" s="54" t="s">
        <v>37</v>
      </c>
      <c r="I29" s="54"/>
      <c r="J29" s="55"/>
      <c r="K29" s="11"/>
      <c r="L29" s="53" t="str">
        <f t="shared" si="3"/>
        <v/>
      </c>
      <c r="M29" s="11">
        <v>116.68</v>
      </c>
      <c r="N29" s="11">
        <v>24.57</v>
      </c>
      <c r="O29" s="11">
        <v>12</v>
      </c>
      <c r="P29" s="11">
        <v>1.44</v>
      </c>
      <c r="Q29" s="11">
        <v>5</v>
      </c>
      <c r="R29" s="11">
        <v>10</v>
      </c>
      <c r="S29" s="11">
        <v>10</v>
      </c>
      <c r="T29" s="11">
        <v>30</v>
      </c>
      <c r="U29" s="11">
        <v>85</v>
      </c>
      <c r="V29" s="56" t="s">
        <v>1031</v>
      </c>
      <c r="W29" s="35" t="str">
        <f t="shared" si="2"/>
        <v>OK</v>
      </c>
      <c r="X29" s="38" t="str">
        <f t="shared" si="4"/>
        <v/>
      </c>
      <c r="Y29" s="3"/>
      <c r="Z29" s="116"/>
    </row>
    <row r="30" spans="1:26" ht="14.4" hidden="1" outlineLevel="1" x14ac:dyDescent="0.3">
      <c r="A30" s="3"/>
      <c r="B30" s="9" t="s">
        <v>449</v>
      </c>
      <c r="C30" s="53">
        <v>11</v>
      </c>
      <c r="D30" s="53" t="s">
        <v>95</v>
      </c>
      <c r="E30" s="11">
        <f t="shared" si="8"/>
        <v>193.69</v>
      </c>
      <c r="F30" s="92">
        <f t="shared" si="10"/>
        <v>193.69</v>
      </c>
      <c r="G30" s="58"/>
      <c r="H30" s="54" t="s">
        <v>37</v>
      </c>
      <c r="I30" s="54"/>
      <c r="J30" s="55"/>
      <c r="K30" s="11"/>
      <c r="L30" s="53" t="str">
        <f t="shared" si="3"/>
        <v/>
      </c>
      <c r="M30" s="11">
        <v>70.680000000000007</v>
      </c>
      <c r="N30" s="11">
        <v>24.57</v>
      </c>
      <c r="O30" s="11">
        <v>12</v>
      </c>
      <c r="P30" s="11">
        <v>1.44</v>
      </c>
      <c r="Q30" s="11"/>
      <c r="R30" s="11">
        <v>10</v>
      </c>
      <c r="S30" s="11">
        <v>10</v>
      </c>
      <c r="T30" s="11">
        <v>30</v>
      </c>
      <c r="U30" s="11">
        <v>35</v>
      </c>
      <c r="V30" s="56" t="s">
        <v>1027</v>
      </c>
      <c r="W30" s="35" t="str">
        <f t="shared" si="2"/>
        <v>OK</v>
      </c>
      <c r="X30" s="38" t="str">
        <f t="shared" si="4"/>
        <v/>
      </c>
      <c r="Y30" s="3"/>
      <c r="Z30" s="116"/>
    </row>
    <row r="31" spans="1:26" ht="14.4" hidden="1" outlineLevel="1" x14ac:dyDescent="0.3">
      <c r="A31" s="3"/>
      <c r="B31" s="52" t="s">
        <v>450</v>
      </c>
      <c r="C31" s="53">
        <v>22</v>
      </c>
      <c r="D31" s="53" t="s">
        <v>95</v>
      </c>
      <c r="E31" s="11">
        <v>243.44</v>
      </c>
      <c r="F31" s="92">
        <f t="shared" ref="F31:F32" si="11">SUM(M31:U31)</f>
        <v>604.31999999999994</v>
      </c>
      <c r="G31" s="58"/>
      <c r="H31" s="54" t="s">
        <v>37</v>
      </c>
      <c r="I31" s="54"/>
      <c r="J31" s="55"/>
      <c r="K31" s="11"/>
      <c r="L31" s="53">
        <f t="shared" si="3"/>
        <v>1</v>
      </c>
      <c r="M31" s="11">
        <f>104.43+360.88</f>
        <v>465.31</v>
      </c>
      <c r="N31" s="11">
        <v>24.57</v>
      </c>
      <c r="O31" s="11">
        <v>12</v>
      </c>
      <c r="P31" s="11">
        <v>1.44</v>
      </c>
      <c r="Q31" s="11">
        <v>5</v>
      </c>
      <c r="R31" s="11"/>
      <c r="S31" s="11">
        <v>10</v>
      </c>
      <c r="T31" s="11">
        <v>10</v>
      </c>
      <c r="U31" s="11">
        <v>76</v>
      </c>
      <c r="V31" s="56" t="s">
        <v>1028</v>
      </c>
      <c r="W31" s="35" t="str">
        <f t="shared" si="2"/>
        <v>OK</v>
      </c>
      <c r="X31" s="38" t="str">
        <f t="shared" si="4"/>
        <v/>
      </c>
      <c r="Y31" s="3"/>
      <c r="Z31" s="116"/>
    </row>
    <row r="32" spans="1:26" ht="14.4" hidden="1" outlineLevel="1" x14ac:dyDescent="0.3">
      <c r="A32" s="3"/>
      <c r="B32" s="52" t="s">
        <v>451</v>
      </c>
      <c r="C32" s="53">
        <v>22</v>
      </c>
      <c r="D32" s="53" t="s">
        <v>95</v>
      </c>
      <c r="E32" s="11">
        <v>202.44</v>
      </c>
      <c r="F32" s="92">
        <f t="shared" si="11"/>
        <v>202.44</v>
      </c>
      <c r="G32" s="58"/>
      <c r="H32" s="54" t="s">
        <v>37</v>
      </c>
      <c r="I32" s="54"/>
      <c r="J32" s="55"/>
      <c r="K32" s="11"/>
      <c r="L32" s="53">
        <f t="shared" si="3"/>
        <v>1</v>
      </c>
      <c r="M32" s="11">
        <v>104.43</v>
      </c>
      <c r="N32" s="11">
        <v>24.57</v>
      </c>
      <c r="O32" s="11">
        <v>12</v>
      </c>
      <c r="P32" s="11">
        <v>1.44</v>
      </c>
      <c r="Q32" s="11">
        <v>5</v>
      </c>
      <c r="R32" s="11"/>
      <c r="S32" s="11">
        <v>10</v>
      </c>
      <c r="T32" s="11">
        <v>10</v>
      </c>
      <c r="U32" s="11">
        <v>35</v>
      </c>
      <c r="V32" s="56" t="s">
        <v>1027</v>
      </c>
      <c r="W32" s="35" t="str">
        <f t="shared" si="2"/>
        <v>OK</v>
      </c>
      <c r="X32" s="38" t="str">
        <f t="shared" si="4"/>
        <v/>
      </c>
      <c r="Y32" s="3"/>
      <c r="Z32" s="116"/>
    </row>
    <row r="33" spans="1:26" ht="14.4" hidden="1" outlineLevel="1" x14ac:dyDescent="0.3">
      <c r="A33" s="3"/>
      <c r="B33" s="9" t="s">
        <v>452</v>
      </c>
      <c r="C33" s="53">
        <v>10</v>
      </c>
      <c r="D33" s="53" t="s">
        <v>95</v>
      </c>
      <c r="E33" s="11">
        <f t="shared" ref="E33:E51" si="12">SUM(M33:U33)</f>
        <v>234.01</v>
      </c>
      <c r="F33" s="92">
        <f t="shared" ref="F33:F42" si="13">E33</f>
        <v>234.01</v>
      </c>
      <c r="G33" s="58"/>
      <c r="H33" s="54" t="s">
        <v>38</v>
      </c>
      <c r="I33" s="54"/>
      <c r="J33" s="55"/>
      <c r="K33" s="11"/>
      <c r="L33" s="53" t="str">
        <f t="shared" si="3"/>
        <v/>
      </c>
      <c r="M33" s="11">
        <v>156</v>
      </c>
      <c r="N33" s="11">
        <v>24.57</v>
      </c>
      <c r="O33" s="11">
        <v>12</v>
      </c>
      <c r="P33" s="11">
        <v>1.44</v>
      </c>
      <c r="Q33" s="11">
        <v>5</v>
      </c>
      <c r="R33" s="11"/>
      <c r="S33" s="11"/>
      <c r="T33" s="11"/>
      <c r="U33" s="11">
        <v>35</v>
      </c>
      <c r="V33" s="56" t="s">
        <v>1027</v>
      </c>
      <c r="W33" s="35" t="str">
        <f t="shared" si="2"/>
        <v>OK</v>
      </c>
      <c r="X33" s="38" t="str">
        <f t="shared" si="4"/>
        <v/>
      </c>
      <c r="Y33" s="3"/>
      <c r="Z33" s="116"/>
    </row>
    <row r="34" spans="1:26" ht="14.4" hidden="1" outlineLevel="1" x14ac:dyDescent="0.3">
      <c r="A34" s="3"/>
      <c r="B34" s="9" t="s">
        <v>453</v>
      </c>
      <c r="C34" s="53">
        <v>10</v>
      </c>
      <c r="D34" s="53" t="s">
        <v>95</v>
      </c>
      <c r="E34" s="11">
        <f t="shared" si="12"/>
        <v>345.01</v>
      </c>
      <c r="F34" s="92">
        <f t="shared" si="13"/>
        <v>345.01</v>
      </c>
      <c r="G34" s="58"/>
      <c r="H34" s="54" t="s">
        <v>38</v>
      </c>
      <c r="I34" s="54"/>
      <c r="J34" s="55"/>
      <c r="K34" s="11"/>
      <c r="L34" s="53" t="str">
        <f t="shared" si="3"/>
        <v/>
      </c>
      <c r="M34" s="11">
        <v>156</v>
      </c>
      <c r="N34" s="11">
        <v>24.57</v>
      </c>
      <c r="O34" s="11">
        <v>12</v>
      </c>
      <c r="P34" s="11">
        <v>11.44</v>
      </c>
      <c r="Q34" s="11">
        <v>5</v>
      </c>
      <c r="R34" s="11">
        <v>10</v>
      </c>
      <c r="S34" s="11"/>
      <c r="T34" s="11"/>
      <c r="U34" s="11">
        <v>126</v>
      </c>
      <c r="V34" s="56" t="s">
        <v>1029</v>
      </c>
      <c r="W34" s="35" t="str">
        <f t="shared" si="2"/>
        <v>OK</v>
      </c>
      <c r="X34" s="38" t="str">
        <f t="shared" si="4"/>
        <v/>
      </c>
      <c r="Y34" s="3"/>
      <c r="Z34" s="116"/>
    </row>
    <row r="35" spans="1:26" ht="14.4" hidden="1" outlineLevel="1" x14ac:dyDescent="0.3">
      <c r="A35" s="3"/>
      <c r="B35" s="52" t="s">
        <v>454</v>
      </c>
      <c r="C35" s="53">
        <v>2</v>
      </c>
      <c r="D35" s="53" t="s">
        <v>95</v>
      </c>
      <c r="E35" s="11">
        <f t="shared" si="12"/>
        <v>483.4</v>
      </c>
      <c r="F35" s="92">
        <f t="shared" si="13"/>
        <v>483.4</v>
      </c>
      <c r="G35" s="58"/>
      <c r="H35" s="54" t="s">
        <v>37</v>
      </c>
      <c r="I35" s="54"/>
      <c r="J35" s="55"/>
      <c r="K35" s="11"/>
      <c r="L35" s="53" t="str">
        <f t="shared" si="3"/>
        <v/>
      </c>
      <c r="M35" s="11">
        <v>48.43</v>
      </c>
      <c r="N35" s="11">
        <v>24.57</v>
      </c>
      <c r="O35" s="11">
        <v>12</v>
      </c>
      <c r="P35" s="11">
        <v>2</v>
      </c>
      <c r="Q35" s="11">
        <v>0</v>
      </c>
      <c r="R35" s="11">
        <v>0</v>
      </c>
      <c r="S35" s="11"/>
      <c r="T35" s="11"/>
      <c r="U35" s="11">
        <v>396.4</v>
      </c>
      <c r="V35" s="56" t="s">
        <v>1032</v>
      </c>
      <c r="W35" s="35" t="str">
        <f t="shared" si="2"/>
        <v>OK</v>
      </c>
      <c r="X35" s="38" t="str">
        <f t="shared" si="4"/>
        <v/>
      </c>
      <c r="Y35" s="3"/>
      <c r="Z35" s="116"/>
    </row>
    <row r="36" spans="1:26" ht="14.4" hidden="1" outlineLevel="1" x14ac:dyDescent="0.3">
      <c r="A36" s="3"/>
      <c r="B36" s="9" t="s">
        <v>455</v>
      </c>
      <c r="C36" s="53">
        <v>2</v>
      </c>
      <c r="D36" s="53" t="s">
        <v>95</v>
      </c>
      <c r="E36" s="11">
        <f t="shared" si="12"/>
        <v>263.76</v>
      </c>
      <c r="F36" s="92">
        <f t="shared" si="13"/>
        <v>263.76</v>
      </c>
      <c r="G36" s="58"/>
      <c r="H36" s="54" t="s">
        <v>37</v>
      </c>
      <c r="I36" s="54"/>
      <c r="J36" s="55"/>
      <c r="K36" s="11"/>
      <c r="L36" s="53" t="str">
        <f t="shared" si="3"/>
        <v/>
      </c>
      <c r="M36" s="11">
        <v>132.19</v>
      </c>
      <c r="N36" s="11">
        <v>24.57</v>
      </c>
      <c r="O36" s="11">
        <v>12</v>
      </c>
      <c r="P36" s="11">
        <v>5</v>
      </c>
      <c r="Q36" s="11">
        <v>5</v>
      </c>
      <c r="R36" s="11">
        <v>10</v>
      </c>
      <c r="S36" s="11">
        <v>10</v>
      </c>
      <c r="T36" s="11">
        <v>30</v>
      </c>
      <c r="U36" s="11">
        <v>35</v>
      </c>
      <c r="V36" s="56" t="s">
        <v>1027</v>
      </c>
      <c r="W36" s="35" t="str">
        <f t="shared" si="2"/>
        <v>OK</v>
      </c>
      <c r="X36" s="38" t="str">
        <f t="shared" si="4"/>
        <v/>
      </c>
      <c r="Y36" s="3"/>
      <c r="Z36" s="116"/>
    </row>
    <row r="37" spans="1:26" ht="14.4" hidden="1" outlineLevel="1" x14ac:dyDescent="0.3">
      <c r="A37" s="3"/>
      <c r="B37" s="52" t="s">
        <v>456</v>
      </c>
      <c r="C37" s="53">
        <v>2</v>
      </c>
      <c r="D37" s="53" t="s">
        <v>95</v>
      </c>
      <c r="E37" s="11">
        <f t="shared" si="12"/>
        <v>444.81</v>
      </c>
      <c r="F37" s="92">
        <f t="shared" si="13"/>
        <v>444.81</v>
      </c>
      <c r="G37" s="58"/>
      <c r="H37" s="54" t="s">
        <v>37</v>
      </c>
      <c r="I37" s="54"/>
      <c r="J37" s="55"/>
      <c r="K37" s="11"/>
      <c r="L37" s="53" t="str">
        <f t="shared" si="3"/>
        <v/>
      </c>
      <c r="M37" s="11">
        <f>74.74-0.62+256.62</f>
        <v>330.74</v>
      </c>
      <c r="N37" s="11">
        <v>24.57</v>
      </c>
      <c r="O37" s="11">
        <v>12</v>
      </c>
      <c r="P37" s="11">
        <v>1.5</v>
      </c>
      <c r="Q37" s="11"/>
      <c r="R37" s="11"/>
      <c r="S37" s="11"/>
      <c r="T37" s="11"/>
      <c r="U37" s="11">
        <v>76</v>
      </c>
      <c r="V37" s="56" t="s">
        <v>1028</v>
      </c>
      <c r="W37" s="35" t="str">
        <f t="shared" si="2"/>
        <v>OK</v>
      </c>
      <c r="X37" s="38" t="str">
        <f t="shared" si="4"/>
        <v/>
      </c>
      <c r="Y37" s="3"/>
      <c r="Z37" s="116"/>
    </row>
    <row r="38" spans="1:26" ht="14.4" hidden="1" outlineLevel="1" x14ac:dyDescent="0.3">
      <c r="A38" s="3"/>
      <c r="B38" s="52" t="s">
        <v>457</v>
      </c>
      <c r="C38" s="53">
        <v>2</v>
      </c>
      <c r="D38" s="53" t="s">
        <v>95</v>
      </c>
      <c r="E38" s="11">
        <f t="shared" si="12"/>
        <v>147.81</v>
      </c>
      <c r="F38" s="92">
        <f t="shared" si="13"/>
        <v>147.81</v>
      </c>
      <c r="G38" s="58"/>
      <c r="H38" s="54" t="s">
        <v>37</v>
      </c>
      <c r="I38" s="54"/>
      <c r="J38" s="55"/>
      <c r="K38" s="11"/>
      <c r="L38" s="53" t="str">
        <f t="shared" si="3"/>
        <v/>
      </c>
      <c r="M38" s="11">
        <v>74.739999999999995</v>
      </c>
      <c r="N38" s="11">
        <v>24.57</v>
      </c>
      <c r="O38" s="11">
        <v>12</v>
      </c>
      <c r="P38" s="11">
        <v>1.5</v>
      </c>
      <c r="Q38" s="11"/>
      <c r="R38" s="11"/>
      <c r="S38" s="11"/>
      <c r="T38" s="11"/>
      <c r="U38" s="11">
        <v>35</v>
      </c>
      <c r="V38" s="56" t="s">
        <v>1027</v>
      </c>
      <c r="W38" s="35" t="str">
        <f t="shared" si="2"/>
        <v>OK</v>
      </c>
      <c r="X38" s="38" t="str">
        <f t="shared" si="4"/>
        <v/>
      </c>
      <c r="Y38" s="3"/>
      <c r="Z38" s="116"/>
    </row>
    <row r="39" spans="1:26" ht="14.4" hidden="1" outlineLevel="1" x14ac:dyDescent="0.3">
      <c r="A39" s="3"/>
      <c r="B39" s="9" t="s">
        <v>458</v>
      </c>
      <c r="C39" s="53">
        <v>2</v>
      </c>
      <c r="D39" s="53" t="s">
        <v>95</v>
      </c>
      <c r="E39" s="11">
        <f t="shared" si="12"/>
        <v>222.44</v>
      </c>
      <c r="F39" s="92">
        <f t="shared" si="13"/>
        <v>222.44</v>
      </c>
      <c r="G39" s="58"/>
      <c r="H39" s="54" t="s">
        <v>37</v>
      </c>
      <c r="I39" s="54"/>
      <c r="J39" s="55"/>
      <c r="K39" s="11"/>
      <c r="L39" s="53" t="str">
        <f t="shared" si="3"/>
        <v/>
      </c>
      <c r="M39" s="11">
        <v>103.43</v>
      </c>
      <c r="N39" s="11">
        <v>24.57</v>
      </c>
      <c r="O39" s="11">
        <v>12</v>
      </c>
      <c r="P39" s="11">
        <v>1.44</v>
      </c>
      <c r="Q39" s="11"/>
      <c r="R39" s="11">
        <v>5</v>
      </c>
      <c r="S39" s="11"/>
      <c r="T39" s="11"/>
      <c r="U39" s="11">
        <v>76</v>
      </c>
      <c r="V39" s="56" t="s">
        <v>1028</v>
      </c>
      <c r="W39" s="35" t="str">
        <f t="shared" si="2"/>
        <v>OK</v>
      </c>
      <c r="X39" s="38" t="str">
        <f t="shared" si="4"/>
        <v/>
      </c>
      <c r="Y39" s="3"/>
      <c r="Z39" s="116"/>
    </row>
    <row r="40" spans="1:26" ht="14.4" hidden="1" outlineLevel="1" x14ac:dyDescent="0.3">
      <c r="A40" s="3"/>
      <c r="B40" s="9" t="s">
        <v>459</v>
      </c>
      <c r="C40" s="53">
        <v>2</v>
      </c>
      <c r="D40" s="53" t="s">
        <v>95</v>
      </c>
      <c r="E40" s="11">
        <f t="shared" si="12"/>
        <v>186.44</v>
      </c>
      <c r="F40" s="92">
        <f t="shared" si="13"/>
        <v>186.44</v>
      </c>
      <c r="G40" s="58"/>
      <c r="H40" s="54" t="s">
        <v>37</v>
      </c>
      <c r="I40" s="54"/>
      <c r="J40" s="55"/>
      <c r="K40" s="11"/>
      <c r="L40" s="53" t="str">
        <f t="shared" si="3"/>
        <v/>
      </c>
      <c r="M40" s="11">
        <v>103.43</v>
      </c>
      <c r="N40" s="11">
        <v>24.57</v>
      </c>
      <c r="O40" s="11">
        <v>12</v>
      </c>
      <c r="P40" s="11">
        <v>1.44</v>
      </c>
      <c r="Q40" s="11">
        <v>5</v>
      </c>
      <c r="R40" s="11">
        <v>5</v>
      </c>
      <c r="S40" s="11"/>
      <c r="T40" s="11"/>
      <c r="U40" s="11">
        <v>35</v>
      </c>
      <c r="V40" s="56" t="s">
        <v>1027</v>
      </c>
      <c r="W40" s="35" t="str">
        <f t="shared" si="2"/>
        <v>OK</v>
      </c>
      <c r="X40" s="38" t="str">
        <f t="shared" si="4"/>
        <v/>
      </c>
      <c r="Y40" s="3"/>
      <c r="Z40" s="116"/>
    </row>
    <row r="41" spans="1:26" ht="14.4" hidden="1" outlineLevel="1" x14ac:dyDescent="0.3">
      <c r="A41" s="3"/>
      <c r="B41" s="9" t="s">
        <v>460</v>
      </c>
      <c r="C41" s="53">
        <v>2</v>
      </c>
      <c r="D41" s="53" t="s">
        <v>95</v>
      </c>
      <c r="E41" s="11">
        <f t="shared" si="12"/>
        <v>186.44</v>
      </c>
      <c r="F41" s="92">
        <f t="shared" si="13"/>
        <v>186.44</v>
      </c>
      <c r="G41" s="58"/>
      <c r="H41" s="54" t="s">
        <v>37</v>
      </c>
      <c r="I41" s="54"/>
      <c r="J41" s="55"/>
      <c r="K41" s="11"/>
      <c r="L41" s="53" t="str">
        <f t="shared" si="3"/>
        <v/>
      </c>
      <c r="M41" s="11">
        <v>103.43</v>
      </c>
      <c r="N41" s="11">
        <v>24.57</v>
      </c>
      <c r="O41" s="11">
        <v>12</v>
      </c>
      <c r="P41" s="11">
        <v>1.44</v>
      </c>
      <c r="Q41" s="11">
        <v>5</v>
      </c>
      <c r="R41" s="11">
        <v>5</v>
      </c>
      <c r="S41" s="11"/>
      <c r="T41" s="11"/>
      <c r="U41" s="11">
        <v>35</v>
      </c>
      <c r="V41" s="56" t="s">
        <v>1027</v>
      </c>
      <c r="W41" s="35" t="str">
        <f t="shared" si="2"/>
        <v>OK</v>
      </c>
      <c r="X41" s="38" t="str">
        <f t="shared" si="4"/>
        <v/>
      </c>
      <c r="Y41" s="3"/>
      <c r="Z41" s="116"/>
    </row>
    <row r="42" spans="1:26" ht="14.4" hidden="1" outlineLevel="1" x14ac:dyDescent="0.3">
      <c r="A42" s="3"/>
      <c r="B42" s="9" t="s">
        <v>461</v>
      </c>
      <c r="C42" s="53">
        <v>2</v>
      </c>
      <c r="D42" s="53" t="s">
        <v>95</v>
      </c>
      <c r="E42" s="11">
        <f t="shared" si="12"/>
        <v>104.59</v>
      </c>
      <c r="F42" s="92">
        <f t="shared" si="13"/>
        <v>104.59</v>
      </c>
      <c r="G42" s="58"/>
      <c r="H42" s="54" t="s">
        <v>37</v>
      </c>
      <c r="I42" s="54"/>
      <c r="J42" s="55"/>
      <c r="K42" s="11"/>
      <c r="L42" s="53" t="str">
        <f t="shared" si="3"/>
        <v/>
      </c>
      <c r="M42" s="11">
        <v>31.58</v>
      </c>
      <c r="N42" s="11">
        <v>24.57</v>
      </c>
      <c r="O42" s="11">
        <v>12</v>
      </c>
      <c r="P42" s="11">
        <v>1.44</v>
      </c>
      <c r="Q42" s="11"/>
      <c r="R42" s="11"/>
      <c r="S42" s="11"/>
      <c r="T42" s="11"/>
      <c r="U42" s="11">
        <v>35</v>
      </c>
      <c r="V42" s="56" t="s">
        <v>1027</v>
      </c>
      <c r="W42" s="35" t="str">
        <f t="shared" si="2"/>
        <v>OK</v>
      </c>
      <c r="X42" s="38" t="str">
        <f t="shared" si="4"/>
        <v/>
      </c>
      <c r="Y42" s="3"/>
      <c r="Z42" s="116"/>
    </row>
    <row r="43" spans="1:26" ht="14.4" hidden="1" outlineLevel="1" x14ac:dyDescent="0.3">
      <c r="A43" s="3"/>
      <c r="B43" s="52" t="s">
        <v>462</v>
      </c>
      <c r="C43" s="53"/>
      <c r="D43" s="53" t="s">
        <v>105</v>
      </c>
      <c r="E43" s="11">
        <f t="shared" si="12"/>
        <v>235</v>
      </c>
      <c r="F43" s="92">
        <v>0</v>
      </c>
      <c r="G43" s="58"/>
      <c r="H43" s="54"/>
      <c r="I43" s="54"/>
      <c r="J43" s="55"/>
      <c r="K43" s="11"/>
      <c r="L43" s="53" t="str">
        <f t="shared" si="3"/>
        <v/>
      </c>
      <c r="M43" s="11">
        <v>151.99</v>
      </c>
      <c r="N43" s="11">
        <v>24.57</v>
      </c>
      <c r="O43" s="11">
        <v>12</v>
      </c>
      <c r="P43" s="11">
        <v>1.44</v>
      </c>
      <c r="Q43" s="11"/>
      <c r="R43" s="11">
        <v>5</v>
      </c>
      <c r="S43" s="11">
        <v>5</v>
      </c>
      <c r="T43" s="11"/>
      <c r="U43" s="11">
        <v>35</v>
      </c>
      <c r="V43" s="56" t="s">
        <v>1027</v>
      </c>
      <c r="W43" s="35" t="str">
        <f t="shared" si="2"/>
        <v>Diferente</v>
      </c>
      <c r="X43" s="38">
        <f t="shared" si="4"/>
        <v>-235</v>
      </c>
      <c r="Y43" s="3"/>
      <c r="Z43" s="116"/>
    </row>
    <row r="44" spans="1:26" ht="14.4" hidden="1" outlineLevel="1" x14ac:dyDescent="0.3">
      <c r="A44" s="3"/>
      <c r="B44" s="9" t="s">
        <v>463</v>
      </c>
      <c r="C44" s="53"/>
      <c r="D44" s="53" t="s">
        <v>105</v>
      </c>
      <c r="E44" s="11">
        <f t="shared" si="12"/>
        <v>333.89</v>
      </c>
      <c r="F44" s="92">
        <v>0</v>
      </c>
      <c r="G44" s="58"/>
      <c r="H44" s="54"/>
      <c r="I44" s="54"/>
      <c r="J44" s="55"/>
      <c r="K44" s="11"/>
      <c r="L44" s="53" t="str">
        <f t="shared" si="3"/>
        <v/>
      </c>
      <c r="M44" s="11">
        <v>125.88</v>
      </c>
      <c r="N44" s="11">
        <v>24.57</v>
      </c>
      <c r="O44" s="11">
        <v>12</v>
      </c>
      <c r="P44" s="11">
        <v>1.44</v>
      </c>
      <c r="Q44" s="11">
        <v>5</v>
      </c>
      <c r="R44" s="11">
        <v>10</v>
      </c>
      <c r="S44" s="11">
        <v>20</v>
      </c>
      <c r="T44" s="11">
        <v>100</v>
      </c>
      <c r="U44" s="11">
        <v>35</v>
      </c>
      <c r="V44" s="56" t="s">
        <v>1027</v>
      </c>
      <c r="W44" s="35" t="str">
        <f t="shared" si="2"/>
        <v>Diferente</v>
      </c>
      <c r="X44" s="38">
        <f t="shared" si="4"/>
        <v>-333.89</v>
      </c>
      <c r="Y44" s="3"/>
      <c r="Z44" s="116"/>
    </row>
    <row r="45" spans="1:26" ht="14.4" hidden="1" outlineLevel="1" x14ac:dyDescent="0.3">
      <c r="A45" s="3"/>
      <c r="B45" s="9" t="s">
        <v>464</v>
      </c>
      <c r="C45" s="53"/>
      <c r="D45" s="53" t="s">
        <v>105</v>
      </c>
      <c r="E45" s="11">
        <f t="shared" si="12"/>
        <v>197.44</v>
      </c>
      <c r="F45" s="92">
        <v>0</v>
      </c>
      <c r="G45" s="58"/>
      <c r="H45" s="54"/>
      <c r="I45" s="54"/>
      <c r="J45" s="55"/>
      <c r="K45" s="11"/>
      <c r="L45" s="53" t="str">
        <f t="shared" si="3"/>
        <v/>
      </c>
      <c r="M45" s="11">
        <v>99.43</v>
      </c>
      <c r="N45" s="11">
        <v>24.57</v>
      </c>
      <c r="O45" s="11">
        <v>12</v>
      </c>
      <c r="P45" s="11">
        <v>1.44</v>
      </c>
      <c r="Q45" s="11">
        <v>5</v>
      </c>
      <c r="R45" s="11"/>
      <c r="S45" s="11">
        <v>20</v>
      </c>
      <c r="T45" s="11"/>
      <c r="U45" s="11">
        <v>35</v>
      </c>
      <c r="V45" s="56" t="s">
        <v>1027</v>
      </c>
      <c r="W45" s="35" t="str">
        <f t="shared" si="2"/>
        <v>Diferente</v>
      </c>
      <c r="X45" s="38">
        <f t="shared" si="4"/>
        <v>-197.44</v>
      </c>
      <c r="Y45" s="3"/>
      <c r="Z45" s="116"/>
    </row>
    <row r="46" spans="1:26" ht="14.4" hidden="1" outlineLevel="1" x14ac:dyDescent="0.3">
      <c r="A46" s="3"/>
      <c r="B46" s="52" t="s">
        <v>465</v>
      </c>
      <c r="C46" s="53">
        <v>2</v>
      </c>
      <c r="D46" s="53" t="s">
        <v>95</v>
      </c>
      <c r="E46" s="11">
        <f t="shared" si="12"/>
        <v>187</v>
      </c>
      <c r="F46" s="92">
        <f t="shared" ref="F46:F51" si="14">E46</f>
        <v>187</v>
      </c>
      <c r="G46" s="58"/>
      <c r="H46" s="54" t="s">
        <v>37</v>
      </c>
      <c r="I46" s="54"/>
      <c r="J46" s="55"/>
      <c r="K46" s="11"/>
      <c r="L46" s="53" t="str">
        <f t="shared" si="3"/>
        <v/>
      </c>
      <c r="M46" s="11">
        <v>93.43</v>
      </c>
      <c r="N46" s="11">
        <v>24.57</v>
      </c>
      <c r="O46" s="11">
        <v>12</v>
      </c>
      <c r="P46" s="11">
        <v>2</v>
      </c>
      <c r="Q46" s="11">
        <v>5</v>
      </c>
      <c r="R46" s="11">
        <v>5</v>
      </c>
      <c r="S46" s="11">
        <v>10</v>
      </c>
      <c r="T46" s="11"/>
      <c r="U46" s="11">
        <v>35</v>
      </c>
      <c r="V46" s="56" t="s">
        <v>1027</v>
      </c>
      <c r="W46" s="35" t="str">
        <f t="shared" si="2"/>
        <v>OK</v>
      </c>
      <c r="X46" s="38" t="str">
        <f t="shared" si="4"/>
        <v/>
      </c>
      <c r="Y46" s="3"/>
      <c r="Z46" s="116"/>
    </row>
    <row r="47" spans="1:26" ht="14.4" hidden="1" outlineLevel="1" x14ac:dyDescent="0.3">
      <c r="A47" s="3"/>
      <c r="B47" s="52" t="s">
        <v>466</v>
      </c>
      <c r="C47" s="53">
        <v>2</v>
      </c>
      <c r="D47" s="53" t="s">
        <v>95</v>
      </c>
      <c r="E47" s="11">
        <f t="shared" si="12"/>
        <v>92</v>
      </c>
      <c r="F47" s="92">
        <f t="shared" si="14"/>
        <v>92</v>
      </c>
      <c r="G47" s="58"/>
      <c r="H47" s="54" t="s">
        <v>37</v>
      </c>
      <c r="I47" s="54"/>
      <c r="J47" s="55"/>
      <c r="K47" s="11"/>
      <c r="L47" s="53" t="str">
        <f t="shared" si="3"/>
        <v/>
      </c>
      <c r="M47" s="11">
        <v>43.93</v>
      </c>
      <c r="N47" s="11">
        <v>24.57</v>
      </c>
      <c r="O47" s="11">
        <v>12</v>
      </c>
      <c r="P47" s="11">
        <v>1.5</v>
      </c>
      <c r="Q47" s="11"/>
      <c r="R47" s="11"/>
      <c r="S47" s="11">
        <v>5</v>
      </c>
      <c r="T47" s="11"/>
      <c r="U47" s="11">
        <v>5</v>
      </c>
      <c r="V47" s="56" t="s">
        <v>1033</v>
      </c>
      <c r="W47" s="35" t="str">
        <f t="shared" si="2"/>
        <v>OK</v>
      </c>
      <c r="X47" s="38" t="str">
        <f t="shared" si="4"/>
        <v/>
      </c>
      <c r="Y47" s="3"/>
      <c r="Z47" s="116"/>
    </row>
    <row r="48" spans="1:26" ht="14.4" hidden="1" outlineLevel="1" x14ac:dyDescent="0.3">
      <c r="A48" s="3"/>
      <c r="B48" s="9" t="s">
        <v>467</v>
      </c>
      <c r="C48" s="53">
        <v>2</v>
      </c>
      <c r="D48" s="53" t="s">
        <v>95</v>
      </c>
      <c r="E48" s="11">
        <f t="shared" si="12"/>
        <v>307.99</v>
      </c>
      <c r="F48" s="92">
        <f t="shared" si="14"/>
        <v>307.99</v>
      </c>
      <c r="G48" s="58"/>
      <c r="H48" s="54" t="s">
        <v>37</v>
      </c>
      <c r="I48" s="54"/>
      <c r="J48" s="55"/>
      <c r="K48" s="11"/>
      <c r="L48" s="53" t="str">
        <f t="shared" si="3"/>
        <v/>
      </c>
      <c r="M48" s="11">
        <v>118.98</v>
      </c>
      <c r="N48" s="11">
        <v>24.57</v>
      </c>
      <c r="O48" s="11">
        <v>12</v>
      </c>
      <c r="P48" s="11">
        <v>11.44</v>
      </c>
      <c r="Q48" s="11">
        <v>5</v>
      </c>
      <c r="R48" s="11">
        <v>10</v>
      </c>
      <c r="S48" s="11"/>
      <c r="T48" s="11"/>
      <c r="U48" s="11">
        <v>126</v>
      </c>
      <c r="V48" s="56" t="s">
        <v>1029</v>
      </c>
      <c r="W48" s="35" t="str">
        <f t="shared" si="2"/>
        <v>OK</v>
      </c>
      <c r="X48" s="38" t="str">
        <f t="shared" si="4"/>
        <v/>
      </c>
      <c r="Y48" s="3"/>
      <c r="Z48" s="116"/>
    </row>
    <row r="49" spans="1:26" ht="14.4" hidden="1" outlineLevel="1" x14ac:dyDescent="0.3">
      <c r="A49" s="3"/>
      <c r="B49" s="9" t="s">
        <v>468</v>
      </c>
      <c r="C49" s="53">
        <v>2</v>
      </c>
      <c r="D49" s="53" t="s">
        <v>95</v>
      </c>
      <c r="E49" s="11">
        <f t="shared" si="12"/>
        <v>128.74</v>
      </c>
      <c r="F49" s="92">
        <f t="shared" si="14"/>
        <v>128.74</v>
      </c>
      <c r="G49" s="58"/>
      <c r="H49" s="54" t="s">
        <v>37</v>
      </c>
      <c r="I49" s="54"/>
      <c r="J49" s="55"/>
      <c r="K49" s="11"/>
      <c r="L49" s="53" t="str">
        <f t="shared" si="3"/>
        <v/>
      </c>
      <c r="M49" s="11">
        <v>55.73</v>
      </c>
      <c r="N49" s="11">
        <v>24.57</v>
      </c>
      <c r="O49" s="11">
        <v>12</v>
      </c>
      <c r="P49" s="11">
        <v>1.44</v>
      </c>
      <c r="Q49" s="11"/>
      <c r="R49" s="11"/>
      <c r="S49" s="11"/>
      <c r="T49" s="11"/>
      <c r="U49" s="11">
        <v>35</v>
      </c>
      <c r="V49" s="56" t="s">
        <v>1027</v>
      </c>
      <c r="W49" s="35" t="str">
        <f t="shared" si="2"/>
        <v>OK</v>
      </c>
      <c r="X49" s="38" t="str">
        <f t="shared" si="4"/>
        <v/>
      </c>
      <c r="Y49" s="3"/>
      <c r="Z49" s="116"/>
    </row>
    <row r="50" spans="1:26" ht="14.4" hidden="1" outlineLevel="1" x14ac:dyDescent="0.3">
      <c r="A50" s="3"/>
      <c r="B50" s="52" t="s">
        <v>469</v>
      </c>
      <c r="C50" s="53">
        <v>2</v>
      </c>
      <c r="D50" s="53" t="s">
        <v>95</v>
      </c>
      <c r="E50" s="11">
        <f t="shared" si="12"/>
        <v>170.76</v>
      </c>
      <c r="F50" s="92">
        <f t="shared" si="14"/>
        <v>170.76</v>
      </c>
      <c r="G50" s="58"/>
      <c r="H50" s="54" t="s">
        <v>37</v>
      </c>
      <c r="I50" s="54"/>
      <c r="J50" s="55"/>
      <c r="K50" s="11"/>
      <c r="L50" s="53" t="str">
        <f t="shared" si="3"/>
        <v/>
      </c>
      <c r="M50" s="11">
        <v>58.19</v>
      </c>
      <c r="N50" s="11">
        <v>24.57</v>
      </c>
      <c r="O50" s="11">
        <v>12</v>
      </c>
      <c r="P50" s="11" t="s">
        <v>44</v>
      </c>
      <c r="Q50" s="11" t="s">
        <v>44</v>
      </c>
      <c r="R50" s="11" t="s">
        <v>44</v>
      </c>
      <c r="S50" s="11" t="s">
        <v>44</v>
      </c>
      <c r="T50" s="11"/>
      <c r="U50" s="11">
        <v>76</v>
      </c>
      <c r="V50" s="56" t="s">
        <v>1028</v>
      </c>
      <c r="W50" s="35" t="str">
        <f t="shared" si="2"/>
        <v>OK</v>
      </c>
      <c r="X50" s="38" t="str">
        <f t="shared" si="4"/>
        <v/>
      </c>
      <c r="Y50" s="3"/>
      <c r="Z50" s="116"/>
    </row>
    <row r="51" spans="1:26" ht="14.4" hidden="1" outlineLevel="1" x14ac:dyDescent="0.3">
      <c r="A51" s="3"/>
      <c r="B51" s="52" t="s">
        <v>470</v>
      </c>
      <c r="C51" s="53">
        <v>2</v>
      </c>
      <c r="D51" s="53" t="s">
        <v>95</v>
      </c>
      <c r="E51" s="11">
        <f t="shared" si="12"/>
        <v>105.45</v>
      </c>
      <c r="F51" s="92">
        <f t="shared" si="14"/>
        <v>105.45</v>
      </c>
      <c r="G51" s="58"/>
      <c r="H51" s="54" t="s">
        <v>37</v>
      </c>
      <c r="I51" s="54"/>
      <c r="J51" s="55"/>
      <c r="K51" s="11"/>
      <c r="L51" s="53" t="str">
        <f t="shared" si="3"/>
        <v/>
      </c>
      <c r="M51" s="11">
        <v>33.880000000000003</v>
      </c>
      <c r="N51" s="11">
        <v>24.57</v>
      </c>
      <c r="O51" s="11">
        <v>12</v>
      </c>
      <c r="P51" s="11" t="s">
        <v>44</v>
      </c>
      <c r="Q51" s="11"/>
      <c r="R51" s="11" t="s">
        <v>44</v>
      </c>
      <c r="S51" s="11"/>
      <c r="T51" s="11"/>
      <c r="U51" s="11">
        <v>35</v>
      </c>
      <c r="V51" s="56" t="s">
        <v>1027</v>
      </c>
      <c r="W51" s="35" t="str">
        <f t="shared" si="2"/>
        <v>OK</v>
      </c>
      <c r="X51" s="38" t="str">
        <f t="shared" si="4"/>
        <v/>
      </c>
      <c r="Y51" s="3"/>
      <c r="Z51" s="116"/>
    </row>
    <row r="52" spans="1:26" ht="14.4" hidden="1" outlineLevel="1" x14ac:dyDescent="0.3">
      <c r="A52" s="3"/>
      <c r="B52" s="9" t="s">
        <v>471</v>
      </c>
      <c r="C52" s="53">
        <v>26</v>
      </c>
      <c r="D52" s="53" t="s">
        <v>95</v>
      </c>
      <c r="E52" s="11">
        <v>267.69</v>
      </c>
      <c r="F52" s="92">
        <f t="shared" ref="F52:F53" si="15">SUM(M52:U52)</f>
        <v>510.38</v>
      </c>
      <c r="G52" s="58"/>
      <c r="H52" s="54" t="s">
        <v>37</v>
      </c>
      <c r="I52" s="54"/>
      <c r="J52" s="55"/>
      <c r="K52" s="11"/>
      <c r="L52" s="53">
        <f t="shared" si="3"/>
        <v>1</v>
      </c>
      <c r="M52" s="11">
        <f t="shared" ref="M52:M53" si="16">93.62*2</f>
        <v>187.24</v>
      </c>
      <c r="N52" s="11">
        <f t="shared" ref="N52:N53" si="17">24.57*2</f>
        <v>49.14</v>
      </c>
      <c r="O52" s="11">
        <f t="shared" ref="O52:O53" si="18">12*2</f>
        <v>24</v>
      </c>
      <c r="P52" s="11">
        <f t="shared" ref="P52:P53" si="19">1.5*2</f>
        <v>3</v>
      </c>
      <c r="Q52" s="11"/>
      <c r="R52" s="11"/>
      <c r="S52" s="11">
        <f>10*2</f>
        <v>20</v>
      </c>
      <c r="T52" s="11"/>
      <c r="U52" s="11">
        <f>126+50+35+16</f>
        <v>227</v>
      </c>
      <c r="V52" s="56" t="s">
        <v>1029</v>
      </c>
      <c r="W52" s="35" t="str">
        <f t="shared" si="2"/>
        <v>OK</v>
      </c>
      <c r="X52" s="38" t="str">
        <f t="shared" si="4"/>
        <v/>
      </c>
      <c r="Y52" s="3"/>
      <c r="Z52" s="116"/>
    </row>
    <row r="53" spans="1:26" ht="14.4" hidden="1" outlineLevel="1" x14ac:dyDescent="0.3">
      <c r="A53" s="3"/>
      <c r="B53" s="9" t="s">
        <v>473</v>
      </c>
      <c r="C53" s="53">
        <v>26</v>
      </c>
      <c r="D53" s="53" t="s">
        <v>95</v>
      </c>
      <c r="E53" s="11">
        <v>166.69</v>
      </c>
      <c r="F53" s="92">
        <f t="shared" si="15"/>
        <v>333.38</v>
      </c>
      <c r="G53" s="58"/>
      <c r="H53" s="54" t="s">
        <v>37</v>
      </c>
      <c r="I53" s="54"/>
      <c r="J53" s="55"/>
      <c r="K53" s="11"/>
      <c r="L53" s="53">
        <f t="shared" si="3"/>
        <v>1</v>
      </c>
      <c r="M53" s="11">
        <f t="shared" si="16"/>
        <v>187.24</v>
      </c>
      <c r="N53" s="11">
        <f t="shared" si="17"/>
        <v>49.14</v>
      </c>
      <c r="O53" s="11">
        <f t="shared" si="18"/>
        <v>24</v>
      </c>
      <c r="P53" s="11">
        <f t="shared" si="19"/>
        <v>3</v>
      </c>
      <c r="Q53" s="11"/>
      <c r="R53" s="11"/>
      <c r="S53" s="11"/>
      <c r="T53" s="11"/>
      <c r="U53" s="11">
        <v>70</v>
      </c>
      <c r="V53" s="56" t="s">
        <v>1027</v>
      </c>
      <c r="W53" s="35" t="str">
        <f t="shared" si="2"/>
        <v>OK</v>
      </c>
      <c r="X53" s="38" t="str">
        <f t="shared" si="4"/>
        <v/>
      </c>
      <c r="Y53" s="3"/>
      <c r="Z53" s="116"/>
    </row>
    <row r="54" spans="1:26" ht="14.4" hidden="1" outlineLevel="1" x14ac:dyDescent="0.3">
      <c r="A54" s="3"/>
      <c r="B54" s="52" t="s">
        <v>474</v>
      </c>
      <c r="C54" s="53">
        <v>9</v>
      </c>
      <c r="D54" s="53" t="s">
        <v>95</v>
      </c>
      <c r="E54" s="11">
        <f t="shared" ref="E54:E63" si="20">SUM(M54:U54)</f>
        <v>217.44</v>
      </c>
      <c r="F54" s="92">
        <f t="shared" ref="F54:F56" si="21">E54</f>
        <v>217.44</v>
      </c>
      <c r="G54" s="58"/>
      <c r="H54" s="54" t="s">
        <v>37</v>
      </c>
      <c r="I54" s="54"/>
      <c r="J54" s="55"/>
      <c r="K54" s="11"/>
      <c r="L54" s="53" t="str">
        <f t="shared" si="3"/>
        <v/>
      </c>
      <c r="M54" s="11">
        <v>139.43</v>
      </c>
      <c r="N54" s="11">
        <v>24.57</v>
      </c>
      <c r="O54" s="11">
        <v>12</v>
      </c>
      <c r="P54" s="11">
        <v>1.44</v>
      </c>
      <c r="Q54" s="11">
        <v>5</v>
      </c>
      <c r="R54" s="11"/>
      <c r="S54" s="11"/>
      <c r="T54" s="11"/>
      <c r="U54" s="11">
        <v>35</v>
      </c>
      <c r="V54" s="56" t="s">
        <v>1027</v>
      </c>
      <c r="W54" s="35" t="str">
        <f t="shared" si="2"/>
        <v>OK</v>
      </c>
      <c r="X54" s="38" t="str">
        <f t="shared" si="4"/>
        <v/>
      </c>
      <c r="Y54" s="3"/>
      <c r="Z54" s="116"/>
    </row>
    <row r="55" spans="1:26" ht="14.4" hidden="1" outlineLevel="1" x14ac:dyDescent="0.3">
      <c r="A55" s="3"/>
      <c r="B55" s="9" t="s">
        <v>475</v>
      </c>
      <c r="C55" s="53">
        <v>3</v>
      </c>
      <c r="D55" s="53" t="s">
        <v>95</v>
      </c>
      <c r="E55" s="11">
        <f t="shared" si="20"/>
        <v>322.28999999999996</v>
      </c>
      <c r="F55" s="92">
        <f t="shared" si="21"/>
        <v>322.28999999999996</v>
      </c>
      <c r="G55" s="58"/>
      <c r="H55" s="54" t="s">
        <v>37</v>
      </c>
      <c r="I55" s="54"/>
      <c r="J55" s="55"/>
      <c r="K55" s="11"/>
      <c r="L55" s="53" t="str">
        <f t="shared" si="3"/>
        <v/>
      </c>
      <c r="M55" s="11">
        <v>98.28</v>
      </c>
      <c r="N55" s="11">
        <v>24.57</v>
      </c>
      <c r="O55" s="11">
        <v>12</v>
      </c>
      <c r="P55" s="11">
        <v>1.44</v>
      </c>
      <c r="Q55" s="11"/>
      <c r="R55" s="11">
        <v>10</v>
      </c>
      <c r="S55" s="11"/>
      <c r="T55" s="11">
        <v>100</v>
      </c>
      <c r="U55" s="11">
        <v>76</v>
      </c>
      <c r="V55" s="56" t="s">
        <v>1028</v>
      </c>
      <c r="W55" s="35" t="str">
        <f t="shared" si="2"/>
        <v>OK</v>
      </c>
      <c r="X55" s="38" t="str">
        <f t="shared" si="4"/>
        <v/>
      </c>
      <c r="Y55" s="3"/>
      <c r="Z55" s="116"/>
    </row>
    <row r="56" spans="1:26" ht="14.4" hidden="1" outlineLevel="1" x14ac:dyDescent="0.3">
      <c r="A56" s="3"/>
      <c r="B56" s="9" t="s">
        <v>477</v>
      </c>
      <c r="C56" s="53">
        <v>3</v>
      </c>
      <c r="D56" s="53" t="s">
        <v>95</v>
      </c>
      <c r="E56" s="11">
        <f t="shared" si="20"/>
        <v>181.29</v>
      </c>
      <c r="F56" s="92">
        <f t="shared" si="21"/>
        <v>181.29</v>
      </c>
      <c r="G56" s="58"/>
      <c r="H56" s="54" t="s">
        <v>37</v>
      </c>
      <c r="I56" s="54"/>
      <c r="J56" s="55"/>
      <c r="K56" s="11"/>
      <c r="L56" s="53" t="str">
        <f t="shared" si="3"/>
        <v/>
      </c>
      <c r="M56" s="11">
        <v>98.28</v>
      </c>
      <c r="N56" s="11">
        <v>24.57</v>
      </c>
      <c r="O56" s="11">
        <v>12</v>
      </c>
      <c r="P56" s="11">
        <v>1.44</v>
      </c>
      <c r="Q56" s="11"/>
      <c r="R56" s="11">
        <v>10</v>
      </c>
      <c r="S56" s="11"/>
      <c r="T56" s="11"/>
      <c r="U56" s="11">
        <v>35</v>
      </c>
      <c r="V56" s="56" t="s">
        <v>1027</v>
      </c>
      <c r="W56" s="35" t="str">
        <f t="shared" si="2"/>
        <v>OK</v>
      </c>
      <c r="X56" s="38" t="str">
        <f t="shared" si="4"/>
        <v/>
      </c>
      <c r="Y56" s="3"/>
      <c r="Z56" s="116"/>
    </row>
    <row r="57" spans="1:26" ht="14.4" hidden="1" outlineLevel="1" x14ac:dyDescent="0.3">
      <c r="A57" s="3"/>
      <c r="B57" s="52" t="s">
        <v>478</v>
      </c>
      <c r="C57" s="53"/>
      <c r="D57" s="53" t="s">
        <v>105</v>
      </c>
      <c r="E57" s="11">
        <f t="shared" si="20"/>
        <v>92</v>
      </c>
      <c r="F57" s="92">
        <v>0</v>
      </c>
      <c r="G57" s="58"/>
      <c r="H57" s="54"/>
      <c r="I57" s="54"/>
      <c r="J57" s="55"/>
      <c r="K57" s="11"/>
      <c r="L57" s="53" t="str">
        <f t="shared" si="3"/>
        <v/>
      </c>
      <c r="M57" s="11">
        <v>13.93</v>
      </c>
      <c r="N57" s="11">
        <v>24.57</v>
      </c>
      <c r="O57" s="11">
        <v>12</v>
      </c>
      <c r="P57" s="11">
        <v>1.5</v>
      </c>
      <c r="Q57" s="11">
        <v>5</v>
      </c>
      <c r="R57" s="11"/>
      <c r="S57" s="11"/>
      <c r="T57" s="11"/>
      <c r="U57" s="11">
        <v>35</v>
      </c>
      <c r="V57" s="56" t="s">
        <v>1027</v>
      </c>
      <c r="W57" s="35" t="str">
        <f t="shared" si="2"/>
        <v>Diferente</v>
      </c>
      <c r="X57" s="38">
        <f t="shared" si="4"/>
        <v>-92</v>
      </c>
      <c r="Y57" s="3"/>
      <c r="Z57" s="116"/>
    </row>
    <row r="58" spans="1:26" ht="14.4" hidden="1" outlineLevel="1" x14ac:dyDescent="0.3">
      <c r="A58" s="3"/>
      <c r="B58" s="9" t="s">
        <v>479</v>
      </c>
      <c r="C58" s="53">
        <v>5</v>
      </c>
      <c r="D58" s="53" t="s">
        <v>95</v>
      </c>
      <c r="E58" s="11">
        <f t="shared" si="20"/>
        <v>216.5</v>
      </c>
      <c r="F58" s="92">
        <f t="shared" ref="F58:F60" si="22">E58</f>
        <v>216.5</v>
      </c>
      <c r="G58" s="58"/>
      <c r="H58" s="54" t="s">
        <v>37</v>
      </c>
      <c r="I58" s="54"/>
      <c r="J58" s="55"/>
      <c r="K58" s="11"/>
      <c r="L58" s="53" t="str">
        <f t="shared" si="3"/>
        <v/>
      </c>
      <c r="M58" s="11">
        <v>93.43</v>
      </c>
      <c r="N58" s="11">
        <v>24.57</v>
      </c>
      <c r="O58" s="11">
        <v>12</v>
      </c>
      <c r="P58" s="11">
        <v>1.5</v>
      </c>
      <c r="Q58" s="11"/>
      <c r="R58" s="11">
        <v>0</v>
      </c>
      <c r="S58" s="11">
        <v>4</v>
      </c>
      <c r="T58" s="11">
        <v>5</v>
      </c>
      <c r="U58" s="11">
        <v>76</v>
      </c>
      <c r="V58" s="56" t="s">
        <v>1028</v>
      </c>
      <c r="W58" s="35" t="str">
        <f t="shared" si="2"/>
        <v>OK</v>
      </c>
      <c r="X58" s="38" t="str">
        <f t="shared" si="4"/>
        <v/>
      </c>
      <c r="Y58" s="3"/>
      <c r="Z58" s="116"/>
    </row>
    <row r="59" spans="1:26" ht="14.4" hidden="1" outlineLevel="1" x14ac:dyDescent="0.3">
      <c r="A59" s="3"/>
      <c r="B59" s="9" t="s">
        <v>480</v>
      </c>
      <c r="C59" s="53">
        <v>5</v>
      </c>
      <c r="D59" s="53" t="s">
        <v>95</v>
      </c>
      <c r="E59" s="11">
        <f t="shared" si="20"/>
        <v>174.5</v>
      </c>
      <c r="F59" s="92">
        <f t="shared" si="22"/>
        <v>174.5</v>
      </c>
      <c r="G59" s="58"/>
      <c r="H59" s="54" t="s">
        <v>37</v>
      </c>
      <c r="I59" s="54"/>
      <c r="J59" s="55"/>
      <c r="K59" s="11"/>
      <c r="L59" s="53" t="str">
        <f t="shared" si="3"/>
        <v/>
      </c>
      <c r="M59" s="11">
        <v>93.43</v>
      </c>
      <c r="N59" s="11">
        <v>24.57</v>
      </c>
      <c r="O59" s="11">
        <v>12</v>
      </c>
      <c r="P59" s="11">
        <v>1.5</v>
      </c>
      <c r="Q59" s="11"/>
      <c r="R59" s="11">
        <v>0</v>
      </c>
      <c r="S59" s="11">
        <v>3</v>
      </c>
      <c r="T59" s="11">
        <v>5</v>
      </c>
      <c r="U59" s="11">
        <v>35</v>
      </c>
      <c r="V59" s="56" t="s">
        <v>1027</v>
      </c>
      <c r="W59" s="35" t="str">
        <f t="shared" si="2"/>
        <v>OK</v>
      </c>
      <c r="X59" s="38" t="str">
        <f t="shared" si="4"/>
        <v/>
      </c>
      <c r="Y59" s="3"/>
      <c r="Z59" s="116"/>
    </row>
    <row r="60" spans="1:26" ht="14.4" hidden="1" outlineLevel="1" x14ac:dyDescent="0.3">
      <c r="A60" s="3"/>
      <c r="B60" s="52" t="s">
        <v>481</v>
      </c>
      <c r="C60" s="53">
        <v>2</v>
      </c>
      <c r="D60" s="53" t="s">
        <v>95</v>
      </c>
      <c r="E60" s="11">
        <f t="shared" si="20"/>
        <v>100</v>
      </c>
      <c r="F60" s="92">
        <f t="shared" si="22"/>
        <v>100</v>
      </c>
      <c r="G60" s="58"/>
      <c r="H60" s="54" t="s">
        <v>37</v>
      </c>
      <c r="I60" s="54"/>
      <c r="J60" s="55"/>
      <c r="K60" s="11"/>
      <c r="L60" s="53" t="str">
        <f t="shared" si="3"/>
        <v/>
      </c>
      <c r="M60" s="11">
        <v>61.93</v>
      </c>
      <c r="N60" s="11">
        <v>24.57</v>
      </c>
      <c r="O60" s="11">
        <v>12</v>
      </c>
      <c r="P60" s="11">
        <v>1.5</v>
      </c>
      <c r="Q60" s="11"/>
      <c r="R60" s="11"/>
      <c r="S60" s="11"/>
      <c r="T60" s="11"/>
      <c r="U60" s="11"/>
      <c r="V60" s="56"/>
      <c r="W60" s="35" t="str">
        <f t="shared" si="2"/>
        <v>OK</v>
      </c>
      <c r="X60" s="38" t="str">
        <f t="shared" si="4"/>
        <v/>
      </c>
      <c r="Y60" s="3"/>
      <c r="Z60" s="116"/>
    </row>
    <row r="61" spans="1:26" ht="14.4" hidden="1" outlineLevel="1" x14ac:dyDescent="0.3">
      <c r="A61" s="3"/>
      <c r="B61" s="9" t="s">
        <v>482</v>
      </c>
      <c r="C61" s="53"/>
      <c r="D61" s="53" t="s">
        <v>105</v>
      </c>
      <c r="E61" s="11">
        <f t="shared" si="20"/>
        <v>97.37</v>
      </c>
      <c r="F61" s="92">
        <v>0</v>
      </c>
      <c r="G61" s="58"/>
      <c r="H61" s="54"/>
      <c r="I61" s="54"/>
      <c r="J61" s="55"/>
      <c r="K61" s="11"/>
      <c r="L61" s="53" t="str">
        <f t="shared" si="3"/>
        <v/>
      </c>
      <c r="M61" s="11">
        <v>19.36</v>
      </c>
      <c r="N61" s="11">
        <v>24.57</v>
      </c>
      <c r="O61" s="11">
        <v>12</v>
      </c>
      <c r="P61" s="11">
        <v>1.44</v>
      </c>
      <c r="Q61" s="11">
        <v>5</v>
      </c>
      <c r="R61" s="11"/>
      <c r="S61" s="11"/>
      <c r="T61" s="11"/>
      <c r="U61" s="11">
        <v>35</v>
      </c>
      <c r="V61" s="56" t="s">
        <v>1027</v>
      </c>
      <c r="W61" s="35" t="str">
        <f t="shared" si="2"/>
        <v>Diferente</v>
      </c>
      <c r="X61" s="38">
        <f t="shared" si="4"/>
        <v>-97.37</v>
      </c>
      <c r="Y61" s="3"/>
      <c r="Z61" s="116"/>
    </row>
    <row r="62" spans="1:26" ht="14.4" hidden="1" outlineLevel="1" x14ac:dyDescent="0.3">
      <c r="A62" s="3"/>
      <c r="B62" s="52" t="s">
        <v>483</v>
      </c>
      <c r="C62" s="53"/>
      <c r="D62" s="53" t="s">
        <v>105</v>
      </c>
      <c r="E62" s="11">
        <f t="shared" si="20"/>
        <v>107.75</v>
      </c>
      <c r="F62" s="92">
        <v>0</v>
      </c>
      <c r="G62" s="58"/>
      <c r="H62" s="54"/>
      <c r="I62" s="54"/>
      <c r="J62" s="55"/>
      <c r="K62" s="11"/>
      <c r="L62" s="53" t="str">
        <f t="shared" si="3"/>
        <v/>
      </c>
      <c r="M62" s="11">
        <v>29.74</v>
      </c>
      <c r="N62" s="11">
        <v>24.57</v>
      </c>
      <c r="O62" s="11">
        <v>12</v>
      </c>
      <c r="P62" s="11">
        <v>1.44</v>
      </c>
      <c r="Q62" s="11">
        <v>5</v>
      </c>
      <c r="R62" s="11"/>
      <c r="S62" s="11"/>
      <c r="T62" s="11"/>
      <c r="U62" s="11">
        <v>35</v>
      </c>
      <c r="V62" s="56" t="s">
        <v>1027</v>
      </c>
      <c r="W62" s="35" t="str">
        <f t="shared" si="2"/>
        <v>Diferente</v>
      </c>
      <c r="X62" s="38">
        <f t="shared" si="4"/>
        <v>-107.75</v>
      </c>
      <c r="Y62" s="3"/>
      <c r="Z62" s="116"/>
    </row>
    <row r="63" spans="1:26" ht="14.4" hidden="1" outlineLevel="1" x14ac:dyDescent="0.3">
      <c r="A63" s="3"/>
      <c r="B63" s="52" t="s">
        <v>484</v>
      </c>
      <c r="C63" s="53"/>
      <c r="D63" s="53" t="s">
        <v>105</v>
      </c>
      <c r="E63" s="11">
        <f t="shared" si="20"/>
        <v>108</v>
      </c>
      <c r="F63" s="92">
        <v>0</v>
      </c>
      <c r="G63" s="58"/>
      <c r="H63" s="54"/>
      <c r="I63" s="54"/>
      <c r="J63" s="55"/>
      <c r="K63" s="11"/>
      <c r="L63" s="53" t="str">
        <f t="shared" si="3"/>
        <v/>
      </c>
      <c r="M63" s="11">
        <v>29.93</v>
      </c>
      <c r="N63" s="11">
        <v>24.57</v>
      </c>
      <c r="O63" s="11">
        <v>12</v>
      </c>
      <c r="P63" s="11">
        <v>1.5</v>
      </c>
      <c r="Q63" s="11">
        <v>5</v>
      </c>
      <c r="R63" s="11"/>
      <c r="S63" s="11"/>
      <c r="T63" s="11"/>
      <c r="U63" s="11">
        <v>35</v>
      </c>
      <c r="V63" s="56" t="s">
        <v>1027</v>
      </c>
      <c r="W63" s="35" t="str">
        <f t="shared" si="2"/>
        <v>Diferente</v>
      </c>
      <c r="X63" s="38">
        <f t="shared" si="4"/>
        <v>-108</v>
      </c>
      <c r="Y63" s="3"/>
      <c r="Z63" s="116"/>
    </row>
    <row r="64" spans="1:26" ht="14.4" hidden="1" outlineLevel="1" x14ac:dyDescent="0.3">
      <c r="A64" s="3"/>
      <c r="B64" s="9" t="s">
        <v>485</v>
      </c>
      <c r="C64" s="53">
        <v>12</v>
      </c>
      <c r="D64" s="53" t="s">
        <v>95</v>
      </c>
      <c r="E64" s="11">
        <v>135</v>
      </c>
      <c r="F64" s="92">
        <f>SUM(M64:U64)</f>
        <v>491</v>
      </c>
      <c r="G64" s="58"/>
      <c r="H64" s="54" t="s">
        <v>37</v>
      </c>
      <c r="I64" s="54"/>
      <c r="J64" s="55"/>
      <c r="K64" s="11"/>
      <c r="L64" s="53" t="str">
        <f t="shared" si="3"/>
        <v/>
      </c>
      <c r="M64" s="11">
        <f>61.99*3</f>
        <v>185.97</v>
      </c>
      <c r="N64" s="11">
        <f>24.57*3</f>
        <v>73.710000000000008</v>
      </c>
      <c r="O64" s="11">
        <f>12*3</f>
        <v>36</v>
      </c>
      <c r="P64" s="11">
        <f>1.44*3</f>
        <v>4.32</v>
      </c>
      <c r="Q64" s="11"/>
      <c r="R64" s="11"/>
      <c r="S64" s="11"/>
      <c r="T64" s="11"/>
      <c r="U64" s="11">
        <f>70+121</f>
        <v>191</v>
      </c>
      <c r="V64" s="56" t="s">
        <v>1027</v>
      </c>
      <c r="W64" s="35" t="str">
        <f t="shared" si="2"/>
        <v>OK</v>
      </c>
      <c r="X64" s="38" t="str">
        <f t="shared" si="4"/>
        <v/>
      </c>
      <c r="Y64" s="3"/>
      <c r="Z64" s="116"/>
    </row>
    <row r="65" spans="1:26" ht="14.4" hidden="1" outlineLevel="1" x14ac:dyDescent="0.3">
      <c r="A65" s="3"/>
      <c r="B65" s="52" t="s">
        <v>489</v>
      </c>
      <c r="C65" s="53"/>
      <c r="D65" s="53" t="s">
        <v>105</v>
      </c>
      <c r="E65" s="11">
        <f t="shared" ref="E65:E74" si="23">SUM(M65:U65)</f>
        <v>214.07</v>
      </c>
      <c r="F65" s="92">
        <v>0</v>
      </c>
      <c r="G65" s="58"/>
      <c r="H65" s="54"/>
      <c r="I65" s="54"/>
      <c r="J65" s="55"/>
      <c r="K65" s="11"/>
      <c r="L65" s="53" t="str">
        <f t="shared" si="3"/>
        <v/>
      </c>
      <c r="M65" s="11">
        <v>100</v>
      </c>
      <c r="N65" s="11">
        <v>24.57</v>
      </c>
      <c r="O65" s="11">
        <v>12</v>
      </c>
      <c r="P65" s="11">
        <v>1.5</v>
      </c>
      <c r="Q65" s="11"/>
      <c r="R65" s="11"/>
      <c r="S65" s="11"/>
      <c r="T65" s="11"/>
      <c r="U65" s="11">
        <v>76</v>
      </c>
      <c r="V65" s="56" t="s">
        <v>1028</v>
      </c>
      <c r="W65" s="35" t="str">
        <f t="shared" si="2"/>
        <v>Diferente</v>
      </c>
      <c r="X65" s="38">
        <f t="shared" si="4"/>
        <v>-214.07</v>
      </c>
      <c r="Y65" s="3"/>
      <c r="Z65" s="116"/>
    </row>
    <row r="66" spans="1:26" ht="14.4" hidden="1" outlineLevel="1" x14ac:dyDescent="0.3">
      <c r="A66" s="3"/>
      <c r="B66" s="9" t="s">
        <v>490</v>
      </c>
      <c r="C66" s="53">
        <v>3</v>
      </c>
      <c r="D66" s="53" t="s">
        <v>95</v>
      </c>
      <c r="E66" s="11">
        <f t="shared" si="23"/>
        <v>344.82</v>
      </c>
      <c r="F66" s="92">
        <f t="shared" ref="F66:F68" si="24">E66</f>
        <v>344.82</v>
      </c>
      <c r="G66" s="58"/>
      <c r="H66" s="54" t="s">
        <v>37</v>
      </c>
      <c r="I66" s="54"/>
      <c r="J66" s="55"/>
      <c r="K66" s="11"/>
      <c r="L66" s="53" t="str">
        <f t="shared" si="3"/>
        <v/>
      </c>
      <c r="M66" s="11">
        <v>122.25</v>
      </c>
      <c r="N66" s="11">
        <v>24.57</v>
      </c>
      <c r="O66" s="11">
        <v>12</v>
      </c>
      <c r="P66" s="11">
        <v>10</v>
      </c>
      <c r="Q66" s="11">
        <v>5</v>
      </c>
      <c r="R66" s="11">
        <v>5</v>
      </c>
      <c r="S66" s="11">
        <v>15</v>
      </c>
      <c r="T66" s="11">
        <v>25</v>
      </c>
      <c r="U66" s="11">
        <v>126</v>
      </c>
      <c r="V66" s="56" t="s">
        <v>1029</v>
      </c>
      <c r="W66" s="35" t="str">
        <f t="shared" si="2"/>
        <v>OK</v>
      </c>
      <c r="X66" s="38" t="str">
        <f t="shared" si="4"/>
        <v/>
      </c>
      <c r="Y66" s="3"/>
      <c r="Z66" s="116"/>
    </row>
    <row r="67" spans="1:26" ht="14.4" hidden="1" outlineLevel="1" x14ac:dyDescent="0.3">
      <c r="A67" s="3"/>
      <c r="B67" s="9" t="s">
        <v>491</v>
      </c>
      <c r="C67" s="53">
        <v>3</v>
      </c>
      <c r="D67" s="53" t="s">
        <v>95</v>
      </c>
      <c r="E67" s="11">
        <f t="shared" si="23"/>
        <v>253.82</v>
      </c>
      <c r="F67" s="92">
        <f t="shared" si="24"/>
        <v>253.82</v>
      </c>
      <c r="G67" s="58"/>
      <c r="H67" s="54" t="s">
        <v>37</v>
      </c>
      <c r="I67" s="54"/>
      <c r="J67" s="55"/>
      <c r="K67" s="11"/>
      <c r="L67" s="53" t="str">
        <f t="shared" si="3"/>
        <v/>
      </c>
      <c r="M67" s="11">
        <v>122.25</v>
      </c>
      <c r="N67" s="11">
        <v>24.57</v>
      </c>
      <c r="O67" s="11">
        <v>12</v>
      </c>
      <c r="P67" s="11">
        <v>10</v>
      </c>
      <c r="Q67" s="11">
        <v>5</v>
      </c>
      <c r="R67" s="11">
        <v>5</v>
      </c>
      <c r="S67" s="11">
        <v>15</v>
      </c>
      <c r="T67" s="11">
        <v>25</v>
      </c>
      <c r="U67" s="11">
        <v>35</v>
      </c>
      <c r="V67" s="56" t="s">
        <v>1027</v>
      </c>
      <c r="W67" s="35" t="str">
        <f t="shared" si="2"/>
        <v>OK</v>
      </c>
      <c r="X67" s="38" t="str">
        <f t="shared" si="4"/>
        <v/>
      </c>
      <c r="Y67" s="3"/>
      <c r="Z67" s="116"/>
    </row>
    <row r="68" spans="1:26" ht="14.4" hidden="1" outlineLevel="1" x14ac:dyDescent="0.3">
      <c r="A68" s="3"/>
      <c r="B68" s="52" t="s">
        <v>492</v>
      </c>
      <c r="C68" s="53">
        <v>3</v>
      </c>
      <c r="D68" s="53" t="s">
        <v>95</v>
      </c>
      <c r="E68" s="11">
        <f t="shared" si="23"/>
        <v>216.44</v>
      </c>
      <c r="F68" s="92">
        <f t="shared" si="24"/>
        <v>216.44</v>
      </c>
      <c r="G68" s="58"/>
      <c r="H68" s="54" t="s">
        <v>37</v>
      </c>
      <c r="I68" s="54"/>
      <c r="J68" s="55"/>
      <c r="K68" s="11"/>
      <c r="L68" s="53" t="str">
        <f t="shared" si="3"/>
        <v/>
      </c>
      <c r="M68" s="11">
        <v>113.43</v>
      </c>
      <c r="N68" s="11">
        <v>24.57</v>
      </c>
      <c r="O68" s="11">
        <v>12</v>
      </c>
      <c r="P68" s="11">
        <v>1.44</v>
      </c>
      <c r="Q68" s="11">
        <v>5</v>
      </c>
      <c r="R68" s="11">
        <v>20</v>
      </c>
      <c r="S68" s="11">
        <v>5</v>
      </c>
      <c r="T68" s="11"/>
      <c r="U68" s="11">
        <v>35</v>
      </c>
      <c r="V68" s="56" t="s">
        <v>1027</v>
      </c>
      <c r="W68" s="35" t="str">
        <f t="shared" si="2"/>
        <v>OK</v>
      </c>
      <c r="X68" s="38" t="str">
        <f t="shared" si="4"/>
        <v/>
      </c>
      <c r="Y68" s="3"/>
      <c r="Z68" s="116"/>
    </row>
    <row r="69" spans="1:26" ht="14.4" hidden="1" outlineLevel="1" x14ac:dyDescent="0.3">
      <c r="A69" s="3"/>
      <c r="B69" s="9" t="s">
        <v>493</v>
      </c>
      <c r="C69" s="53"/>
      <c r="D69" s="53" t="s">
        <v>105</v>
      </c>
      <c r="E69" s="11">
        <f t="shared" si="23"/>
        <v>100.67</v>
      </c>
      <c r="F69" s="92">
        <v>0</v>
      </c>
      <c r="G69" s="58"/>
      <c r="H69" s="54"/>
      <c r="I69" s="54"/>
      <c r="J69" s="55"/>
      <c r="K69" s="11"/>
      <c r="L69" s="53" t="str">
        <f t="shared" si="3"/>
        <v/>
      </c>
      <c r="M69" s="11">
        <v>27.66</v>
      </c>
      <c r="N69" s="11">
        <v>24.57</v>
      </c>
      <c r="O69" s="11">
        <v>12</v>
      </c>
      <c r="P69" s="11">
        <v>1.44</v>
      </c>
      <c r="Q69" s="11"/>
      <c r="R69" s="11"/>
      <c r="S69" s="11"/>
      <c r="T69" s="11"/>
      <c r="U69" s="11">
        <v>35</v>
      </c>
      <c r="V69" s="56" t="s">
        <v>1027</v>
      </c>
      <c r="W69" s="35" t="str">
        <f t="shared" si="2"/>
        <v>Diferente</v>
      </c>
      <c r="X69" s="38">
        <f t="shared" si="4"/>
        <v>-100.67</v>
      </c>
      <c r="Y69" s="3"/>
      <c r="Z69" s="116"/>
    </row>
    <row r="70" spans="1:26" ht="14.4" hidden="1" outlineLevel="1" x14ac:dyDescent="0.3">
      <c r="A70" s="3"/>
      <c r="B70" s="52" t="s">
        <v>494</v>
      </c>
      <c r="C70" s="53">
        <v>9</v>
      </c>
      <c r="D70" s="53" t="s">
        <v>95</v>
      </c>
      <c r="E70" s="11">
        <f t="shared" si="23"/>
        <v>155</v>
      </c>
      <c r="F70" s="92">
        <f>E70</f>
        <v>155</v>
      </c>
      <c r="G70" s="58"/>
      <c r="H70" s="54" t="s">
        <v>37</v>
      </c>
      <c r="I70" s="54"/>
      <c r="J70" s="55"/>
      <c r="K70" s="11"/>
      <c r="L70" s="53" t="str">
        <f t="shared" si="3"/>
        <v/>
      </c>
      <c r="M70" s="11">
        <v>81.93</v>
      </c>
      <c r="N70" s="11">
        <v>24.57</v>
      </c>
      <c r="O70" s="11">
        <v>12</v>
      </c>
      <c r="P70" s="11">
        <v>1.5</v>
      </c>
      <c r="Q70" s="11"/>
      <c r="R70" s="11"/>
      <c r="S70" s="11"/>
      <c r="T70" s="11"/>
      <c r="U70" s="11">
        <v>35</v>
      </c>
      <c r="V70" s="56" t="s">
        <v>1027</v>
      </c>
      <c r="W70" s="35" t="str">
        <f t="shared" si="2"/>
        <v>OK</v>
      </c>
      <c r="X70" s="38" t="str">
        <f t="shared" si="4"/>
        <v/>
      </c>
      <c r="Y70" s="3"/>
      <c r="Z70" s="116"/>
    </row>
    <row r="71" spans="1:26" ht="14.4" hidden="1" outlineLevel="1" x14ac:dyDescent="0.3">
      <c r="A71" s="3"/>
      <c r="B71" s="9" t="s">
        <v>495</v>
      </c>
      <c r="C71" s="53"/>
      <c r="D71" s="53" t="s">
        <v>105</v>
      </c>
      <c r="E71" s="11">
        <f t="shared" si="23"/>
        <v>87</v>
      </c>
      <c r="F71" s="92">
        <v>0</v>
      </c>
      <c r="G71" s="58"/>
      <c r="H71" s="54"/>
      <c r="I71" s="54"/>
      <c r="J71" s="55"/>
      <c r="K71" s="11"/>
      <c r="L71" s="53" t="str">
        <f t="shared" si="3"/>
        <v/>
      </c>
      <c r="M71" s="11">
        <v>13.93</v>
      </c>
      <c r="N71" s="11">
        <v>24.57</v>
      </c>
      <c r="O71" s="11">
        <v>12</v>
      </c>
      <c r="P71" s="11">
        <v>1.5</v>
      </c>
      <c r="Q71" s="11"/>
      <c r="R71" s="11"/>
      <c r="S71" s="11"/>
      <c r="T71" s="11"/>
      <c r="U71" s="11">
        <v>35</v>
      </c>
      <c r="V71" s="56" t="s">
        <v>1027</v>
      </c>
      <c r="W71" s="35" t="str">
        <f t="shared" si="2"/>
        <v>Diferente</v>
      </c>
      <c r="X71" s="38">
        <f t="shared" si="4"/>
        <v>-87</v>
      </c>
      <c r="Y71" s="3"/>
      <c r="Z71" s="116"/>
    </row>
    <row r="72" spans="1:26" ht="14.4" hidden="1" outlineLevel="1" x14ac:dyDescent="0.3">
      <c r="A72" s="3"/>
      <c r="B72" s="9" t="s">
        <v>496</v>
      </c>
      <c r="C72" s="53"/>
      <c r="D72" s="53" t="s">
        <v>105</v>
      </c>
      <c r="E72" s="11">
        <f t="shared" si="23"/>
        <v>87</v>
      </c>
      <c r="F72" s="92">
        <v>0</v>
      </c>
      <c r="G72" s="58"/>
      <c r="H72" s="54"/>
      <c r="I72" s="54"/>
      <c r="J72" s="55"/>
      <c r="K72" s="11"/>
      <c r="L72" s="53" t="str">
        <f t="shared" si="3"/>
        <v/>
      </c>
      <c r="M72" s="11">
        <v>13.93</v>
      </c>
      <c r="N72" s="11">
        <v>24.57</v>
      </c>
      <c r="O72" s="11">
        <v>12</v>
      </c>
      <c r="P72" s="11">
        <v>1.5</v>
      </c>
      <c r="Q72" s="11"/>
      <c r="R72" s="11"/>
      <c r="S72" s="11"/>
      <c r="T72" s="11"/>
      <c r="U72" s="11">
        <v>35</v>
      </c>
      <c r="V72" s="56" t="s">
        <v>1027</v>
      </c>
      <c r="W72" s="35" t="str">
        <f t="shared" si="2"/>
        <v>Diferente</v>
      </c>
      <c r="X72" s="38">
        <f t="shared" si="4"/>
        <v>-87</v>
      </c>
      <c r="Y72" s="3"/>
      <c r="Z72" s="116"/>
    </row>
    <row r="73" spans="1:26" ht="14.4" hidden="1" outlineLevel="1" x14ac:dyDescent="0.3">
      <c r="A73" s="3"/>
      <c r="B73" s="52" t="s">
        <v>497</v>
      </c>
      <c r="C73" s="53">
        <v>10</v>
      </c>
      <c r="D73" s="53" t="s">
        <v>95</v>
      </c>
      <c r="E73" s="11">
        <f t="shared" si="23"/>
        <v>135</v>
      </c>
      <c r="F73" s="92">
        <f t="shared" ref="F73:F74" si="25">E73</f>
        <v>135</v>
      </c>
      <c r="G73" s="58"/>
      <c r="H73" s="54" t="s">
        <v>37</v>
      </c>
      <c r="I73" s="54"/>
      <c r="J73" s="55"/>
      <c r="K73" s="11"/>
      <c r="L73" s="53" t="str">
        <f t="shared" si="3"/>
        <v/>
      </c>
      <c r="M73" s="11">
        <v>56.93</v>
      </c>
      <c r="N73" s="11">
        <v>24.57</v>
      </c>
      <c r="O73" s="11">
        <v>12</v>
      </c>
      <c r="P73" s="11">
        <v>1.5</v>
      </c>
      <c r="Q73" s="11">
        <v>5</v>
      </c>
      <c r="R73" s="11"/>
      <c r="S73" s="11"/>
      <c r="T73" s="11"/>
      <c r="U73" s="11">
        <v>35</v>
      </c>
      <c r="V73" s="56" t="s">
        <v>1027</v>
      </c>
      <c r="W73" s="35" t="str">
        <f t="shared" si="2"/>
        <v>OK</v>
      </c>
      <c r="X73" s="38" t="str">
        <f t="shared" si="4"/>
        <v/>
      </c>
      <c r="Y73" s="3"/>
      <c r="Z73" s="116"/>
    </row>
    <row r="74" spans="1:26" ht="14.4" hidden="1" outlineLevel="1" x14ac:dyDescent="0.3">
      <c r="A74" s="3"/>
      <c r="B74" s="9" t="s">
        <v>498</v>
      </c>
      <c r="C74" s="53">
        <v>10</v>
      </c>
      <c r="D74" s="53" t="s">
        <v>95</v>
      </c>
      <c r="E74" s="11">
        <f t="shared" si="23"/>
        <v>235</v>
      </c>
      <c r="F74" s="92">
        <f t="shared" si="25"/>
        <v>235</v>
      </c>
      <c r="G74" s="58"/>
      <c r="H74" s="54" t="s">
        <v>37</v>
      </c>
      <c r="I74" s="54"/>
      <c r="J74" s="55"/>
      <c r="K74" s="11"/>
      <c r="L74" s="53" t="str">
        <f t="shared" si="3"/>
        <v/>
      </c>
      <c r="M74" s="11">
        <v>148.43</v>
      </c>
      <c r="N74" s="11">
        <v>24.57</v>
      </c>
      <c r="O74" s="11">
        <v>12</v>
      </c>
      <c r="P74" s="11">
        <v>5</v>
      </c>
      <c r="Q74" s="11">
        <v>10</v>
      </c>
      <c r="R74" s="11"/>
      <c r="S74" s="11"/>
      <c r="T74" s="11"/>
      <c r="U74" s="11">
        <v>35</v>
      </c>
      <c r="V74" s="56" t="s">
        <v>1027</v>
      </c>
      <c r="W74" s="35" t="str">
        <f t="shared" si="2"/>
        <v>OK</v>
      </c>
      <c r="X74" s="38" t="str">
        <f t="shared" si="4"/>
        <v/>
      </c>
      <c r="Y74" s="3"/>
      <c r="Z74" s="116"/>
    </row>
    <row r="75" spans="1:26" ht="14.4" hidden="1" outlineLevel="1" x14ac:dyDescent="0.3">
      <c r="A75" s="3"/>
      <c r="B75" s="52" t="s">
        <v>499</v>
      </c>
      <c r="C75" s="53">
        <v>2</v>
      </c>
      <c r="D75" s="53" t="s">
        <v>95</v>
      </c>
      <c r="E75" s="11">
        <v>92.39</v>
      </c>
      <c r="F75" s="92">
        <f>SUM(M75:U75)</f>
        <v>338.56</v>
      </c>
      <c r="G75" s="58"/>
      <c r="H75" s="54" t="s">
        <v>37</v>
      </c>
      <c r="I75" s="54"/>
      <c r="J75" s="55"/>
      <c r="K75" s="11"/>
      <c r="L75" s="53" t="str">
        <f t="shared" si="3"/>
        <v/>
      </c>
      <c r="M75" s="11">
        <f>19.32*4</f>
        <v>77.28</v>
      </c>
      <c r="N75" s="11">
        <f>24.57*4</f>
        <v>98.28</v>
      </c>
      <c r="O75" s="11">
        <f>12*4</f>
        <v>48</v>
      </c>
      <c r="P75" s="11">
        <f>1.5*4</f>
        <v>6</v>
      </c>
      <c r="Q75" s="11"/>
      <c r="R75" s="11"/>
      <c r="S75" s="11"/>
      <c r="T75" s="11"/>
      <c r="U75" s="11">
        <f>70+39</f>
        <v>109</v>
      </c>
      <c r="V75" s="56" t="s">
        <v>1027</v>
      </c>
      <c r="W75" s="35" t="str">
        <f t="shared" si="2"/>
        <v>OK</v>
      </c>
      <c r="X75" s="38" t="str">
        <f t="shared" si="4"/>
        <v/>
      </c>
      <c r="Y75" s="3"/>
      <c r="Z75" s="116"/>
    </row>
    <row r="76" spans="1:26" ht="14.4" hidden="1" outlineLevel="1" x14ac:dyDescent="0.3">
      <c r="A76" s="3"/>
      <c r="B76" s="9" t="s">
        <v>500</v>
      </c>
      <c r="C76" s="53"/>
      <c r="D76" s="53" t="s">
        <v>105</v>
      </c>
      <c r="E76" s="11">
        <f t="shared" ref="E76:E105" si="26">SUM(M76:U76)</f>
        <v>102.74000000000001</v>
      </c>
      <c r="F76" s="92">
        <v>0</v>
      </c>
      <c r="G76" s="58"/>
      <c r="H76" s="54"/>
      <c r="I76" s="54"/>
      <c r="J76" s="55"/>
      <c r="K76" s="11"/>
      <c r="L76" s="53" t="str">
        <f t="shared" si="3"/>
        <v/>
      </c>
      <c r="M76" s="11">
        <v>29.67</v>
      </c>
      <c r="N76" s="11">
        <v>24.57</v>
      </c>
      <c r="O76" s="11">
        <v>12</v>
      </c>
      <c r="P76" s="11">
        <v>1.5</v>
      </c>
      <c r="Q76" s="11"/>
      <c r="R76" s="11"/>
      <c r="S76" s="11"/>
      <c r="T76" s="11"/>
      <c r="U76" s="11">
        <v>35</v>
      </c>
      <c r="V76" s="56" t="s">
        <v>1027</v>
      </c>
      <c r="W76" s="35" t="str">
        <f t="shared" si="2"/>
        <v>Diferente</v>
      </c>
      <c r="X76" s="38">
        <f t="shared" si="4"/>
        <v>-102.74000000000001</v>
      </c>
      <c r="Y76" s="3"/>
      <c r="Z76" s="116"/>
    </row>
    <row r="77" spans="1:26" ht="14.4" hidden="1" outlineLevel="1" x14ac:dyDescent="0.3">
      <c r="A77" s="3"/>
      <c r="B77" s="52" t="s">
        <v>501</v>
      </c>
      <c r="C77" s="53">
        <v>25</v>
      </c>
      <c r="D77" s="53" t="s">
        <v>95</v>
      </c>
      <c r="E77" s="11">
        <f t="shared" si="26"/>
        <v>170.43</v>
      </c>
      <c r="F77" s="92">
        <f t="shared" ref="F77:F80" si="27">E77</f>
        <v>170.43</v>
      </c>
      <c r="G77" s="58"/>
      <c r="H77" s="54" t="s">
        <v>37</v>
      </c>
      <c r="I77" s="54"/>
      <c r="J77" s="55"/>
      <c r="K77" s="11"/>
      <c r="L77" s="53">
        <f t="shared" si="3"/>
        <v>1</v>
      </c>
      <c r="M77" s="11">
        <v>50.86</v>
      </c>
      <c r="N77" s="11">
        <v>24.57</v>
      </c>
      <c r="O77" s="11">
        <v>12</v>
      </c>
      <c r="P77" s="11">
        <v>2</v>
      </c>
      <c r="Q77" s="11">
        <v>5</v>
      </c>
      <c r="R77" s="11"/>
      <c r="S77" s="11"/>
      <c r="T77" s="11"/>
      <c r="U77" s="11">
        <v>76</v>
      </c>
      <c r="V77" s="56" t="s">
        <v>1028</v>
      </c>
      <c r="W77" s="35" t="str">
        <f t="shared" si="2"/>
        <v>OK</v>
      </c>
      <c r="X77" s="38" t="str">
        <f t="shared" si="4"/>
        <v/>
      </c>
      <c r="Y77" s="3"/>
      <c r="Z77" s="116"/>
    </row>
    <row r="78" spans="1:26" ht="14.4" hidden="1" outlineLevel="1" x14ac:dyDescent="0.3">
      <c r="A78" s="3"/>
      <c r="B78" s="52" t="s">
        <v>502</v>
      </c>
      <c r="C78" s="53">
        <v>25</v>
      </c>
      <c r="D78" s="53" t="s">
        <v>95</v>
      </c>
      <c r="E78" s="11">
        <f t="shared" si="26"/>
        <v>128.57</v>
      </c>
      <c r="F78" s="92">
        <f t="shared" si="27"/>
        <v>128.57</v>
      </c>
      <c r="G78" s="58"/>
      <c r="H78" s="54" t="s">
        <v>37</v>
      </c>
      <c r="I78" s="54"/>
      <c r="J78" s="55"/>
      <c r="K78" s="11"/>
      <c r="L78" s="53">
        <f t="shared" si="3"/>
        <v>1</v>
      </c>
      <c r="M78" s="11">
        <v>50</v>
      </c>
      <c r="N78" s="11">
        <v>24.57</v>
      </c>
      <c r="O78" s="11">
        <v>12</v>
      </c>
      <c r="P78" s="11">
        <v>2</v>
      </c>
      <c r="Q78" s="11">
        <v>5</v>
      </c>
      <c r="R78" s="11"/>
      <c r="S78" s="11"/>
      <c r="T78" s="11"/>
      <c r="U78" s="11">
        <v>35</v>
      </c>
      <c r="V78" s="56" t="s">
        <v>1027</v>
      </c>
      <c r="W78" s="35" t="str">
        <f t="shared" si="2"/>
        <v>OK</v>
      </c>
      <c r="X78" s="38" t="str">
        <f t="shared" si="4"/>
        <v/>
      </c>
      <c r="Y78" s="3"/>
      <c r="Z78" s="116"/>
    </row>
    <row r="79" spans="1:26" ht="14.4" hidden="1" outlineLevel="1" x14ac:dyDescent="0.3">
      <c r="A79" s="3"/>
      <c r="B79" s="9" t="s">
        <v>503</v>
      </c>
      <c r="C79" s="53">
        <v>3</v>
      </c>
      <c r="D79" s="53" t="s">
        <v>95</v>
      </c>
      <c r="E79" s="11">
        <f t="shared" si="26"/>
        <v>166.69</v>
      </c>
      <c r="F79" s="92">
        <f t="shared" si="27"/>
        <v>166.69</v>
      </c>
      <c r="G79" s="58"/>
      <c r="H79" s="54" t="s">
        <v>37</v>
      </c>
      <c r="I79" s="54"/>
      <c r="J79" s="55"/>
      <c r="K79" s="11"/>
      <c r="L79" s="53" t="str">
        <f t="shared" si="3"/>
        <v/>
      </c>
      <c r="M79" s="11">
        <v>93.62</v>
      </c>
      <c r="N79" s="11">
        <v>24.57</v>
      </c>
      <c r="O79" s="11">
        <v>12</v>
      </c>
      <c r="P79" s="11">
        <v>1.5</v>
      </c>
      <c r="Q79" s="11"/>
      <c r="R79" s="11"/>
      <c r="S79" s="11"/>
      <c r="T79" s="11"/>
      <c r="U79" s="11">
        <v>35</v>
      </c>
      <c r="V79" s="56" t="s">
        <v>1027</v>
      </c>
      <c r="W79" s="35" t="str">
        <f t="shared" si="2"/>
        <v>OK</v>
      </c>
      <c r="X79" s="38" t="str">
        <f t="shared" si="4"/>
        <v/>
      </c>
      <c r="Y79" s="3"/>
      <c r="Z79" s="116"/>
    </row>
    <row r="80" spans="1:26" ht="14.4" hidden="1" outlineLevel="1" x14ac:dyDescent="0.3">
      <c r="A80" s="3"/>
      <c r="B80" s="9" t="s">
        <v>504</v>
      </c>
      <c r="C80" s="53">
        <v>3</v>
      </c>
      <c r="D80" s="53" t="s">
        <v>95</v>
      </c>
      <c r="E80" s="11">
        <f t="shared" si="26"/>
        <v>166.69</v>
      </c>
      <c r="F80" s="92">
        <f t="shared" si="27"/>
        <v>166.69</v>
      </c>
      <c r="G80" s="58"/>
      <c r="H80" s="54" t="s">
        <v>37</v>
      </c>
      <c r="I80" s="54"/>
      <c r="J80" s="55"/>
      <c r="K80" s="11"/>
      <c r="L80" s="53" t="str">
        <f t="shared" si="3"/>
        <v/>
      </c>
      <c r="M80" s="11">
        <v>93.62</v>
      </c>
      <c r="N80" s="11">
        <v>24.57</v>
      </c>
      <c r="O80" s="11">
        <v>12</v>
      </c>
      <c r="P80" s="11">
        <v>1.5</v>
      </c>
      <c r="Q80" s="11"/>
      <c r="R80" s="11"/>
      <c r="S80" s="11"/>
      <c r="T80" s="11"/>
      <c r="U80" s="11">
        <v>35</v>
      </c>
      <c r="V80" s="56" t="s">
        <v>1027</v>
      </c>
      <c r="W80" s="35" t="str">
        <f t="shared" si="2"/>
        <v>OK</v>
      </c>
      <c r="X80" s="38" t="str">
        <f t="shared" si="4"/>
        <v/>
      </c>
      <c r="Y80" s="3"/>
      <c r="Z80" s="116"/>
    </row>
    <row r="81" spans="1:26" ht="14.4" hidden="1" outlineLevel="1" x14ac:dyDescent="0.3">
      <c r="A81" s="3"/>
      <c r="B81" s="52" t="s">
        <v>505</v>
      </c>
      <c r="C81" s="53">
        <v>8</v>
      </c>
      <c r="D81" s="53" t="s">
        <v>95</v>
      </c>
      <c r="E81" s="11">
        <f t="shared" si="26"/>
        <v>228.91</v>
      </c>
      <c r="F81" s="92">
        <f t="shared" ref="F81:F82" si="28">SUM(M81:U81)</f>
        <v>228.91</v>
      </c>
      <c r="G81" s="58"/>
      <c r="H81" s="54" t="s">
        <v>37</v>
      </c>
      <c r="I81" s="54"/>
      <c r="J81" s="55"/>
      <c r="K81" s="11"/>
      <c r="L81" s="53" t="str">
        <f t="shared" si="3"/>
        <v/>
      </c>
      <c r="M81" s="11">
        <f>100+50.34</f>
        <v>150.34</v>
      </c>
      <c r="N81" s="11">
        <v>24.57</v>
      </c>
      <c r="O81" s="11">
        <v>12</v>
      </c>
      <c r="P81" s="11">
        <v>2</v>
      </c>
      <c r="Q81" s="11"/>
      <c r="R81" s="11"/>
      <c r="S81" s="11">
        <v>5</v>
      </c>
      <c r="T81" s="11"/>
      <c r="U81" s="11">
        <v>35</v>
      </c>
      <c r="V81" s="56" t="s">
        <v>1027</v>
      </c>
      <c r="W81" s="35" t="str">
        <f t="shared" si="2"/>
        <v>OK</v>
      </c>
      <c r="X81" s="38" t="str">
        <f t="shared" si="4"/>
        <v/>
      </c>
      <c r="Y81" s="3"/>
      <c r="Z81" s="116"/>
    </row>
    <row r="82" spans="1:26" ht="14.4" hidden="1" outlineLevel="1" x14ac:dyDescent="0.3">
      <c r="A82" s="3"/>
      <c r="B82" s="52" t="s">
        <v>507</v>
      </c>
      <c r="C82" s="53">
        <v>8</v>
      </c>
      <c r="D82" s="53" t="s">
        <v>95</v>
      </c>
      <c r="E82" s="11">
        <f t="shared" si="26"/>
        <v>228.89999999999998</v>
      </c>
      <c r="F82" s="92">
        <f t="shared" si="28"/>
        <v>228.89999999999998</v>
      </c>
      <c r="G82" s="58"/>
      <c r="H82" s="54" t="s">
        <v>37</v>
      </c>
      <c r="I82" s="54"/>
      <c r="J82" s="55"/>
      <c r="K82" s="11"/>
      <c r="L82" s="53" t="str">
        <f t="shared" si="3"/>
        <v/>
      </c>
      <c r="M82" s="11">
        <f>100+50.33</f>
        <v>150.32999999999998</v>
      </c>
      <c r="N82" s="11">
        <v>24.57</v>
      </c>
      <c r="O82" s="11">
        <v>12</v>
      </c>
      <c r="P82" s="11">
        <v>2</v>
      </c>
      <c r="Q82" s="11"/>
      <c r="R82" s="11"/>
      <c r="S82" s="11">
        <v>5</v>
      </c>
      <c r="T82" s="11"/>
      <c r="U82" s="11">
        <v>35</v>
      </c>
      <c r="V82" s="56" t="s">
        <v>1027</v>
      </c>
      <c r="W82" s="35" t="str">
        <f t="shared" si="2"/>
        <v>OK</v>
      </c>
      <c r="X82" s="38" t="str">
        <f t="shared" si="4"/>
        <v/>
      </c>
      <c r="Y82" s="3"/>
      <c r="Z82" s="116"/>
    </row>
    <row r="83" spans="1:26" ht="14.4" hidden="1" outlineLevel="1" x14ac:dyDescent="0.3">
      <c r="A83" s="3"/>
      <c r="B83" s="9" t="s">
        <v>508</v>
      </c>
      <c r="C83" s="53">
        <v>8</v>
      </c>
      <c r="D83" s="53" t="s">
        <v>95</v>
      </c>
      <c r="E83" s="11">
        <f t="shared" si="26"/>
        <v>326</v>
      </c>
      <c r="F83" s="92">
        <f t="shared" ref="F83:F85" si="29">E83</f>
        <v>326</v>
      </c>
      <c r="G83" s="58"/>
      <c r="H83" s="54" t="s">
        <v>37</v>
      </c>
      <c r="I83" s="54"/>
      <c r="J83" s="55"/>
      <c r="K83" s="11"/>
      <c r="L83" s="53" t="str">
        <f t="shared" si="3"/>
        <v/>
      </c>
      <c r="M83" s="11">
        <v>196.43</v>
      </c>
      <c r="N83" s="11">
        <v>24.57</v>
      </c>
      <c r="O83" s="11">
        <v>12</v>
      </c>
      <c r="P83" s="11">
        <v>2</v>
      </c>
      <c r="Q83" s="11"/>
      <c r="R83" s="11"/>
      <c r="S83" s="11">
        <v>5</v>
      </c>
      <c r="T83" s="11">
        <v>10</v>
      </c>
      <c r="U83" s="11">
        <v>76</v>
      </c>
      <c r="V83" s="56" t="s">
        <v>1028</v>
      </c>
      <c r="W83" s="35" t="str">
        <f t="shared" si="2"/>
        <v>OK</v>
      </c>
      <c r="X83" s="38" t="str">
        <f t="shared" si="4"/>
        <v/>
      </c>
      <c r="Y83" s="3"/>
      <c r="Z83" s="116"/>
    </row>
    <row r="84" spans="1:26" ht="14.4" hidden="1" outlineLevel="1" x14ac:dyDescent="0.3">
      <c r="A84" s="3"/>
      <c r="B84" s="52" t="s">
        <v>509</v>
      </c>
      <c r="C84" s="53">
        <v>7</v>
      </c>
      <c r="D84" s="53" t="s">
        <v>95</v>
      </c>
      <c r="E84" s="11">
        <f t="shared" si="26"/>
        <v>323</v>
      </c>
      <c r="F84" s="92">
        <f t="shared" si="29"/>
        <v>323</v>
      </c>
      <c r="G84" s="58"/>
      <c r="H84" s="54" t="s">
        <v>37</v>
      </c>
      <c r="I84" s="54"/>
      <c r="J84" s="55"/>
      <c r="K84" s="11"/>
      <c r="L84" s="53" t="str">
        <f t="shared" si="3"/>
        <v/>
      </c>
      <c r="M84" s="11">
        <v>138.43</v>
      </c>
      <c r="N84" s="11">
        <v>24.57</v>
      </c>
      <c r="O84" s="11">
        <v>12</v>
      </c>
      <c r="P84" s="11">
        <v>2</v>
      </c>
      <c r="Q84" s="11">
        <v>5</v>
      </c>
      <c r="R84" s="11">
        <v>5</v>
      </c>
      <c r="S84" s="11">
        <v>10</v>
      </c>
      <c r="T84" s="11"/>
      <c r="U84" s="11">
        <v>126</v>
      </c>
      <c r="V84" s="56" t="s">
        <v>1029</v>
      </c>
      <c r="W84" s="35" t="str">
        <f t="shared" si="2"/>
        <v>OK</v>
      </c>
      <c r="X84" s="38" t="str">
        <f t="shared" si="4"/>
        <v/>
      </c>
      <c r="Y84" s="3"/>
      <c r="Z84" s="116"/>
    </row>
    <row r="85" spans="1:26" ht="14.4" hidden="1" outlineLevel="1" x14ac:dyDescent="0.3">
      <c r="A85" s="3"/>
      <c r="B85" s="52" t="s">
        <v>510</v>
      </c>
      <c r="C85" s="53">
        <v>7</v>
      </c>
      <c r="D85" s="53" t="s">
        <v>95</v>
      </c>
      <c r="E85" s="11">
        <f t="shared" si="26"/>
        <v>232</v>
      </c>
      <c r="F85" s="92">
        <f t="shared" si="29"/>
        <v>232</v>
      </c>
      <c r="G85" s="58"/>
      <c r="H85" s="54" t="s">
        <v>37</v>
      </c>
      <c r="I85" s="54"/>
      <c r="J85" s="55"/>
      <c r="K85" s="11"/>
      <c r="L85" s="53" t="str">
        <f t="shared" si="3"/>
        <v/>
      </c>
      <c r="M85" s="11">
        <v>138.43</v>
      </c>
      <c r="N85" s="11">
        <v>24.57</v>
      </c>
      <c r="O85" s="11">
        <v>12</v>
      </c>
      <c r="P85" s="11">
        <v>2</v>
      </c>
      <c r="Q85" s="11">
        <v>5</v>
      </c>
      <c r="R85" s="11">
        <v>5</v>
      </c>
      <c r="S85" s="11">
        <v>10</v>
      </c>
      <c r="T85" s="11"/>
      <c r="U85" s="11">
        <v>35</v>
      </c>
      <c r="V85" s="56" t="s">
        <v>1027</v>
      </c>
      <c r="W85" s="35" t="str">
        <f t="shared" si="2"/>
        <v>OK</v>
      </c>
      <c r="X85" s="38" t="str">
        <f t="shared" si="4"/>
        <v/>
      </c>
      <c r="Y85" s="3"/>
      <c r="Z85" s="116"/>
    </row>
    <row r="86" spans="1:26" ht="14.4" hidden="1" outlineLevel="1" x14ac:dyDescent="0.3">
      <c r="A86" s="3"/>
      <c r="B86" s="9" t="s">
        <v>511</v>
      </c>
      <c r="C86" s="53"/>
      <c r="D86" s="53" t="s">
        <v>105</v>
      </c>
      <c r="E86" s="11">
        <f t="shared" si="26"/>
        <v>147.23000000000002</v>
      </c>
      <c r="F86" s="92">
        <v>0</v>
      </c>
      <c r="G86" s="58"/>
      <c r="H86" s="54"/>
      <c r="I86" s="54"/>
      <c r="J86" s="55"/>
      <c r="K86" s="11"/>
      <c r="L86" s="53" t="str">
        <f t="shared" si="3"/>
        <v/>
      </c>
      <c r="M86" s="11">
        <v>33.93</v>
      </c>
      <c r="N86" s="11">
        <v>24.57</v>
      </c>
      <c r="O86" s="11">
        <v>12</v>
      </c>
      <c r="P86" s="11">
        <v>1.5</v>
      </c>
      <c r="Q86" s="11"/>
      <c r="R86" s="11"/>
      <c r="S86" s="11"/>
      <c r="T86" s="11"/>
      <c r="U86" s="11">
        <v>75.23</v>
      </c>
      <c r="V86" s="56" t="s">
        <v>1034</v>
      </c>
      <c r="W86" s="35" t="str">
        <f t="shared" si="2"/>
        <v>Diferente</v>
      </c>
      <c r="X86" s="38">
        <f t="shared" si="4"/>
        <v>-147.23000000000002</v>
      </c>
      <c r="Y86" s="3"/>
      <c r="Z86" s="116"/>
    </row>
    <row r="87" spans="1:26" ht="14.4" hidden="1" outlineLevel="1" x14ac:dyDescent="0.3">
      <c r="A87" s="3"/>
      <c r="B87" s="52" t="s">
        <v>513</v>
      </c>
      <c r="C87" s="53">
        <v>5</v>
      </c>
      <c r="D87" s="53" t="s">
        <v>95</v>
      </c>
      <c r="E87" s="11">
        <f t="shared" si="26"/>
        <v>198.57</v>
      </c>
      <c r="F87" s="92">
        <f t="shared" ref="F87:F94" si="30">E87</f>
        <v>198.57</v>
      </c>
      <c r="G87" s="58"/>
      <c r="H87" s="54" t="s">
        <v>37</v>
      </c>
      <c r="I87" s="54"/>
      <c r="J87" s="55"/>
      <c r="K87" s="11"/>
      <c r="L87" s="53" t="str">
        <f t="shared" si="3"/>
        <v/>
      </c>
      <c r="M87" s="11">
        <v>120</v>
      </c>
      <c r="N87" s="11">
        <v>24.57</v>
      </c>
      <c r="O87" s="11">
        <v>12</v>
      </c>
      <c r="P87" s="11">
        <v>2</v>
      </c>
      <c r="Q87" s="11"/>
      <c r="R87" s="11"/>
      <c r="S87" s="11">
        <v>5</v>
      </c>
      <c r="T87" s="11"/>
      <c r="U87" s="11">
        <v>35</v>
      </c>
      <c r="V87" s="56" t="s">
        <v>1027</v>
      </c>
      <c r="W87" s="35" t="str">
        <f t="shared" si="2"/>
        <v>OK</v>
      </c>
      <c r="X87" s="38" t="str">
        <f t="shared" si="4"/>
        <v/>
      </c>
      <c r="Y87" s="3"/>
      <c r="Z87" s="116"/>
    </row>
    <row r="88" spans="1:26" ht="14.4" hidden="1" outlineLevel="1" x14ac:dyDescent="0.3">
      <c r="A88" s="3"/>
      <c r="B88" s="52" t="s">
        <v>514</v>
      </c>
      <c r="C88" s="53">
        <v>5</v>
      </c>
      <c r="D88" s="53" t="s">
        <v>95</v>
      </c>
      <c r="E88" s="11">
        <f t="shared" si="26"/>
        <v>198.57</v>
      </c>
      <c r="F88" s="92">
        <f t="shared" si="30"/>
        <v>198.57</v>
      </c>
      <c r="G88" s="58"/>
      <c r="H88" s="54" t="s">
        <v>37</v>
      </c>
      <c r="I88" s="54"/>
      <c r="J88" s="55"/>
      <c r="K88" s="11"/>
      <c r="L88" s="53" t="str">
        <f t="shared" si="3"/>
        <v/>
      </c>
      <c r="M88" s="11">
        <v>120</v>
      </c>
      <c r="N88" s="11">
        <v>24.57</v>
      </c>
      <c r="O88" s="11">
        <v>12</v>
      </c>
      <c r="P88" s="11">
        <v>2</v>
      </c>
      <c r="Q88" s="11"/>
      <c r="R88" s="11"/>
      <c r="S88" s="11">
        <v>5</v>
      </c>
      <c r="T88" s="11"/>
      <c r="U88" s="11">
        <v>35</v>
      </c>
      <c r="V88" s="56" t="s">
        <v>1027</v>
      </c>
      <c r="W88" s="35" t="str">
        <f t="shared" si="2"/>
        <v>OK</v>
      </c>
      <c r="X88" s="38" t="str">
        <f t="shared" si="4"/>
        <v/>
      </c>
      <c r="Y88" s="3"/>
      <c r="Z88" s="116"/>
    </row>
    <row r="89" spans="1:26" ht="14.4" hidden="1" outlineLevel="1" x14ac:dyDescent="0.3">
      <c r="A89" s="3"/>
      <c r="B89" s="9" t="s">
        <v>515</v>
      </c>
      <c r="C89" s="53">
        <v>2</v>
      </c>
      <c r="D89" s="53" t="s">
        <v>95</v>
      </c>
      <c r="E89" s="11">
        <f t="shared" si="26"/>
        <v>187</v>
      </c>
      <c r="F89" s="92">
        <f t="shared" si="30"/>
        <v>187</v>
      </c>
      <c r="G89" s="58"/>
      <c r="H89" s="54" t="s">
        <v>37</v>
      </c>
      <c r="I89" s="54"/>
      <c r="J89" s="55"/>
      <c r="K89" s="11"/>
      <c r="L89" s="53" t="str">
        <f t="shared" si="3"/>
        <v/>
      </c>
      <c r="M89" s="11">
        <v>108.43</v>
      </c>
      <c r="N89" s="11">
        <v>24.57</v>
      </c>
      <c r="O89" s="11">
        <v>12</v>
      </c>
      <c r="P89" s="11">
        <v>2</v>
      </c>
      <c r="Q89" s="11"/>
      <c r="R89" s="11"/>
      <c r="S89" s="11">
        <v>5</v>
      </c>
      <c r="T89" s="11"/>
      <c r="U89" s="11">
        <v>35</v>
      </c>
      <c r="V89" s="56" t="s">
        <v>1027</v>
      </c>
      <c r="W89" s="35" t="str">
        <f t="shared" si="2"/>
        <v>OK</v>
      </c>
      <c r="X89" s="38" t="str">
        <f t="shared" si="4"/>
        <v/>
      </c>
      <c r="Y89" s="3"/>
      <c r="Z89" s="116"/>
    </row>
    <row r="90" spans="1:26" ht="14.4" hidden="1" outlineLevel="1" x14ac:dyDescent="0.3">
      <c r="A90" s="3"/>
      <c r="B90" s="52" t="s">
        <v>516</v>
      </c>
      <c r="C90" s="53">
        <v>2</v>
      </c>
      <c r="D90" s="53" t="s">
        <v>95</v>
      </c>
      <c r="E90" s="11">
        <f t="shared" si="26"/>
        <v>177.5</v>
      </c>
      <c r="F90" s="92">
        <f t="shared" si="30"/>
        <v>177.5</v>
      </c>
      <c r="G90" s="58"/>
      <c r="H90" s="54" t="s">
        <v>37</v>
      </c>
      <c r="I90" s="54"/>
      <c r="J90" s="55"/>
      <c r="K90" s="11"/>
      <c r="L90" s="53" t="str">
        <f t="shared" si="3"/>
        <v/>
      </c>
      <c r="M90" s="11">
        <v>63.43</v>
      </c>
      <c r="N90" s="11">
        <v>24.57</v>
      </c>
      <c r="O90" s="11">
        <v>12</v>
      </c>
      <c r="P90" s="11">
        <v>1.5</v>
      </c>
      <c r="Q90" s="11"/>
      <c r="R90" s="11"/>
      <c r="S90" s="11"/>
      <c r="T90" s="11"/>
      <c r="U90" s="11">
        <v>76</v>
      </c>
      <c r="V90" s="56" t="s">
        <v>1028</v>
      </c>
      <c r="W90" s="35" t="str">
        <f t="shared" si="2"/>
        <v>OK</v>
      </c>
      <c r="X90" s="38" t="str">
        <f t="shared" si="4"/>
        <v/>
      </c>
      <c r="Y90" s="3"/>
      <c r="Z90" s="116"/>
    </row>
    <row r="91" spans="1:26" ht="14.4" hidden="1" outlineLevel="1" x14ac:dyDescent="0.3">
      <c r="A91" s="3"/>
      <c r="B91" s="52" t="s">
        <v>517</v>
      </c>
      <c r="C91" s="53">
        <v>2</v>
      </c>
      <c r="D91" s="53" t="s">
        <v>95</v>
      </c>
      <c r="E91" s="11">
        <f t="shared" si="26"/>
        <v>186.5</v>
      </c>
      <c r="F91" s="92">
        <f t="shared" si="30"/>
        <v>186.5</v>
      </c>
      <c r="G91" s="58"/>
      <c r="H91" s="54" t="s">
        <v>37</v>
      </c>
      <c r="I91" s="54"/>
      <c r="J91" s="55"/>
      <c r="K91" s="11"/>
      <c r="L91" s="53" t="str">
        <f t="shared" si="3"/>
        <v/>
      </c>
      <c r="M91" s="11">
        <v>63.43</v>
      </c>
      <c r="N91" s="11">
        <v>24.57</v>
      </c>
      <c r="O91" s="11">
        <v>12</v>
      </c>
      <c r="P91" s="11">
        <v>1.5</v>
      </c>
      <c r="Q91" s="11"/>
      <c r="R91" s="11"/>
      <c r="S91" s="11"/>
      <c r="T91" s="11"/>
      <c r="U91" s="11">
        <v>85</v>
      </c>
      <c r="V91" s="56" t="s">
        <v>1031</v>
      </c>
      <c r="W91" s="35" t="str">
        <f t="shared" si="2"/>
        <v>OK</v>
      </c>
      <c r="X91" s="38" t="str">
        <f t="shared" si="4"/>
        <v/>
      </c>
      <c r="Y91" s="3"/>
      <c r="Z91" s="116"/>
    </row>
    <row r="92" spans="1:26" ht="14.4" hidden="1" outlineLevel="1" x14ac:dyDescent="0.3">
      <c r="A92" s="3"/>
      <c r="B92" s="9" t="s">
        <v>518</v>
      </c>
      <c r="C92" s="53">
        <v>7</v>
      </c>
      <c r="D92" s="53" t="s">
        <v>95</v>
      </c>
      <c r="E92" s="11">
        <f t="shared" si="26"/>
        <v>182</v>
      </c>
      <c r="F92" s="92">
        <f t="shared" si="30"/>
        <v>182</v>
      </c>
      <c r="G92" s="58"/>
      <c r="H92" s="54" t="s">
        <v>37</v>
      </c>
      <c r="I92" s="54"/>
      <c r="J92" s="55"/>
      <c r="K92" s="11"/>
      <c r="L92" s="53" t="str">
        <f t="shared" si="3"/>
        <v/>
      </c>
      <c r="M92" s="11">
        <v>93.93</v>
      </c>
      <c r="N92" s="11">
        <v>24.57</v>
      </c>
      <c r="O92" s="11">
        <v>12</v>
      </c>
      <c r="P92" s="11">
        <v>1.5</v>
      </c>
      <c r="Q92" s="11">
        <v>5</v>
      </c>
      <c r="R92" s="11"/>
      <c r="S92" s="11">
        <v>10</v>
      </c>
      <c r="T92" s="11"/>
      <c r="U92" s="11">
        <v>35</v>
      </c>
      <c r="V92" s="56" t="s">
        <v>1027</v>
      </c>
      <c r="W92" s="35" t="str">
        <f t="shared" si="2"/>
        <v>OK</v>
      </c>
      <c r="X92" s="38" t="str">
        <f t="shared" si="4"/>
        <v/>
      </c>
      <c r="Y92" s="3"/>
      <c r="Z92" s="116"/>
    </row>
    <row r="93" spans="1:26" ht="14.4" hidden="1" outlineLevel="1" x14ac:dyDescent="0.3">
      <c r="A93" s="3"/>
      <c r="B93" s="52" t="s">
        <v>519</v>
      </c>
      <c r="C93" s="53">
        <v>19</v>
      </c>
      <c r="D93" s="53" t="s">
        <v>95</v>
      </c>
      <c r="E93" s="11">
        <f t="shared" si="26"/>
        <v>187</v>
      </c>
      <c r="F93" s="92">
        <f t="shared" si="30"/>
        <v>187</v>
      </c>
      <c r="G93" s="58"/>
      <c r="H93" s="54" t="s">
        <v>37</v>
      </c>
      <c r="I93" s="54"/>
      <c r="J93" s="55"/>
      <c r="K93" s="11"/>
      <c r="L93" s="53">
        <f t="shared" si="3"/>
        <v>1</v>
      </c>
      <c r="M93" s="11">
        <v>108.43</v>
      </c>
      <c r="N93" s="11">
        <v>24.57</v>
      </c>
      <c r="O93" s="11">
        <v>12</v>
      </c>
      <c r="P93" s="11">
        <v>2</v>
      </c>
      <c r="Q93" s="11"/>
      <c r="R93" s="11"/>
      <c r="S93" s="11">
        <v>5</v>
      </c>
      <c r="T93" s="11"/>
      <c r="U93" s="11">
        <v>35</v>
      </c>
      <c r="V93" s="56" t="s">
        <v>1027</v>
      </c>
      <c r="W93" s="35" t="str">
        <f t="shared" si="2"/>
        <v>OK</v>
      </c>
      <c r="X93" s="38" t="str">
        <f t="shared" si="4"/>
        <v/>
      </c>
      <c r="Y93" s="3"/>
      <c r="Z93" s="116"/>
    </row>
    <row r="94" spans="1:26" ht="14.4" hidden="1" outlineLevel="1" x14ac:dyDescent="0.3">
      <c r="A94" s="3"/>
      <c r="B94" s="9" t="s">
        <v>520</v>
      </c>
      <c r="C94" s="53">
        <v>10</v>
      </c>
      <c r="D94" s="53" t="s">
        <v>95</v>
      </c>
      <c r="E94" s="11">
        <f t="shared" si="26"/>
        <v>185</v>
      </c>
      <c r="F94" s="92">
        <f t="shared" si="30"/>
        <v>185</v>
      </c>
      <c r="G94" s="58"/>
      <c r="H94" s="54" t="s">
        <v>37</v>
      </c>
      <c r="I94" s="54"/>
      <c r="J94" s="55"/>
      <c r="K94" s="11"/>
      <c r="L94" s="53" t="str">
        <f t="shared" si="3"/>
        <v/>
      </c>
      <c r="M94" s="11">
        <v>113.43</v>
      </c>
      <c r="N94" s="11">
        <v>24.57</v>
      </c>
      <c r="O94" s="11">
        <v>12</v>
      </c>
      <c r="P94" s="11"/>
      <c r="Q94" s="11"/>
      <c r="R94" s="11"/>
      <c r="S94" s="11"/>
      <c r="T94" s="11"/>
      <c r="U94" s="11">
        <v>35</v>
      </c>
      <c r="V94" s="56" t="s">
        <v>1027</v>
      </c>
      <c r="W94" s="35" t="str">
        <f t="shared" si="2"/>
        <v>OK</v>
      </c>
      <c r="X94" s="38" t="str">
        <f t="shared" si="4"/>
        <v/>
      </c>
      <c r="Y94" s="3"/>
      <c r="Z94" s="116"/>
    </row>
    <row r="95" spans="1:26" ht="14.4" hidden="1" outlineLevel="1" x14ac:dyDescent="0.3">
      <c r="A95" s="3"/>
      <c r="B95" s="52" t="s">
        <v>521</v>
      </c>
      <c r="C95" s="53"/>
      <c r="D95" s="53" t="s">
        <v>105</v>
      </c>
      <c r="E95" s="11">
        <f t="shared" si="26"/>
        <v>24</v>
      </c>
      <c r="F95" s="92">
        <v>0</v>
      </c>
      <c r="G95" s="58"/>
      <c r="H95" s="54"/>
      <c r="I95" s="54"/>
      <c r="J95" s="55"/>
      <c r="K95" s="11"/>
      <c r="L95" s="53" t="str">
        <f t="shared" si="3"/>
        <v/>
      </c>
      <c r="M95" s="11">
        <v>-12.57</v>
      </c>
      <c r="N95" s="11">
        <v>24.57</v>
      </c>
      <c r="O95" s="11">
        <v>12</v>
      </c>
      <c r="P95" s="11"/>
      <c r="Q95" s="11"/>
      <c r="R95" s="11"/>
      <c r="S95" s="11"/>
      <c r="T95" s="11"/>
      <c r="U95" s="11"/>
      <c r="V95" s="56"/>
      <c r="W95" s="35" t="str">
        <f t="shared" si="2"/>
        <v>Diferente</v>
      </c>
      <c r="X95" s="38">
        <f t="shared" si="4"/>
        <v>-24</v>
      </c>
      <c r="Y95" s="3"/>
      <c r="Z95" s="116"/>
    </row>
    <row r="96" spans="1:26" ht="14.4" hidden="1" outlineLevel="1" x14ac:dyDescent="0.3">
      <c r="A96" s="3"/>
      <c r="B96" s="9" t="s">
        <v>523</v>
      </c>
      <c r="C96" s="71">
        <v>3</v>
      </c>
      <c r="D96" s="53" t="s">
        <v>95</v>
      </c>
      <c r="E96" s="11">
        <f t="shared" si="26"/>
        <v>160</v>
      </c>
      <c r="F96" s="92">
        <f t="shared" ref="F96:F97" si="31">E96</f>
        <v>160</v>
      </c>
      <c r="G96" s="58"/>
      <c r="H96" s="54" t="s">
        <v>37</v>
      </c>
      <c r="I96" s="54"/>
      <c r="J96" s="55"/>
      <c r="K96" s="11"/>
      <c r="L96" s="53" t="str">
        <f t="shared" si="3"/>
        <v/>
      </c>
      <c r="M96" s="11">
        <v>88.43</v>
      </c>
      <c r="N96" s="11">
        <v>24.57</v>
      </c>
      <c r="O96" s="11">
        <v>12</v>
      </c>
      <c r="P96" s="11"/>
      <c r="Q96" s="11"/>
      <c r="R96" s="11"/>
      <c r="S96" s="11"/>
      <c r="T96" s="11"/>
      <c r="U96" s="11">
        <v>35</v>
      </c>
      <c r="V96" s="56" t="s">
        <v>1027</v>
      </c>
      <c r="W96" s="35" t="str">
        <f t="shared" si="2"/>
        <v>OK</v>
      </c>
      <c r="X96" s="38" t="str">
        <f t="shared" si="4"/>
        <v/>
      </c>
      <c r="Y96" s="3"/>
      <c r="Z96" s="116"/>
    </row>
    <row r="97" spans="1:26" ht="14.4" hidden="1" outlineLevel="1" x14ac:dyDescent="0.3">
      <c r="A97" s="3"/>
      <c r="B97" s="52" t="s">
        <v>524</v>
      </c>
      <c r="C97" s="53">
        <v>16</v>
      </c>
      <c r="D97" s="53" t="s">
        <v>95</v>
      </c>
      <c r="E97" s="11">
        <f t="shared" si="26"/>
        <v>85</v>
      </c>
      <c r="F97" s="92">
        <f t="shared" si="31"/>
        <v>85</v>
      </c>
      <c r="G97" s="58"/>
      <c r="H97" s="54" t="s">
        <v>37</v>
      </c>
      <c r="I97" s="54"/>
      <c r="J97" s="55"/>
      <c r="K97" s="11"/>
      <c r="L97" s="53">
        <f t="shared" si="3"/>
        <v>1</v>
      </c>
      <c r="M97" s="11">
        <v>13.43</v>
      </c>
      <c r="N97" s="11">
        <v>24.57</v>
      </c>
      <c r="O97" s="11">
        <v>12</v>
      </c>
      <c r="P97" s="11"/>
      <c r="Q97" s="11"/>
      <c r="R97" s="11"/>
      <c r="S97" s="11"/>
      <c r="T97" s="11"/>
      <c r="U97" s="11">
        <v>35</v>
      </c>
      <c r="V97" s="56" t="s">
        <v>1027</v>
      </c>
      <c r="W97" s="35" t="str">
        <f t="shared" si="2"/>
        <v>OK</v>
      </c>
      <c r="X97" s="38" t="str">
        <f t="shared" si="4"/>
        <v/>
      </c>
      <c r="Y97" s="3"/>
      <c r="Z97" s="116"/>
    </row>
    <row r="98" spans="1:26" ht="14.4" hidden="1" outlineLevel="1" x14ac:dyDescent="0.3">
      <c r="A98" s="3"/>
      <c r="B98" s="9" t="s">
        <v>525</v>
      </c>
      <c r="C98" s="53"/>
      <c r="D98" s="53" t="s">
        <v>105</v>
      </c>
      <c r="E98" s="11">
        <f t="shared" si="26"/>
        <v>165</v>
      </c>
      <c r="F98" s="92">
        <v>0</v>
      </c>
      <c r="G98" s="58"/>
      <c r="H98" s="54"/>
      <c r="I98" s="54"/>
      <c r="J98" s="55"/>
      <c r="K98" s="11"/>
      <c r="L98" s="53" t="str">
        <f t="shared" si="3"/>
        <v/>
      </c>
      <c r="M98" s="11">
        <v>91.93</v>
      </c>
      <c r="N98" s="11">
        <v>24.57</v>
      </c>
      <c r="O98" s="11">
        <v>12</v>
      </c>
      <c r="P98" s="11">
        <v>1.5</v>
      </c>
      <c r="Q98" s="11"/>
      <c r="R98" s="11"/>
      <c r="S98" s="11"/>
      <c r="T98" s="11"/>
      <c r="U98" s="11">
        <v>35</v>
      </c>
      <c r="V98" s="56" t="s">
        <v>1027</v>
      </c>
      <c r="W98" s="35" t="str">
        <f t="shared" si="2"/>
        <v>Diferente</v>
      </c>
      <c r="X98" s="38">
        <f t="shared" si="4"/>
        <v>-165</v>
      </c>
      <c r="Y98" s="3"/>
      <c r="Z98" s="116"/>
    </row>
    <row r="99" spans="1:26" ht="14.4" hidden="1" outlineLevel="1" x14ac:dyDescent="0.3">
      <c r="A99" s="3"/>
      <c r="B99" s="9" t="s">
        <v>526</v>
      </c>
      <c r="C99" s="53"/>
      <c r="D99" s="53" t="s">
        <v>105</v>
      </c>
      <c r="E99" s="11">
        <f t="shared" si="26"/>
        <v>165</v>
      </c>
      <c r="F99" s="92">
        <v>0</v>
      </c>
      <c r="G99" s="58"/>
      <c r="H99" s="54"/>
      <c r="I99" s="54"/>
      <c r="J99" s="55"/>
      <c r="K99" s="11"/>
      <c r="L99" s="53" t="str">
        <f t="shared" si="3"/>
        <v/>
      </c>
      <c r="M99" s="11">
        <v>91.93</v>
      </c>
      <c r="N99" s="11">
        <v>24.57</v>
      </c>
      <c r="O99" s="11">
        <v>12</v>
      </c>
      <c r="P99" s="11">
        <v>1.5</v>
      </c>
      <c r="Q99" s="11"/>
      <c r="R99" s="11"/>
      <c r="S99" s="11"/>
      <c r="T99" s="11"/>
      <c r="U99" s="11">
        <v>35</v>
      </c>
      <c r="V99" s="56" t="s">
        <v>1027</v>
      </c>
      <c r="W99" s="35" t="str">
        <f t="shared" si="2"/>
        <v>Diferente</v>
      </c>
      <c r="X99" s="38">
        <f t="shared" si="4"/>
        <v>-165</v>
      </c>
      <c r="Y99" s="3"/>
      <c r="Z99" s="3"/>
    </row>
    <row r="100" spans="1:26" ht="14.4" hidden="1" outlineLevel="1" x14ac:dyDescent="0.3">
      <c r="A100" s="3"/>
      <c r="B100" s="52" t="s">
        <v>527</v>
      </c>
      <c r="C100" s="53"/>
      <c r="D100" s="53" t="s">
        <v>105</v>
      </c>
      <c r="E100" s="11">
        <f t="shared" si="26"/>
        <v>100</v>
      </c>
      <c r="F100" s="92">
        <v>0</v>
      </c>
      <c r="G100" s="58"/>
      <c r="H100" s="54"/>
      <c r="I100" s="54"/>
      <c r="J100" s="55"/>
      <c r="K100" s="53"/>
      <c r="L100" s="53" t="str">
        <f t="shared" si="3"/>
        <v/>
      </c>
      <c r="M100" s="11">
        <v>26.43</v>
      </c>
      <c r="N100" s="11">
        <v>24.57</v>
      </c>
      <c r="O100" s="11">
        <v>12</v>
      </c>
      <c r="P100" s="11">
        <v>2</v>
      </c>
      <c r="Q100" s="11"/>
      <c r="R100" s="11"/>
      <c r="S100" s="11"/>
      <c r="T100" s="11"/>
      <c r="U100" s="11">
        <v>35</v>
      </c>
      <c r="V100" s="56" t="s">
        <v>1027</v>
      </c>
      <c r="W100" s="35" t="str">
        <f t="shared" si="2"/>
        <v>Diferente</v>
      </c>
      <c r="X100" s="38">
        <f t="shared" si="4"/>
        <v>-100</v>
      </c>
      <c r="Y100" s="3"/>
      <c r="Z100" s="3"/>
    </row>
    <row r="101" spans="1:26" ht="14.4" hidden="1" outlineLevel="1" x14ac:dyDescent="0.3">
      <c r="A101" s="3"/>
      <c r="B101" s="9" t="s">
        <v>528</v>
      </c>
      <c r="C101" s="53">
        <v>7</v>
      </c>
      <c r="D101" s="53" t="s">
        <v>95</v>
      </c>
      <c r="E101" s="11">
        <f t="shared" si="26"/>
        <v>174</v>
      </c>
      <c r="F101" s="92">
        <f t="shared" ref="F101:F105" si="32">E101</f>
        <v>174</v>
      </c>
      <c r="G101" s="58"/>
      <c r="H101" s="54" t="s">
        <v>37</v>
      </c>
      <c r="I101" s="54"/>
      <c r="J101" s="55"/>
      <c r="K101" s="53"/>
      <c r="L101" s="53" t="str">
        <f t="shared" si="3"/>
        <v/>
      </c>
      <c r="M101" s="11">
        <v>100.43</v>
      </c>
      <c r="N101" s="11">
        <v>24.57</v>
      </c>
      <c r="O101" s="11">
        <v>12</v>
      </c>
      <c r="P101" s="11">
        <v>2</v>
      </c>
      <c r="Q101" s="11"/>
      <c r="R101" s="11"/>
      <c r="S101" s="11"/>
      <c r="T101" s="11"/>
      <c r="U101" s="11">
        <v>35</v>
      </c>
      <c r="V101" s="56" t="s">
        <v>1027</v>
      </c>
      <c r="W101" s="35" t="str">
        <f t="shared" si="2"/>
        <v>OK</v>
      </c>
      <c r="X101" s="38" t="str">
        <f t="shared" si="4"/>
        <v/>
      </c>
      <c r="Y101" s="3"/>
      <c r="Z101" s="3"/>
    </row>
    <row r="102" spans="1:26" ht="14.4" hidden="1" outlineLevel="1" x14ac:dyDescent="0.3">
      <c r="A102" s="3"/>
      <c r="B102" s="52" t="s">
        <v>713</v>
      </c>
      <c r="C102" s="53">
        <v>8</v>
      </c>
      <c r="D102" s="53" t="s">
        <v>95</v>
      </c>
      <c r="E102" s="11">
        <f t="shared" si="26"/>
        <v>105</v>
      </c>
      <c r="F102" s="92">
        <f t="shared" si="32"/>
        <v>105</v>
      </c>
      <c r="G102" s="58"/>
      <c r="H102" s="54" t="s">
        <v>37</v>
      </c>
      <c r="I102" s="54"/>
      <c r="J102" s="55"/>
      <c r="K102" s="53"/>
      <c r="L102" s="53" t="str">
        <f t="shared" si="3"/>
        <v/>
      </c>
      <c r="M102" s="11">
        <v>31.43</v>
      </c>
      <c r="N102" s="11">
        <v>24.57</v>
      </c>
      <c r="O102" s="11">
        <v>12</v>
      </c>
      <c r="P102" s="11">
        <v>2</v>
      </c>
      <c r="Q102" s="11"/>
      <c r="R102" s="11"/>
      <c r="S102" s="11"/>
      <c r="T102" s="11"/>
      <c r="U102" s="11">
        <v>35</v>
      </c>
      <c r="V102" s="56" t="s">
        <v>1027</v>
      </c>
      <c r="W102" s="35" t="str">
        <f t="shared" si="2"/>
        <v>OK</v>
      </c>
      <c r="X102" s="38" t="str">
        <f t="shared" si="4"/>
        <v/>
      </c>
      <c r="Y102" s="3"/>
      <c r="Z102" s="3"/>
    </row>
    <row r="103" spans="1:26" ht="14.4" hidden="1" outlineLevel="1" x14ac:dyDescent="0.3">
      <c r="A103" s="3"/>
      <c r="B103" s="9" t="s">
        <v>896</v>
      </c>
      <c r="C103" s="53">
        <v>10</v>
      </c>
      <c r="D103" s="53" t="s">
        <v>95</v>
      </c>
      <c r="E103" s="11">
        <f t="shared" si="26"/>
        <v>206.57</v>
      </c>
      <c r="F103" s="92">
        <f t="shared" si="32"/>
        <v>206.57</v>
      </c>
      <c r="G103" s="58"/>
      <c r="H103" s="54" t="s">
        <v>37</v>
      </c>
      <c r="I103" s="54"/>
      <c r="J103" s="55"/>
      <c r="K103" s="53"/>
      <c r="L103" s="53" t="str">
        <f t="shared" si="3"/>
        <v/>
      </c>
      <c r="M103" s="11">
        <v>94</v>
      </c>
      <c r="N103" s="11">
        <v>24.57</v>
      </c>
      <c r="O103" s="11">
        <v>12</v>
      </c>
      <c r="P103" s="11">
        <v>0</v>
      </c>
      <c r="Q103" s="11"/>
      <c r="R103" s="11"/>
      <c r="S103" s="11"/>
      <c r="T103" s="11"/>
      <c r="U103" s="11">
        <v>76</v>
      </c>
      <c r="V103" s="56" t="s">
        <v>1028</v>
      </c>
      <c r="W103" s="35" t="str">
        <f t="shared" si="2"/>
        <v>OK</v>
      </c>
      <c r="X103" s="38" t="str">
        <f t="shared" si="4"/>
        <v/>
      </c>
      <c r="Y103" s="3"/>
      <c r="Z103" s="3"/>
    </row>
    <row r="104" spans="1:26" ht="14.4" hidden="1" outlineLevel="1" x14ac:dyDescent="0.3">
      <c r="A104" s="3"/>
      <c r="B104" s="9" t="s">
        <v>897</v>
      </c>
      <c r="C104" s="53">
        <v>10</v>
      </c>
      <c r="D104" s="53" t="s">
        <v>95</v>
      </c>
      <c r="E104" s="11">
        <f t="shared" si="26"/>
        <v>165.57</v>
      </c>
      <c r="F104" s="92">
        <f t="shared" si="32"/>
        <v>165.57</v>
      </c>
      <c r="G104" s="58"/>
      <c r="H104" s="54" t="s">
        <v>37</v>
      </c>
      <c r="I104" s="54"/>
      <c r="J104" s="55"/>
      <c r="K104" s="53"/>
      <c r="L104" s="53" t="str">
        <f t="shared" si="3"/>
        <v/>
      </c>
      <c r="M104" s="11">
        <v>94</v>
      </c>
      <c r="N104" s="11">
        <v>24.57</v>
      </c>
      <c r="O104" s="11">
        <v>12</v>
      </c>
      <c r="P104" s="11">
        <v>0</v>
      </c>
      <c r="Q104" s="11"/>
      <c r="R104" s="11"/>
      <c r="S104" s="11"/>
      <c r="T104" s="11"/>
      <c r="U104" s="11">
        <v>35</v>
      </c>
      <c r="V104" s="56" t="s">
        <v>1027</v>
      </c>
      <c r="W104" s="35" t="str">
        <f t="shared" si="2"/>
        <v>OK</v>
      </c>
      <c r="X104" s="38" t="str">
        <f t="shared" si="4"/>
        <v/>
      </c>
      <c r="Y104" s="3"/>
      <c r="Z104" s="3"/>
    </row>
    <row r="105" spans="1:26" ht="14.4" hidden="1" outlineLevel="1" x14ac:dyDescent="0.3">
      <c r="A105" s="3"/>
      <c r="B105" s="52" t="s">
        <v>1035</v>
      </c>
      <c r="C105" s="53">
        <v>1</v>
      </c>
      <c r="D105" s="53" t="s">
        <v>95</v>
      </c>
      <c r="E105" s="11">
        <f t="shared" si="26"/>
        <v>151.80000000000001</v>
      </c>
      <c r="F105" s="92">
        <f t="shared" si="32"/>
        <v>151.80000000000001</v>
      </c>
      <c r="G105" s="58"/>
      <c r="H105" s="54" t="s">
        <v>37</v>
      </c>
      <c r="I105" s="54"/>
      <c r="J105" s="55"/>
      <c r="K105" s="53"/>
      <c r="L105" s="53" t="str">
        <f t="shared" si="3"/>
        <v/>
      </c>
      <c r="M105" s="11">
        <f>151.8-N105-O105-P105</f>
        <v>113.23000000000002</v>
      </c>
      <c r="N105" s="11">
        <v>24.57</v>
      </c>
      <c r="O105" s="11">
        <v>12</v>
      </c>
      <c r="P105" s="11">
        <v>2</v>
      </c>
      <c r="Q105" s="11"/>
      <c r="R105" s="11"/>
      <c r="S105" s="11"/>
      <c r="T105" s="11"/>
      <c r="U105" s="11"/>
      <c r="V105" s="53"/>
      <c r="W105" s="35" t="str">
        <f t="shared" si="2"/>
        <v>OK</v>
      </c>
      <c r="X105" s="38" t="str">
        <f t="shared" si="4"/>
        <v/>
      </c>
      <c r="Y105" s="3"/>
      <c r="Z105" s="3"/>
    </row>
    <row r="106" spans="1:26" ht="14.4" hidden="1" outlineLevel="1" x14ac:dyDescent="0.3">
      <c r="A106" s="3"/>
      <c r="B106" s="9"/>
      <c r="C106" s="53"/>
      <c r="D106" s="53"/>
      <c r="E106" s="11"/>
      <c r="F106" s="11"/>
      <c r="G106" s="58"/>
      <c r="H106" s="54"/>
      <c r="I106" s="54"/>
      <c r="J106" s="55"/>
      <c r="K106" s="53"/>
      <c r="L106" s="53" t="str">
        <f t="shared" si="3"/>
        <v/>
      </c>
      <c r="M106" s="11"/>
      <c r="N106" s="11"/>
      <c r="O106" s="11"/>
      <c r="P106" s="11"/>
      <c r="Q106" s="11"/>
      <c r="R106" s="11"/>
      <c r="S106" s="11"/>
      <c r="T106" s="11"/>
      <c r="U106" s="11"/>
      <c r="V106" s="53"/>
      <c r="W106" s="35" t="str">
        <f t="shared" si="2"/>
        <v>OK</v>
      </c>
      <c r="X106" s="38" t="str">
        <f t="shared" si="4"/>
        <v/>
      </c>
      <c r="Y106" s="3"/>
      <c r="Z106" s="3"/>
    </row>
    <row r="107" spans="1:26" ht="14.4" hidden="1" outlineLevel="1" x14ac:dyDescent="0.3">
      <c r="A107" s="3"/>
      <c r="B107" s="9"/>
      <c r="C107" s="53"/>
      <c r="D107" s="53"/>
      <c r="E107" s="11"/>
      <c r="F107" s="11"/>
      <c r="G107" s="58"/>
      <c r="H107" s="54"/>
      <c r="I107" s="54"/>
      <c r="J107" s="55" t="s">
        <v>97</v>
      </c>
      <c r="K107" s="53"/>
      <c r="L107" s="53" t="str">
        <f t="shared" si="3"/>
        <v/>
      </c>
      <c r="M107" s="11"/>
      <c r="N107" s="11"/>
      <c r="O107" s="11"/>
      <c r="P107" s="11"/>
      <c r="Q107" s="11"/>
      <c r="R107" s="11"/>
      <c r="S107" s="11"/>
      <c r="T107" s="11"/>
      <c r="U107" s="11"/>
      <c r="V107" s="53"/>
      <c r="W107" s="35" t="str">
        <f t="shared" si="2"/>
        <v>OK</v>
      </c>
      <c r="X107" s="38" t="str">
        <f t="shared" si="4"/>
        <v/>
      </c>
      <c r="Y107" s="3"/>
      <c r="Z107" s="3"/>
    </row>
    <row r="108" spans="1:26" ht="14.4" hidden="1" outlineLevel="1" x14ac:dyDescent="0.3">
      <c r="A108" s="3"/>
      <c r="B108" s="9"/>
      <c r="C108" s="53"/>
      <c r="D108" s="53"/>
      <c r="E108" s="11"/>
      <c r="F108" s="11"/>
      <c r="G108" s="58"/>
      <c r="H108" s="54"/>
      <c r="I108" s="54"/>
      <c r="J108" s="55" t="s">
        <v>97</v>
      </c>
      <c r="K108" s="53"/>
      <c r="L108" s="53" t="str">
        <f t="shared" si="3"/>
        <v/>
      </c>
      <c r="M108" s="11"/>
      <c r="N108" s="11"/>
      <c r="O108" s="11"/>
      <c r="P108" s="11"/>
      <c r="Q108" s="11"/>
      <c r="R108" s="11"/>
      <c r="S108" s="11"/>
      <c r="T108" s="11"/>
      <c r="U108" s="11"/>
      <c r="V108" s="53"/>
      <c r="W108" s="35" t="str">
        <f t="shared" si="2"/>
        <v>OK</v>
      </c>
      <c r="X108" s="38" t="str">
        <f t="shared" si="4"/>
        <v/>
      </c>
      <c r="Y108" s="3"/>
      <c r="Z108" s="3"/>
    </row>
    <row r="109" spans="1:26" ht="14.4" hidden="1" outlineLevel="1" x14ac:dyDescent="0.3">
      <c r="A109" s="3"/>
      <c r="B109" s="9"/>
      <c r="C109" s="53"/>
      <c r="D109" s="53"/>
      <c r="E109" s="11"/>
      <c r="F109" s="11"/>
      <c r="G109" s="58"/>
      <c r="H109" s="54"/>
      <c r="I109" s="54"/>
      <c r="J109" s="55" t="s">
        <v>97</v>
      </c>
      <c r="K109" s="53"/>
      <c r="L109" s="53" t="str">
        <f t="shared" si="3"/>
        <v/>
      </c>
      <c r="M109" s="11"/>
      <c r="N109" s="11"/>
      <c r="O109" s="11"/>
      <c r="P109" s="11"/>
      <c r="Q109" s="11"/>
      <c r="R109" s="11"/>
      <c r="S109" s="11"/>
      <c r="T109" s="11"/>
      <c r="U109" s="11"/>
      <c r="V109" s="53"/>
      <c r="W109" s="35" t="str">
        <f t="shared" si="2"/>
        <v>OK</v>
      </c>
      <c r="X109" s="38" t="str">
        <f t="shared" si="4"/>
        <v/>
      </c>
      <c r="Y109" s="3"/>
      <c r="Z109" s="3"/>
    </row>
    <row r="110" spans="1:26" ht="14.4" hidden="1" outlineLevel="1" x14ac:dyDescent="0.3">
      <c r="A110" s="3"/>
      <c r="B110" s="9"/>
      <c r="C110" s="53"/>
      <c r="D110" s="53"/>
      <c r="E110" s="11"/>
      <c r="F110" s="11"/>
      <c r="G110" s="58"/>
      <c r="H110" s="54"/>
      <c r="I110" s="54"/>
      <c r="J110" s="55" t="s">
        <v>97</v>
      </c>
      <c r="K110" s="53"/>
      <c r="L110" s="53" t="str">
        <f t="shared" si="3"/>
        <v/>
      </c>
      <c r="M110" s="11"/>
      <c r="N110" s="11"/>
      <c r="O110" s="11"/>
      <c r="P110" s="11"/>
      <c r="Q110" s="11"/>
      <c r="R110" s="11"/>
      <c r="S110" s="11"/>
      <c r="T110" s="11"/>
      <c r="U110" s="11"/>
      <c r="V110" s="53"/>
      <c r="W110" s="35" t="str">
        <f t="shared" si="2"/>
        <v>OK</v>
      </c>
      <c r="X110" s="38" t="str">
        <f t="shared" si="4"/>
        <v/>
      </c>
      <c r="Y110" s="3"/>
      <c r="Z110" s="3"/>
    </row>
    <row r="111" spans="1:26" ht="14.4" hidden="1" outlineLevel="1" x14ac:dyDescent="0.3">
      <c r="A111" s="3"/>
      <c r="B111" s="9"/>
      <c r="C111" s="53"/>
      <c r="D111" s="53"/>
      <c r="E111" s="11"/>
      <c r="F111" s="11"/>
      <c r="G111" s="58"/>
      <c r="H111" s="54"/>
      <c r="I111" s="54"/>
      <c r="J111" s="55" t="s">
        <v>97</v>
      </c>
      <c r="K111" s="53"/>
      <c r="L111" s="53" t="str">
        <f t="shared" si="3"/>
        <v/>
      </c>
      <c r="M111" s="11"/>
      <c r="N111" s="11"/>
      <c r="O111" s="11"/>
      <c r="P111" s="11"/>
      <c r="Q111" s="11"/>
      <c r="R111" s="11"/>
      <c r="S111" s="11"/>
      <c r="T111" s="11"/>
      <c r="U111" s="11"/>
      <c r="V111" s="53"/>
      <c r="W111" s="35" t="str">
        <f t="shared" si="2"/>
        <v>OK</v>
      </c>
      <c r="X111" s="38" t="str">
        <f t="shared" si="4"/>
        <v/>
      </c>
      <c r="Y111" s="3"/>
      <c r="Z111" s="3"/>
    </row>
    <row r="112" spans="1:26" ht="14.4" hidden="1" outlineLevel="1" x14ac:dyDescent="0.3">
      <c r="A112" s="3"/>
      <c r="B112" s="9"/>
      <c r="C112" s="53"/>
      <c r="D112" s="53"/>
      <c r="E112" s="11"/>
      <c r="F112" s="11"/>
      <c r="G112" s="58"/>
      <c r="H112" s="54"/>
      <c r="I112" s="54"/>
      <c r="J112" s="55" t="s">
        <v>97</v>
      </c>
      <c r="K112" s="53"/>
      <c r="L112" s="53" t="str">
        <f t="shared" si="3"/>
        <v/>
      </c>
      <c r="M112" s="11"/>
      <c r="N112" s="11"/>
      <c r="O112" s="11"/>
      <c r="P112" s="11"/>
      <c r="Q112" s="11"/>
      <c r="R112" s="11"/>
      <c r="S112" s="11"/>
      <c r="T112" s="11"/>
      <c r="U112" s="11"/>
      <c r="V112" s="53"/>
      <c r="W112" s="35" t="str">
        <f t="shared" si="2"/>
        <v>OK</v>
      </c>
      <c r="X112" s="38" t="str">
        <f t="shared" si="4"/>
        <v/>
      </c>
      <c r="Y112" s="3"/>
      <c r="Z112" s="3"/>
    </row>
    <row r="113" spans="1:26" ht="14.4" hidden="1" outlineLevel="1" x14ac:dyDescent="0.3">
      <c r="A113" s="3"/>
      <c r="B113" s="9"/>
      <c r="C113" s="53"/>
      <c r="D113" s="53"/>
      <c r="E113" s="11"/>
      <c r="F113" s="11"/>
      <c r="G113" s="58"/>
      <c r="H113" s="54"/>
      <c r="I113" s="54"/>
      <c r="J113" s="55" t="s">
        <v>97</v>
      </c>
      <c r="K113" s="53"/>
      <c r="L113" s="53" t="str">
        <f t="shared" si="3"/>
        <v/>
      </c>
      <c r="M113" s="11"/>
      <c r="N113" s="11"/>
      <c r="O113" s="11"/>
      <c r="P113" s="11"/>
      <c r="Q113" s="11"/>
      <c r="R113" s="11"/>
      <c r="S113" s="11"/>
      <c r="T113" s="11"/>
      <c r="U113" s="11"/>
      <c r="V113" s="53"/>
      <c r="W113" s="35" t="str">
        <f t="shared" si="2"/>
        <v>OK</v>
      </c>
      <c r="X113" s="38" t="str">
        <f t="shared" si="4"/>
        <v/>
      </c>
      <c r="Y113" s="3"/>
      <c r="Z113" s="3"/>
    </row>
    <row r="114" spans="1:26" ht="14.4" hidden="1" outlineLevel="1" x14ac:dyDescent="0.3">
      <c r="A114" s="3"/>
      <c r="B114" s="9"/>
      <c r="C114" s="53"/>
      <c r="D114" s="53"/>
      <c r="E114" s="11"/>
      <c r="F114" s="11"/>
      <c r="G114" s="58"/>
      <c r="H114" s="54"/>
      <c r="I114" s="54"/>
      <c r="J114" s="55" t="s">
        <v>97</v>
      </c>
      <c r="K114" s="53"/>
      <c r="L114" s="53" t="str">
        <f t="shared" si="3"/>
        <v/>
      </c>
      <c r="M114" s="11"/>
      <c r="N114" s="11"/>
      <c r="O114" s="11"/>
      <c r="P114" s="11"/>
      <c r="Q114" s="11"/>
      <c r="R114" s="11"/>
      <c r="S114" s="11"/>
      <c r="T114" s="11"/>
      <c r="U114" s="11"/>
      <c r="V114" s="53"/>
      <c r="W114" s="35" t="str">
        <f t="shared" si="2"/>
        <v>OK</v>
      </c>
      <c r="X114" s="38" t="str">
        <f t="shared" si="4"/>
        <v/>
      </c>
      <c r="Y114" s="3"/>
      <c r="Z114" s="3"/>
    </row>
    <row r="115" spans="1:26" ht="14.4" hidden="1" outlineLevel="1" x14ac:dyDescent="0.3">
      <c r="A115" s="3"/>
      <c r="B115" s="9"/>
      <c r="C115" s="53"/>
      <c r="D115" s="53"/>
      <c r="E115" s="11"/>
      <c r="F115" s="11"/>
      <c r="G115" s="58"/>
      <c r="H115" s="54"/>
      <c r="I115" s="54"/>
      <c r="J115" s="55" t="s">
        <v>97</v>
      </c>
      <c r="K115" s="53"/>
      <c r="L115" s="53" t="str">
        <f t="shared" si="3"/>
        <v/>
      </c>
      <c r="M115" s="11"/>
      <c r="N115" s="11"/>
      <c r="O115" s="11"/>
      <c r="P115" s="11"/>
      <c r="Q115" s="11"/>
      <c r="R115" s="11"/>
      <c r="S115" s="11"/>
      <c r="T115" s="11"/>
      <c r="U115" s="11"/>
      <c r="V115" s="53"/>
      <c r="W115" s="35" t="str">
        <f t="shared" si="2"/>
        <v>OK</v>
      </c>
      <c r="X115" s="38" t="str">
        <f t="shared" si="4"/>
        <v/>
      </c>
      <c r="Y115" s="3"/>
      <c r="Z115" s="3"/>
    </row>
    <row r="116" spans="1:26" ht="14.4" hidden="1" outlineLevel="1" x14ac:dyDescent="0.3">
      <c r="A116" s="3"/>
      <c r="B116" s="9"/>
      <c r="C116" s="53"/>
      <c r="D116" s="53"/>
      <c r="E116" s="11"/>
      <c r="F116" s="11"/>
      <c r="G116" s="58"/>
      <c r="H116" s="54"/>
      <c r="I116" s="54"/>
      <c r="J116" s="55" t="s">
        <v>97</v>
      </c>
      <c r="K116" s="53"/>
      <c r="L116" s="53" t="str">
        <f t="shared" si="3"/>
        <v/>
      </c>
      <c r="M116" s="11"/>
      <c r="N116" s="11"/>
      <c r="O116" s="11"/>
      <c r="P116" s="11"/>
      <c r="Q116" s="11"/>
      <c r="R116" s="11"/>
      <c r="S116" s="11"/>
      <c r="T116" s="11"/>
      <c r="U116" s="11"/>
      <c r="V116" s="53"/>
      <c r="W116" s="35" t="str">
        <f t="shared" si="2"/>
        <v>OK</v>
      </c>
      <c r="X116" s="38" t="str">
        <f t="shared" si="4"/>
        <v/>
      </c>
      <c r="Y116" s="3"/>
      <c r="Z116" s="3"/>
    </row>
    <row r="117" spans="1:26" ht="14.4" hidden="1" outlineLevel="1" x14ac:dyDescent="0.3">
      <c r="A117" s="3"/>
      <c r="B117" s="9"/>
      <c r="C117" s="53"/>
      <c r="D117" s="53"/>
      <c r="E117" s="11"/>
      <c r="F117" s="11"/>
      <c r="G117" s="58"/>
      <c r="H117" s="54"/>
      <c r="I117" s="54"/>
      <c r="J117" s="55" t="s">
        <v>97</v>
      </c>
      <c r="K117" s="53"/>
      <c r="L117" s="53" t="str">
        <f t="shared" si="3"/>
        <v/>
      </c>
      <c r="M117" s="11"/>
      <c r="N117" s="11"/>
      <c r="O117" s="11"/>
      <c r="P117" s="11"/>
      <c r="Q117" s="11"/>
      <c r="R117" s="11"/>
      <c r="S117" s="11"/>
      <c r="T117" s="11"/>
      <c r="U117" s="11"/>
      <c r="V117" s="53"/>
      <c r="W117" s="35" t="str">
        <f t="shared" si="2"/>
        <v>OK</v>
      </c>
      <c r="X117" s="38" t="str">
        <f t="shared" si="4"/>
        <v/>
      </c>
      <c r="Y117" s="3"/>
      <c r="Z117" s="3"/>
    </row>
    <row r="118" spans="1:26" ht="14.4" hidden="1" outlineLevel="1" x14ac:dyDescent="0.3">
      <c r="A118" s="3"/>
      <c r="B118" s="9"/>
      <c r="C118" s="53"/>
      <c r="D118" s="53"/>
      <c r="E118" s="11"/>
      <c r="F118" s="11"/>
      <c r="G118" s="58"/>
      <c r="H118" s="54"/>
      <c r="I118" s="54"/>
      <c r="J118" s="55" t="s">
        <v>97</v>
      </c>
      <c r="K118" s="53"/>
      <c r="L118" s="53" t="str">
        <f t="shared" si="3"/>
        <v/>
      </c>
      <c r="M118" s="11"/>
      <c r="N118" s="11"/>
      <c r="O118" s="11"/>
      <c r="P118" s="11"/>
      <c r="Q118" s="11"/>
      <c r="R118" s="11"/>
      <c r="S118" s="11"/>
      <c r="T118" s="11"/>
      <c r="U118" s="11"/>
      <c r="V118" s="53"/>
      <c r="W118" s="35" t="str">
        <f t="shared" si="2"/>
        <v>OK</v>
      </c>
      <c r="X118" s="38" t="str">
        <f t="shared" si="4"/>
        <v/>
      </c>
      <c r="Y118" s="3"/>
      <c r="Z118" s="3"/>
    </row>
    <row r="119" spans="1:26" ht="14.4" hidden="1" outlineLevel="1" x14ac:dyDescent="0.3">
      <c r="A119" s="3"/>
      <c r="B119" s="9"/>
      <c r="C119" s="53"/>
      <c r="D119" s="53"/>
      <c r="E119" s="11"/>
      <c r="F119" s="11"/>
      <c r="G119" s="58"/>
      <c r="H119" s="54"/>
      <c r="I119" s="54"/>
      <c r="J119" s="55"/>
      <c r="K119" s="53"/>
      <c r="L119" s="53" t="str">
        <f t="shared" si="3"/>
        <v/>
      </c>
      <c r="M119" s="11"/>
      <c r="N119" s="11"/>
      <c r="O119" s="11"/>
      <c r="P119" s="11"/>
      <c r="Q119" s="11"/>
      <c r="R119" s="11"/>
      <c r="S119" s="11"/>
      <c r="T119" s="11"/>
      <c r="U119" s="11"/>
      <c r="V119" s="53"/>
      <c r="W119" s="35" t="str">
        <f t="shared" si="2"/>
        <v>OK</v>
      </c>
      <c r="X119" s="38" t="str">
        <f t="shared" si="4"/>
        <v/>
      </c>
      <c r="Y119" s="3"/>
      <c r="Z119" s="3"/>
    </row>
    <row r="120" spans="1:26" ht="14.4" hidden="1" outlineLevel="1" x14ac:dyDescent="0.3">
      <c r="A120" s="3"/>
      <c r="B120" s="9"/>
      <c r="C120" s="53"/>
      <c r="D120" s="53"/>
      <c r="E120" s="11"/>
      <c r="F120" s="11"/>
      <c r="G120" s="58"/>
      <c r="H120" s="54"/>
      <c r="I120" s="54"/>
      <c r="J120" s="55"/>
      <c r="K120" s="53"/>
      <c r="L120" s="53" t="str">
        <f t="shared" si="3"/>
        <v/>
      </c>
      <c r="M120" s="11"/>
      <c r="N120" s="11"/>
      <c r="O120" s="11"/>
      <c r="P120" s="11"/>
      <c r="Q120" s="11"/>
      <c r="R120" s="11"/>
      <c r="S120" s="11"/>
      <c r="T120" s="11"/>
      <c r="U120" s="11"/>
      <c r="V120" s="53"/>
      <c r="W120" s="35" t="str">
        <f t="shared" si="2"/>
        <v>OK</v>
      </c>
      <c r="X120" s="38" t="str">
        <f t="shared" si="4"/>
        <v/>
      </c>
      <c r="Y120" s="3"/>
      <c r="Z120" s="3"/>
    </row>
    <row r="121" spans="1:26" ht="14.4" hidden="1" outlineLevel="1" x14ac:dyDescent="0.3">
      <c r="A121" s="3"/>
      <c r="B121" s="9"/>
      <c r="C121" s="53"/>
      <c r="D121" s="53"/>
      <c r="E121" s="11"/>
      <c r="F121" s="11"/>
      <c r="G121" s="58"/>
      <c r="H121" s="54"/>
      <c r="I121" s="54"/>
      <c r="J121" s="55"/>
      <c r="K121" s="53"/>
      <c r="L121" s="53" t="str">
        <f t="shared" si="3"/>
        <v/>
      </c>
      <c r="M121" s="11"/>
      <c r="N121" s="11"/>
      <c r="O121" s="11"/>
      <c r="P121" s="11"/>
      <c r="Q121" s="11"/>
      <c r="R121" s="11"/>
      <c r="S121" s="11"/>
      <c r="T121" s="11"/>
      <c r="U121" s="11"/>
      <c r="V121" s="53"/>
      <c r="W121" s="35" t="str">
        <f t="shared" si="2"/>
        <v>OK</v>
      </c>
      <c r="X121" s="38" t="str">
        <f t="shared" si="4"/>
        <v/>
      </c>
      <c r="Y121" s="3"/>
      <c r="Z121" s="3"/>
    </row>
    <row r="122" spans="1:26" ht="14.4" hidden="1" outlineLevel="1" x14ac:dyDescent="0.3">
      <c r="A122" s="3"/>
      <c r="B122" s="9"/>
      <c r="C122" s="53"/>
      <c r="D122" s="53"/>
      <c r="E122" s="11"/>
      <c r="F122" s="11"/>
      <c r="G122" s="58"/>
      <c r="H122" s="54"/>
      <c r="I122" s="54"/>
      <c r="J122" s="55"/>
      <c r="K122" s="53"/>
      <c r="L122" s="53" t="str">
        <f t="shared" si="3"/>
        <v/>
      </c>
      <c r="M122" s="11"/>
      <c r="N122" s="11"/>
      <c r="O122" s="11"/>
      <c r="P122" s="11"/>
      <c r="Q122" s="11"/>
      <c r="R122" s="11"/>
      <c r="S122" s="11"/>
      <c r="T122" s="11"/>
      <c r="U122" s="11"/>
      <c r="V122" s="53"/>
      <c r="W122" s="35" t="str">
        <f t="shared" si="2"/>
        <v>OK</v>
      </c>
      <c r="X122" s="38" t="str">
        <f t="shared" si="4"/>
        <v/>
      </c>
      <c r="Y122" s="3"/>
      <c r="Z122" s="3"/>
    </row>
    <row r="123" spans="1:26" ht="14.4" hidden="1" outlineLevel="1" x14ac:dyDescent="0.3">
      <c r="A123" s="3"/>
      <c r="B123" s="9"/>
      <c r="C123" s="53"/>
      <c r="D123" s="53"/>
      <c r="E123" s="11"/>
      <c r="F123" s="11"/>
      <c r="G123" s="58"/>
      <c r="H123" s="54"/>
      <c r="I123" s="54"/>
      <c r="J123" s="55"/>
      <c r="K123" s="53"/>
      <c r="L123" s="53" t="str">
        <f t="shared" si="3"/>
        <v/>
      </c>
      <c r="M123" s="11"/>
      <c r="N123" s="11"/>
      <c r="O123" s="11"/>
      <c r="P123" s="11"/>
      <c r="Q123" s="11"/>
      <c r="R123" s="11"/>
      <c r="S123" s="11"/>
      <c r="T123" s="11"/>
      <c r="U123" s="11"/>
      <c r="V123" s="53"/>
      <c r="W123" s="35" t="str">
        <f t="shared" si="2"/>
        <v>OK</v>
      </c>
      <c r="X123" s="38" t="str">
        <f t="shared" si="4"/>
        <v/>
      </c>
      <c r="Y123" s="3"/>
      <c r="Z123" s="3"/>
    </row>
    <row r="124" spans="1:26" ht="14.4" hidden="1" outlineLevel="1" x14ac:dyDescent="0.3">
      <c r="A124" s="3"/>
      <c r="B124" s="9"/>
      <c r="C124" s="53"/>
      <c r="D124" s="53"/>
      <c r="E124" s="11"/>
      <c r="F124" s="11"/>
      <c r="G124" s="58"/>
      <c r="H124" s="54"/>
      <c r="I124" s="54"/>
      <c r="J124" s="55"/>
      <c r="K124" s="53"/>
      <c r="L124" s="53" t="str">
        <f t="shared" si="3"/>
        <v/>
      </c>
      <c r="M124" s="11"/>
      <c r="N124" s="11"/>
      <c r="O124" s="11"/>
      <c r="P124" s="11"/>
      <c r="Q124" s="11"/>
      <c r="R124" s="11"/>
      <c r="S124" s="11"/>
      <c r="T124" s="11"/>
      <c r="U124" s="11"/>
      <c r="V124" s="53"/>
      <c r="W124" s="35" t="str">
        <f t="shared" si="2"/>
        <v>OK</v>
      </c>
      <c r="X124" s="38" t="str">
        <f t="shared" si="4"/>
        <v/>
      </c>
      <c r="Y124" s="3"/>
      <c r="Z124" s="3"/>
    </row>
    <row r="125" spans="1:26" ht="14.4" hidden="1" outlineLevel="1" x14ac:dyDescent="0.3">
      <c r="A125" s="3"/>
      <c r="B125" s="9"/>
      <c r="C125" s="53"/>
      <c r="D125" s="53"/>
      <c r="E125" s="11"/>
      <c r="F125" s="11"/>
      <c r="G125" s="58"/>
      <c r="H125" s="54"/>
      <c r="I125" s="54"/>
      <c r="J125" s="55"/>
      <c r="K125" s="53"/>
      <c r="L125" s="53" t="str">
        <f t="shared" si="3"/>
        <v/>
      </c>
      <c r="M125" s="11"/>
      <c r="N125" s="11"/>
      <c r="O125" s="11"/>
      <c r="P125" s="11"/>
      <c r="Q125" s="11"/>
      <c r="R125" s="11"/>
      <c r="S125" s="11"/>
      <c r="T125" s="11"/>
      <c r="U125" s="11"/>
      <c r="V125" s="53"/>
      <c r="W125" s="35" t="str">
        <f t="shared" si="2"/>
        <v>OK</v>
      </c>
      <c r="X125" s="38" t="str">
        <f t="shared" si="4"/>
        <v/>
      </c>
      <c r="Y125" s="3"/>
      <c r="Z125" s="3"/>
    </row>
    <row r="126" spans="1:26" ht="20.399999999999999" collapsed="1" x14ac:dyDescent="0.3">
      <c r="A126" s="3"/>
      <c r="B126" s="64" t="s">
        <v>63</v>
      </c>
      <c r="C126" s="47" t="s">
        <v>44</v>
      </c>
      <c r="D126" s="47" t="s">
        <v>44</v>
      </c>
      <c r="E126" s="48">
        <f t="shared" ref="E126:F126" si="33">SUM(E127,E130,,E134,E139,E146)</f>
        <v>0</v>
      </c>
      <c r="F126" s="48">
        <f t="shared" si="33"/>
        <v>15120.37</v>
      </c>
      <c r="G126" s="49" t="s">
        <v>44</v>
      </c>
      <c r="H126" s="65"/>
      <c r="I126" s="65"/>
      <c r="J126" s="3"/>
      <c r="K126" s="3"/>
      <c r="L126" s="3"/>
      <c r="M126" s="3"/>
      <c r="N126" s="3"/>
      <c r="O126" s="3"/>
      <c r="P126" s="3"/>
      <c r="Q126" s="3"/>
      <c r="R126" s="3"/>
      <c r="S126" s="3"/>
      <c r="T126" s="3"/>
      <c r="U126" s="3"/>
      <c r="V126" s="3"/>
      <c r="W126" s="35"/>
      <c r="X126" s="32"/>
      <c r="Y126" s="3"/>
      <c r="Z126" s="3"/>
    </row>
    <row r="127" spans="1:26" hidden="1" outlineLevel="1" x14ac:dyDescent="0.3">
      <c r="A127" s="3"/>
      <c r="B127" s="66" t="s">
        <v>231</v>
      </c>
      <c r="C127" s="67" t="s">
        <v>44</v>
      </c>
      <c r="D127" s="67" t="s">
        <v>44</v>
      </c>
      <c r="E127" s="68">
        <f>SUM(E128:E129)</f>
        <v>0</v>
      </c>
      <c r="F127" s="68">
        <f>SUMIF(D128:D129,"OK",F128:F129)</f>
        <v>370.69</v>
      </c>
      <c r="G127" s="69" t="s">
        <v>44</v>
      </c>
      <c r="H127" s="70"/>
      <c r="I127" s="70"/>
      <c r="J127" s="3"/>
      <c r="K127" s="3"/>
      <c r="L127" s="3"/>
      <c r="M127" s="3"/>
      <c r="N127" s="3"/>
      <c r="O127" s="3"/>
      <c r="P127" s="3"/>
      <c r="Q127" s="3"/>
      <c r="R127" s="3"/>
      <c r="S127" s="3"/>
      <c r="T127" s="3"/>
      <c r="U127" s="3"/>
      <c r="V127" s="3"/>
      <c r="W127" s="35"/>
      <c r="X127" s="32"/>
      <c r="Y127" s="3"/>
      <c r="Z127" s="3"/>
    </row>
    <row r="128" spans="1:26" ht="14.4" hidden="1" outlineLevel="1" x14ac:dyDescent="0.3">
      <c r="A128" s="3"/>
      <c r="B128" s="9" t="s">
        <v>232</v>
      </c>
      <c r="C128" s="53">
        <v>2</v>
      </c>
      <c r="D128" s="53" t="s">
        <v>95</v>
      </c>
      <c r="E128" s="11">
        <v>0</v>
      </c>
      <c r="F128" s="11">
        <v>370.69</v>
      </c>
      <c r="G128" s="58"/>
      <c r="H128" s="54" t="s">
        <v>37</v>
      </c>
      <c r="I128" s="54"/>
      <c r="J128" s="3"/>
      <c r="K128" s="3"/>
      <c r="L128" s="3"/>
      <c r="M128" s="3"/>
      <c r="N128" s="3"/>
      <c r="O128" s="3"/>
      <c r="P128" s="3"/>
      <c r="Q128" s="3"/>
      <c r="R128" s="3"/>
      <c r="S128" s="3"/>
      <c r="T128" s="3"/>
      <c r="U128" s="3"/>
      <c r="V128" s="3"/>
      <c r="W128" s="35"/>
      <c r="X128" s="32"/>
      <c r="Y128" s="3"/>
      <c r="Z128" s="3"/>
    </row>
    <row r="129" spans="1:26" ht="14.4" hidden="1" outlineLevel="1" x14ac:dyDescent="0.3">
      <c r="A129" s="3"/>
      <c r="B129" s="9" t="s">
        <v>62</v>
      </c>
      <c r="C129" s="53"/>
      <c r="D129" s="53"/>
      <c r="E129" s="11">
        <v>0</v>
      </c>
      <c r="F129" s="11">
        <v>0</v>
      </c>
      <c r="G129" s="58"/>
      <c r="H129" s="54"/>
      <c r="I129" s="54"/>
      <c r="J129" s="3"/>
      <c r="K129" s="3"/>
      <c r="L129" s="3"/>
      <c r="M129" s="3"/>
      <c r="N129" s="3"/>
      <c r="O129" s="3"/>
      <c r="P129" s="3"/>
      <c r="Q129" s="3"/>
      <c r="R129" s="3"/>
      <c r="S129" s="3"/>
      <c r="T129" s="3"/>
      <c r="U129" s="3"/>
      <c r="V129" s="3"/>
      <c r="W129" s="35"/>
      <c r="X129" s="32"/>
      <c r="Y129" s="3"/>
      <c r="Z129" s="3"/>
    </row>
    <row r="130" spans="1:26" hidden="1" outlineLevel="1" x14ac:dyDescent="0.3">
      <c r="A130" s="3"/>
      <c r="B130" s="66" t="s">
        <v>233</v>
      </c>
      <c r="C130" s="67" t="s">
        <v>44</v>
      </c>
      <c r="D130" s="67" t="s">
        <v>44</v>
      </c>
      <c r="E130" s="68">
        <f>SUM(E131:E133)</f>
        <v>0</v>
      </c>
      <c r="F130" s="68">
        <f>SUMIF(D131:D133,"OK",F131:F133)</f>
        <v>1479.01</v>
      </c>
      <c r="G130" s="69" t="s">
        <v>44</v>
      </c>
      <c r="H130" s="70"/>
      <c r="I130" s="70"/>
      <c r="J130" s="3"/>
      <c r="K130" s="3"/>
      <c r="L130" s="3"/>
      <c r="M130" s="3"/>
      <c r="N130" s="3"/>
      <c r="O130" s="3"/>
      <c r="P130" s="3"/>
      <c r="Q130" s="3"/>
      <c r="R130" s="3"/>
      <c r="S130" s="3"/>
      <c r="T130" s="3"/>
      <c r="U130" s="3"/>
      <c r="V130" s="3"/>
      <c r="W130" s="35"/>
      <c r="X130" s="32"/>
      <c r="Y130" s="3"/>
      <c r="Z130" s="3"/>
    </row>
    <row r="131" spans="1:26" ht="14.4" hidden="1" outlineLevel="1" x14ac:dyDescent="0.3">
      <c r="A131" s="3"/>
      <c r="B131" s="9" t="s">
        <v>716</v>
      </c>
      <c r="C131" s="53"/>
      <c r="D131" s="53"/>
      <c r="E131" s="11">
        <v>0</v>
      </c>
      <c r="F131" s="11">
        <v>0</v>
      </c>
      <c r="G131" s="60"/>
      <c r="H131" s="54"/>
      <c r="I131" s="54"/>
      <c r="J131" s="3"/>
      <c r="K131" s="3"/>
      <c r="L131" s="3"/>
      <c r="M131" s="3"/>
      <c r="N131" s="3"/>
      <c r="O131" s="3"/>
      <c r="P131" s="3"/>
      <c r="Q131" s="3"/>
      <c r="R131" s="3"/>
      <c r="S131" s="3"/>
      <c r="T131" s="3"/>
      <c r="U131" s="3"/>
      <c r="V131" s="3"/>
      <c r="W131" s="35"/>
      <c r="X131" s="32"/>
      <c r="Y131" s="3"/>
      <c r="Z131" s="3"/>
    </row>
    <row r="132" spans="1:26" ht="14.4" hidden="1" outlineLevel="1" x14ac:dyDescent="0.3">
      <c r="A132" s="3"/>
      <c r="B132" s="9" t="s">
        <v>530</v>
      </c>
      <c r="C132" s="53" t="s">
        <v>642</v>
      </c>
      <c r="D132" s="53" t="s">
        <v>95</v>
      </c>
      <c r="E132" s="11">
        <v>0</v>
      </c>
      <c r="F132" s="11">
        <v>1407.51</v>
      </c>
      <c r="G132" s="61"/>
      <c r="H132" s="54" t="s">
        <v>39</v>
      </c>
      <c r="I132" s="54"/>
      <c r="J132" s="3"/>
      <c r="K132" s="3"/>
      <c r="L132" s="3"/>
      <c r="M132" s="3"/>
      <c r="N132" s="3"/>
      <c r="O132" s="3"/>
      <c r="P132" s="3"/>
      <c r="Q132" s="3"/>
      <c r="R132" s="3"/>
      <c r="S132" s="3"/>
      <c r="T132" s="3"/>
      <c r="U132" s="3"/>
      <c r="V132" s="3"/>
      <c r="W132" s="35"/>
      <c r="X132" s="32"/>
      <c r="Y132" s="3"/>
      <c r="Z132" s="3"/>
    </row>
    <row r="133" spans="1:26" ht="14.4" hidden="1" outlineLevel="1" x14ac:dyDescent="0.3">
      <c r="A133" s="3"/>
      <c r="B133" s="9" t="s">
        <v>533</v>
      </c>
      <c r="C133" s="53" t="s">
        <v>1036</v>
      </c>
      <c r="D133" s="53" t="s">
        <v>95</v>
      </c>
      <c r="E133" s="11">
        <v>0</v>
      </c>
      <c r="F133" s="11">
        <f>4+17.5+20+30</f>
        <v>71.5</v>
      </c>
      <c r="G133" s="60"/>
      <c r="H133" s="54" t="s">
        <v>38</v>
      </c>
      <c r="I133" s="54"/>
      <c r="J133" s="3"/>
      <c r="K133" s="3"/>
      <c r="L133" s="3"/>
      <c r="M133" s="3"/>
      <c r="N133" s="3"/>
      <c r="O133" s="3"/>
      <c r="P133" s="3"/>
      <c r="Q133" s="3"/>
      <c r="R133" s="3"/>
      <c r="S133" s="3"/>
      <c r="T133" s="3"/>
      <c r="U133" s="3"/>
      <c r="V133" s="3"/>
      <c r="W133" s="35"/>
      <c r="X133" s="32"/>
      <c r="Y133" s="3"/>
      <c r="Z133" s="3"/>
    </row>
    <row r="134" spans="1:26" hidden="1" outlineLevel="1" x14ac:dyDescent="0.3">
      <c r="A134" s="3"/>
      <c r="B134" s="66" t="s">
        <v>652</v>
      </c>
      <c r="C134" s="67" t="s">
        <v>44</v>
      </c>
      <c r="D134" s="67" t="s">
        <v>44</v>
      </c>
      <c r="E134" s="68">
        <f>SUM(E135:E137)</f>
        <v>0</v>
      </c>
      <c r="F134" s="68">
        <f>SUMIF(D135:D138,"OK",F135:F138)</f>
        <v>0</v>
      </c>
      <c r="G134" s="69" t="s">
        <v>44</v>
      </c>
      <c r="H134" s="70"/>
      <c r="I134" s="70"/>
      <c r="J134" s="3"/>
      <c r="K134" s="3"/>
      <c r="L134" s="3"/>
      <c r="M134" s="3"/>
      <c r="N134" s="3"/>
      <c r="O134" s="3"/>
      <c r="P134" s="3"/>
      <c r="Q134" s="3"/>
      <c r="R134" s="3"/>
      <c r="S134" s="3"/>
      <c r="T134" s="3"/>
      <c r="U134" s="3"/>
      <c r="V134" s="3"/>
      <c r="W134" s="35"/>
      <c r="X134" s="32"/>
      <c r="Y134" s="3"/>
      <c r="Z134" s="3"/>
    </row>
    <row r="135" spans="1:26" ht="14.4" hidden="1" outlineLevel="1" x14ac:dyDescent="0.3">
      <c r="A135" s="3"/>
      <c r="B135" s="9" t="s">
        <v>716</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4.4" hidden="1" outlineLevel="1" x14ac:dyDescent="0.3">
      <c r="A136" s="3"/>
      <c r="B136" s="9" t="s">
        <v>532</v>
      </c>
      <c r="C136" s="53"/>
      <c r="D136" s="53"/>
      <c r="E136" s="11">
        <v>0</v>
      </c>
      <c r="F136" s="11">
        <v>0</v>
      </c>
      <c r="G136" s="61"/>
      <c r="H136" s="54"/>
      <c r="I136" s="54"/>
      <c r="J136" s="3"/>
      <c r="K136" s="3"/>
      <c r="L136" s="3"/>
      <c r="M136" s="3"/>
      <c r="N136" s="3"/>
      <c r="O136" s="3"/>
      <c r="P136" s="3"/>
      <c r="Q136" s="3"/>
      <c r="R136" s="3"/>
      <c r="S136" s="3"/>
      <c r="T136" s="3"/>
      <c r="U136" s="3"/>
      <c r="V136" s="3"/>
      <c r="W136" s="35"/>
      <c r="X136" s="32"/>
      <c r="Y136" s="3"/>
      <c r="Z136" s="3"/>
    </row>
    <row r="137" spans="1:26" ht="14.4" hidden="1" outlineLevel="1" x14ac:dyDescent="0.3">
      <c r="A137" s="3"/>
      <c r="B137" s="9" t="s">
        <v>533</v>
      </c>
      <c r="C137" s="53"/>
      <c r="D137" s="53"/>
      <c r="E137" s="11">
        <v>0</v>
      </c>
      <c r="F137" s="11">
        <v>0</v>
      </c>
      <c r="G137" s="60"/>
      <c r="H137" s="54"/>
      <c r="I137" s="54"/>
      <c r="J137" s="3"/>
      <c r="K137" s="3"/>
      <c r="L137" s="3"/>
      <c r="M137" s="3"/>
      <c r="N137" s="3"/>
      <c r="O137" s="3"/>
      <c r="P137" s="3"/>
      <c r="Q137" s="3"/>
      <c r="R137" s="3"/>
      <c r="S137" s="3"/>
      <c r="T137" s="3"/>
      <c r="U137" s="3"/>
      <c r="V137" s="3"/>
      <c r="W137" s="35"/>
      <c r="X137" s="32"/>
      <c r="Y137" s="3"/>
      <c r="Z137" s="3"/>
    </row>
    <row r="138" spans="1:26" ht="14.4" hidden="1" outlineLevel="1" x14ac:dyDescent="0.3">
      <c r="A138" s="3"/>
      <c r="B138" s="9" t="s">
        <v>530</v>
      </c>
      <c r="C138" s="53"/>
      <c r="D138" s="53"/>
      <c r="E138" s="11">
        <v>0</v>
      </c>
      <c r="F138" s="11">
        <v>0</v>
      </c>
      <c r="G138" s="60"/>
      <c r="H138" s="54"/>
      <c r="I138" s="54"/>
      <c r="J138" s="3"/>
      <c r="K138" s="3"/>
      <c r="L138" s="3"/>
      <c r="M138" s="3"/>
      <c r="N138" s="3"/>
      <c r="O138" s="3"/>
      <c r="P138" s="3"/>
      <c r="Q138" s="3"/>
      <c r="R138" s="3"/>
      <c r="S138" s="3"/>
      <c r="T138" s="3"/>
      <c r="U138" s="3"/>
      <c r="V138" s="3"/>
      <c r="W138" s="35"/>
      <c r="X138" s="32"/>
      <c r="Y138" s="3"/>
      <c r="Z138" s="3"/>
    </row>
    <row r="139" spans="1:26" hidden="1" outlineLevel="1" x14ac:dyDescent="0.3">
      <c r="A139" s="3"/>
      <c r="B139" s="66" t="s">
        <v>902</v>
      </c>
      <c r="C139" s="67" t="s">
        <v>44</v>
      </c>
      <c r="D139" s="67" t="s">
        <v>44</v>
      </c>
      <c r="E139" s="68">
        <f>SUM(E140:E145)</f>
        <v>0</v>
      </c>
      <c r="F139" s="68">
        <f>SUMIF(D140:D145,"OK",F140:F145)</f>
        <v>10275.67</v>
      </c>
      <c r="G139" s="69" t="s">
        <v>44</v>
      </c>
      <c r="H139" s="70"/>
      <c r="I139" s="70"/>
      <c r="J139" s="3"/>
      <c r="K139" s="3"/>
      <c r="L139" s="3"/>
      <c r="M139" s="3"/>
      <c r="N139" s="3"/>
      <c r="O139" s="3"/>
      <c r="P139" s="3"/>
      <c r="Q139" s="3"/>
      <c r="R139" s="3"/>
      <c r="S139" s="3"/>
      <c r="T139" s="3"/>
      <c r="U139" s="3"/>
      <c r="V139" s="3"/>
      <c r="W139" s="35"/>
      <c r="X139" s="32"/>
      <c r="Y139" s="3"/>
      <c r="Z139" s="3"/>
    </row>
    <row r="140" spans="1:26" ht="14.4" hidden="1" outlineLevel="1" x14ac:dyDescent="0.3">
      <c r="A140" s="3"/>
      <c r="B140" s="9" t="s">
        <v>1037</v>
      </c>
      <c r="C140" s="53">
        <v>12</v>
      </c>
      <c r="D140" s="53" t="s">
        <v>95</v>
      </c>
      <c r="E140" s="11">
        <v>0</v>
      </c>
      <c r="F140" s="11">
        <f>50</f>
        <v>50</v>
      </c>
      <c r="G140" s="61" t="s">
        <v>1038</v>
      </c>
      <c r="H140" s="54" t="s">
        <v>37</v>
      </c>
      <c r="I140" s="54"/>
      <c r="J140" s="3"/>
      <c r="K140" s="3"/>
      <c r="L140" s="3"/>
      <c r="M140" s="3"/>
      <c r="N140" s="3"/>
      <c r="O140" s="3"/>
      <c r="P140" s="3"/>
      <c r="Q140" s="3"/>
      <c r="R140" s="3"/>
      <c r="S140" s="3"/>
      <c r="T140" s="3"/>
      <c r="U140" s="3"/>
      <c r="V140" s="3"/>
      <c r="W140" s="35"/>
      <c r="X140" s="32"/>
      <c r="Y140" s="3"/>
      <c r="Z140" s="3"/>
    </row>
    <row r="141" spans="1:26" ht="14.4" hidden="1" outlineLevel="1" x14ac:dyDescent="0.3">
      <c r="A141" s="3"/>
      <c r="B141" s="9" t="s">
        <v>905</v>
      </c>
      <c r="C141" s="53" t="s">
        <v>1039</v>
      </c>
      <c r="D141" s="53" t="s">
        <v>95</v>
      </c>
      <c r="E141" s="11">
        <v>0</v>
      </c>
      <c r="F141" s="11">
        <f>75+8+30+50+80+98+90+45+40+39</f>
        <v>555</v>
      </c>
      <c r="G141" s="58"/>
      <c r="H141" s="54" t="s">
        <v>38</v>
      </c>
      <c r="I141" s="54"/>
      <c r="J141" s="3"/>
      <c r="K141" s="3"/>
      <c r="L141" s="3"/>
      <c r="M141" s="3"/>
      <c r="N141" s="3"/>
      <c r="O141" s="3"/>
      <c r="P141" s="3"/>
      <c r="Q141" s="3"/>
      <c r="R141" s="3"/>
      <c r="S141" s="3"/>
      <c r="T141" s="3"/>
      <c r="U141" s="3"/>
      <c r="V141" s="3"/>
      <c r="W141" s="35"/>
      <c r="X141" s="32"/>
      <c r="Y141" s="3"/>
      <c r="Z141" s="3"/>
    </row>
    <row r="142" spans="1:26" ht="14.4" hidden="1" outlineLevel="1" x14ac:dyDescent="0.3">
      <c r="A142" s="3"/>
      <c r="B142" s="9" t="s">
        <v>906</v>
      </c>
      <c r="C142" s="53" t="s">
        <v>1040</v>
      </c>
      <c r="D142" s="53" t="s">
        <v>95</v>
      </c>
      <c r="E142" s="11">
        <v>0</v>
      </c>
      <c r="F142" s="11">
        <f>50+40+20+10+50+65+10+50+30+20+55+167.9+40+6430.77</f>
        <v>7038.67</v>
      </c>
      <c r="G142" s="58"/>
      <c r="H142" s="54" t="s">
        <v>38</v>
      </c>
      <c r="I142" s="54"/>
      <c r="J142" s="3"/>
      <c r="K142" s="3"/>
      <c r="L142" s="3"/>
      <c r="M142" s="3"/>
      <c r="N142" s="3"/>
      <c r="O142" s="3"/>
      <c r="P142" s="3"/>
      <c r="Q142" s="3"/>
      <c r="R142" s="3"/>
      <c r="S142" s="3"/>
      <c r="T142" s="3"/>
      <c r="U142" s="3"/>
      <c r="V142" s="3"/>
      <c r="W142" s="35"/>
      <c r="X142" s="32"/>
      <c r="Y142" s="3"/>
      <c r="Z142" s="3"/>
    </row>
    <row r="143" spans="1:26" ht="14.4" hidden="1" outlineLevel="1" x14ac:dyDescent="0.3">
      <c r="A143" s="3"/>
      <c r="B143" s="9" t="s">
        <v>1041</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4.4" hidden="1" outlineLevel="1" x14ac:dyDescent="0.3">
      <c r="A144" s="3"/>
      <c r="B144" s="9" t="s">
        <v>1042</v>
      </c>
      <c r="C144" s="53">
        <v>13</v>
      </c>
      <c r="D144" s="53" t="s">
        <v>95</v>
      </c>
      <c r="E144" s="11">
        <v>0</v>
      </c>
      <c r="F144" s="11">
        <f>2617+15</f>
        <v>2632</v>
      </c>
      <c r="G144" s="58"/>
      <c r="H144" s="54" t="s">
        <v>36</v>
      </c>
      <c r="I144" s="54"/>
      <c r="J144" s="3"/>
      <c r="K144" s="3"/>
      <c r="L144" s="3"/>
      <c r="M144" s="3"/>
      <c r="N144" s="3"/>
      <c r="O144" s="3"/>
      <c r="P144" s="3"/>
      <c r="Q144" s="3"/>
      <c r="R144" s="3"/>
      <c r="S144" s="3"/>
      <c r="T144" s="3"/>
      <c r="U144" s="3"/>
      <c r="V144" s="3"/>
      <c r="W144" s="35"/>
      <c r="X144" s="32"/>
      <c r="Y144" s="3"/>
      <c r="Z144" s="3"/>
    </row>
    <row r="145" spans="1:26" ht="14.4" hidden="1" outlineLevel="1" x14ac:dyDescent="0.3">
      <c r="A145" s="3"/>
      <c r="B145" s="9" t="s">
        <v>909</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idden="1" outlineLevel="1" x14ac:dyDescent="0.3">
      <c r="A146" s="3"/>
      <c r="B146" s="66" t="s">
        <v>690</v>
      </c>
      <c r="C146" s="67" t="s">
        <v>44</v>
      </c>
      <c r="D146" s="67" t="s">
        <v>44</v>
      </c>
      <c r="E146" s="68">
        <f>SUM(E147:E149)</f>
        <v>0</v>
      </c>
      <c r="F146" s="68">
        <f>SUMIF(D147:D149,"OK",F147:F149)</f>
        <v>2995</v>
      </c>
      <c r="G146" s="69" t="s">
        <v>44</v>
      </c>
      <c r="H146" s="70"/>
      <c r="I146" s="70"/>
      <c r="J146" s="3"/>
      <c r="K146" s="3"/>
      <c r="L146" s="3"/>
      <c r="M146" s="3"/>
      <c r="N146" s="3"/>
      <c r="O146" s="3"/>
      <c r="P146" s="3"/>
      <c r="Q146" s="3"/>
      <c r="R146" s="3"/>
      <c r="S146" s="3"/>
      <c r="T146" s="3"/>
      <c r="U146" s="3"/>
      <c r="V146" s="3"/>
      <c r="W146" s="35"/>
      <c r="X146" s="32"/>
      <c r="Y146" s="3"/>
      <c r="Z146" s="3"/>
    </row>
    <row r="147" spans="1:26" ht="14.4" hidden="1" outlineLevel="1" x14ac:dyDescent="0.3">
      <c r="A147" s="3"/>
      <c r="B147" s="9" t="s">
        <v>538</v>
      </c>
      <c r="C147" s="53">
        <v>16</v>
      </c>
      <c r="D147" s="53" t="s">
        <v>95</v>
      </c>
      <c r="E147" s="11">
        <v>0</v>
      </c>
      <c r="F147" s="11">
        <v>2795</v>
      </c>
      <c r="G147" s="60"/>
      <c r="H147" s="54" t="s">
        <v>37</v>
      </c>
      <c r="I147" s="54"/>
      <c r="J147" s="3"/>
      <c r="K147" s="3"/>
      <c r="L147" s="3"/>
      <c r="M147" s="3"/>
      <c r="N147" s="3"/>
      <c r="O147" s="3"/>
      <c r="P147" s="3"/>
      <c r="Q147" s="3"/>
      <c r="R147" s="3"/>
      <c r="S147" s="3"/>
      <c r="T147" s="3"/>
      <c r="U147" s="3"/>
      <c r="V147" s="3"/>
      <c r="W147" s="35"/>
      <c r="X147" s="32"/>
      <c r="Y147" s="3"/>
      <c r="Z147" s="3"/>
    </row>
    <row r="148" spans="1:26" ht="14.4" hidden="1" outlineLevel="1" x14ac:dyDescent="0.3">
      <c r="A148" s="3"/>
      <c r="B148" s="9" t="s">
        <v>1043</v>
      </c>
      <c r="C148" s="53">
        <v>10</v>
      </c>
      <c r="D148" s="53" t="s">
        <v>95</v>
      </c>
      <c r="E148" s="11">
        <v>0</v>
      </c>
      <c r="F148" s="11">
        <f>200</f>
        <v>200</v>
      </c>
      <c r="G148" s="60" t="s">
        <v>1044</v>
      </c>
      <c r="H148" s="54" t="s">
        <v>38</v>
      </c>
      <c r="I148" s="54"/>
      <c r="J148" s="3"/>
      <c r="K148" s="3"/>
      <c r="L148" s="3"/>
      <c r="M148" s="3"/>
      <c r="N148" s="3"/>
      <c r="O148" s="3"/>
      <c r="P148" s="3"/>
      <c r="Q148" s="3"/>
      <c r="R148" s="3"/>
      <c r="S148" s="3"/>
      <c r="T148" s="3"/>
      <c r="U148" s="3"/>
      <c r="V148" s="3"/>
      <c r="W148" s="35"/>
      <c r="X148" s="32"/>
      <c r="Y148" s="3"/>
      <c r="Z148" s="3"/>
    </row>
    <row r="149" spans="1:26" ht="14.4" hidden="1" outlineLevel="1" x14ac:dyDescent="0.3">
      <c r="A149" s="3"/>
      <c r="B149" s="9" t="s">
        <v>62</v>
      </c>
      <c r="C149" s="53"/>
      <c r="D149" s="53"/>
      <c r="E149" s="11">
        <v>0</v>
      </c>
      <c r="F149" s="11">
        <v>0</v>
      </c>
      <c r="G149" s="58"/>
      <c r="H149" s="54"/>
      <c r="I149" s="54"/>
      <c r="J149" s="3"/>
      <c r="K149" s="3"/>
      <c r="L149" s="3"/>
      <c r="M149" s="3"/>
      <c r="N149" s="3"/>
      <c r="O149" s="3"/>
      <c r="P149" s="3"/>
      <c r="Q149" s="3"/>
      <c r="R149" s="3"/>
      <c r="S149" s="3"/>
      <c r="T149" s="3"/>
      <c r="U149" s="3"/>
      <c r="V149" s="3"/>
      <c r="W149" s="35"/>
      <c r="X149" s="32"/>
      <c r="Y149" s="3"/>
      <c r="Z149" s="3"/>
    </row>
    <row r="150" spans="1:26" ht="20.399999999999999" collapsed="1" x14ac:dyDescent="0.3">
      <c r="A150" s="3"/>
      <c r="B150" s="64" t="s">
        <v>240</v>
      </c>
      <c r="C150" s="47" t="s">
        <v>44</v>
      </c>
      <c r="D150" s="47" t="s">
        <v>44</v>
      </c>
      <c r="E150" s="48">
        <f t="shared" ref="E150:F150" si="34">SUM(E151,E156,E161,E165)</f>
        <v>0</v>
      </c>
      <c r="F150" s="48">
        <f t="shared" si="34"/>
        <v>1821</v>
      </c>
      <c r="G150" s="49" t="s">
        <v>44</v>
      </c>
      <c r="H150" s="65"/>
      <c r="I150" s="65"/>
      <c r="J150" s="3"/>
      <c r="K150" s="3"/>
      <c r="L150" s="3"/>
      <c r="M150" s="3"/>
      <c r="N150" s="3"/>
      <c r="O150" s="3"/>
      <c r="P150" s="3"/>
      <c r="Q150" s="3"/>
      <c r="R150" s="3"/>
      <c r="S150" s="3"/>
      <c r="T150" s="3"/>
      <c r="U150" s="3"/>
      <c r="V150" s="3"/>
      <c r="W150" s="35"/>
      <c r="X150" s="32"/>
      <c r="Y150" s="3"/>
      <c r="Z150" s="3"/>
    </row>
    <row r="151" spans="1:26" hidden="1" outlineLevel="1" x14ac:dyDescent="0.3">
      <c r="A151" s="3"/>
      <c r="B151" s="66" t="s">
        <v>241</v>
      </c>
      <c r="C151" s="67" t="s">
        <v>44</v>
      </c>
      <c r="D151" s="67" t="s">
        <v>44</v>
      </c>
      <c r="E151" s="68">
        <f>SUM(E152:E155)</f>
        <v>0</v>
      </c>
      <c r="F151" s="68">
        <f>SUMIF(D152:D155,"OK",F152:F155)</f>
        <v>947</v>
      </c>
      <c r="G151" s="69" t="s">
        <v>44</v>
      </c>
      <c r="H151" s="70"/>
      <c r="I151" s="70"/>
      <c r="J151" s="3"/>
      <c r="K151" s="3"/>
      <c r="L151" s="3"/>
      <c r="M151" s="3"/>
      <c r="N151" s="3"/>
      <c r="O151" s="3"/>
      <c r="P151" s="3"/>
      <c r="Q151" s="3"/>
      <c r="R151" s="3"/>
      <c r="S151" s="3"/>
      <c r="T151" s="3"/>
      <c r="U151" s="3"/>
      <c r="V151" s="3"/>
      <c r="W151" s="35"/>
      <c r="X151" s="32"/>
      <c r="Y151" s="3"/>
      <c r="Z151" s="3"/>
    </row>
    <row r="152" spans="1:26" ht="14.4" hidden="1" outlineLevel="1" x14ac:dyDescent="0.3">
      <c r="A152" s="3"/>
      <c r="B152" s="9" t="s">
        <v>242</v>
      </c>
      <c r="C152" s="53" t="s">
        <v>1045</v>
      </c>
      <c r="D152" s="53" t="s">
        <v>95</v>
      </c>
      <c r="E152" s="11">
        <v>0</v>
      </c>
      <c r="F152" s="11">
        <f>20+10+5+50+10+20+10+10+5+10+400+2+30+55</f>
        <v>637</v>
      </c>
      <c r="G152" s="58"/>
      <c r="H152" s="54" t="s">
        <v>37</v>
      </c>
      <c r="I152" s="54"/>
      <c r="J152" s="3"/>
      <c r="K152" s="3"/>
      <c r="L152" s="3"/>
      <c r="M152" s="3"/>
      <c r="N152" s="3"/>
      <c r="O152" s="3"/>
      <c r="P152" s="3"/>
      <c r="Q152" s="3"/>
      <c r="R152" s="3"/>
      <c r="S152" s="3"/>
      <c r="T152" s="3"/>
      <c r="U152" s="3"/>
      <c r="V152" s="3"/>
      <c r="W152" s="35"/>
      <c r="X152" s="32"/>
      <c r="Y152" s="3"/>
      <c r="Z152" s="3"/>
    </row>
    <row r="153" spans="1:26" ht="14.4" hidden="1" outlineLevel="1" x14ac:dyDescent="0.3">
      <c r="A153" s="3"/>
      <c r="B153" s="9" t="s">
        <v>243</v>
      </c>
      <c r="C153" s="53"/>
      <c r="D153" s="53"/>
      <c r="E153" s="11">
        <v>0</v>
      </c>
      <c r="F153" s="11">
        <v>0</v>
      </c>
      <c r="G153" s="58"/>
      <c r="H153" s="54" t="s">
        <v>36</v>
      </c>
      <c r="I153" s="54"/>
      <c r="J153" s="3"/>
      <c r="K153" s="3"/>
      <c r="L153" s="3"/>
      <c r="M153" s="3"/>
      <c r="N153" s="3"/>
      <c r="O153" s="3"/>
      <c r="P153" s="3"/>
      <c r="Q153" s="3"/>
      <c r="R153" s="3"/>
      <c r="S153" s="3"/>
      <c r="T153" s="3"/>
      <c r="U153" s="3"/>
      <c r="V153" s="3"/>
      <c r="W153" s="35"/>
      <c r="X153" s="32"/>
      <c r="Y153" s="3"/>
      <c r="Z153" s="3"/>
    </row>
    <row r="154" spans="1:26" ht="14.4" hidden="1" outlineLevel="1" x14ac:dyDescent="0.3">
      <c r="A154" s="3"/>
      <c r="B154" s="9" t="s">
        <v>244</v>
      </c>
      <c r="C154" s="53">
        <v>19</v>
      </c>
      <c r="D154" s="53" t="s">
        <v>95</v>
      </c>
      <c r="E154" s="11">
        <v>0</v>
      </c>
      <c r="F154" s="11">
        <f>12+10+30+5+50+5+30+25+3+20+10+10+5+10+10+10+10+30+20+5</f>
        <v>310</v>
      </c>
      <c r="G154" s="58"/>
      <c r="H154" s="54" t="s">
        <v>37</v>
      </c>
      <c r="I154" s="54"/>
      <c r="J154" s="3"/>
      <c r="K154" s="3"/>
      <c r="L154" s="3"/>
      <c r="M154" s="3"/>
      <c r="N154" s="3"/>
      <c r="O154" s="3"/>
      <c r="P154" s="3"/>
      <c r="Q154" s="3"/>
      <c r="R154" s="3"/>
      <c r="S154" s="3"/>
      <c r="T154" s="3"/>
      <c r="U154" s="3"/>
      <c r="V154" s="3"/>
      <c r="W154" s="35"/>
      <c r="X154" s="32"/>
      <c r="Y154" s="3"/>
      <c r="Z154" s="3"/>
    </row>
    <row r="155" spans="1:26" ht="14.4" hidden="1" outlineLevel="1" x14ac:dyDescent="0.3">
      <c r="A155" s="3"/>
      <c r="B155" s="9" t="s">
        <v>245</v>
      </c>
      <c r="C155" s="53"/>
      <c r="D155" s="53"/>
      <c r="E155" s="11">
        <v>0</v>
      </c>
      <c r="F155" s="11">
        <v>0</v>
      </c>
      <c r="G155" s="58"/>
      <c r="H155" s="54" t="s">
        <v>36</v>
      </c>
      <c r="I155" s="54"/>
      <c r="J155" s="3"/>
      <c r="K155" s="3"/>
      <c r="L155" s="3"/>
      <c r="M155" s="3"/>
      <c r="N155" s="3"/>
      <c r="O155" s="3"/>
      <c r="P155" s="3"/>
      <c r="Q155" s="3"/>
      <c r="R155" s="3"/>
      <c r="S155" s="3"/>
      <c r="T155" s="3"/>
      <c r="U155" s="3"/>
      <c r="V155" s="3"/>
      <c r="W155" s="35"/>
      <c r="X155" s="32"/>
      <c r="Y155" s="3"/>
      <c r="Z155" s="3"/>
    </row>
    <row r="156" spans="1:26" hidden="1" outlineLevel="1" x14ac:dyDescent="0.3">
      <c r="A156" s="3"/>
      <c r="B156" s="66" t="s">
        <v>246</v>
      </c>
      <c r="C156" s="67" t="s">
        <v>44</v>
      </c>
      <c r="D156" s="67" t="s">
        <v>44</v>
      </c>
      <c r="E156" s="68">
        <f>SUM(E157:E160)</f>
        <v>0</v>
      </c>
      <c r="F156" s="68">
        <f>SUMIF(D157:D160,"OK",F157:F160)</f>
        <v>874</v>
      </c>
      <c r="G156" s="69" t="s">
        <v>44</v>
      </c>
      <c r="H156" s="70"/>
      <c r="I156" s="70"/>
      <c r="J156" s="3"/>
      <c r="K156" s="3"/>
      <c r="L156" s="3"/>
      <c r="M156" s="3"/>
      <c r="N156" s="3"/>
      <c r="O156" s="3"/>
      <c r="P156" s="3"/>
      <c r="Q156" s="3"/>
      <c r="R156" s="3"/>
      <c r="S156" s="3"/>
      <c r="T156" s="3"/>
      <c r="U156" s="3"/>
      <c r="V156" s="3"/>
      <c r="W156" s="35"/>
      <c r="X156" s="32"/>
      <c r="Y156" s="3"/>
      <c r="Z156" s="3"/>
    </row>
    <row r="157" spans="1:26" ht="14.4" hidden="1" outlineLevel="1" x14ac:dyDescent="0.3">
      <c r="A157" s="3"/>
      <c r="B157" s="9" t="s">
        <v>242</v>
      </c>
      <c r="C157" s="53" t="s">
        <v>1046</v>
      </c>
      <c r="D157" s="53" t="s">
        <v>95</v>
      </c>
      <c r="E157" s="11">
        <v>0</v>
      </c>
      <c r="F157" s="11">
        <f>40+20+20+10+30+20+30+50+20+20+20+40+10+30+30+20+50</f>
        <v>460</v>
      </c>
      <c r="G157" s="60"/>
      <c r="H157" s="54" t="s">
        <v>37</v>
      </c>
      <c r="I157" s="54"/>
      <c r="J157" s="3"/>
      <c r="K157" s="3"/>
      <c r="L157" s="3"/>
      <c r="M157" s="3"/>
      <c r="N157" s="3"/>
      <c r="O157" s="3"/>
      <c r="P157" s="3"/>
      <c r="Q157" s="3"/>
      <c r="R157" s="3"/>
      <c r="S157" s="3"/>
      <c r="T157" s="3"/>
      <c r="U157" s="3"/>
      <c r="V157" s="3"/>
      <c r="W157" s="35"/>
      <c r="X157" s="32"/>
      <c r="Y157" s="3"/>
      <c r="Z157" s="3"/>
    </row>
    <row r="158" spans="1:26" ht="14.4" hidden="1" outlineLevel="1" x14ac:dyDescent="0.3">
      <c r="A158" s="3"/>
      <c r="B158" s="9" t="s">
        <v>243</v>
      </c>
      <c r="C158" s="53"/>
      <c r="D158" s="53"/>
      <c r="E158" s="11">
        <v>0</v>
      </c>
      <c r="F158" s="11">
        <v>0</v>
      </c>
      <c r="G158" s="58"/>
      <c r="H158" s="54" t="s">
        <v>36</v>
      </c>
      <c r="I158" s="54"/>
      <c r="J158" s="3"/>
      <c r="K158" s="3"/>
      <c r="L158" s="3"/>
      <c r="M158" s="3"/>
      <c r="N158" s="3"/>
      <c r="O158" s="3"/>
      <c r="P158" s="3"/>
      <c r="Q158" s="3"/>
      <c r="R158" s="3"/>
      <c r="S158" s="3"/>
      <c r="T158" s="3"/>
      <c r="U158" s="3"/>
      <c r="V158" s="3"/>
      <c r="W158" s="35"/>
      <c r="X158" s="32"/>
      <c r="Y158" s="3"/>
      <c r="Z158" s="3"/>
    </row>
    <row r="159" spans="1:26" ht="14.4" hidden="1" outlineLevel="1" x14ac:dyDescent="0.3">
      <c r="A159" s="3"/>
      <c r="B159" s="9" t="s">
        <v>244</v>
      </c>
      <c r="C159" s="53">
        <v>19</v>
      </c>
      <c r="D159" s="53" t="s">
        <v>95</v>
      </c>
      <c r="E159" s="11">
        <v>0</v>
      </c>
      <c r="F159" s="11">
        <f>14+30+10+20+10+30+30+10+10+30+20+20+30+20+10+50+30+30+10</f>
        <v>414</v>
      </c>
      <c r="G159" s="58"/>
      <c r="H159" s="54" t="s">
        <v>37</v>
      </c>
      <c r="I159" s="54"/>
      <c r="J159" s="3"/>
      <c r="K159" s="3"/>
      <c r="L159" s="3"/>
      <c r="M159" s="3"/>
      <c r="N159" s="3"/>
      <c r="O159" s="3"/>
      <c r="P159" s="3"/>
      <c r="Q159" s="3"/>
      <c r="R159" s="3"/>
      <c r="S159" s="3"/>
      <c r="T159" s="3"/>
      <c r="U159" s="3"/>
      <c r="V159" s="3"/>
      <c r="W159" s="35"/>
      <c r="X159" s="32"/>
      <c r="Y159" s="3"/>
      <c r="Z159" s="3"/>
    </row>
    <row r="160" spans="1:26" ht="14.4" hidden="1" outlineLevel="1" x14ac:dyDescent="0.3">
      <c r="A160" s="3"/>
      <c r="B160" s="9" t="s">
        <v>245</v>
      </c>
      <c r="C160" s="53"/>
      <c r="D160" s="53"/>
      <c r="E160" s="11">
        <v>0</v>
      </c>
      <c r="F160" s="11">
        <v>0</v>
      </c>
      <c r="G160" s="58"/>
      <c r="H160" s="54" t="s">
        <v>36</v>
      </c>
      <c r="I160" s="54"/>
      <c r="J160" s="3"/>
      <c r="K160" s="3"/>
      <c r="L160" s="3"/>
      <c r="M160" s="3"/>
      <c r="N160" s="3"/>
      <c r="O160" s="3"/>
      <c r="P160" s="3"/>
      <c r="Q160" s="3"/>
      <c r="R160" s="3"/>
      <c r="S160" s="3"/>
      <c r="T160" s="3"/>
      <c r="U160" s="3"/>
      <c r="V160" s="3"/>
      <c r="W160" s="35"/>
      <c r="X160" s="32"/>
      <c r="Y160" s="3"/>
      <c r="Z160" s="3"/>
    </row>
    <row r="161" spans="1:26" hidden="1" outlineLevel="1" x14ac:dyDescent="0.3">
      <c r="A161" s="3"/>
      <c r="B161" s="66" t="s">
        <v>247</v>
      </c>
      <c r="C161" s="67" t="s">
        <v>44</v>
      </c>
      <c r="D161" s="67" t="s">
        <v>44</v>
      </c>
      <c r="E161" s="68">
        <f>SUM(E162:E164)</f>
        <v>0</v>
      </c>
      <c r="F161" s="68">
        <f>SUMIF(D162:D164,"OK",F162:F164)</f>
        <v>0</v>
      </c>
      <c r="G161" s="69" t="s">
        <v>44</v>
      </c>
      <c r="H161" s="70"/>
      <c r="I161" s="70"/>
      <c r="J161" s="3"/>
      <c r="K161" s="3"/>
      <c r="L161" s="3"/>
      <c r="M161" s="3"/>
      <c r="N161" s="3"/>
      <c r="O161" s="3"/>
      <c r="P161" s="3"/>
      <c r="Q161" s="3"/>
      <c r="R161" s="3"/>
      <c r="S161" s="3"/>
      <c r="T161" s="3"/>
      <c r="U161" s="3"/>
      <c r="V161" s="3"/>
      <c r="W161" s="35"/>
      <c r="X161" s="32"/>
      <c r="Y161" s="3"/>
      <c r="Z161" s="3"/>
    </row>
    <row r="162" spans="1:26" ht="14.4" hidden="1" outlineLevel="1" x14ac:dyDescent="0.3">
      <c r="A162" s="3"/>
      <c r="B162" s="9" t="s">
        <v>43</v>
      </c>
      <c r="C162" s="71"/>
      <c r="D162" s="53"/>
      <c r="E162" s="11">
        <v>0</v>
      </c>
      <c r="F162" s="11">
        <v>0</v>
      </c>
      <c r="G162" s="60"/>
      <c r="H162" s="54"/>
      <c r="I162" s="54"/>
      <c r="J162" s="3"/>
      <c r="K162" s="3"/>
      <c r="L162" s="3"/>
      <c r="M162" s="3"/>
      <c r="N162" s="3"/>
      <c r="O162" s="3"/>
      <c r="P162" s="3"/>
      <c r="Q162" s="3"/>
      <c r="R162" s="3"/>
      <c r="S162" s="3"/>
      <c r="T162" s="3"/>
      <c r="U162" s="3"/>
      <c r="V162" s="3"/>
      <c r="W162" s="35"/>
      <c r="X162" s="32"/>
      <c r="Y162" s="3"/>
      <c r="Z162" s="3"/>
    </row>
    <row r="163" spans="1:26" ht="14.4" hidden="1" outlineLevel="1" x14ac:dyDescent="0.3">
      <c r="A163" s="3"/>
      <c r="B163" s="9" t="s">
        <v>43</v>
      </c>
      <c r="C163" s="71"/>
      <c r="D163" s="53"/>
      <c r="E163" s="11">
        <v>0</v>
      </c>
      <c r="F163" s="11">
        <v>0</v>
      </c>
      <c r="G163" s="60"/>
      <c r="H163" s="54"/>
      <c r="I163" s="54"/>
      <c r="J163" s="3"/>
      <c r="K163" s="3"/>
      <c r="L163" s="3"/>
      <c r="M163" s="3"/>
      <c r="N163" s="3"/>
      <c r="O163" s="3"/>
      <c r="P163" s="3"/>
      <c r="Q163" s="3"/>
      <c r="R163" s="3"/>
      <c r="S163" s="3"/>
      <c r="T163" s="3"/>
      <c r="U163" s="3"/>
      <c r="V163" s="3"/>
      <c r="W163" s="35"/>
      <c r="X163" s="32"/>
      <c r="Y163" s="3"/>
      <c r="Z163" s="3"/>
    </row>
    <row r="164" spans="1:26" ht="14.4" hidden="1" outlineLevel="1" x14ac:dyDescent="0.3">
      <c r="A164" s="3"/>
      <c r="B164" s="9" t="s">
        <v>43</v>
      </c>
      <c r="C164" s="53"/>
      <c r="D164" s="53"/>
      <c r="E164" s="11">
        <v>0</v>
      </c>
      <c r="F164" s="11">
        <v>0</v>
      </c>
      <c r="G164" s="60"/>
      <c r="H164" s="54"/>
      <c r="I164" s="54"/>
      <c r="J164" s="3"/>
      <c r="K164" s="3"/>
      <c r="L164" s="3"/>
      <c r="M164" s="3"/>
      <c r="N164" s="3"/>
      <c r="O164" s="3"/>
      <c r="P164" s="3"/>
      <c r="Q164" s="3"/>
      <c r="R164" s="3"/>
      <c r="S164" s="3"/>
      <c r="T164" s="3"/>
      <c r="U164" s="3"/>
      <c r="V164" s="3"/>
      <c r="W164" s="35"/>
      <c r="X164" s="32"/>
      <c r="Y164" s="3"/>
      <c r="Z164" s="3"/>
    </row>
    <row r="165" spans="1:26" hidden="1" outlineLevel="1" x14ac:dyDescent="0.3">
      <c r="A165" s="3"/>
      <c r="B165" s="66" t="s">
        <v>62</v>
      </c>
      <c r="C165" s="67" t="s">
        <v>44</v>
      </c>
      <c r="D165" s="67" t="s">
        <v>44</v>
      </c>
      <c r="E165" s="68">
        <f>SUM(E166:E173)</f>
        <v>0</v>
      </c>
      <c r="F165" s="68">
        <f>SUMIF(D166:D179,"OK",F166:F179)</f>
        <v>0</v>
      </c>
      <c r="G165" s="69"/>
      <c r="H165" s="70"/>
      <c r="I165" s="70"/>
      <c r="J165" s="3"/>
      <c r="K165" s="3"/>
      <c r="L165" s="3"/>
      <c r="M165" s="3"/>
      <c r="N165" s="3"/>
      <c r="O165" s="3"/>
      <c r="P165" s="3"/>
      <c r="Q165" s="3"/>
      <c r="R165" s="3"/>
      <c r="S165" s="3"/>
      <c r="T165" s="3"/>
      <c r="U165" s="3"/>
      <c r="V165" s="3"/>
      <c r="W165" s="35"/>
      <c r="X165" s="32"/>
      <c r="Y165" s="3"/>
      <c r="Z165" s="3"/>
    </row>
    <row r="166" spans="1:26" ht="14.4" hidden="1" outlineLevel="1" x14ac:dyDescent="0.3">
      <c r="A166" s="3"/>
      <c r="B166" s="9" t="s">
        <v>62</v>
      </c>
      <c r="C166" s="71"/>
      <c r="D166" s="53"/>
      <c r="E166" s="11">
        <v>0</v>
      </c>
      <c r="F166" s="11">
        <v>0</v>
      </c>
      <c r="G166" s="61"/>
      <c r="H166" s="54"/>
      <c r="I166" s="54"/>
      <c r="J166" s="3"/>
      <c r="K166" s="3"/>
      <c r="L166" s="3"/>
      <c r="M166" s="3"/>
      <c r="N166" s="3"/>
      <c r="O166" s="3"/>
      <c r="P166" s="3"/>
      <c r="Q166" s="3"/>
      <c r="R166" s="3"/>
      <c r="S166" s="3"/>
      <c r="T166" s="3"/>
      <c r="U166" s="3"/>
      <c r="V166" s="3"/>
      <c r="W166" s="35"/>
      <c r="X166" s="32"/>
      <c r="Y166" s="3"/>
      <c r="Z166" s="3"/>
    </row>
    <row r="167" spans="1:26" ht="14.4" hidden="1" outlineLevel="1" x14ac:dyDescent="0.3">
      <c r="A167" s="3"/>
      <c r="B167" s="9" t="s">
        <v>62</v>
      </c>
      <c r="C167" s="71"/>
      <c r="D167" s="53"/>
      <c r="E167" s="11">
        <v>0</v>
      </c>
      <c r="F167" s="11">
        <v>0</v>
      </c>
      <c r="G167" s="61"/>
      <c r="H167" s="54"/>
      <c r="I167" s="54"/>
      <c r="J167" s="3"/>
      <c r="K167" s="3"/>
      <c r="L167" s="3"/>
      <c r="M167" s="3"/>
      <c r="N167" s="3"/>
      <c r="O167" s="3"/>
      <c r="P167" s="3"/>
      <c r="Q167" s="3"/>
      <c r="R167" s="3"/>
      <c r="S167" s="3"/>
      <c r="T167" s="3"/>
      <c r="U167" s="3"/>
      <c r="V167" s="3"/>
      <c r="W167" s="35"/>
      <c r="X167" s="32"/>
      <c r="Y167" s="3"/>
      <c r="Z167" s="3"/>
    </row>
    <row r="168" spans="1:26" ht="14.4" hidden="1" outlineLevel="1" x14ac:dyDescent="0.3">
      <c r="A168" s="3"/>
      <c r="B168" s="9" t="s">
        <v>62</v>
      </c>
      <c r="C168" s="53"/>
      <c r="D168" s="53"/>
      <c r="E168" s="11">
        <v>0</v>
      </c>
      <c r="F168" s="11">
        <v>0</v>
      </c>
      <c r="G168" s="60"/>
      <c r="H168" s="54"/>
      <c r="I168" s="54"/>
      <c r="J168" s="3"/>
      <c r="K168" s="3"/>
      <c r="L168" s="3"/>
      <c r="M168" s="3"/>
      <c r="N168" s="3"/>
      <c r="O168" s="3"/>
      <c r="P168" s="3"/>
      <c r="Q168" s="3"/>
      <c r="R168" s="3"/>
      <c r="S168" s="3"/>
      <c r="T168" s="3"/>
      <c r="U168" s="3"/>
      <c r="V168" s="3"/>
      <c r="W168" s="35"/>
      <c r="X168" s="32"/>
      <c r="Y168" s="3"/>
      <c r="Z168" s="3"/>
    </row>
    <row r="169" spans="1:26" ht="14.4" hidden="1" outlineLevel="1" x14ac:dyDescent="0.3">
      <c r="A169" s="3"/>
      <c r="B169" s="9" t="s">
        <v>62</v>
      </c>
      <c r="C169" s="53"/>
      <c r="D169" s="53"/>
      <c r="E169" s="11">
        <v>0</v>
      </c>
      <c r="F169" s="11">
        <v>0</v>
      </c>
      <c r="G169" s="61"/>
      <c r="H169" s="54"/>
      <c r="I169" s="54"/>
      <c r="J169" s="3"/>
      <c r="K169" s="3"/>
      <c r="L169" s="3"/>
      <c r="M169" s="3"/>
      <c r="N169" s="3"/>
      <c r="O169" s="3"/>
      <c r="P169" s="3"/>
      <c r="Q169" s="3"/>
      <c r="R169" s="3"/>
      <c r="S169" s="3"/>
      <c r="T169" s="3"/>
      <c r="U169" s="3"/>
      <c r="V169" s="3"/>
      <c r="W169" s="35"/>
      <c r="X169" s="32"/>
      <c r="Y169" s="3"/>
      <c r="Z169" s="3"/>
    </row>
    <row r="170" spans="1:26" ht="14.4" hidden="1" outlineLevel="1" x14ac:dyDescent="0.3">
      <c r="A170" s="3"/>
      <c r="B170" s="9" t="s">
        <v>62</v>
      </c>
      <c r="C170" s="53"/>
      <c r="D170" s="53"/>
      <c r="E170" s="11">
        <v>0</v>
      </c>
      <c r="F170" s="11">
        <v>0</v>
      </c>
      <c r="G170" s="60"/>
      <c r="H170" s="54"/>
      <c r="I170" s="54"/>
      <c r="J170" s="3"/>
      <c r="K170" s="3"/>
      <c r="L170" s="3"/>
      <c r="M170" s="3"/>
      <c r="N170" s="3"/>
      <c r="O170" s="3"/>
      <c r="P170" s="3"/>
      <c r="Q170" s="3"/>
      <c r="R170" s="3"/>
      <c r="S170" s="3"/>
      <c r="T170" s="3"/>
      <c r="U170" s="3"/>
      <c r="V170" s="3"/>
      <c r="W170" s="35"/>
      <c r="X170" s="32"/>
      <c r="Y170" s="3"/>
      <c r="Z170" s="3"/>
    </row>
    <row r="171" spans="1:26" ht="14.4" hidden="1" outlineLevel="1" x14ac:dyDescent="0.3">
      <c r="A171" s="3"/>
      <c r="B171" s="9" t="s">
        <v>62</v>
      </c>
      <c r="C171" s="53"/>
      <c r="D171" s="53"/>
      <c r="E171" s="11">
        <v>0</v>
      </c>
      <c r="F171" s="11">
        <v>0</v>
      </c>
      <c r="G171" s="60"/>
      <c r="H171" s="54"/>
      <c r="I171" s="54"/>
      <c r="J171" s="3"/>
      <c r="K171" s="3"/>
      <c r="L171" s="3"/>
      <c r="M171" s="3"/>
      <c r="N171" s="3"/>
      <c r="O171" s="3"/>
      <c r="P171" s="3"/>
      <c r="Q171" s="3"/>
      <c r="R171" s="3"/>
      <c r="S171" s="3"/>
      <c r="T171" s="3"/>
      <c r="U171" s="3"/>
      <c r="V171" s="3"/>
      <c r="W171" s="35"/>
      <c r="X171" s="32"/>
      <c r="Y171" s="3"/>
      <c r="Z171" s="3"/>
    </row>
    <row r="172" spans="1:26" ht="14.4" hidden="1" outlineLevel="1" x14ac:dyDescent="0.3">
      <c r="A172" s="3"/>
      <c r="B172" s="9" t="s">
        <v>62</v>
      </c>
      <c r="C172" s="53"/>
      <c r="D172" s="53"/>
      <c r="E172" s="11">
        <v>0</v>
      </c>
      <c r="F172" s="11">
        <v>0</v>
      </c>
      <c r="G172" s="60"/>
      <c r="H172" s="54"/>
      <c r="I172" s="54"/>
      <c r="J172" s="3"/>
      <c r="K172" s="3"/>
      <c r="L172" s="3"/>
      <c r="M172" s="3"/>
      <c r="N172" s="3"/>
      <c r="O172" s="3"/>
      <c r="P172" s="3"/>
      <c r="Q172" s="3"/>
      <c r="R172" s="3"/>
      <c r="S172" s="3"/>
      <c r="T172" s="3"/>
      <c r="U172" s="3"/>
      <c r="V172" s="3"/>
      <c r="W172" s="35"/>
      <c r="X172" s="32"/>
      <c r="Y172" s="3"/>
      <c r="Z172" s="3"/>
    </row>
    <row r="173" spans="1:26" ht="14.4" hidden="1" outlineLevel="1" x14ac:dyDescent="0.3">
      <c r="A173" s="3"/>
      <c r="B173" s="9" t="s">
        <v>62</v>
      </c>
      <c r="C173" s="53"/>
      <c r="D173" s="53"/>
      <c r="E173" s="11">
        <v>0</v>
      </c>
      <c r="F173" s="11">
        <v>0</v>
      </c>
      <c r="G173" s="60"/>
      <c r="H173" s="54"/>
      <c r="I173" s="54"/>
      <c r="J173" s="3"/>
      <c r="K173" s="3"/>
      <c r="L173" s="3"/>
      <c r="M173" s="3"/>
      <c r="N173" s="3"/>
      <c r="O173" s="3"/>
      <c r="P173" s="3"/>
      <c r="Q173" s="3"/>
      <c r="R173" s="3"/>
      <c r="S173" s="3"/>
      <c r="T173" s="3"/>
      <c r="U173" s="3"/>
      <c r="V173" s="3"/>
      <c r="W173" s="35"/>
      <c r="X173" s="32"/>
      <c r="Y173" s="3"/>
      <c r="Z173" s="3"/>
    </row>
    <row r="174" spans="1:26" ht="14.4" hidden="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4.4" hidden="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4.4" hidden="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4.4" hidden="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4.4" hidden="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4.4" hidden="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20.399999999999999" collapsed="1" x14ac:dyDescent="0.3">
      <c r="A180" s="3"/>
      <c r="B180" s="64" t="s">
        <v>64</v>
      </c>
      <c r="C180" s="47" t="s">
        <v>44</v>
      </c>
      <c r="D180" s="47" t="s">
        <v>44</v>
      </c>
      <c r="E180" s="48">
        <f>SUM(E181:E183)</f>
        <v>0</v>
      </c>
      <c r="F180" s="48">
        <f>SUMIF(D181:D183,"OK",F181:F183)</f>
        <v>3000</v>
      </c>
      <c r="G180" s="49"/>
      <c r="H180" s="65"/>
      <c r="I180" s="65"/>
      <c r="J180" s="3"/>
      <c r="K180" s="3"/>
      <c r="L180" s="3"/>
      <c r="M180" s="3"/>
      <c r="N180" s="3"/>
      <c r="O180" s="3"/>
      <c r="P180" s="3"/>
      <c r="Q180" s="3"/>
      <c r="R180" s="3"/>
      <c r="S180" s="3"/>
      <c r="T180" s="3"/>
      <c r="U180" s="3"/>
      <c r="V180" s="3"/>
      <c r="W180" s="35"/>
      <c r="X180" s="32"/>
      <c r="Y180" s="3"/>
      <c r="Z180" s="3"/>
    </row>
    <row r="181" spans="1:26" ht="14.4" hidden="1" outlineLevel="1" x14ac:dyDescent="0.3">
      <c r="A181" s="3"/>
      <c r="B181" s="9" t="s">
        <v>64</v>
      </c>
      <c r="C181" s="53">
        <v>13</v>
      </c>
      <c r="D181" s="53" t="s">
        <v>95</v>
      </c>
      <c r="E181" s="11">
        <v>0</v>
      </c>
      <c r="F181" s="11">
        <v>3000</v>
      </c>
      <c r="G181" s="60" t="s">
        <v>1047</v>
      </c>
      <c r="H181" s="54" t="s">
        <v>38</v>
      </c>
      <c r="I181" s="54"/>
      <c r="J181" s="3"/>
      <c r="K181" s="3"/>
      <c r="L181" s="3"/>
      <c r="M181" s="3"/>
      <c r="N181" s="3"/>
      <c r="O181" s="3"/>
      <c r="P181" s="3"/>
      <c r="Q181" s="3"/>
      <c r="R181" s="3"/>
      <c r="S181" s="3"/>
      <c r="T181" s="3"/>
      <c r="U181" s="3"/>
      <c r="V181" s="3"/>
      <c r="W181" s="35"/>
      <c r="X181" s="32"/>
      <c r="Y181" s="3"/>
      <c r="Z181" s="3"/>
    </row>
    <row r="182" spans="1:26" ht="14.4" hidden="1" outlineLevel="1" x14ac:dyDescent="0.3">
      <c r="A182" s="3"/>
      <c r="B182" s="9" t="s">
        <v>64</v>
      </c>
      <c r="C182" s="53"/>
      <c r="D182" s="53"/>
      <c r="E182" s="11">
        <v>0</v>
      </c>
      <c r="F182" s="11">
        <v>0</v>
      </c>
      <c r="G182" s="60"/>
      <c r="H182" s="54"/>
      <c r="I182" s="54"/>
      <c r="J182" s="3"/>
      <c r="K182" s="3"/>
      <c r="L182" s="3"/>
      <c r="M182" s="3"/>
      <c r="N182" s="3"/>
      <c r="O182" s="3"/>
      <c r="P182" s="3"/>
      <c r="Q182" s="3"/>
      <c r="R182" s="3"/>
      <c r="S182" s="3"/>
      <c r="T182" s="3"/>
      <c r="U182" s="3"/>
      <c r="V182" s="3"/>
      <c r="W182" s="35"/>
      <c r="X182" s="32"/>
      <c r="Y182" s="3"/>
      <c r="Z182" s="3"/>
    </row>
    <row r="183" spans="1:26" ht="14.4" hidden="1" outlineLevel="1" x14ac:dyDescent="0.3">
      <c r="A183" s="3"/>
      <c r="B183" s="9" t="s">
        <v>64</v>
      </c>
      <c r="C183" s="53"/>
      <c r="D183" s="53"/>
      <c r="E183" s="11">
        <v>0</v>
      </c>
      <c r="F183" s="11">
        <v>0</v>
      </c>
      <c r="G183" s="58"/>
      <c r="H183" s="54"/>
      <c r="I183" s="54"/>
      <c r="J183" s="3"/>
      <c r="K183" s="3"/>
      <c r="L183" s="3"/>
      <c r="M183" s="3"/>
      <c r="N183" s="3"/>
      <c r="O183" s="3"/>
      <c r="P183" s="3"/>
      <c r="Q183" s="3"/>
      <c r="R183" s="3"/>
      <c r="S183" s="3"/>
      <c r="T183" s="3"/>
      <c r="U183" s="3"/>
      <c r="V183" s="3"/>
      <c r="W183" s="35"/>
      <c r="X183" s="32"/>
      <c r="Y183" s="3"/>
      <c r="Z183" s="3"/>
    </row>
    <row r="184" spans="1:26" ht="20.399999999999999" collapsed="1" x14ac:dyDescent="0.3">
      <c r="A184" s="3"/>
      <c r="B184" s="64" t="s">
        <v>260</v>
      </c>
      <c r="C184" s="47" t="s">
        <v>44</v>
      </c>
      <c r="D184" s="47" t="s">
        <v>44</v>
      </c>
      <c r="E184" s="48">
        <f>SUM(E185:E191)</f>
        <v>0</v>
      </c>
      <c r="F184" s="48">
        <f>SUMIF(D185:D191,"OK",F185:F191)</f>
        <v>4.17</v>
      </c>
      <c r="G184" s="49"/>
      <c r="H184" s="65"/>
      <c r="I184" s="65"/>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261</v>
      </c>
      <c r="C185" s="53"/>
      <c r="D185" s="53"/>
      <c r="E185" s="11">
        <v>0</v>
      </c>
      <c r="F185" s="11">
        <v>0</v>
      </c>
      <c r="G185" s="58"/>
      <c r="H185" s="54"/>
      <c r="I185" s="54"/>
      <c r="J185" s="3"/>
      <c r="K185" s="3"/>
      <c r="L185" s="3"/>
      <c r="M185" s="3"/>
      <c r="N185" s="3"/>
      <c r="O185" s="3"/>
      <c r="P185" s="3"/>
      <c r="Q185" s="3"/>
      <c r="R185" s="3"/>
      <c r="S185" s="3"/>
      <c r="T185" s="3"/>
      <c r="U185" s="3"/>
      <c r="V185" s="3"/>
      <c r="W185" s="35"/>
      <c r="X185" s="32"/>
      <c r="Y185" s="3"/>
      <c r="Z185" s="3"/>
    </row>
    <row r="186" spans="1:26" ht="15.75" hidden="1" customHeight="1" outlineLevel="1" x14ac:dyDescent="0.3">
      <c r="A186" s="3"/>
      <c r="B186" s="9" t="s">
        <v>262</v>
      </c>
      <c r="C186" s="53" t="s">
        <v>1048</v>
      </c>
      <c r="D186" s="53" t="s">
        <v>95</v>
      </c>
      <c r="E186" s="11">
        <v>0</v>
      </c>
      <c r="F186" s="11">
        <f>0.58+1.66+1.93</f>
        <v>4.17</v>
      </c>
      <c r="G186" s="60"/>
      <c r="H186" s="54" t="s">
        <v>38</v>
      </c>
      <c r="I186" s="54"/>
      <c r="J186" s="3"/>
      <c r="K186" s="3"/>
      <c r="L186" s="3"/>
      <c r="M186" s="3"/>
      <c r="N186" s="3"/>
      <c r="O186" s="3"/>
      <c r="P186" s="3"/>
      <c r="Q186" s="3"/>
      <c r="R186" s="3"/>
      <c r="S186" s="3"/>
      <c r="T186" s="3"/>
      <c r="U186" s="3"/>
      <c r="V186" s="3"/>
      <c r="W186" s="35"/>
      <c r="X186" s="32"/>
      <c r="Y186" s="3"/>
      <c r="Z186" s="3"/>
    </row>
    <row r="187" spans="1:26" ht="15.75" hidden="1" customHeight="1" outlineLevel="1" x14ac:dyDescent="0.3">
      <c r="A187" s="3"/>
      <c r="B187" s="9" t="s">
        <v>264</v>
      </c>
      <c r="C187" s="53"/>
      <c r="D187" s="53"/>
      <c r="E187" s="11">
        <v>0</v>
      </c>
      <c r="F187" s="11">
        <v>0</v>
      </c>
      <c r="G187" s="58"/>
      <c r="H187" s="54"/>
      <c r="I187" s="54"/>
      <c r="J187" s="3"/>
      <c r="K187" s="3"/>
      <c r="L187" s="3"/>
      <c r="M187" s="3"/>
      <c r="N187" s="3"/>
      <c r="O187" s="3"/>
      <c r="P187" s="3"/>
      <c r="Q187" s="3"/>
      <c r="R187" s="3"/>
      <c r="S187" s="3"/>
      <c r="T187" s="3"/>
      <c r="U187" s="3"/>
      <c r="V187" s="3"/>
      <c r="W187" s="35"/>
      <c r="X187" s="32"/>
      <c r="Y187" s="3"/>
      <c r="Z187" s="3"/>
    </row>
    <row r="188" spans="1:26" ht="15.75" hidden="1" customHeight="1" outlineLevel="1" x14ac:dyDescent="0.3">
      <c r="A188" s="3"/>
      <c r="B188" s="9" t="s">
        <v>265</v>
      </c>
      <c r="C188" s="53"/>
      <c r="D188" s="53"/>
      <c r="E188" s="11">
        <v>0</v>
      </c>
      <c r="F188" s="11">
        <v>0</v>
      </c>
      <c r="G188" s="58"/>
      <c r="H188" s="54"/>
      <c r="I188" s="54"/>
      <c r="J188" s="3"/>
      <c r="K188" s="3"/>
      <c r="L188" s="3"/>
      <c r="M188" s="3"/>
      <c r="N188" s="3"/>
      <c r="O188" s="3"/>
      <c r="P188" s="3"/>
      <c r="Q188" s="3"/>
      <c r="R188" s="3"/>
      <c r="S188" s="3"/>
      <c r="T188" s="3"/>
      <c r="U188" s="3"/>
      <c r="V188" s="3"/>
      <c r="W188" s="35"/>
      <c r="X188" s="32"/>
      <c r="Y188" s="3"/>
      <c r="Z188" s="3"/>
    </row>
    <row r="189" spans="1:26" ht="15.75" hidden="1" customHeight="1" outlineLevel="1" x14ac:dyDescent="0.3">
      <c r="A189" s="3"/>
      <c r="B189" s="9" t="s">
        <v>552</v>
      </c>
      <c r="C189" s="53"/>
      <c r="D189" s="53"/>
      <c r="E189" s="11">
        <v>0</v>
      </c>
      <c r="F189" s="11">
        <v>0</v>
      </c>
      <c r="G189" s="58"/>
      <c r="H189" s="54"/>
      <c r="I189" s="54"/>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917</v>
      </c>
      <c r="C190" s="53"/>
      <c r="D190" s="53"/>
      <c r="E190" s="11">
        <v>0</v>
      </c>
      <c r="F190" s="11">
        <v>0</v>
      </c>
      <c r="G190" s="58"/>
      <c r="H190" s="54"/>
      <c r="I190" s="54"/>
      <c r="J190" s="3"/>
      <c r="K190" s="3"/>
      <c r="L190" s="3"/>
      <c r="M190" s="3"/>
      <c r="N190" s="3"/>
      <c r="O190" s="3"/>
      <c r="P190" s="3"/>
      <c r="Q190" s="3"/>
      <c r="R190" s="3"/>
      <c r="S190" s="3"/>
      <c r="T190" s="3"/>
      <c r="U190" s="3"/>
      <c r="V190" s="3"/>
      <c r="W190" s="35"/>
      <c r="X190" s="32"/>
      <c r="Y190" s="3"/>
      <c r="Z190" s="3"/>
    </row>
    <row r="191" spans="1:26" ht="15.75" hidden="1" customHeight="1" outlineLevel="1" x14ac:dyDescent="0.3">
      <c r="A191" s="3"/>
      <c r="B191" s="9" t="s">
        <v>917</v>
      </c>
      <c r="C191" s="53"/>
      <c r="D191" s="53"/>
      <c r="E191" s="11">
        <v>0</v>
      </c>
      <c r="F191" s="11">
        <v>0</v>
      </c>
      <c r="G191" s="58"/>
      <c r="H191" s="54"/>
      <c r="I191" s="54"/>
      <c r="J191" s="3"/>
      <c r="K191" s="3"/>
      <c r="L191" s="3"/>
      <c r="M191" s="3"/>
      <c r="N191" s="3"/>
      <c r="O191" s="3"/>
      <c r="P191" s="3"/>
      <c r="Q191" s="3"/>
      <c r="R191" s="3"/>
      <c r="S191" s="3"/>
      <c r="T191" s="3"/>
      <c r="U191" s="3"/>
      <c r="V191" s="3"/>
      <c r="W191" s="35"/>
      <c r="X191" s="32"/>
      <c r="Y191" s="3"/>
      <c r="Z191" s="3"/>
    </row>
    <row r="192" spans="1:26" ht="15.75" customHeight="1" collapsed="1" x14ac:dyDescent="0.3">
      <c r="A192" s="3"/>
      <c r="B192" s="3"/>
      <c r="C192" s="28"/>
      <c r="D192" s="28"/>
      <c r="E192" s="28"/>
      <c r="F192" s="28"/>
      <c r="G192" s="112"/>
      <c r="H192" s="28"/>
      <c r="I192" s="28"/>
      <c r="J192" s="28"/>
      <c r="K192" s="28"/>
      <c r="L192" s="28"/>
      <c r="M192" s="28"/>
      <c r="N192" s="28"/>
      <c r="O192" s="28"/>
      <c r="P192" s="28"/>
      <c r="Q192" s="28"/>
      <c r="R192" s="28"/>
      <c r="S192" s="28"/>
      <c r="T192" s="28"/>
      <c r="U192" s="28"/>
      <c r="V192" s="28"/>
      <c r="W192" s="35"/>
      <c r="X192" s="32"/>
    </row>
    <row r="193" spans="1:24" ht="15.75" customHeight="1" x14ac:dyDescent="0.3">
      <c r="A193" s="3"/>
      <c r="B193" s="3"/>
      <c r="C193" s="28"/>
      <c r="D193" s="28"/>
      <c r="E193" s="28"/>
      <c r="F193" s="101"/>
      <c r="G193" s="112"/>
      <c r="H193" s="28"/>
      <c r="I193" s="28"/>
      <c r="J193" s="28"/>
      <c r="K193" s="28"/>
      <c r="L193" s="28"/>
      <c r="M193" s="28"/>
      <c r="N193" s="28"/>
      <c r="O193" s="28"/>
      <c r="P193" s="28"/>
      <c r="Q193" s="28"/>
      <c r="R193" s="28"/>
      <c r="S193" s="28"/>
      <c r="T193" s="28"/>
      <c r="U193" s="28"/>
      <c r="V193" s="28"/>
      <c r="W193" s="35"/>
      <c r="X193" s="32"/>
    </row>
    <row r="194" spans="1:24" ht="15.75" customHeight="1" x14ac:dyDescent="0.3">
      <c r="A194" s="3"/>
      <c r="B194" s="3"/>
      <c r="C194" s="28"/>
      <c r="D194" s="28"/>
      <c r="E194" s="28"/>
      <c r="F194" s="28"/>
      <c r="G194" s="112"/>
      <c r="H194" s="28"/>
      <c r="I194" s="28"/>
      <c r="J194" s="28"/>
      <c r="K194" s="28"/>
      <c r="L194" s="28"/>
      <c r="M194" s="28"/>
      <c r="N194" s="28"/>
      <c r="O194" s="28"/>
      <c r="P194" s="28"/>
      <c r="Q194" s="28"/>
      <c r="R194" s="28"/>
      <c r="S194" s="28"/>
      <c r="T194" s="28"/>
      <c r="U194" s="28"/>
      <c r="V194" s="28"/>
      <c r="W194" s="35"/>
      <c r="X194" s="32"/>
    </row>
    <row r="195" spans="1:24" ht="15.75" customHeight="1" x14ac:dyDescent="0.3">
      <c r="A195" s="3"/>
      <c r="B195" s="3"/>
      <c r="C195" s="28"/>
      <c r="D195" s="28"/>
      <c r="E195" s="28"/>
      <c r="F195" s="28"/>
      <c r="G195" s="112"/>
      <c r="H195" s="28"/>
      <c r="I195" s="28"/>
      <c r="J195" s="28"/>
      <c r="K195" s="28"/>
      <c r="L195" s="28"/>
      <c r="M195" s="28"/>
      <c r="N195" s="28"/>
      <c r="O195" s="28"/>
      <c r="P195" s="28"/>
      <c r="Q195" s="28"/>
      <c r="R195" s="28"/>
      <c r="S195" s="28"/>
      <c r="T195" s="28"/>
      <c r="U195" s="28"/>
      <c r="V195" s="28"/>
      <c r="W195" s="35"/>
      <c r="X195" s="32"/>
    </row>
    <row r="196" spans="1:24" ht="15.75" customHeight="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4" ht="15.75" customHeight="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4"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4"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4"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4"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4"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4"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4"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4"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4"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4"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4"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row r="393" spans="1:24" ht="15.75" customHeight="1" x14ac:dyDescent="0.3"/>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1" xr:uid="{00000000-0009-0000-0000-00000D000000}"/>
  <mergeCells count="4">
    <mergeCell ref="B2:B3"/>
    <mergeCell ref="B4:B5"/>
    <mergeCell ref="H4:H5"/>
    <mergeCell ref="I4:I5"/>
  </mergeCells>
  <conditionalFormatting sqref="W6:W125">
    <cfRule type="cellIs" dxfId="25" priority="1" operator="equal">
      <formula>"Diferente"</formula>
    </cfRule>
    <cfRule type="cellIs" dxfId="24" priority="2" operator="equal">
      <formula>"OK"</formula>
    </cfRule>
  </conditionalFormatting>
  <dataValidations count="1">
    <dataValidation type="list" allowBlank="1" showErrorMessage="1" sqref="D7:D125 D128:D129 D131:D133 D135:D138 D140:D145 D147:D149 D152:D155 D157:D160 D162:D164 D166:D179 D181:D183 D185:D191" xr:uid="{00000000-0002-0000-0D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D00-000000000000}">
          <x14:formula1>
            <xm:f>'Plano de contas DG'!$C$5:$C$38</xm:f>
          </x14:formula1>
          <xm:sqref>I6:I191</xm:sqref>
        </x14:dataValidation>
        <x14:dataValidation type="list" allowBlank="1" showErrorMessage="1" xr:uid="{00000000-0002-0000-0D00-000001000000}">
          <x14:formula1>
            <xm:f>Caixa!$B$5:$B$8</xm:f>
          </x14:formula1>
          <xm:sqref>H7:H125 H128:H129 H131:H133 H135:H138 H140:H145 H147:H149 H152:H155 H157:H160 H162:H164 H166:H179 H181:H183 H185:H191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SUBTOTAL(9,E16,E63,E38,E144,E169,E175,E85,E6,E34,E254,E305,E204,E214,E224,E234,E244,E111)</f>
        <v>0</v>
      </c>
      <c r="F4" s="18">
        <f>SUBTOTAL(9,F16,F63,F38,F134,F144,F169,F175,F85,F6,F34,F254,F305,F204,F214,F224,F234,F244,F111)</f>
        <v>35767.86</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1031.75</v>
      </c>
      <c r="G6" s="78"/>
      <c r="H6" s="78"/>
      <c r="I6" s="79"/>
      <c r="J6" s="78"/>
      <c r="K6" s="28"/>
      <c r="L6" s="28"/>
      <c r="M6" s="28"/>
      <c r="N6" s="28"/>
      <c r="O6" s="28"/>
      <c r="P6" s="28"/>
      <c r="Q6" s="28"/>
      <c r="R6" s="28"/>
      <c r="S6" s="28"/>
      <c r="T6" s="28"/>
      <c r="U6" s="3"/>
      <c r="W6" s="3"/>
      <c r="X6" s="3"/>
      <c r="Y6" s="3"/>
      <c r="Z6" s="3"/>
    </row>
    <row r="7" spans="1:26" ht="14.4" hidden="1" outlineLevel="1" x14ac:dyDescent="0.3">
      <c r="A7" s="3"/>
      <c r="B7" s="9" t="s">
        <v>274</v>
      </c>
      <c r="C7" s="53">
        <v>2</v>
      </c>
      <c r="D7" s="53" t="s">
        <v>95</v>
      </c>
      <c r="E7" s="11">
        <v>0</v>
      </c>
      <c r="F7" s="11">
        <v>407.4</v>
      </c>
      <c r="G7" s="80"/>
      <c r="H7" s="56" t="s">
        <v>37</v>
      </c>
      <c r="I7" s="102" t="s">
        <v>1049</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80"/>
      <c r="H8" s="56"/>
      <c r="I8" s="102"/>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80"/>
      <c r="H9" s="56"/>
      <c r="I9" s="102"/>
      <c r="J9" s="56"/>
      <c r="K9" s="28"/>
      <c r="L9" s="28"/>
      <c r="M9" s="28"/>
      <c r="N9" s="28"/>
      <c r="O9" s="28"/>
      <c r="P9" s="28"/>
      <c r="Q9" s="28"/>
      <c r="R9" s="28"/>
      <c r="S9" s="28"/>
      <c r="T9" s="28"/>
      <c r="U9" s="3"/>
      <c r="W9" s="3"/>
      <c r="X9" s="3"/>
      <c r="Y9" s="3"/>
      <c r="Z9" s="3"/>
    </row>
    <row r="10" spans="1:26" ht="14.4" hidden="1" outlineLevel="1" x14ac:dyDescent="0.3">
      <c r="A10" s="3"/>
      <c r="B10" s="9" t="s">
        <v>282</v>
      </c>
      <c r="C10" s="53">
        <v>15</v>
      </c>
      <c r="D10" s="53" t="s">
        <v>95</v>
      </c>
      <c r="E10" s="11">
        <v>0</v>
      </c>
      <c r="F10" s="11">
        <v>69.39</v>
      </c>
      <c r="G10" s="80"/>
      <c r="H10" s="56" t="s">
        <v>37</v>
      </c>
      <c r="I10" s="102" t="s">
        <v>1050</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53">
        <v>15</v>
      </c>
      <c r="D11" s="53" t="s">
        <v>95</v>
      </c>
      <c r="E11" s="11">
        <v>0</v>
      </c>
      <c r="F11" s="11">
        <v>48.78</v>
      </c>
      <c r="G11" s="80"/>
      <c r="H11" s="56" t="s">
        <v>37</v>
      </c>
      <c r="I11" s="102" t="s">
        <v>1051</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53">
        <v>16</v>
      </c>
      <c r="D12" s="53" t="s">
        <v>95</v>
      </c>
      <c r="E12" s="11">
        <v>0</v>
      </c>
      <c r="F12" s="11">
        <v>306.18</v>
      </c>
      <c r="G12" s="80"/>
      <c r="H12" s="56" t="s">
        <v>37</v>
      </c>
      <c r="I12" s="102" t="s">
        <v>1052</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c r="D14" s="53"/>
      <c r="E14" s="11">
        <v>0</v>
      </c>
      <c r="F14" s="11">
        <v>0</v>
      </c>
      <c r="G14" s="80"/>
      <c r="H14" s="56"/>
      <c r="I14" s="102"/>
      <c r="J14" s="80"/>
      <c r="K14" s="28"/>
      <c r="L14" s="28"/>
      <c r="M14" s="28"/>
      <c r="N14" s="28"/>
      <c r="O14" s="28"/>
      <c r="P14" s="28"/>
      <c r="Q14" s="28"/>
      <c r="R14" s="28"/>
      <c r="S14" s="28"/>
      <c r="T14" s="28"/>
      <c r="U14" s="3"/>
      <c r="W14" s="3"/>
      <c r="X14" s="3"/>
      <c r="Y14" s="3"/>
      <c r="Z14" s="3"/>
    </row>
    <row r="15" spans="1:26" ht="14.4" hidden="1" outlineLevel="1" x14ac:dyDescent="0.3">
      <c r="A15" s="3"/>
      <c r="B15" s="9" t="s">
        <v>66</v>
      </c>
      <c r="C15" s="53">
        <v>25</v>
      </c>
      <c r="D15" s="53" t="s">
        <v>95</v>
      </c>
      <c r="E15" s="11">
        <v>0</v>
      </c>
      <c r="F15" s="11">
        <v>200</v>
      </c>
      <c r="G15" s="80" t="s">
        <v>1053</v>
      </c>
      <c r="H15" s="56" t="s">
        <v>37</v>
      </c>
      <c r="I15" s="102" t="s">
        <v>1054</v>
      </c>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6742.98</v>
      </c>
      <c r="G16" s="78"/>
      <c r="H16" s="78"/>
      <c r="I16" s="79"/>
      <c r="J16" s="78"/>
      <c r="K16" s="28"/>
      <c r="L16" s="28"/>
      <c r="M16" s="28"/>
      <c r="N16" s="28"/>
      <c r="O16" s="28"/>
      <c r="P16" s="28"/>
      <c r="Q16" s="28"/>
      <c r="R16" s="28"/>
      <c r="S16" s="28"/>
      <c r="T16" s="28"/>
      <c r="U16" s="3"/>
    </row>
    <row r="17" spans="1:22" ht="14.4" hidden="1" outlineLevel="1" x14ac:dyDescent="0.3">
      <c r="A17" s="3"/>
      <c r="B17" s="9" t="s">
        <v>562</v>
      </c>
      <c r="C17" s="53">
        <v>23</v>
      </c>
      <c r="D17" s="53" t="s">
        <v>95</v>
      </c>
      <c r="E17" s="11">
        <v>0</v>
      </c>
      <c r="F17" s="11">
        <v>1423.62</v>
      </c>
      <c r="G17" s="242" t="s">
        <v>1055</v>
      </c>
      <c r="H17" s="56" t="s">
        <v>37</v>
      </c>
      <c r="I17" s="247" t="s">
        <v>1056</v>
      </c>
      <c r="J17" s="56"/>
      <c r="K17" s="28"/>
      <c r="L17" s="28"/>
      <c r="M17" s="28"/>
      <c r="N17" s="28"/>
      <c r="O17" s="28"/>
      <c r="P17" s="28"/>
      <c r="Q17" s="28"/>
      <c r="R17" s="28"/>
      <c r="S17" s="28"/>
      <c r="T17" s="28"/>
      <c r="U17" s="3"/>
    </row>
    <row r="18" spans="1:22" ht="14.4" hidden="1" outlineLevel="1" x14ac:dyDescent="0.3">
      <c r="A18" s="3"/>
      <c r="B18" s="9" t="s">
        <v>564</v>
      </c>
      <c r="C18" s="53">
        <v>23</v>
      </c>
      <c r="D18" s="53" t="s">
        <v>95</v>
      </c>
      <c r="E18" s="11">
        <v>0</v>
      </c>
      <c r="F18" s="11">
        <v>810.81</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23</v>
      </c>
      <c r="D19" s="53" t="s">
        <v>95</v>
      </c>
      <c r="E19" s="11">
        <v>0</v>
      </c>
      <c r="F19" s="11">
        <v>99</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23</v>
      </c>
      <c r="D20" s="53" t="s">
        <v>95</v>
      </c>
      <c r="E20" s="11">
        <v>0</v>
      </c>
      <c r="F20" s="11">
        <v>99</v>
      </c>
      <c r="G20" s="213"/>
      <c r="H20" s="56" t="s">
        <v>37</v>
      </c>
      <c r="I20" s="213"/>
      <c r="J20" s="56"/>
      <c r="K20" s="28"/>
      <c r="L20" s="28"/>
      <c r="M20" s="28"/>
      <c r="N20" s="28"/>
      <c r="O20" s="28"/>
      <c r="P20" s="28"/>
      <c r="Q20" s="28"/>
      <c r="R20" s="28"/>
      <c r="S20" s="28"/>
      <c r="T20" s="28"/>
      <c r="U20" s="3"/>
    </row>
    <row r="21" spans="1:22" ht="14.4" hidden="1" outlineLevel="1" x14ac:dyDescent="0.3">
      <c r="A21" s="3"/>
      <c r="B21" s="9" t="s">
        <v>567</v>
      </c>
      <c r="C21" s="53">
        <v>23</v>
      </c>
      <c r="D21" s="53" t="s">
        <v>95</v>
      </c>
      <c r="E21" s="11">
        <v>0</v>
      </c>
      <c r="F21" s="11">
        <v>396</v>
      </c>
      <c r="G21" s="214"/>
      <c r="H21" s="56" t="s">
        <v>37</v>
      </c>
      <c r="I21" s="214"/>
      <c r="J21" s="56"/>
      <c r="K21" s="28"/>
      <c r="L21" s="28"/>
      <c r="M21" s="28"/>
      <c r="N21" s="28"/>
      <c r="O21" s="28"/>
      <c r="P21" s="28"/>
      <c r="Q21" s="28"/>
      <c r="R21" s="28"/>
      <c r="S21" s="28"/>
      <c r="T21" s="28"/>
      <c r="U21" s="3"/>
    </row>
    <row r="22" spans="1:22" ht="14.4" hidden="1" outlineLevel="1" x14ac:dyDescent="0.3">
      <c r="A22" s="3"/>
      <c r="B22" s="9" t="s">
        <v>568</v>
      </c>
      <c r="C22" s="53">
        <v>15</v>
      </c>
      <c r="D22" s="53" t="s">
        <v>95</v>
      </c>
      <c r="E22" s="11">
        <v>0</v>
      </c>
      <c r="F22" s="11">
        <v>158.4</v>
      </c>
      <c r="G22" s="242" t="s">
        <v>1057</v>
      </c>
      <c r="H22" s="56" t="s">
        <v>37</v>
      </c>
      <c r="I22" s="239" t="s">
        <v>1058</v>
      </c>
      <c r="J22" s="56"/>
      <c r="K22" s="28"/>
      <c r="L22" s="28"/>
      <c r="M22" s="28"/>
      <c r="N22" s="28"/>
      <c r="O22" s="28"/>
      <c r="P22" s="28"/>
      <c r="Q22" s="28"/>
      <c r="R22" s="28"/>
      <c r="S22" s="28"/>
      <c r="T22" s="28"/>
      <c r="U22" s="3"/>
      <c r="V22" s="14"/>
    </row>
    <row r="23" spans="1:22" ht="14.4" hidden="1" outlineLevel="1" x14ac:dyDescent="0.3">
      <c r="A23" s="3"/>
      <c r="B23" s="9" t="s">
        <v>571</v>
      </c>
      <c r="C23" s="53">
        <v>15</v>
      </c>
      <c r="D23" s="53" t="s">
        <v>95</v>
      </c>
      <c r="E23" s="11">
        <v>0</v>
      </c>
      <c r="F23" s="11">
        <v>475.2</v>
      </c>
      <c r="G23" s="213"/>
      <c r="H23" s="56" t="s">
        <v>37</v>
      </c>
      <c r="I23" s="213"/>
      <c r="J23" s="56"/>
      <c r="K23" s="28"/>
      <c r="L23" s="28"/>
      <c r="M23" s="28"/>
      <c r="N23" s="28"/>
      <c r="O23" s="28"/>
      <c r="P23" s="28"/>
      <c r="Q23" s="28"/>
      <c r="R23" s="28"/>
      <c r="S23" s="28"/>
      <c r="T23" s="28"/>
      <c r="U23" s="3"/>
      <c r="V23" s="14"/>
    </row>
    <row r="24" spans="1:22" ht="14.4" hidden="1" outlineLevel="1" x14ac:dyDescent="0.3">
      <c r="A24" s="3"/>
      <c r="B24" s="9" t="s">
        <v>572</v>
      </c>
      <c r="C24" s="53">
        <v>15</v>
      </c>
      <c r="D24" s="53" t="s">
        <v>95</v>
      </c>
      <c r="E24" s="11">
        <v>0</v>
      </c>
      <c r="F24" s="11">
        <v>524.70000000000005</v>
      </c>
      <c r="G24" s="213"/>
      <c r="H24" s="56" t="s">
        <v>37</v>
      </c>
      <c r="I24" s="213"/>
      <c r="J24" s="56"/>
      <c r="K24" s="28"/>
      <c r="L24" s="28"/>
      <c r="M24" s="28"/>
      <c r="N24" s="28"/>
      <c r="O24" s="28"/>
      <c r="P24" s="28"/>
      <c r="Q24" s="28"/>
      <c r="R24" s="28"/>
      <c r="S24" s="28"/>
      <c r="T24" s="28"/>
      <c r="U24" s="3"/>
      <c r="V24" s="14"/>
    </row>
    <row r="25" spans="1:22" ht="14.4" hidden="1" outlineLevel="1" x14ac:dyDescent="0.3">
      <c r="A25" s="3"/>
      <c r="B25" s="9" t="s">
        <v>573</v>
      </c>
      <c r="C25" s="53">
        <v>15</v>
      </c>
      <c r="D25" s="53" t="s">
        <v>95</v>
      </c>
      <c r="E25" s="11">
        <v>0</v>
      </c>
      <c r="F25" s="11">
        <v>29.7</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576</v>
      </c>
      <c r="C28" s="53"/>
      <c r="D28" s="53"/>
      <c r="E28" s="11">
        <v>0</v>
      </c>
      <c r="F28" s="11">
        <v>0</v>
      </c>
      <c r="G28" s="214"/>
      <c r="H28" s="56"/>
      <c r="I28" s="214"/>
      <c r="J28" s="56"/>
      <c r="K28" s="28"/>
      <c r="L28" s="28"/>
      <c r="M28" s="28"/>
      <c r="N28" s="28"/>
      <c r="O28" s="28"/>
      <c r="P28" s="28"/>
      <c r="Q28" s="28"/>
      <c r="R28" s="28"/>
      <c r="S28" s="28"/>
      <c r="T28" s="28"/>
      <c r="U28" s="3"/>
      <c r="V28" s="14"/>
    </row>
    <row r="29" spans="1:22" ht="14.4" hidden="1" outlineLevel="1" x14ac:dyDescent="0.3">
      <c r="A29" s="3"/>
      <c r="B29" s="9" t="s">
        <v>293</v>
      </c>
      <c r="C29" s="53">
        <v>15</v>
      </c>
      <c r="D29" s="53" t="s">
        <v>95</v>
      </c>
      <c r="E29" s="11">
        <v>0</v>
      </c>
      <c r="F29" s="11">
        <v>117</v>
      </c>
      <c r="G29" s="56"/>
      <c r="H29" s="56" t="s">
        <v>39</v>
      </c>
      <c r="I29" s="102" t="s">
        <v>1059</v>
      </c>
      <c r="J29" s="56"/>
      <c r="K29" s="28"/>
      <c r="L29" s="28"/>
      <c r="M29" s="28"/>
      <c r="N29" s="28"/>
      <c r="O29" s="28"/>
      <c r="P29" s="28"/>
      <c r="Q29" s="28"/>
      <c r="R29" s="28"/>
      <c r="S29" s="28"/>
      <c r="T29" s="28"/>
      <c r="U29" s="3"/>
      <c r="V29" s="14"/>
    </row>
    <row r="30" spans="1:22" ht="24" hidden="1" outlineLevel="1" x14ac:dyDescent="0.3">
      <c r="A30" s="3"/>
      <c r="B30" s="9" t="s">
        <v>295</v>
      </c>
      <c r="C30" s="53">
        <v>30</v>
      </c>
      <c r="D30" s="53" t="s">
        <v>95</v>
      </c>
      <c r="E30" s="11">
        <v>0</v>
      </c>
      <c r="F30" s="11">
        <v>2095.3000000000002</v>
      </c>
      <c r="G30" s="80" t="s">
        <v>1060</v>
      </c>
      <c r="H30" s="56" t="s">
        <v>37</v>
      </c>
      <c r="I30" s="102" t="s">
        <v>1061</v>
      </c>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02"/>
      <c r="J31" s="56"/>
      <c r="K31" s="28"/>
      <c r="L31" s="28"/>
      <c r="M31" s="28"/>
      <c r="N31" s="28"/>
      <c r="O31" s="28"/>
      <c r="P31" s="28"/>
      <c r="Q31" s="28"/>
      <c r="R31" s="28"/>
      <c r="S31" s="28"/>
      <c r="T31" s="28"/>
      <c r="U31" s="3"/>
    </row>
    <row r="32" spans="1:22" ht="14.4" hidden="1" outlineLevel="1" x14ac:dyDescent="0.3">
      <c r="A32" s="3"/>
      <c r="B32" s="9" t="s">
        <v>933</v>
      </c>
      <c r="C32" s="53">
        <v>15</v>
      </c>
      <c r="D32" s="53" t="s">
        <v>95</v>
      </c>
      <c r="E32" s="11">
        <v>0</v>
      </c>
      <c r="F32" s="11">
        <v>360</v>
      </c>
      <c r="G32" s="80" t="s">
        <v>1062</v>
      </c>
      <c r="H32" s="56" t="s">
        <v>37</v>
      </c>
      <c r="I32" s="102" t="s">
        <v>1063</v>
      </c>
      <c r="J32" s="56"/>
      <c r="K32" s="28"/>
      <c r="L32" s="28"/>
      <c r="M32" s="28"/>
      <c r="N32" s="28"/>
      <c r="O32" s="28"/>
      <c r="P32" s="28"/>
      <c r="Q32" s="28"/>
      <c r="R32" s="28"/>
      <c r="S32" s="28"/>
      <c r="T32" s="28"/>
      <c r="U32" s="3"/>
    </row>
    <row r="33" spans="1:26" ht="14.4" hidden="1" outlineLevel="1" x14ac:dyDescent="0.3">
      <c r="A33" s="3"/>
      <c r="B33" s="9" t="s">
        <v>750</v>
      </c>
      <c r="C33" s="53">
        <v>15</v>
      </c>
      <c r="D33" s="53" t="s">
        <v>95</v>
      </c>
      <c r="E33" s="11">
        <v>0</v>
      </c>
      <c r="F33" s="11">
        <v>154.25</v>
      </c>
      <c r="G33" s="80" t="s">
        <v>1064</v>
      </c>
      <c r="H33" s="56" t="s">
        <v>37</v>
      </c>
      <c r="I33" s="102" t="s">
        <v>1065</v>
      </c>
      <c r="J33" s="56"/>
      <c r="K33" s="28"/>
      <c r="L33" s="28"/>
      <c r="M33" s="28"/>
      <c r="N33" s="28"/>
      <c r="O33" s="28"/>
      <c r="P33" s="28"/>
      <c r="Q33" s="28"/>
      <c r="R33" s="28"/>
      <c r="S33" s="28"/>
      <c r="T33" s="28"/>
      <c r="U33" s="3"/>
    </row>
    <row r="34" spans="1:26" ht="20.399999999999999" collapsed="1" x14ac:dyDescent="0.3">
      <c r="A34" s="3"/>
      <c r="B34" s="75" t="s">
        <v>301</v>
      </c>
      <c r="C34" s="76" t="s">
        <v>44</v>
      </c>
      <c r="D34" s="76" t="s">
        <v>44</v>
      </c>
      <c r="E34" s="77">
        <f>SUM(E35:E37)</f>
        <v>0</v>
      </c>
      <c r="F34" s="77">
        <f>SUMIF(D35:D37,"OK",F35:F37)</f>
        <v>0.92999999999999994</v>
      </c>
      <c r="G34" s="78"/>
      <c r="H34" s="78"/>
      <c r="I34" s="79"/>
      <c r="J34" s="78"/>
      <c r="K34" s="28"/>
      <c r="L34" s="28"/>
      <c r="M34" s="28"/>
      <c r="N34" s="28"/>
      <c r="O34" s="28"/>
      <c r="P34" s="28"/>
      <c r="Q34" s="28"/>
      <c r="R34" s="28"/>
      <c r="S34" s="28"/>
      <c r="T34" s="28"/>
      <c r="U34" s="3"/>
      <c r="W34" s="3"/>
      <c r="X34" s="3"/>
      <c r="Y34" s="3"/>
      <c r="Z34" s="3"/>
    </row>
    <row r="35" spans="1:26" ht="14.4" hidden="1" outlineLevel="1" x14ac:dyDescent="0.3">
      <c r="A35" s="3"/>
      <c r="B35" s="9" t="s">
        <v>584</v>
      </c>
      <c r="C35" s="53" t="s">
        <v>1048</v>
      </c>
      <c r="D35" s="53" t="s">
        <v>95</v>
      </c>
      <c r="E35" s="11">
        <v>0</v>
      </c>
      <c r="F35" s="11">
        <f>0.13+0.37+0.43</f>
        <v>0.92999999999999994</v>
      </c>
      <c r="G35" s="56"/>
      <c r="H35" s="56" t="s">
        <v>38</v>
      </c>
      <c r="I35" s="102" t="s">
        <v>1066</v>
      </c>
      <c r="J35" s="56"/>
      <c r="K35" s="28"/>
      <c r="L35" s="28"/>
      <c r="M35" s="28"/>
      <c r="N35" s="28"/>
      <c r="O35" s="28"/>
      <c r="P35" s="28"/>
      <c r="Q35" s="28"/>
      <c r="R35" s="28"/>
      <c r="S35" s="28"/>
      <c r="T35" s="28"/>
      <c r="U35" s="3"/>
      <c r="W35" s="3"/>
      <c r="X35" s="3"/>
      <c r="Y35" s="3"/>
      <c r="Z35" s="3"/>
    </row>
    <row r="36" spans="1:26" ht="14.4" hidden="1" outlineLevel="1" x14ac:dyDescent="0.3">
      <c r="A36" s="3"/>
      <c r="B36" s="9" t="s">
        <v>754</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4.4" hidden="1" outlineLevel="1" x14ac:dyDescent="0.3">
      <c r="A37" s="3"/>
      <c r="B37" s="9" t="s">
        <v>306</v>
      </c>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collapsed="1" x14ac:dyDescent="0.3">
      <c r="A38" s="3"/>
      <c r="B38" s="75" t="s">
        <v>307</v>
      </c>
      <c r="C38" s="76" t="s">
        <v>44</v>
      </c>
      <c r="D38" s="76" t="s">
        <v>44</v>
      </c>
      <c r="E38" s="77">
        <f>SUM(E39:E62)</f>
        <v>0</v>
      </c>
      <c r="F38" s="77">
        <f>SUMIF(D39:D62,"OK",F39:F62)</f>
        <v>5053.0300000000007</v>
      </c>
      <c r="G38" s="78"/>
      <c r="H38" s="78"/>
      <c r="I38" s="79"/>
      <c r="J38" s="78"/>
      <c r="K38" s="28"/>
      <c r="L38" s="28"/>
      <c r="M38" s="28"/>
      <c r="N38" s="28"/>
      <c r="O38" s="28"/>
      <c r="P38" s="28"/>
      <c r="Q38" s="28"/>
      <c r="R38" s="28"/>
      <c r="S38" s="28"/>
      <c r="T38" s="28"/>
      <c r="U38" s="3"/>
      <c r="W38" s="3"/>
      <c r="X38" s="3"/>
      <c r="Y38" s="3"/>
      <c r="Z38" s="3"/>
    </row>
    <row r="39" spans="1:26" ht="14.4" hidden="1" outlineLevel="1" x14ac:dyDescent="0.3">
      <c r="A39" s="3"/>
      <c r="B39" s="9" t="s">
        <v>308</v>
      </c>
      <c r="C39" s="53" t="s">
        <v>1067</v>
      </c>
      <c r="D39" s="53" t="s">
        <v>95</v>
      </c>
      <c r="E39" s="11">
        <v>0</v>
      </c>
      <c r="F39" s="11">
        <f>1167.91*2</f>
        <v>2335.8200000000002</v>
      </c>
      <c r="G39" s="56" t="s">
        <v>1068</v>
      </c>
      <c r="H39" s="56" t="s">
        <v>37</v>
      </c>
      <c r="I39" s="102" t="s">
        <v>1069</v>
      </c>
      <c r="J39" s="56"/>
      <c r="K39" s="28"/>
      <c r="L39" s="28"/>
      <c r="M39" s="28"/>
      <c r="N39" s="28"/>
      <c r="O39" s="28"/>
      <c r="P39" s="28"/>
      <c r="Q39" s="28"/>
      <c r="R39" s="28"/>
      <c r="S39" s="28"/>
      <c r="T39" s="28"/>
      <c r="U39" s="3"/>
      <c r="W39" s="3"/>
      <c r="X39" s="3"/>
      <c r="Y39" s="3"/>
      <c r="Z39" s="3"/>
    </row>
    <row r="40" spans="1:26" ht="14.4" hidden="1" outlineLevel="1" x14ac:dyDescent="0.3">
      <c r="A40" s="3"/>
      <c r="B40" s="9" t="s">
        <v>590</v>
      </c>
      <c r="C40" s="53">
        <v>20</v>
      </c>
      <c r="D40" s="53" t="s">
        <v>95</v>
      </c>
      <c r="E40" s="11">
        <v>0</v>
      </c>
      <c r="F40" s="11">
        <v>650</v>
      </c>
      <c r="G40" s="56"/>
      <c r="H40" s="56" t="s">
        <v>37</v>
      </c>
      <c r="I40" s="102" t="s">
        <v>1070</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80"/>
      <c r="J41" s="56"/>
      <c r="K41" s="28"/>
      <c r="L41" s="28"/>
      <c r="M41" s="28"/>
      <c r="N41" s="28"/>
      <c r="O41" s="28"/>
      <c r="P41" s="28"/>
      <c r="Q41" s="28"/>
      <c r="R41" s="28"/>
      <c r="S41" s="28"/>
      <c r="T41" s="28"/>
      <c r="U41" s="3"/>
      <c r="W41" s="3"/>
      <c r="X41" s="3"/>
      <c r="Y41" s="3"/>
      <c r="Z41" s="3"/>
    </row>
    <row r="42" spans="1:26" ht="14.4" hidden="1" outlineLevel="1" x14ac:dyDescent="0.3">
      <c r="A42" s="3"/>
      <c r="B42" s="9" t="s">
        <v>315</v>
      </c>
      <c r="C42" s="53">
        <v>16</v>
      </c>
      <c r="D42" s="53" t="s">
        <v>95</v>
      </c>
      <c r="E42" s="11">
        <v>0</v>
      </c>
      <c r="F42" s="11">
        <v>84.9</v>
      </c>
      <c r="G42" s="56"/>
      <c r="H42" s="56" t="s">
        <v>37</v>
      </c>
      <c r="I42" s="102" t="s">
        <v>1071</v>
      </c>
      <c r="J42" s="56"/>
      <c r="K42" s="28"/>
      <c r="L42" s="28"/>
      <c r="M42" s="28"/>
      <c r="N42" s="28"/>
      <c r="O42" s="28"/>
      <c r="P42" s="28"/>
      <c r="Q42" s="28"/>
      <c r="R42" s="28"/>
      <c r="S42" s="28"/>
      <c r="T42" s="28"/>
      <c r="U42" s="3"/>
      <c r="W42" s="3"/>
      <c r="X42" s="3"/>
      <c r="Y42" s="3"/>
      <c r="Z42" s="3"/>
    </row>
    <row r="43" spans="1:26" ht="14.4" hidden="1" outlineLevel="1" x14ac:dyDescent="0.3">
      <c r="A43" s="3"/>
      <c r="B43" s="9" t="s">
        <v>593</v>
      </c>
      <c r="C43" s="53">
        <v>16</v>
      </c>
      <c r="D43" s="53" t="s">
        <v>95</v>
      </c>
      <c r="E43" s="11">
        <v>0</v>
      </c>
      <c r="F43" s="11">
        <v>518</v>
      </c>
      <c r="G43" s="80" t="s">
        <v>1072</v>
      </c>
      <c r="H43" s="56" t="s">
        <v>37</v>
      </c>
      <c r="I43" s="102" t="s">
        <v>1073</v>
      </c>
      <c r="J43" s="56"/>
      <c r="K43" s="28"/>
      <c r="L43" s="28"/>
      <c r="M43" s="28"/>
      <c r="N43" s="28"/>
      <c r="O43" s="28"/>
      <c r="P43" s="28"/>
      <c r="Q43" s="28"/>
      <c r="R43" s="28"/>
      <c r="S43" s="28"/>
      <c r="T43" s="28"/>
      <c r="U43" s="3"/>
      <c r="W43" s="3"/>
      <c r="X43" s="3"/>
      <c r="Y43" s="3"/>
      <c r="Z43" s="3"/>
    </row>
    <row r="44" spans="1:26" ht="14.4" hidden="1" outlineLevel="1" x14ac:dyDescent="0.3">
      <c r="A44" s="3"/>
      <c r="B44" s="9" t="s">
        <v>596</v>
      </c>
      <c r="C44" s="53">
        <v>16</v>
      </c>
      <c r="D44" s="53" t="s">
        <v>95</v>
      </c>
      <c r="E44" s="11">
        <v>0</v>
      </c>
      <c r="F44" s="11">
        <v>212.9</v>
      </c>
      <c r="G44" s="80" t="s">
        <v>942</v>
      </c>
      <c r="H44" s="56" t="s">
        <v>37</v>
      </c>
      <c r="I44" s="102" t="s">
        <v>1074</v>
      </c>
      <c r="J44" s="56"/>
      <c r="K44" s="28"/>
      <c r="L44" s="28"/>
      <c r="M44" s="28"/>
      <c r="N44" s="28"/>
      <c r="O44" s="28"/>
      <c r="P44" s="28"/>
      <c r="Q44" s="28"/>
      <c r="R44" s="28"/>
      <c r="S44" s="28"/>
      <c r="T44" s="28"/>
      <c r="U44" s="3"/>
      <c r="W44" s="3"/>
      <c r="X44" s="3"/>
      <c r="Y44" s="3"/>
      <c r="Z44" s="3"/>
    </row>
    <row r="45" spans="1:26" ht="14.4" hidden="1" outlineLevel="1" x14ac:dyDescent="0.3">
      <c r="A45" s="3"/>
      <c r="B45" s="9" t="s">
        <v>1075</v>
      </c>
      <c r="C45" s="53">
        <v>1</v>
      </c>
      <c r="D45" s="53" t="s">
        <v>95</v>
      </c>
      <c r="E45" s="11">
        <v>0</v>
      </c>
      <c r="F45" s="11">
        <v>50</v>
      </c>
      <c r="G45" s="56" t="s">
        <v>1076</v>
      </c>
      <c r="H45" s="56" t="s">
        <v>37</v>
      </c>
      <c r="I45" s="102" t="s">
        <v>1077</v>
      </c>
      <c r="J45" s="56"/>
      <c r="K45" s="28"/>
      <c r="L45" s="28"/>
      <c r="M45" s="28"/>
      <c r="N45" s="28"/>
      <c r="O45" s="28"/>
      <c r="P45" s="28"/>
      <c r="Q45" s="28"/>
      <c r="R45" s="28"/>
      <c r="S45" s="28"/>
      <c r="T45" s="28"/>
      <c r="U45" s="3"/>
      <c r="W45" s="3"/>
      <c r="X45" s="3"/>
      <c r="Y45" s="3"/>
      <c r="Z45" s="3"/>
    </row>
    <row r="46" spans="1:26" ht="14.4" hidden="1" outlineLevel="1" x14ac:dyDescent="0.3">
      <c r="A46" s="3"/>
      <c r="B46" s="9" t="s">
        <v>1075</v>
      </c>
      <c r="C46" s="53">
        <v>12</v>
      </c>
      <c r="D46" s="53" t="s">
        <v>95</v>
      </c>
      <c r="E46" s="11">
        <v>0</v>
      </c>
      <c r="F46" s="11">
        <v>200</v>
      </c>
      <c r="G46" s="56" t="s">
        <v>1076</v>
      </c>
      <c r="H46" s="56" t="s">
        <v>37</v>
      </c>
      <c r="I46" s="102" t="s">
        <v>1078</v>
      </c>
      <c r="J46" s="56"/>
      <c r="K46" s="28"/>
      <c r="L46" s="28"/>
      <c r="M46" s="28"/>
      <c r="N46" s="28"/>
      <c r="O46" s="28"/>
      <c r="P46" s="28"/>
      <c r="Q46" s="28"/>
      <c r="R46" s="28"/>
      <c r="S46" s="28"/>
      <c r="T46" s="28"/>
      <c r="U46" s="3"/>
      <c r="W46" s="3"/>
      <c r="X46" s="3"/>
      <c r="Y46" s="3"/>
      <c r="Z46" s="3"/>
    </row>
    <row r="47" spans="1:26" ht="14.4" hidden="1" outlineLevel="1" x14ac:dyDescent="0.3">
      <c r="A47" s="3"/>
      <c r="B47" s="9" t="s">
        <v>1079</v>
      </c>
      <c r="C47" s="53">
        <v>23</v>
      </c>
      <c r="D47" s="53" t="s">
        <v>95</v>
      </c>
      <c r="E47" s="11">
        <v>0</v>
      </c>
      <c r="F47" s="11">
        <v>90.29</v>
      </c>
      <c r="G47" s="56"/>
      <c r="H47" s="56" t="s">
        <v>37</v>
      </c>
      <c r="I47" s="102" t="s">
        <v>1080</v>
      </c>
      <c r="J47" s="56"/>
      <c r="K47" s="28"/>
      <c r="L47" s="28"/>
      <c r="M47" s="28"/>
      <c r="N47" s="28"/>
      <c r="O47" s="28"/>
      <c r="P47" s="28"/>
      <c r="Q47" s="28"/>
      <c r="R47" s="28"/>
      <c r="S47" s="28"/>
      <c r="T47" s="28"/>
      <c r="U47" s="3"/>
      <c r="W47" s="3"/>
      <c r="X47" s="3"/>
      <c r="Y47" s="3"/>
      <c r="Z47" s="3"/>
    </row>
    <row r="48" spans="1:26" ht="14.4" hidden="1" outlineLevel="1" x14ac:dyDescent="0.3">
      <c r="A48" s="3"/>
      <c r="B48" s="9" t="s">
        <v>1081</v>
      </c>
      <c r="C48" s="53">
        <v>23</v>
      </c>
      <c r="D48" s="53" t="s">
        <v>95</v>
      </c>
      <c r="E48" s="11">
        <v>0</v>
      </c>
      <c r="F48" s="11">
        <v>800</v>
      </c>
      <c r="G48" s="56"/>
      <c r="H48" s="56" t="s">
        <v>37</v>
      </c>
      <c r="I48" s="102" t="s">
        <v>1082</v>
      </c>
      <c r="J48" s="56"/>
      <c r="K48" s="28"/>
      <c r="L48" s="28"/>
      <c r="M48" s="28"/>
      <c r="N48" s="28"/>
      <c r="O48" s="28"/>
      <c r="P48" s="28"/>
      <c r="Q48" s="28"/>
      <c r="R48" s="28"/>
      <c r="S48" s="28"/>
      <c r="T48" s="28"/>
      <c r="U48" s="3"/>
      <c r="W48" s="3"/>
      <c r="X48" s="3"/>
      <c r="Y48" s="3"/>
      <c r="Z48" s="3"/>
    </row>
    <row r="49" spans="1:26" ht="14.4" hidden="1" outlineLevel="1" x14ac:dyDescent="0.3">
      <c r="A49" s="3"/>
      <c r="B49" s="9" t="s">
        <v>1083</v>
      </c>
      <c r="C49" s="53">
        <v>30</v>
      </c>
      <c r="D49" s="53" t="s">
        <v>95</v>
      </c>
      <c r="E49" s="11">
        <v>0</v>
      </c>
      <c r="F49" s="11">
        <v>111.12</v>
      </c>
      <c r="G49" s="56" t="s">
        <v>1084</v>
      </c>
      <c r="H49" s="56" t="s">
        <v>37</v>
      </c>
      <c r="I49" s="102" t="s">
        <v>1085</v>
      </c>
      <c r="J49" s="56"/>
      <c r="K49" s="28"/>
      <c r="L49" s="28"/>
      <c r="M49" s="28"/>
      <c r="N49" s="28"/>
      <c r="O49" s="28"/>
      <c r="P49" s="28"/>
      <c r="Q49" s="28"/>
      <c r="R49" s="28"/>
      <c r="S49" s="28"/>
      <c r="T49" s="28"/>
      <c r="U49" s="3"/>
      <c r="W49" s="3"/>
      <c r="X49" s="3"/>
      <c r="Y49" s="3"/>
      <c r="Z49" s="3"/>
    </row>
    <row r="50" spans="1:26" ht="14.4" hidden="1" outlineLevel="1" x14ac:dyDescent="0.3">
      <c r="A50" s="3"/>
      <c r="B50" s="9" t="s">
        <v>51</v>
      </c>
      <c r="C50" s="53"/>
      <c r="D50" s="53"/>
      <c r="E50" s="11">
        <v>0</v>
      </c>
      <c r="F50" s="11">
        <v>0</v>
      </c>
      <c r="G50" s="56"/>
      <c r="H50" s="56"/>
      <c r="I50" s="102"/>
      <c r="J50" s="56"/>
      <c r="K50" s="28"/>
      <c r="L50" s="28"/>
      <c r="M50" s="28"/>
      <c r="N50" s="28"/>
      <c r="O50" s="28"/>
      <c r="P50" s="28"/>
      <c r="Q50" s="28"/>
      <c r="R50" s="28"/>
      <c r="S50" s="28"/>
      <c r="T50" s="28"/>
      <c r="U50" s="3"/>
      <c r="W50" s="3"/>
      <c r="X50" s="3"/>
      <c r="Y50" s="3"/>
      <c r="Z50" s="3"/>
    </row>
    <row r="51" spans="1:26" ht="14.4" hidden="1" outlineLevel="1" x14ac:dyDescent="0.3">
      <c r="A51" s="3"/>
      <c r="B51" s="9" t="s">
        <v>51</v>
      </c>
      <c r="C51" s="53"/>
      <c r="D51" s="53"/>
      <c r="E51" s="11">
        <v>0</v>
      </c>
      <c r="F51" s="11">
        <v>0</v>
      </c>
      <c r="G51" s="56"/>
      <c r="H51" s="56"/>
      <c r="I51" s="102"/>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56"/>
      <c r="H52" s="56"/>
      <c r="I52" s="80"/>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collapsed="1" x14ac:dyDescent="0.3">
      <c r="A63" s="3"/>
      <c r="B63" s="75" t="s">
        <v>330</v>
      </c>
      <c r="C63" s="76" t="s">
        <v>44</v>
      </c>
      <c r="D63" s="76" t="s">
        <v>44</v>
      </c>
      <c r="E63" s="77">
        <f>SUM(E64:E84)</f>
        <v>0</v>
      </c>
      <c r="F63" s="77">
        <f>SUMIF(D64:D84,"OK",F64:F84)</f>
        <v>1723.98</v>
      </c>
      <c r="G63" s="78"/>
      <c r="H63" s="78"/>
      <c r="I63" s="79"/>
      <c r="J63" s="78"/>
      <c r="K63" s="28"/>
      <c r="L63" s="28"/>
      <c r="M63" s="28"/>
      <c r="N63" s="28"/>
      <c r="O63" s="28"/>
      <c r="P63" s="28"/>
      <c r="Q63" s="28"/>
      <c r="R63" s="28"/>
      <c r="S63" s="28"/>
      <c r="T63" s="28"/>
      <c r="U63" s="3"/>
    </row>
    <row r="64" spans="1:26" ht="14.4" hidden="1" outlineLevel="1" x14ac:dyDescent="0.3">
      <c r="A64" s="3"/>
      <c r="B64" s="9" t="s">
        <v>1086</v>
      </c>
      <c r="C64" s="71">
        <v>4</v>
      </c>
      <c r="D64" s="53" t="s">
        <v>95</v>
      </c>
      <c r="E64" s="11">
        <v>0</v>
      </c>
      <c r="F64" s="11">
        <v>227.58</v>
      </c>
      <c r="G64" s="56"/>
      <c r="H64" s="56" t="s">
        <v>37</v>
      </c>
      <c r="I64" s="102" t="s">
        <v>1087</v>
      </c>
      <c r="J64" s="80"/>
      <c r="K64" s="28"/>
      <c r="L64" s="28"/>
      <c r="M64" s="28"/>
      <c r="N64" s="28"/>
      <c r="O64" s="28"/>
      <c r="P64" s="28"/>
      <c r="Q64" s="28"/>
      <c r="R64" s="28"/>
      <c r="S64" s="28"/>
      <c r="T64" s="28"/>
      <c r="U64" s="3"/>
      <c r="V64" s="14"/>
    </row>
    <row r="65" spans="1:22" ht="14.4" hidden="1" outlineLevel="1" x14ac:dyDescent="0.3">
      <c r="A65" s="3"/>
      <c r="B65" s="9" t="s">
        <v>1086</v>
      </c>
      <c r="C65" s="71">
        <v>8</v>
      </c>
      <c r="D65" s="53" t="s">
        <v>95</v>
      </c>
      <c r="E65" s="11">
        <v>0</v>
      </c>
      <c r="F65" s="11">
        <v>55</v>
      </c>
      <c r="G65" s="56" t="s">
        <v>614</v>
      </c>
      <c r="H65" s="56" t="s">
        <v>37</v>
      </c>
      <c r="I65" s="102" t="s">
        <v>1088</v>
      </c>
      <c r="J65" s="80"/>
      <c r="K65" s="28"/>
      <c r="L65" s="28"/>
      <c r="M65" s="28"/>
      <c r="N65" s="28"/>
      <c r="O65" s="28"/>
      <c r="P65" s="28"/>
      <c r="Q65" s="28"/>
      <c r="R65" s="28"/>
      <c r="S65" s="28"/>
      <c r="T65" s="28"/>
      <c r="U65" s="3"/>
      <c r="V65" s="14"/>
    </row>
    <row r="66" spans="1:22" ht="14.4" hidden="1" outlineLevel="1" x14ac:dyDescent="0.3">
      <c r="A66" s="3"/>
      <c r="B66" s="9" t="s">
        <v>1086</v>
      </c>
      <c r="C66" s="71"/>
      <c r="D66" s="53"/>
      <c r="E66" s="11">
        <v>0</v>
      </c>
      <c r="F66" s="11">
        <v>0</v>
      </c>
      <c r="G66" s="56"/>
      <c r="H66" s="56"/>
      <c r="I66" s="102"/>
      <c r="J66" s="80"/>
      <c r="K66" s="28"/>
      <c r="L66" s="28"/>
      <c r="M66" s="28"/>
      <c r="N66" s="28"/>
      <c r="O66" s="28"/>
      <c r="P66" s="28"/>
      <c r="Q66" s="28"/>
      <c r="R66" s="28"/>
      <c r="S66" s="28"/>
      <c r="T66" s="28"/>
      <c r="U66" s="3"/>
      <c r="V66" s="14"/>
    </row>
    <row r="67" spans="1:22" ht="14.4" hidden="1" outlineLevel="1" x14ac:dyDescent="0.3">
      <c r="A67" s="3"/>
      <c r="B67" s="9" t="s">
        <v>1086</v>
      </c>
      <c r="C67" s="71"/>
      <c r="D67" s="53"/>
      <c r="E67" s="11">
        <v>0</v>
      </c>
      <c r="F67" s="11">
        <v>0</v>
      </c>
      <c r="G67" s="56"/>
      <c r="H67" s="56"/>
      <c r="I67" s="102"/>
      <c r="J67" s="80"/>
      <c r="K67" s="28"/>
      <c r="L67" s="28"/>
      <c r="M67" s="28"/>
      <c r="N67" s="28"/>
      <c r="O67" s="28"/>
      <c r="P67" s="28"/>
      <c r="Q67" s="28"/>
      <c r="R67" s="28"/>
      <c r="S67" s="28"/>
      <c r="T67" s="28"/>
      <c r="U67" s="3"/>
      <c r="V67" s="14"/>
    </row>
    <row r="68" spans="1:22" ht="14.4" hidden="1" outlineLevel="1" x14ac:dyDescent="0.3">
      <c r="A68" s="3"/>
      <c r="B68" s="9" t="s">
        <v>1086</v>
      </c>
      <c r="C68" s="71"/>
      <c r="D68" s="53"/>
      <c r="E68" s="11">
        <v>0</v>
      </c>
      <c r="F68" s="11">
        <v>0</v>
      </c>
      <c r="G68" s="56"/>
      <c r="H68" s="56"/>
      <c r="I68" s="102"/>
      <c r="J68" s="80"/>
      <c r="K68" s="28"/>
      <c r="L68" s="28"/>
      <c r="M68" s="28"/>
      <c r="N68" s="28"/>
      <c r="O68" s="28"/>
      <c r="P68" s="28"/>
      <c r="Q68" s="28"/>
      <c r="R68" s="28"/>
      <c r="S68" s="28"/>
      <c r="T68" s="28"/>
      <c r="U68" s="3"/>
      <c r="V68" s="14"/>
    </row>
    <row r="69" spans="1:22" ht="14.4" hidden="1" outlineLevel="1" x14ac:dyDescent="0.3">
      <c r="A69" s="3"/>
      <c r="B69" s="9" t="s">
        <v>1089</v>
      </c>
      <c r="C69" s="71">
        <v>19</v>
      </c>
      <c r="D69" s="53" t="s">
        <v>95</v>
      </c>
      <c r="E69" s="11">
        <v>0</v>
      </c>
      <c r="F69" s="11">
        <v>125</v>
      </c>
      <c r="G69" s="56" t="s">
        <v>614</v>
      </c>
      <c r="H69" s="56" t="s">
        <v>37</v>
      </c>
      <c r="I69" s="102" t="s">
        <v>1090</v>
      </c>
      <c r="J69" s="80"/>
      <c r="K69" s="28"/>
      <c r="L69" s="28"/>
      <c r="M69" s="28"/>
      <c r="N69" s="28"/>
      <c r="O69" s="28"/>
      <c r="P69" s="28"/>
      <c r="Q69" s="28"/>
      <c r="R69" s="28"/>
      <c r="S69" s="28"/>
      <c r="T69" s="28"/>
      <c r="U69" s="3"/>
      <c r="V69" s="14"/>
    </row>
    <row r="70" spans="1:22" ht="14.4" hidden="1" outlineLevel="1" x14ac:dyDescent="0.3">
      <c r="A70" s="3"/>
      <c r="B70" s="9" t="s">
        <v>1089</v>
      </c>
      <c r="C70" s="71"/>
      <c r="D70" s="53"/>
      <c r="E70" s="11">
        <v>0</v>
      </c>
      <c r="F70" s="11">
        <v>0</v>
      </c>
      <c r="G70" s="56"/>
      <c r="H70" s="56"/>
      <c r="I70" s="102"/>
      <c r="J70" s="80"/>
      <c r="K70" s="28"/>
      <c r="L70" s="28"/>
      <c r="M70" s="28"/>
      <c r="N70" s="28"/>
      <c r="O70" s="28"/>
      <c r="P70" s="28"/>
      <c r="Q70" s="28"/>
      <c r="R70" s="28"/>
      <c r="S70" s="28"/>
      <c r="T70" s="28"/>
      <c r="U70" s="3"/>
      <c r="V70" s="14"/>
    </row>
    <row r="71" spans="1:22" ht="14.4" hidden="1" outlineLevel="1" x14ac:dyDescent="0.3">
      <c r="A71" s="3"/>
      <c r="B71" s="9" t="s">
        <v>1089</v>
      </c>
      <c r="C71" s="71"/>
      <c r="D71" s="53"/>
      <c r="E71" s="11">
        <v>0</v>
      </c>
      <c r="F71" s="11">
        <v>0</v>
      </c>
      <c r="G71" s="56"/>
      <c r="H71" s="56"/>
      <c r="I71" s="102"/>
      <c r="J71" s="80"/>
      <c r="K71" s="28"/>
      <c r="L71" s="28"/>
      <c r="M71" s="28"/>
      <c r="N71" s="28"/>
      <c r="O71" s="28"/>
      <c r="P71" s="28"/>
      <c r="Q71" s="28"/>
      <c r="R71" s="28"/>
      <c r="S71" s="28"/>
      <c r="T71" s="28"/>
      <c r="U71" s="3"/>
      <c r="V71" s="14"/>
    </row>
    <row r="72" spans="1:22" ht="14.4" hidden="1" outlineLevel="1" x14ac:dyDescent="0.3">
      <c r="A72" s="3"/>
      <c r="B72" s="9" t="s">
        <v>1089</v>
      </c>
      <c r="C72" s="71"/>
      <c r="D72" s="53"/>
      <c r="E72" s="11">
        <v>0</v>
      </c>
      <c r="F72" s="11">
        <v>0</v>
      </c>
      <c r="G72" s="56"/>
      <c r="H72" s="56"/>
      <c r="I72" s="80"/>
      <c r="J72" s="80"/>
      <c r="K72" s="28"/>
      <c r="L72" s="28"/>
      <c r="M72" s="28"/>
      <c r="N72" s="28"/>
      <c r="O72" s="28"/>
      <c r="P72" s="28"/>
      <c r="Q72" s="28"/>
      <c r="R72" s="28"/>
      <c r="S72" s="28"/>
      <c r="T72" s="28"/>
      <c r="U72" s="3"/>
      <c r="V72" s="14"/>
    </row>
    <row r="73" spans="1:22" ht="14.4" hidden="1" outlineLevel="1" x14ac:dyDescent="0.3">
      <c r="A73" s="3"/>
      <c r="B73" s="9" t="s">
        <v>331</v>
      </c>
      <c r="C73" s="71"/>
      <c r="D73" s="53"/>
      <c r="E73" s="11">
        <v>0</v>
      </c>
      <c r="F73" s="11">
        <v>0</v>
      </c>
      <c r="G73" s="56"/>
      <c r="H73" s="56"/>
      <c r="I73" s="102"/>
      <c r="J73" s="80"/>
      <c r="K73" s="28"/>
      <c r="L73" s="28"/>
      <c r="M73" s="28"/>
      <c r="N73" s="28"/>
      <c r="O73" s="28"/>
      <c r="P73" s="28"/>
      <c r="Q73" s="28"/>
      <c r="R73" s="28"/>
      <c r="S73" s="28"/>
      <c r="T73" s="28"/>
      <c r="U73" s="3"/>
      <c r="V73" s="14"/>
    </row>
    <row r="74" spans="1:22" ht="14.4" hidden="1" outlineLevel="1" x14ac:dyDescent="0.3">
      <c r="A74" s="3"/>
      <c r="B74" s="9" t="s">
        <v>331</v>
      </c>
      <c r="C74" s="71"/>
      <c r="D74" s="53"/>
      <c r="E74" s="11">
        <v>0</v>
      </c>
      <c r="F74" s="11">
        <v>0</v>
      </c>
      <c r="G74" s="56"/>
      <c r="H74" s="56"/>
      <c r="I74" s="102"/>
      <c r="J74" s="80"/>
      <c r="K74" s="28"/>
      <c r="L74" s="28"/>
      <c r="M74" s="28"/>
      <c r="N74" s="28"/>
      <c r="O74" s="28"/>
      <c r="P74" s="28"/>
      <c r="Q74" s="28"/>
      <c r="R74" s="28"/>
      <c r="S74" s="28"/>
      <c r="T74" s="28"/>
      <c r="U74" s="3"/>
      <c r="V74" s="14"/>
    </row>
    <row r="75" spans="1:22" ht="14.4" hidden="1" outlineLevel="1" x14ac:dyDescent="0.3">
      <c r="A75" s="3"/>
      <c r="B75" s="9" t="s">
        <v>331</v>
      </c>
      <c r="C75" s="71"/>
      <c r="D75" s="53"/>
      <c r="E75" s="11">
        <v>0</v>
      </c>
      <c r="F75" s="11">
        <v>0</v>
      </c>
      <c r="G75" s="56"/>
      <c r="H75" s="56"/>
      <c r="I75" s="80"/>
      <c r="J75" s="80"/>
      <c r="K75" s="28"/>
      <c r="L75" s="28"/>
      <c r="M75" s="28"/>
      <c r="N75" s="28"/>
      <c r="O75" s="28"/>
      <c r="P75" s="28"/>
      <c r="Q75" s="28"/>
      <c r="R75" s="28"/>
      <c r="S75" s="28"/>
      <c r="T75" s="28"/>
      <c r="U75" s="3"/>
      <c r="V75" s="14"/>
    </row>
    <row r="76" spans="1:22" ht="14.4" hidden="1" outlineLevel="1" x14ac:dyDescent="0.3">
      <c r="A76" s="3"/>
      <c r="B76" s="9" t="s">
        <v>331</v>
      </c>
      <c r="C76" s="71"/>
      <c r="D76" s="53"/>
      <c r="E76" s="11">
        <v>0</v>
      </c>
      <c r="F76" s="11">
        <v>0</v>
      </c>
      <c r="G76" s="56"/>
      <c r="H76" s="56"/>
      <c r="I76" s="80"/>
      <c r="J76" s="80"/>
      <c r="K76" s="28"/>
      <c r="L76" s="28"/>
      <c r="M76" s="28"/>
      <c r="N76" s="28"/>
      <c r="O76" s="28"/>
      <c r="P76" s="28"/>
      <c r="Q76" s="28"/>
      <c r="R76" s="28"/>
      <c r="S76" s="28"/>
      <c r="T76" s="28"/>
      <c r="U76" s="3"/>
      <c r="V76" s="14"/>
    </row>
    <row r="77" spans="1:22" ht="14.4" hidden="1" outlineLevel="1" x14ac:dyDescent="0.3">
      <c r="A77" s="3"/>
      <c r="B77" s="9" t="s">
        <v>335</v>
      </c>
      <c r="C77" s="53">
        <v>29</v>
      </c>
      <c r="D77" s="53" t="s">
        <v>95</v>
      </c>
      <c r="E77" s="11">
        <v>0</v>
      </c>
      <c r="F77" s="11">
        <v>202.4</v>
      </c>
      <c r="G77" s="56" t="s">
        <v>1091</v>
      </c>
      <c r="H77" s="56" t="s">
        <v>37</v>
      </c>
      <c r="I77" s="102" t="s">
        <v>1092</v>
      </c>
      <c r="J77" s="56"/>
      <c r="K77" s="28"/>
      <c r="L77" s="28"/>
      <c r="M77" s="28"/>
      <c r="N77" s="28"/>
      <c r="O77" s="28"/>
      <c r="P77" s="28"/>
      <c r="Q77" s="28"/>
      <c r="R77" s="28"/>
      <c r="S77" s="28"/>
      <c r="T77" s="28"/>
      <c r="U77" s="3"/>
    </row>
    <row r="78" spans="1:22" ht="14.4" hidden="1" outlineLevel="1" x14ac:dyDescent="0.3">
      <c r="A78" s="3"/>
      <c r="B78" s="9" t="s">
        <v>335</v>
      </c>
      <c r="C78" s="53"/>
      <c r="D78" s="53"/>
      <c r="E78" s="11">
        <v>0</v>
      </c>
      <c r="F78" s="11">
        <v>0</v>
      </c>
      <c r="G78" s="56"/>
      <c r="H78" s="56"/>
      <c r="I78" s="80"/>
      <c r="J78" s="56"/>
      <c r="K78" s="28"/>
      <c r="L78" s="28"/>
      <c r="M78" s="28"/>
      <c r="N78" s="28"/>
      <c r="O78" s="28"/>
      <c r="P78" s="28"/>
      <c r="Q78" s="28"/>
      <c r="R78" s="28"/>
      <c r="S78" s="28"/>
      <c r="T78" s="28"/>
      <c r="U78" s="3"/>
    </row>
    <row r="79" spans="1:22" ht="14.4" hidden="1" outlineLevel="1" x14ac:dyDescent="0.3">
      <c r="A79" s="3"/>
      <c r="B79" s="9" t="s">
        <v>628</v>
      </c>
      <c r="C79" s="71">
        <v>4</v>
      </c>
      <c r="D79" s="53" t="s">
        <v>95</v>
      </c>
      <c r="E79" s="11">
        <v>0</v>
      </c>
      <c r="F79" s="11">
        <v>345.12</v>
      </c>
      <c r="G79" s="56"/>
      <c r="H79" s="56" t="s">
        <v>37</v>
      </c>
      <c r="I79" s="102" t="s">
        <v>1093</v>
      </c>
      <c r="J79" s="80"/>
      <c r="K79" s="28"/>
      <c r="L79" s="28"/>
      <c r="M79" s="28"/>
      <c r="N79" s="28"/>
      <c r="O79" s="28"/>
      <c r="P79" s="28"/>
      <c r="Q79" s="28"/>
      <c r="R79" s="28"/>
      <c r="S79" s="28"/>
      <c r="T79" s="28"/>
      <c r="U79" s="3"/>
    </row>
    <row r="80" spans="1:22" ht="14.4" hidden="1" outlineLevel="1" x14ac:dyDescent="0.3">
      <c r="A80" s="3"/>
      <c r="B80" s="9" t="s">
        <v>630</v>
      </c>
      <c r="C80" s="71">
        <v>20</v>
      </c>
      <c r="D80" s="53" t="s">
        <v>95</v>
      </c>
      <c r="E80" s="11">
        <v>0</v>
      </c>
      <c r="F80" s="11">
        <v>494.88</v>
      </c>
      <c r="G80" s="56"/>
      <c r="H80" s="56" t="s">
        <v>37</v>
      </c>
      <c r="I80" s="102" t="s">
        <v>1094</v>
      </c>
      <c r="J80" s="80"/>
      <c r="K80" s="28"/>
      <c r="L80" s="28"/>
      <c r="M80" s="28"/>
      <c r="N80" s="28"/>
      <c r="O80" s="28"/>
      <c r="P80" s="28"/>
      <c r="Q80" s="28"/>
      <c r="R80" s="28"/>
      <c r="S80" s="28"/>
      <c r="T80" s="28"/>
      <c r="U80" s="3"/>
    </row>
    <row r="81" spans="1:26" ht="14.4" hidden="1" outlineLevel="1" x14ac:dyDescent="0.3">
      <c r="A81" s="3"/>
      <c r="B81" s="9" t="s">
        <v>630</v>
      </c>
      <c r="C81" s="71"/>
      <c r="D81" s="53"/>
      <c r="E81" s="11">
        <v>0</v>
      </c>
      <c r="F81" s="11">
        <v>0</v>
      </c>
      <c r="G81" s="56"/>
      <c r="H81" s="56"/>
      <c r="I81" s="102"/>
      <c r="J81" s="80"/>
      <c r="K81" s="28"/>
      <c r="L81" s="28"/>
      <c r="M81" s="28"/>
      <c r="N81" s="28"/>
      <c r="O81" s="28"/>
      <c r="P81" s="28"/>
      <c r="Q81" s="28"/>
      <c r="R81" s="28"/>
      <c r="S81" s="28"/>
      <c r="T81" s="28"/>
      <c r="U81" s="3"/>
    </row>
    <row r="82" spans="1:26" ht="14.4" hidden="1" outlineLevel="1" x14ac:dyDescent="0.3">
      <c r="A82" s="3"/>
      <c r="B82" s="9" t="s">
        <v>342</v>
      </c>
      <c r="C82" s="71"/>
      <c r="D82" s="53"/>
      <c r="E82" s="11">
        <v>0</v>
      </c>
      <c r="F82" s="11">
        <v>0</v>
      </c>
      <c r="G82" s="56"/>
      <c r="H82" s="56"/>
      <c r="I82" s="80"/>
      <c r="J82" s="56"/>
      <c r="K82" s="28"/>
      <c r="L82" s="28"/>
      <c r="M82" s="28"/>
      <c r="N82" s="28"/>
      <c r="O82" s="28"/>
      <c r="P82" s="28"/>
      <c r="Q82" s="28"/>
      <c r="R82" s="28"/>
      <c r="S82" s="28"/>
      <c r="T82" s="28"/>
      <c r="U82" s="3"/>
      <c r="W82" s="3"/>
      <c r="X82" s="3"/>
      <c r="Y82" s="3"/>
      <c r="Z82" s="3"/>
    </row>
    <row r="83" spans="1:26" ht="14.4" hidden="1" outlineLevel="1" x14ac:dyDescent="0.3">
      <c r="A83" s="3"/>
      <c r="B83" s="9" t="s">
        <v>812</v>
      </c>
      <c r="C83" s="53">
        <v>28</v>
      </c>
      <c r="D83" s="53" t="s">
        <v>95</v>
      </c>
      <c r="E83" s="11">
        <v>0</v>
      </c>
      <c r="F83" s="11">
        <v>116</v>
      </c>
      <c r="G83" s="56"/>
      <c r="H83" s="56" t="s">
        <v>37</v>
      </c>
      <c r="I83" s="102" t="s">
        <v>1095</v>
      </c>
      <c r="J83" s="56"/>
      <c r="K83" s="28"/>
      <c r="L83" s="28"/>
      <c r="M83" s="28"/>
      <c r="N83" s="28"/>
      <c r="O83" s="28"/>
      <c r="P83" s="28"/>
      <c r="Q83" s="28"/>
      <c r="R83" s="28"/>
      <c r="S83" s="28"/>
      <c r="T83" s="28"/>
      <c r="U83" s="3"/>
      <c r="W83" s="3"/>
      <c r="X83" s="3"/>
      <c r="Y83" s="3"/>
      <c r="Z83" s="3"/>
    </row>
    <row r="84" spans="1:26" ht="14.4" hidden="1" outlineLevel="1" x14ac:dyDescent="0.3">
      <c r="A84" s="3"/>
      <c r="B84" s="9" t="s">
        <v>1096</v>
      </c>
      <c r="C84" s="53">
        <v>4</v>
      </c>
      <c r="D84" s="53" t="s">
        <v>95</v>
      </c>
      <c r="E84" s="11">
        <v>0</v>
      </c>
      <c r="F84" s="11">
        <v>158</v>
      </c>
      <c r="G84" s="80"/>
      <c r="H84" s="56" t="s">
        <v>37</v>
      </c>
      <c r="I84" s="102" t="s">
        <v>1097</v>
      </c>
      <c r="J84" s="56"/>
      <c r="K84" s="28"/>
      <c r="L84" s="28"/>
      <c r="M84" s="28"/>
      <c r="N84" s="28"/>
      <c r="O84" s="28"/>
      <c r="P84" s="28"/>
      <c r="Q84" s="28"/>
      <c r="R84" s="28"/>
      <c r="S84" s="28"/>
      <c r="T84" s="28"/>
      <c r="U84" s="3"/>
      <c r="W84" s="3"/>
      <c r="X84" s="3"/>
      <c r="Y84" s="3"/>
      <c r="Z84" s="3"/>
    </row>
    <row r="85" spans="1:26" ht="20.399999999999999" collapsed="1" x14ac:dyDescent="0.3">
      <c r="A85" s="3"/>
      <c r="B85" s="75" t="s">
        <v>349</v>
      </c>
      <c r="C85" s="76" t="s">
        <v>44</v>
      </c>
      <c r="D85" s="76" t="s">
        <v>44</v>
      </c>
      <c r="E85" s="77">
        <f t="shared" ref="E85:F85" si="0">SUM(E86,E102,E107)</f>
        <v>0</v>
      </c>
      <c r="F85" s="77">
        <f t="shared" si="0"/>
        <v>0</v>
      </c>
      <c r="G85" s="78"/>
      <c r="H85" s="78"/>
      <c r="I85" s="79"/>
      <c r="J85" s="78"/>
      <c r="K85" s="28"/>
      <c r="L85" s="28"/>
      <c r="M85" s="28"/>
      <c r="N85" s="28"/>
      <c r="O85" s="28"/>
      <c r="P85" s="28"/>
      <c r="Q85" s="28"/>
      <c r="R85" s="28"/>
      <c r="S85" s="28"/>
      <c r="T85" s="28"/>
      <c r="U85" s="3"/>
      <c r="W85" s="3"/>
      <c r="X85" s="3"/>
      <c r="Y85" s="3"/>
      <c r="Z85" s="3"/>
    </row>
    <row r="86" spans="1:26" hidden="1" outlineLevel="1" x14ac:dyDescent="0.3">
      <c r="A86" s="3"/>
      <c r="B86" s="82" t="s">
        <v>350</v>
      </c>
      <c r="C86" s="83"/>
      <c r="D86" s="83"/>
      <c r="E86" s="84">
        <f>SUM(E87:E101)</f>
        <v>0</v>
      </c>
      <c r="F86" s="84">
        <f>SUMIF(D87:D101,"OK",F87:F101)</f>
        <v>0</v>
      </c>
      <c r="G86" s="85"/>
      <c r="H86" s="85"/>
      <c r="I86" s="86"/>
      <c r="J86" s="85"/>
      <c r="K86" s="28"/>
      <c r="L86" s="28"/>
      <c r="M86" s="28"/>
      <c r="N86" s="28"/>
      <c r="O86" s="28"/>
      <c r="P86" s="28"/>
      <c r="Q86" s="28"/>
      <c r="R86" s="28"/>
      <c r="S86" s="28"/>
      <c r="T86" s="28"/>
      <c r="U86" s="3"/>
      <c r="W86" s="3"/>
      <c r="X86" s="3"/>
      <c r="Y86" s="3"/>
      <c r="Z86" s="3"/>
    </row>
    <row r="87" spans="1:26" ht="14.4" hidden="1" outlineLevel="1" x14ac:dyDescent="0.3">
      <c r="A87" s="3"/>
      <c r="B87" s="9" t="s">
        <v>331</v>
      </c>
      <c r="C87" s="53"/>
      <c r="D87" s="53"/>
      <c r="E87" s="11">
        <v>0</v>
      </c>
      <c r="F87" s="11">
        <v>0</v>
      </c>
      <c r="G87" s="56"/>
      <c r="H87" s="56"/>
      <c r="I87" s="102"/>
      <c r="J87" s="56"/>
      <c r="K87" s="28"/>
      <c r="L87" s="28"/>
      <c r="M87" s="28"/>
      <c r="N87" s="28"/>
      <c r="O87" s="28"/>
      <c r="P87" s="28"/>
      <c r="Q87" s="28"/>
      <c r="R87" s="28"/>
      <c r="S87" s="28"/>
      <c r="T87" s="28"/>
      <c r="U87" s="3"/>
      <c r="W87" s="3"/>
      <c r="X87" s="3"/>
      <c r="Y87" s="3"/>
      <c r="Z87" s="3"/>
    </row>
    <row r="88" spans="1:26" ht="14.4" hidden="1" outlineLevel="1" x14ac:dyDescent="0.3">
      <c r="A88" s="3"/>
      <c r="B88" s="9" t="s">
        <v>331</v>
      </c>
      <c r="C88" s="53"/>
      <c r="D88" s="53"/>
      <c r="E88" s="11">
        <v>0</v>
      </c>
      <c r="F88" s="11">
        <v>0</v>
      </c>
      <c r="G88" s="56"/>
      <c r="H88" s="56"/>
      <c r="I88" s="102"/>
      <c r="J88" s="56"/>
      <c r="K88" s="28"/>
      <c r="L88" s="28"/>
      <c r="M88" s="28"/>
      <c r="N88" s="28"/>
      <c r="O88" s="28"/>
      <c r="P88" s="28"/>
      <c r="Q88" s="28"/>
      <c r="R88" s="28"/>
      <c r="S88" s="28"/>
      <c r="T88" s="28"/>
      <c r="U88" s="3"/>
      <c r="W88" s="3"/>
      <c r="X88" s="3"/>
      <c r="Y88" s="3"/>
      <c r="Z88" s="3"/>
    </row>
    <row r="89" spans="1:26" ht="14.4" hidden="1" outlineLevel="1" x14ac:dyDescent="0.3">
      <c r="A89" s="3"/>
      <c r="B89" s="9" t="s">
        <v>331</v>
      </c>
      <c r="C89" s="53"/>
      <c r="D89" s="53"/>
      <c r="E89" s="11">
        <v>0</v>
      </c>
      <c r="F89" s="11">
        <v>0</v>
      </c>
      <c r="G89" s="56"/>
      <c r="H89" s="56"/>
      <c r="I89" s="102"/>
      <c r="J89" s="56"/>
      <c r="K89" s="28"/>
      <c r="L89" s="28"/>
      <c r="M89" s="28"/>
      <c r="N89" s="28"/>
      <c r="O89" s="28"/>
      <c r="P89" s="28"/>
      <c r="Q89" s="28"/>
      <c r="R89" s="28"/>
      <c r="S89" s="28"/>
      <c r="T89" s="28"/>
      <c r="U89" s="3"/>
      <c r="W89" s="3"/>
      <c r="X89" s="3"/>
      <c r="Y89" s="3"/>
      <c r="Z89" s="3"/>
    </row>
    <row r="90" spans="1:26" ht="14.4" hidden="1" outlineLevel="1" x14ac:dyDescent="0.3">
      <c r="A90" s="3"/>
      <c r="B90" s="9" t="s">
        <v>331</v>
      </c>
      <c r="C90" s="53"/>
      <c r="D90" s="53"/>
      <c r="E90" s="11">
        <v>0</v>
      </c>
      <c r="F90" s="11">
        <v>0</v>
      </c>
      <c r="G90" s="56"/>
      <c r="H90" s="56"/>
      <c r="I90" s="102"/>
      <c r="J90" s="56"/>
      <c r="K90" s="28"/>
      <c r="L90" s="28"/>
      <c r="M90" s="28"/>
      <c r="N90" s="28"/>
      <c r="O90" s="28"/>
      <c r="P90" s="28"/>
      <c r="Q90" s="28"/>
      <c r="R90" s="28"/>
      <c r="S90" s="28"/>
      <c r="T90" s="28"/>
      <c r="U90" s="3"/>
      <c r="W90" s="3"/>
      <c r="X90" s="3"/>
      <c r="Y90" s="3"/>
      <c r="Z90" s="3"/>
    </row>
    <row r="91" spans="1:26" ht="14.4" hidden="1" outlineLevel="1" x14ac:dyDescent="0.3">
      <c r="A91" s="3"/>
      <c r="B91" s="9" t="s">
        <v>331</v>
      </c>
      <c r="C91" s="53"/>
      <c r="D91" s="53"/>
      <c r="E91" s="11">
        <v>0</v>
      </c>
      <c r="F91" s="11">
        <v>0</v>
      </c>
      <c r="G91" s="56"/>
      <c r="H91" s="56"/>
      <c r="I91" s="102"/>
      <c r="J91" s="56"/>
      <c r="K91" s="28"/>
      <c r="L91" s="28"/>
      <c r="M91" s="28"/>
      <c r="N91" s="28"/>
      <c r="O91" s="28"/>
      <c r="P91" s="28"/>
      <c r="Q91" s="28"/>
      <c r="R91" s="28"/>
      <c r="S91" s="28"/>
      <c r="T91" s="28"/>
      <c r="U91" s="3"/>
      <c r="W91" s="3"/>
      <c r="X91" s="3"/>
      <c r="Y91" s="3"/>
      <c r="Z91" s="3"/>
    </row>
    <row r="92" spans="1:26" ht="14.4" hidden="1" outlineLevel="1" x14ac:dyDescent="0.3">
      <c r="A92" s="3"/>
      <c r="B92" s="9" t="s">
        <v>331</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4.4" hidden="1" outlineLevel="1" x14ac:dyDescent="0.3">
      <c r="A93" s="3"/>
      <c r="B93" s="9" t="s">
        <v>331</v>
      </c>
      <c r="C93" s="53"/>
      <c r="D93" s="53"/>
      <c r="E93" s="11">
        <v>0</v>
      </c>
      <c r="F93" s="11">
        <v>0</v>
      </c>
      <c r="G93" s="56"/>
      <c r="H93" s="56"/>
      <c r="I93" s="102"/>
      <c r="J93" s="56"/>
      <c r="K93" s="28"/>
      <c r="L93" s="28"/>
      <c r="M93" s="28"/>
      <c r="N93" s="28"/>
      <c r="O93" s="28"/>
      <c r="P93" s="28"/>
      <c r="Q93" s="28"/>
      <c r="R93" s="28"/>
      <c r="S93" s="28"/>
      <c r="T93" s="28"/>
      <c r="U93" s="3"/>
      <c r="W93" s="3"/>
      <c r="X93" s="3"/>
      <c r="Y93" s="3"/>
      <c r="Z93" s="3"/>
    </row>
    <row r="94" spans="1:26" ht="14.4" hidden="1" outlineLevel="1" x14ac:dyDescent="0.3">
      <c r="A94" s="3"/>
      <c r="B94" s="9" t="s">
        <v>331</v>
      </c>
      <c r="C94" s="53"/>
      <c r="D94" s="53"/>
      <c r="E94" s="11">
        <v>0</v>
      </c>
      <c r="F94" s="11">
        <v>0</v>
      </c>
      <c r="G94" s="56"/>
      <c r="H94" s="56"/>
      <c r="I94" s="102"/>
      <c r="J94" s="56"/>
      <c r="K94" s="28"/>
      <c r="L94" s="28"/>
      <c r="M94" s="28"/>
      <c r="N94" s="28"/>
      <c r="O94" s="28"/>
      <c r="P94" s="28"/>
      <c r="Q94" s="28"/>
      <c r="R94" s="28"/>
      <c r="S94" s="28"/>
      <c r="T94" s="28"/>
      <c r="U94" s="3"/>
      <c r="W94" s="3"/>
      <c r="X94" s="3"/>
      <c r="Y94" s="3"/>
      <c r="Z94" s="3"/>
    </row>
    <row r="95" spans="1:26" ht="14.4" hidden="1" outlineLevel="1" x14ac:dyDescent="0.3">
      <c r="A95" s="3"/>
      <c r="B95" s="9" t="s">
        <v>331</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hidden="1" outlineLevel="1" x14ac:dyDescent="0.3">
      <c r="A96" s="3"/>
      <c r="B96" s="9" t="s">
        <v>331</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hidden="1" outlineLevel="1" x14ac:dyDescent="0.3">
      <c r="A97" s="3"/>
      <c r="B97" s="9" t="s">
        <v>331</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hidden="1" outlineLevel="1" x14ac:dyDescent="0.3">
      <c r="A98" s="3"/>
      <c r="B98" s="9" t="s">
        <v>331</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hidden="1" outlineLevel="1" x14ac:dyDescent="0.3">
      <c r="A99" s="3"/>
      <c r="B99" s="9" t="s">
        <v>335</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hidden="1" outlineLevel="1" x14ac:dyDescent="0.3">
      <c r="A100" s="3"/>
      <c r="B100" s="9" t="s">
        <v>342</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812</v>
      </c>
      <c r="C101" s="53"/>
      <c r="D101" s="53"/>
      <c r="E101" s="11">
        <v>0</v>
      </c>
      <c r="F101" s="11">
        <v>0</v>
      </c>
      <c r="G101" s="56"/>
      <c r="H101" s="56"/>
      <c r="I101" s="102"/>
      <c r="J101" s="56"/>
      <c r="K101" s="28"/>
      <c r="L101" s="28"/>
      <c r="M101" s="28"/>
      <c r="N101" s="28"/>
      <c r="O101" s="28"/>
      <c r="P101" s="28"/>
      <c r="Q101" s="28"/>
      <c r="R101" s="28"/>
      <c r="S101" s="28"/>
      <c r="T101" s="28"/>
      <c r="U101" s="3"/>
      <c r="W101" s="3"/>
      <c r="X101" s="3"/>
      <c r="Y101" s="3"/>
      <c r="Z101" s="3"/>
    </row>
    <row r="102" spans="1:26" hidden="1" outlineLevel="1" x14ac:dyDescent="0.3">
      <c r="A102" s="3"/>
      <c r="B102" s="82" t="s">
        <v>353</v>
      </c>
      <c r="C102" s="83"/>
      <c r="D102" s="83"/>
      <c r="E102" s="84">
        <f>SUM(E103:E106)</f>
        <v>0</v>
      </c>
      <c r="F102" s="84">
        <f>SUMIF(D103:D106,"OK",F103:F106)</f>
        <v>0</v>
      </c>
      <c r="G102" s="85"/>
      <c r="H102" s="85"/>
      <c r="I102" s="86"/>
      <c r="J102" s="85"/>
      <c r="K102" s="28"/>
      <c r="L102" s="28"/>
      <c r="M102" s="28"/>
      <c r="N102" s="28"/>
      <c r="O102" s="28"/>
      <c r="P102" s="28"/>
      <c r="Q102" s="28"/>
      <c r="R102" s="28"/>
      <c r="S102" s="28"/>
      <c r="T102" s="28"/>
      <c r="U102" s="3"/>
      <c r="W102" s="3"/>
      <c r="X102" s="3"/>
      <c r="Y102" s="3"/>
      <c r="Z102" s="3"/>
    </row>
    <row r="103" spans="1:26" ht="14.4" hidden="1" outlineLevel="1" x14ac:dyDescent="0.3">
      <c r="A103" s="3"/>
      <c r="B103" s="9" t="s">
        <v>51</v>
      </c>
      <c r="C103" s="53"/>
      <c r="D103" s="53"/>
      <c r="E103" s="11">
        <v>0</v>
      </c>
      <c r="F103" s="11">
        <v>0</v>
      </c>
      <c r="G103" s="56"/>
      <c r="H103" s="56"/>
      <c r="I103" s="102"/>
      <c r="J103" s="56"/>
      <c r="K103" s="28"/>
      <c r="L103" s="28"/>
      <c r="M103" s="28"/>
      <c r="N103" s="28"/>
      <c r="O103" s="28"/>
      <c r="P103" s="28"/>
      <c r="Q103" s="28"/>
      <c r="R103" s="28"/>
      <c r="S103" s="28"/>
      <c r="T103" s="28"/>
      <c r="U103" s="3"/>
      <c r="W103" s="3"/>
      <c r="X103" s="3"/>
      <c r="Y103" s="3"/>
      <c r="Z103" s="3"/>
    </row>
    <row r="104" spans="1:26" ht="14.4" hidden="1" outlineLevel="1" x14ac:dyDescent="0.3">
      <c r="A104" s="3"/>
      <c r="B104" s="9" t="s">
        <v>51</v>
      </c>
      <c r="C104" s="53"/>
      <c r="D104" s="53"/>
      <c r="E104" s="11">
        <v>0</v>
      </c>
      <c r="F104" s="11">
        <v>0</v>
      </c>
      <c r="G104" s="56"/>
      <c r="H104" s="56"/>
      <c r="I104" s="102"/>
      <c r="J104" s="56"/>
      <c r="K104" s="28"/>
      <c r="L104" s="28"/>
      <c r="M104" s="28"/>
      <c r="N104" s="28"/>
      <c r="O104" s="28"/>
      <c r="P104" s="28"/>
      <c r="Q104" s="28"/>
      <c r="R104" s="28"/>
      <c r="S104" s="28"/>
      <c r="T104" s="28"/>
      <c r="U104" s="3"/>
      <c r="W104" s="3"/>
      <c r="X104" s="3"/>
      <c r="Y104" s="3"/>
      <c r="Z104" s="3"/>
    </row>
    <row r="105" spans="1:26" ht="14.4" hidden="1" outlineLevel="1" x14ac:dyDescent="0.3">
      <c r="A105" s="3"/>
      <c r="B105" s="9" t="s">
        <v>51</v>
      </c>
      <c r="C105" s="53"/>
      <c r="D105" s="53"/>
      <c r="E105" s="11">
        <v>0</v>
      </c>
      <c r="F105" s="11">
        <v>0</v>
      </c>
      <c r="G105" s="56"/>
      <c r="H105" s="56"/>
      <c r="I105" s="102"/>
      <c r="J105" s="56"/>
      <c r="K105" s="28"/>
      <c r="L105" s="28"/>
      <c r="M105" s="28"/>
      <c r="N105" s="28"/>
      <c r="O105" s="28"/>
      <c r="P105" s="28"/>
      <c r="Q105" s="28"/>
      <c r="R105" s="28"/>
      <c r="S105" s="28"/>
      <c r="T105" s="28"/>
      <c r="U105" s="3"/>
      <c r="W105" s="3"/>
      <c r="X105" s="3"/>
      <c r="Y105" s="3"/>
      <c r="Z105" s="3"/>
    </row>
    <row r="106" spans="1:26" ht="14.4" hidden="1" outlineLevel="1" x14ac:dyDescent="0.3">
      <c r="A106" s="3"/>
      <c r="B106" s="9" t="s">
        <v>51</v>
      </c>
      <c r="C106" s="53"/>
      <c r="D106" s="53"/>
      <c r="E106" s="11">
        <v>0</v>
      </c>
      <c r="F106" s="11">
        <v>0</v>
      </c>
      <c r="G106" s="80"/>
      <c r="H106" s="56"/>
      <c r="I106" s="102"/>
      <c r="J106" s="56"/>
      <c r="K106" s="28"/>
      <c r="L106" s="28"/>
      <c r="M106" s="28"/>
      <c r="N106" s="28"/>
      <c r="O106" s="28"/>
      <c r="P106" s="28"/>
      <c r="Q106" s="28"/>
      <c r="R106" s="28"/>
      <c r="S106" s="28"/>
      <c r="T106" s="28"/>
      <c r="U106" s="3"/>
      <c r="W106" s="3"/>
      <c r="X106" s="3"/>
      <c r="Y106" s="3"/>
      <c r="Z106" s="3"/>
    </row>
    <row r="107" spans="1:26" hidden="1" outlineLevel="1" x14ac:dyDescent="0.3">
      <c r="A107" s="3"/>
      <c r="B107" s="82" t="s">
        <v>357</v>
      </c>
      <c r="C107" s="83"/>
      <c r="D107" s="83"/>
      <c r="E107" s="84">
        <f>SUM(E108:E110)</f>
        <v>0</v>
      </c>
      <c r="F107" s="84">
        <f>SUMIF(D108:D110,"OK",F108:F110)</f>
        <v>0</v>
      </c>
      <c r="G107" s="85"/>
      <c r="H107" s="85"/>
      <c r="I107" s="86"/>
      <c r="J107" s="85"/>
      <c r="K107" s="28"/>
      <c r="L107" s="28"/>
      <c r="M107" s="28"/>
      <c r="N107" s="28"/>
      <c r="O107" s="28"/>
      <c r="P107" s="28"/>
      <c r="Q107" s="28"/>
      <c r="R107" s="28"/>
      <c r="S107" s="28"/>
      <c r="T107" s="28"/>
      <c r="U107" s="3"/>
      <c r="W107" s="3"/>
      <c r="X107" s="3"/>
      <c r="Y107" s="3"/>
      <c r="Z107" s="3"/>
    </row>
    <row r="108" spans="1:26" ht="14.4" hidden="1" outlineLevel="1" x14ac:dyDescent="0.3">
      <c r="A108" s="3"/>
      <c r="B108" s="9" t="s">
        <v>51</v>
      </c>
      <c r="C108" s="53"/>
      <c r="D108" s="53"/>
      <c r="E108" s="11">
        <v>0</v>
      </c>
      <c r="F108" s="11">
        <v>0</v>
      </c>
      <c r="G108" s="56"/>
      <c r="H108" s="56"/>
      <c r="I108" s="80"/>
      <c r="J108" s="56"/>
      <c r="K108" s="28"/>
      <c r="L108" s="28"/>
      <c r="M108" s="28"/>
      <c r="N108" s="28"/>
      <c r="O108" s="28"/>
      <c r="P108" s="28"/>
      <c r="Q108" s="28"/>
      <c r="R108" s="28"/>
      <c r="S108" s="28"/>
      <c r="T108" s="28"/>
      <c r="U108" s="3"/>
      <c r="W108" s="3"/>
      <c r="X108" s="3"/>
      <c r="Y108" s="3"/>
      <c r="Z108" s="3"/>
    </row>
    <row r="109" spans="1:26" ht="14.4" hidden="1" outlineLevel="1" x14ac:dyDescent="0.3">
      <c r="A109" s="3"/>
      <c r="B109" s="9" t="s">
        <v>51</v>
      </c>
      <c r="C109" s="53"/>
      <c r="D109" s="53"/>
      <c r="E109" s="11">
        <v>0</v>
      </c>
      <c r="F109" s="11">
        <v>0</v>
      </c>
      <c r="G109" s="56"/>
      <c r="H109" s="56"/>
      <c r="I109" s="80"/>
      <c r="J109" s="56"/>
      <c r="K109" s="28"/>
      <c r="L109" s="28"/>
      <c r="M109" s="28"/>
      <c r="N109" s="28"/>
      <c r="O109" s="28"/>
      <c r="P109" s="28"/>
      <c r="Q109" s="28"/>
      <c r="R109" s="28"/>
      <c r="S109" s="28"/>
      <c r="T109" s="28"/>
      <c r="U109" s="3"/>
      <c r="W109" s="3"/>
      <c r="X109" s="3"/>
      <c r="Y109" s="3"/>
      <c r="Z109" s="3"/>
    </row>
    <row r="110" spans="1:26" ht="14.4" hidden="1" outlineLevel="1" x14ac:dyDescent="0.3">
      <c r="A110" s="3"/>
      <c r="B110" s="9" t="s">
        <v>51</v>
      </c>
      <c r="C110" s="53"/>
      <c r="D110" s="53"/>
      <c r="E110" s="11">
        <v>0</v>
      </c>
      <c r="F110" s="11">
        <v>0</v>
      </c>
      <c r="G110" s="56"/>
      <c r="H110" s="56"/>
      <c r="I110" s="80"/>
      <c r="J110" s="56"/>
      <c r="K110" s="28"/>
      <c r="L110" s="28"/>
      <c r="M110" s="28"/>
      <c r="N110" s="28"/>
      <c r="O110" s="28"/>
      <c r="P110" s="28"/>
      <c r="Q110" s="28"/>
      <c r="R110" s="28"/>
      <c r="S110" s="28"/>
      <c r="T110" s="28"/>
      <c r="U110" s="3"/>
      <c r="W110" s="3"/>
      <c r="X110" s="3"/>
      <c r="Y110" s="3"/>
      <c r="Z110" s="3"/>
    </row>
    <row r="111" spans="1:26" ht="20.399999999999999" collapsed="1" x14ac:dyDescent="0.3">
      <c r="A111" s="3"/>
      <c r="B111" s="75" t="s">
        <v>358</v>
      </c>
      <c r="C111" s="76" t="s">
        <v>44</v>
      </c>
      <c r="D111" s="76" t="s">
        <v>44</v>
      </c>
      <c r="E111" s="77">
        <f t="shared" ref="E111:F111" si="1">SUM(E112,E118)</f>
        <v>0</v>
      </c>
      <c r="F111" s="77">
        <f t="shared" si="1"/>
        <v>1905.2799999999997</v>
      </c>
      <c r="G111" s="78"/>
      <c r="H111" s="78"/>
      <c r="I111" s="79"/>
      <c r="J111" s="78"/>
      <c r="K111" s="28"/>
      <c r="L111" s="28"/>
      <c r="M111" s="28"/>
      <c r="N111" s="28"/>
      <c r="O111" s="28"/>
      <c r="P111" s="28"/>
      <c r="Q111" s="28"/>
      <c r="R111" s="28"/>
      <c r="S111" s="28"/>
      <c r="T111" s="28"/>
      <c r="U111" s="3"/>
      <c r="W111" s="3"/>
      <c r="X111" s="3"/>
      <c r="Y111" s="3"/>
      <c r="Z111" s="3"/>
    </row>
    <row r="112" spans="1:26" hidden="1" outlineLevel="1" x14ac:dyDescent="0.3">
      <c r="A112" s="3"/>
      <c r="B112" s="82" t="s">
        <v>359</v>
      </c>
      <c r="C112" s="83"/>
      <c r="D112" s="83"/>
      <c r="E112" s="84">
        <f>SUM(E113:E117)</f>
        <v>0</v>
      </c>
      <c r="F112" s="84">
        <f>SUMIF(D113:D117,"OK",F113:F117)</f>
        <v>0</v>
      </c>
      <c r="G112" s="85"/>
      <c r="H112" s="85"/>
      <c r="I112" s="86"/>
      <c r="J112" s="85"/>
      <c r="K112" s="28"/>
      <c r="L112" s="28"/>
      <c r="M112" s="28"/>
      <c r="N112" s="28"/>
      <c r="O112" s="28"/>
      <c r="P112" s="28"/>
      <c r="Q112" s="28"/>
      <c r="R112" s="28"/>
      <c r="S112" s="28"/>
      <c r="T112" s="28"/>
      <c r="U112" s="3"/>
      <c r="W112" s="3"/>
      <c r="X112" s="3"/>
      <c r="Y112" s="3"/>
      <c r="Z112" s="3"/>
    </row>
    <row r="113" spans="1:26" ht="14.4" hidden="1" outlineLevel="1" x14ac:dyDescent="0.3">
      <c r="A113" s="3"/>
      <c r="B113" s="9" t="s">
        <v>51</v>
      </c>
      <c r="C113" s="53"/>
      <c r="D113" s="53"/>
      <c r="E113" s="11">
        <v>0</v>
      </c>
      <c r="F113" s="11">
        <v>0</v>
      </c>
      <c r="G113" s="80"/>
      <c r="H113" s="56"/>
      <c r="I113" s="102"/>
      <c r="J113" s="56"/>
      <c r="K113" s="28"/>
      <c r="L113" s="28"/>
      <c r="M113" s="28"/>
      <c r="N113" s="28"/>
      <c r="O113" s="28"/>
      <c r="P113" s="28"/>
      <c r="Q113" s="28"/>
      <c r="R113" s="28"/>
      <c r="S113" s="28"/>
      <c r="T113" s="28"/>
      <c r="U113" s="3"/>
      <c r="W113" s="3"/>
      <c r="X113" s="3"/>
      <c r="Y113" s="3"/>
      <c r="Z113" s="3"/>
    </row>
    <row r="114" spans="1:26" ht="14.4" hidden="1" outlineLevel="1" x14ac:dyDescent="0.3">
      <c r="A114" s="3"/>
      <c r="B114" s="9" t="s">
        <v>51</v>
      </c>
      <c r="C114" s="53"/>
      <c r="D114" s="53"/>
      <c r="E114" s="11">
        <v>0</v>
      </c>
      <c r="F114" s="11">
        <v>0</v>
      </c>
      <c r="G114" s="56"/>
      <c r="H114" s="56"/>
      <c r="I114" s="102"/>
      <c r="J114" s="56"/>
      <c r="K114" s="28"/>
      <c r="L114" s="28"/>
      <c r="M114" s="28"/>
      <c r="N114" s="28"/>
      <c r="O114" s="28"/>
      <c r="P114" s="28"/>
      <c r="Q114" s="28"/>
      <c r="R114" s="28"/>
      <c r="S114" s="28"/>
      <c r="T114" s="28"/>
      <c r="U114" s="3"/>
      <c r="W114" s="3"/>
      <c r="X114" s="3"/>
      <c r="Y114" s="3"/>
      <c r="Z114" s="3"/>
    </row>
    <row r="115" spans="1:26" ht="14.4" hidden="1" outlineLevel="1" x14ac:dyDescent="0.3">
      <c r="A115" s="3"/>
      <c r="B115" s="9" t="s">
        <v>51</v>
      </c>
      <c r="C115" s="53"/>
      <c r="D115" s="53"/>
      <c r="E115" s="11">
        <v>0</v>
      </c>
      <c r="F115" s="11">
        <v>0</v>
      </c>
      <c r="G115" s="56"/>
      <c r="H115" s="56"/>
      <c r="I115" s="102"/>
      <c r="J115" s="56"/>
      <c r="K115" s="28"/>
      <c r="L115" s="28"/>
      <c r="M115" s="28"/>
      <c r="N115" s="28"/>
      <c r="O115" s="28"/>
      <c r="P115" s="28"/>
      <c r="Q115" s="28"/>
      <c r="R115" s="28"/>
      <c r="S115" s="28"/>
      <c r="T115" s="28"/>
      <c r="U115" s="3"/>
      <c r="W115" s="3"/>
      <c r="X115" s="3"/>
      <c r="Y115" s="3"/>
      <c r="Z115" s="3"/>
    </row>
    <row r="116" spans="1:26" ht="14.4" hidden="1" outlineLevel="1" x14ac:dyDescent="0.3">
      <c r="A116" s="3"/>
      <c r="B116" s="9" t="s">
        <v>51</v>
      </c>
      <c r="C116" s="53"/>
      <c r="D116" s="53"/>
      <c r="E116" s="11">
        <v>0</v>
      </c>
      <c r="F116" s="11">
        <v>0</v>
      </c>
      <c r="G116" s="56"/>
      <c r="H116" s="56"/>
      <c r="I116" s="102"/>
      <c r="J116" s="56"/>
      <c r="K116" s="28"/>
      <c r="L116" s="28"/>
      <c r="M116" s="28"/>
      <c r="N116" s="28"/>
      <c r="O116" s="28"/>
      <c r="P116" s="28"/>
      <c r="Q116" s="28"/>
      <c r="R116" s="28"/>
      <c r="S116" s="28"/>
      <c r="T116" s="28"/>
      <c r="U116" s="3"/>
      <c r="W116" s="3"/>
      <c r="X116" s="3"/>
      <c r="Y116" s="3"/>
      <c r="Z116" s="3"/>
    </row>
    <row r="117" spans="1:26" ht="14.4" hidden="1" outlineLevel="1" x14ac:dyDescent="0.3">
      <c r="A117" s="3"/>
      <c r="B117" s="9" t="s">
        <v>51</v>
      </c>
      <c r="C117" s="53"/>
      <c r="D117" s="53"/>
      <c r="E117" s="11">
        <v>0</v>
      </c>
      <c r="F117" s="11">
        <v>0</v>
      </c>
      <c r="G117" s="56"/>
      <c r="H117" s="56"/>
      <c r="I117" s="80"/>
      <c r="J117" s="56"/>
      <c r="K117" s="28"/>
      <c r="L117" s="28"/>
      <c r="M117" s="28"/>
      <c r="N117" s="28"/>
      <c r="O117" s="28"/>
      <c r="P117" s="28"/>
      <c r="Q117" s="28"/>
      <c r="R117" s="28"/>
      <c r="S117" s="28"/>
      <c r="T117" s="28"/>
      <c r="U117" s="3"/>
      <c r="W117" s="3"/>
      <c r="X117" s="3"/>
      <c r="Y117" s="3"/>
      <c r="Z117" s="3"/>
    </row>
    <row r="118" spans="1:26" hidden="1" outlineLevel="1" x14ac:dyDescent="0.3">
      <c r="A118" s="3"/>
      <c r="B118" s="82" t="s">
        <v>633</v>
      </c>
      <c r="C118" s="83"/>
      <c r="D118" s="83"/>
      <c r="E118" s="84">
        <f>SUM(E119:E133)</f>
        <v>0</v>
      </c>
      <c r="F118" s="84">
        <f>SUMIF(D119:D133,"OK",F119:F133)</f>
        <v>1905.2799999999997</v>
      </c>
      <c r="G118" s="85"/>
      <c r="H118" s="85"/>
      <c r="I118" s="86"/>
      <c r="J118" s="85"/>
      <c r="K118" s="28"/>
      <c r="L118" s="28"/>
      <c r="M118" s="28"/>
      <c r="N118" s="28"/>
      <c r="O118" s="28"/>
      <c r="P118" s="28"/>
      <c r="Q118" s="28"/>
      <c r="R118" s="28"/>
      <c r="S118" s="28"/>
      <c r="T118" s="28"/>
      <c r="U118" s="3"/>
      <c r="W118" s="3"/>
      <c r="X118" s="3"/>
      <c r="Y118" s="3"/>
      <c r="Z118" s="3"/>
    </row>
    <row r="119" spans="1:26" ht="14.4" hidden="1" outlineLevel="1" x14ac:dyDescent="0.3">
      <c r="A119" s="3"/>
      <c r="B119" s="9" t="s">
        <v>1098</v>
      </c>
      <c r="C119" s="53">
        <v>7</v>
      </c>
      <c r="D119" s="53" t="s">
        <v>95</v>
      </c>
      <c r="E119" s="11">
        <v>0</v>
      </c>
      <c r="F119" s="11">
        <v>45</v>
      </c>
      <c r="G119" s="56"/>
      <c r="H119" s="56" t="s">
        <v>37</v>
      </c>
      <c r="I119" s="102" t="s">
        <v>1099</v>
      </c>
      <c r="J119" s="56"/>
      <c r="K119" s="28"/>
      <c r="L119" s="28"/>
      <c r="M119" s="28"/>
      <c r="N119" s="28"/>
      <c r="O119" s="28"/>
      <c r="P119" s="28"/>
      <c r="Q119" s="28"/>
      <c r="R119" s="28"/>
      <c r="S119" s="28"/>
      <c r="T119" s="28"/>
      <c r="U119" s="3"/>
      <c r="W119" s="3"/>
      <c r="X119" s="3"/>
      <c r="Y119" s="3"/>
      <c r="Z119" s="3"/>
    </row>
    <row r="120" spans="1:26" ht="14.4" hidden="1" outlineLevel="1" x14ac:dyDescent="0.3">
      <c r="A120" s="3"/>
      <c r="B120" s="9" t="s">
        <v>1098</v>
      </c>
      <c r="C120" s="53">
        <v>7</v>
      </c>
      <c r="D120" s="53" t="s">
        <v>95</v>
      </c>
      <c r="E120" s="11">
        <v>0</v>
      </c>
      <c r="F120" s="11">
        <v>245.41</v>
      </c>
      <c r="G120" s="80"/>
      <c r="H120" s="56" t="s">
        <v>37</v>
      </c>
      <c r="I120" s="102" t="s">
        <v>1100</v>
      </c>
      <c r="J120" s="56"/>
      <c r="K120" s="28"/>
      <c r="L120" s="28"/>
      <c r="M120" s="28"/>
      <c r="N120" s="28"/>
      <c r="O120" s="28"/>
      <c r="P120" s="28"/>
      <c r="Q120" s="28"/>
      <c r="R120" s="28"/>
      <c r="S120" s="28"/>
      <c r="T120" s="28"/>
      <c r="U120" s="3"/>
      <c r="W120" s="3"/>
      <c r="X120" s="3"/>
      <c r="Y120" s="3"/>
      <c r="Z120" s="3"/>
    </row>
    <row r="121" spans="1:26" ht="14.4" hidden="1" outlineLevel="1" x14ac:dyDescent="0.3">
      <c r="A121" s="3"/>
      <c r="B121" s="9" t="s">
        <v>1101</v>
      </c>
      <c r="C121" s="53">
        <v>23</v>
      </c>
      <c r="D121" s="53" t="s">
        <v>95</v>
      </c>
      <c r="E121" s="11">
        <v>0</v>
      </c>
      <c r="F121" s="11">
        <v>780</v>
      </c>
      <c r="G121" s="56" t="s">
        <v>650</v>
      </c>
      <c r="H121" s="56" t="s">
        <v>37</v>
      </c>
      <c r="I121" s="102" t="s">
        <v>1102</v>
      </c>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1101</v>
      </c>
      <c r="C122" s="53"/>
      <c r="D122" s="53"/>
      <c r="E122" s="11">
        <v>0</v>
      </c>
      <c r="F122" s="11">
        <v>0</v>
      </c>
      <c r="G122" s="56"/>
      <c r="H122" s="56"/>
      <c r="I122" s="117"/>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1101</v>
      </c>
      <c r="C123" s="53"/>
      <c r="D123" s="53"/>
      <c r="E123" s="11">
        <v>0</v>
      </c>
      <c r="F123" s="11">
        <v>0</v>
      </c>
      <c r="G123" s="56"/>
      <c r="H123" s="56"/>
      <c r="I123" s="102"/>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1101</v>
      </c>
      <c r="C124" s="53"/>
      <c r="D124" s="53"/>
      <c r="E124" s="11">
        <v>0</v>
      </c>
      <c r="F124" s="11">
        <v>0</v>
      </c>
      <c r="G124" s="56"/>
      <c r="H124" s="56"/>
      <c r="I124" s="102"/>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1101</v>
      </c>
      <c r="C125" s="53"/>
      <c r="D125" s="53"/>
      <c r="E125" s="11">
        <v>0</v>
      </c>
      <c r="F125" s="11">
        <v>0</v>
      </c>
      <c r="G125" s="56"/>
      <c r="H125" s="56"/>
      <c r="I125" s="80"/>
      <c r="J125" s="56"/>
      <c r="K125" s="28"/>
      <c r="L125" s="28"/>
      <c r="M125" s="28"/>
      <c r="N125" s="28"/>
      <c r="O125" s="28"/>
      <c r="P125" s="28"/>
      <c r="Q125" s="28"/>
      <c r="R125" s="28"/>
      <c r="S125" s="28"/>
      <c r="T125" s="28"/>
      <c r="U125" s="3"/>
      <c r="W125" s="3"/>
      <c r="X125" s="3"/>
      <c r="Y125" s="3"/>
      <c r="Z125" s="3"/>
    </row>
    <row r="126" spans="1:26" ht="14.4" hidden="1" outlineLevel="1" x14ac:dyDescent="0.3">
      <c r="A126" s="3"/>
      <c r="B126" s="9" t="s">
        <v>1101</v>
      </c>
      <c r="C126" s="53"/>
      <c r="D126" s="53"/>
      <c r="E126" s="11">
        <v>0</v>
      </c>
      <c r="F126" s="11">
        <v>0</v>
      </c>
      <c r="G126" s="56"/>
      <c r="H126" s="56"/>
      <c r="I126" s="80"/>
      <c r="J126" s="56"/>
      <c r="K126" s="28"/>
      <c r="L126" s="28"/>
      <c r="M126" s="28"/>
      <c r="N126" s="28"/>
      <c r="O126" s="28"/>
      <c r="P126" s="28"/>
      <c r="Q126" s="28"/>
      <c r="R126" s="28"/>
      <c r="S126" s="28"/>
      <c r="T126" s="28"/>
      <c r="U126" s="3"/>
      <c r="W126" s="3"/>
      <c r="X126" s="3"/>
      <c r="Y126" s="3"/>
      <c r="Z126" s="3"/>
    </row>
    <row r="127" spans="1:26" ht="14.4" hidden="1" outlineLevel="1" x14ac:dyDescent="0.3">
      <c r="A127" s="3"/>
      <c r="B127" s="9" t="s">
        <v>1103</v>
      </c>
      <c r="C127" s="53">
        <v>29</v>
      </c>
      <c r="D127" s="53" t="s">
        <v>95</v>
      </c>
      <c r="E127" s="11">
        <v>0</v>
      </c>
      <c r="F127" s="11">
        <v>189</v>
      </c>
      <c r="G127" s="56"/>
      <c r="H127" s="56" t="s">
        <v>37</v>
      </c>
      <c r="I127" s="102" t="s">
        <v>1104</v>
      </c>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1105</v>
      </c>
      <c r="C128" s="53">
        <v>23</v>
      </c>
      <c r="D128" s="53" t="s">
        <v>95</v>
      </c>
      <c r="E128" s="11">
        <v>0</v>
      </c>
      <c r="F128" s="11">
        <v>130</v>
      </c>
      <c r="G128" s="56" t="s">
        <v>650</v>
      </c>
      <c r="H128" s="56" t="s">
        <v>37</v>
      </c>
      <c r="I128" s="102" t="s">
        <v>1106</v>
      </c>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1105</v>
      </c>
      <c r="C129" s="53">
        <v>26</v>
      </c>
      <c r="D129" s="53" t="s">
        <v>95</v>
      </c>
      <c r="E129" s="11">
        <v>0</v>
      </c>
      <c r="F129" s="11">
        <v>15.87</v>
      </c>
      <c r="G129" s="56" t="s">
        <v>363</v>
      </c>
      <c r="H129" s="56" t="s">
        <v>37</v>
      </c>
      <c r="I129" s="102" t="s">
        <v>1107</v>
      </c>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1105</v>
      </c>
      <c r="C130" s="53">
        <v>26</v>
      </c>
      <c r="D130" s="53" t="s">
        <v>95</v>
      </c>
      <c r="E130" s="11">
        <v>0</v>
      </c>
      <c r="F130" s="11">
        <v>500</v>
      </c>
      <c r="G130" s="56" t="s">
        <v>1108</v>
      </c>
      <c r="H130" s="56" t="s">
        <v>37</v>
      </c>
      <c r="I130" s="102" t="s">
        <v>1109</v>
      </c>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1105</v>
      </c>
      <c r="C131" s="53"/>
      <c r="D131" s="53"/>
      <c r="E131" s="11">
        <v>0</v>
      </c>
      <c r="F131" s="11">
        <v>0</v>
      </c>
      <c r="G131" s="56"/>
      <c r="H131" s="56"/>
      <c r="I131" s="80"/>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1105</v>
      </c>
      <c r="C132" s="53"/>
      <c r="D132" s="53"/>
      <c r="E132" s="11">
        <v>0</v>
      </c>
      <c r="F132" s="11">
        <v>0</v>
      </c>
      <c r="G132" s="56"/>
      <c r="H132" s="56"/>
      <c r="I132" s="80"/>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1105</v>
      </c>
      <c r="C133" s="53"/>
      <c r="D133" s="53"/>
      <c r="E133" s="11">
        <v>0</v>
      </c>
      <c r="F133" s="11">
        <v>0</v>
      </c>
      <c r="G133" s="56"/>
      <c r="H133" s="56"/>
      <c r="I133" s="80"/>
      <c r="J133" s="56"/>
      <c r="K133" s="28"/>
      <c r="L133" s="28"/>
      <c r="M133" s="28"/>
      <c r="N133" s="28"/>
      <c r="O133" s="28"/>
      <c r="P133" s="28"/>
      <c r="Q133" s="28"/>
      <c r="R133" s="28"/>
      <c r="S133" s="28"/>
      <c r="T133" s="28"/>
      <c r="U133" s="3"/>
      <c r="W133" s="3"/>
      <c r="X133" s="3"/>
      <c r="Y133" s="3"/>
      <c r="Z133" s="3"/>
    </row>
    <row r="134" spans="1:26" ht="20.399999999999999" collapsed="1" x14ac:dyDescent="0.3">
      <c r="A134" s="3"/>
      <c r="B134" s="75" t="s">
        <v>88</v>
      </c>
      <c r="C134" s="76" t="s">
        <v>44</v>
      </c>
      <c r="D134" s="76" t="s">
        <v>44</v>
      </c>
      <c r="E134" s="77">
        <f>SUM(E135:E143)</f>
        <v>0</v>
      </c>
      <c r="F134" s="77">
        <f>SUMIF(D135:D143,"OK",F135:F143)</f>
        <v>513.21</v>
      </c>
      <c r="G134" s="78"/>
      <c r="H134" s="78"/>
      <c r="I134" s="79"/>
      <c r="J134" s="78"/>
      <c r="K134" s="28"/>
      <c r="L134" s="28"/>
      <c r="M134" s="28"/>
      <c r="N134" s="28"/>
      <c r="O134" s="28"/>
      <c r="P134" s="28"/>
      <c r="Q134" s="28"/>
      <c r="R134" s="28"/>
      <c r="S134" s="28"/>
      <c r="T134" s="28"/>
      <c r="U134" s="3"/>
      <c r="W134" s="3"/>
      <c r="X134" s="3"/>
      <c r="Y134" s="3"/>
      <c r="Z134" s="3"/>
    </row>
    <row r="135" spans="1:26" ht="14.4" hidden="1" outlineLevel="1" x14ac:dyDescent="0.3">
      <c r="A135" s="3"/>
      <c r="B135" s="9" t="s">
        <v>840</v>
      </c>
      <c r="C135" s="71">
        <v>16</v>
      </c>
      <c r="D135" s="53" t="s">
        <v>95</v>
      </c>
      <c r="E135" s="11">
        <v>0</v>
      </c>
      <c r="F135" s="11">
        <v>513.21</v>
      </c>
      <c r="G135" s="56" t="s">
        <v>1110</v>
      </c>
      <c r="H135" s="56" t="s">
        <v>37</v>
      </c>
      <c r="I135" s="102" t="s">
        <v>1111</v>
      </c>
      <c r="J135" s="80"/>
      <c r="K135" s="28"/>
      <c r="L135" s="28"/>
      <c r="M135" s="28"/>
      <c r="N135" s="28"/>
      <c r="O135" s="28"/>
      <c r="P135" s="28"/>
      <c r="Q135" s="28"/>
      <c r="R135" s="28"/>
      <c r="S135" s="28"/>
      <c r="T135" s="28"/>
      <c r="U135" s="3"/>
      <c r="W135" s="3"/>
      <c r="X135" s="3"/>
      <c r="Y135" s="3"/>
      <c r="Z135" s="3"/>
    </row>
    <row r="136" spans="1:26" ht="14.4" hidden="1" outlineLevel="1" x14ac:dyDescent="0.3">
      <c r="A136" s="3"/>
      <c r="B136" s="9" t="s">
        <v>355</v>
      </c>
      <c r="C136" s="53"/>
      <c r="D136" s="53"/>
      <c r="E136" s="11">
        <v>0</v>
      </c>
      <c r="F136" s="11">
        <v>0</v>
      </c>
      <c r="G136" s="80"/>
      <c r="H136" s="56"/>
      <c r="I136" s="102"/>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356</v>
      </c>
      <c r="C137" s="53"/>
      <c r="D137" s="53"/>
      <c r="E137" s="11">
        <v>0</v>
      </c>
      <c r="F137" s="11">
        <v>0</v>
      </c>
      <c r="G137" s="56"/>
      <c r="H137" s="56"/>
      <c r="I137" s="80"/>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370</v>
      </c>
      <c r="C138" s="53"/>
      <c r="D138" s="53"/>
      <c r="E138" s="11">
        <v>0</v>
      </c>
      <c r="F138" s="11">
        <v>0</v>
      </c>
      <c r="G138" s="56"/>
      <c r="H138" s="56"/>
      <c r="I138" s="80"/>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328</v>
      </c>
      <c r="C139" s="53"/>
      <c r="D139" s="53"/>
      <c r="E139" s="11">
        <v>0</v>
      </c>
      <c r="F139" s="11">
        <v>0</v>
      </c>
      <c r="G139" s="56"/>
      <c r="H139" s="56"/>
      <c r="I139" s="80"/>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329</v>
      </c>
      <c r="C140" s="53"/>
      <c r="D140" s="53"/>
      <c r="E140" s="11">
        <v>0</v>
      </c>
      <c r="F140" s="11">
        <v>0</v>
      </c>
      <c r="G140" s="56"/>
      <c r="H140" s="56"/>
      <c r="I140" s="80"/>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371</v>
      </c>
      <c r="C141" s="53"/>
      <c r="D141" s="53"/>
      <c r="E141" s="11">
        <v>0</v>
      </c>
      <c r="F141" s="11">
        <v>0</v>
      </c>
      <c r="G141" s="56"/>
      <c r="H141" s="56"/>
      <c r="I141" s="80"/>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372</v>
      </c>
      <c r="C142" s="53"/>
      <c r="D142" s="53"/>
      <c r="E142" s="11">
        <v>0</v>
      </c>
      <c r="F142" s="11">
        <v>0</v>
      </c>
      <c r="G142" s="56"/>
      <c r="H142" s="56"/>
      <c r="I142" s="80"/>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373</v>
      </c>
      <c r="C143" s="53"/>
      <c r="D143" s="53"/>
      <c r="E143" s="11">
        <v>0</v>
      </c>
      <c r="F143" s="11">
        <v>0</v>
      </c>
      <c r="G143" s="56"/>
      <c r="H143" s="56"/>
      <c r="I143" s="80"/>
      <c r="J143" s="56"/>
      <c r="K143" s="28"/>
      <c r="L143" s="28"/>
      <c r="M143" s="28"/>
      <c r="N143" s="28"/>
      <c r="O143" s="28"/>
      <c r="P143" s="28"/>
      <c r="Q143" s="28"/>
      <c r="R143" s="28"/>
      <c r="S143" s="28"/>
      <c r="T143" s="28"/>
      <c r="U143" s="3"/>
      <c r="W143" s="3"/>
      <c r="X143" s="3"/>
      <c r="Y143" s="3"/>
      <c r="Z143" s="3"/>
    </row>
    <row r="144" spans="1:26" ht="20.399999999999999" collapsed="1" x14ac:dyDescent="0.3">
      <c r="A144" s="3"/>
      <c r="B144" s="75" t="s">
        <v>89</v>
      </c>
      <c r="C144" s="76" t="s">
        <v>44</v>
      </c>
      <c r="D144" s="76" t="s">
        <v>44</v>
      </c>
      <c r="E144" s="77">
        <f t="shared" ref="E144:F144" si="2">SUM(E145,E151,E157,E163)</f>
        <v>0</v>
      </c>
      <c r="F144" s="77">
        <f t="shared" si="2"/>
        <v>13929.08</v>
      </c>
      <c r="G144" s="78"/>
      <c r="H144" s="78"/>
      <c r="I144" s="79"/>
      <c r="J144" s="78"/>
      <c r="K144" s="28"/>
      <c r="L144" s="28"/>
      <c r="M144" s="28"/>
      <c r="N144" s="28"/>
      <c r="O144" s="28"/>
      <c r="P144" s="28"/>
      <c r="Q144" s="28"/>
      <c r="R144" s="28"/>
      <c r="S144" s="28"/>
      <c r="T144" s="28"/>
      <c r="U144" s="3"/>
      <c r="W144" s="3"/>
      <c r="X144" s="3"/>
      <c r="Y144" s="3"/>
      <c r="Z144" s="3"/>
    </row>
    <row r="145" spans="1:26" hidden="1" outlineLevel="1" x14ac:dyDescent="0.3">
      <c r="A145" s="3"/>
      <c r="B145" s="82" t="s">
        <v>381</v>
      </c>
      <c r="C145" s="83"/>
      <c r="D145" s="83"/>
      <c r="E145" s="84">
        <f>SUM(E146:E150)</f>
        <v>0</v>
      </c>
      <c r="F145" s="84">
        <f>SUMIF(D146:D150,"OK",F146:F150)</f>
        <v>13929.08</v>
      </c>
      <c r="G145" s="85"/>
      <c r="H145" s="85"/>
      <c r="I145" s="86"/>
      <c r="J145" s="85"/>
      <c r="K145" s="28"/>
      <c r="L145" s="28"/>
      <c r="M145" s="28"/>
      <c r="N145" s="28"/>
      <c r="O145" s="28"/>
      <c r="P145" s="28"/>
      <c r="Q145" s="28"/>
      <c r="R145" s="28"/>
      <c r="S145" s="28"/>
      <c r="T145" s="28"/>
      <c r="U145" s="3"/>
      <c r="W145" s="3"/>
      <c r="X145" s="3"/>
      <c r="Y145" s="3"/>
      <c r="Z145" s="3"/>
    </row>
    <row r="146" spans="1:26" ht="14.4" hidden="1" outlineLevel="1" x14ac:dyDescent="0.3">
      <c r="A146" s="3"/>
      <c r="B146" s="9" t="s">
        <v>845</v>
      </c>
      <c r="C146" s="53">
        <v>16</v>
      </c>
      <c r="D146" s="53" t="s">
        <v>95</v>
      </c>
      <c r="E146" s="11">
        <v>0</v>
      </c>
      <c r="F146" s="11">
        <v>537</v>
      </c>
      <c r="G146" s="56" t="s">
        <v>1112</v>
      </c>
      <c r="H146" s="56" t="s">
        <v>37</v>
      </c>
      <c r="I146" s="102" t="s">
        <v>1113</v>
      </c>
      <c r="J146" s="56"/>
      <c r="K146" s="28"/>
      <c r="L146" s="28"/>
      <c r="M146" s="28"/>
      <c r="N146" s="28"/>
      <c r="O146" s="28"/>
      <c r="P146" s="28"/>
      <c r="Q146" s="28"/>
      <c r="R146" s="28"/>
      <c r="S146" s="28"/>
      <c r="T146" s="28"/>
      <c r="U146" s="3"/>
      <c r="W146" s="3"/>
      <c r="X146" s="3"/>
      <c r="Y146" s="3"/>
      <c r="Z146" s="3"/>
    </row>
    <row r="147" spans="1:26" ht="14.4" hidden="1" outlineLevel="1" x14ac:dyDescent="0.3">
      <c r="A147" s="3"/>
      <c r="B147" s="9" t="s">
        <v>851</v>
      </c>
      <c r="C147" s="53">
        <v>16</v>
      </c>
      <c r="D147" s="53" t="s">
        <v>95</v>
      </c>
      <c r="E147" s="11">
        <v>0</v>
      </c>
      <c r="F147" s="11">
        <v>665.08</v>
      </c>
      <c r="G147" s="56" t="s">
        <v>1114</v>
      </c>
      <c r="H147" s="56" t="s">
        <v>37</v>
      </c>
      <c r="I147" s="102" t="s">
        <v>1115</v>
      </c>
      <c r="J147" s="56"/>
      <c r="K147" s="28"/>
      <c r="L147" s="28"/>
      <c r="M147" s="28"/>
      <c r="N147" s="28"/>
      <c r="O147" s="28"/>
      <c r="P147" s="28"/>
      <c r="Q147" s="28"/>
      <c r="R147" s="28"/>
      <c r="S147" s="28"/>
      <c r="T147" s="28"/>
      <c r="U147" s="3"/>
      <c r="W147" s="3"/>
      <c r="X147" s="3"/>
      <c r="Y147" s="3"/>
      <c r="Z147" s="3"/>
    </row>
    <row r="148" spans="1:26" ht="14.4" hidden="1" outlineLevel="1" x14ac:dyDescent="0.3">
      <c r="A148" s="3"/>
      <c r="B148" s="9" t="s">
        <v>857</v>
      </c>
      <c r="C148" s="53">
        <v>16</v>
      </c>
      <c r="D148" s="53" t="s">
        <v>95</v>
      </c>
      <c r="E148" s="11">
        <v>0</v>
      </c>
      <c r="F148" s="11">
        <v>2727</v>
      </c>
      <c r="G148" s="56" t="s">
        <v>1116</v>
      </c>
      <c r="H148" s="56" t="s">
        <v>37</v>
      </c>
      <c r="I148" s="102" t="s">
        <v>1117</v>
      </c>
      <c r="J148" s="56"/>
      <c r="K148" s="28"/>
      <c r="L148" s="28"/>
      <c r="M148" s="28"/>
      <c r="N148" s="28"/>
      <c r="O148" s="28"/>
      <c r="P148" s="28"/>
      <c r="Q148" s="28"/>
      <c r="R148" s="28"/>
      <c r="S148" s="28"/>
      <c r="T148" s="28"/>
      <c r="U148" s="3"/>
      <c r="W148" s="3"/>
      <c r="X148" s="3"/>
      <c r="Y148" s="3"/>
      <c r="Z148" s="3"/>
    </row>
    <row r="149" spans="1:26" ht="14.4" hidden="1" outlineLevel="1" x14ac:dyDescent="0.3">
      <c r="A149" s="3"/>
      <c r="B149" s="9" t="s">
        <v>1118</v>
      </c>
      <c r="C149" s="53">
        <v>7</v>
      </c>
      <c r="D149" s="53" t="s">
        <v>95</v>
      </c>
      <c r="E149" s="11">
        <v>0</v>
      </c>
      <c r="F149" s="11">
        <v>5000</v>
      </c>
      <c r="G149" s="56" t="s">
        <v>1119</v>
      </c>
      <c r="H149" s="56" t="s">
        <v>37</v>
      </c>
      <c r="I149" s="102" t="s">
        <v>1120</v>
      </c>
      <c r="J149" s="56"/>
      <c r="K149" s="28"/>
      <c r="L149" s="28"/>
      <c r="M149" s="28"/>
      <c r="N149" s="28"/>
      <c r="O149" s="28"/>
      <c r="P149" s="28"/>
      <c r="Q149" s="28"/>
      <c r="R149" s="28"/>
      <c r="S149" s="28"/>
      <c r="T149" s="28"/>
      <c r="U149" s="3"/>
      <c r="W149" s="3"/>
      <c r="X149" s="3"/>
      <c r="Y149" s="3"/>
      <c r="Z149" s="3"/>
    </row>
    <row r="150" spans="1:26" ht="14.4" hidden="1" outlineLevel="1" x14ac:dyDescent="0.3">
      <c r="A150" s="3"/>
      <c r="B150" s="9" t="s">
        <v>1118</v>
      </c>
      <c r="C150" s="53">
        <v>16</v>
      </c>
      <c r="D150" s="53" t="s">
        <v>95</v>
      </c>
      <c r="E150" s="11">
        <v>0</v>
      </c>
      <c r="F150" s="11">
        <v>5000</v>
      </c>
      <c r="G150" s="56" t="s">
        <v>1121</v>
      </c>
      <c r="H150" s="56" t="s">
        <v>37</v>
      </c>
      <c r="I150" s="102" t="s">
        <v>1120</v>
      </c>
      <c r="J150" s="56"/>
      <c r="K150" s="28"/>
      <c r="L150" s="28"/>
      <c r="M150" s="28"/>
      <c r="N150" s="28"/>
      <c r="O150" s="28"/>
      <c r="P150" s="28"/>
      <c r="Q150" s="28"/>
      <c r="R150" s="28"/>
      <c r="S150" s="28"/>
      <c r="T150" s="28"/>
      <c r="U150" s="3"/>
      <c r="W150" s="3"/>
      <c r="X150" s="3"/>
      <c r="Y150" s="3"/>
      <c r="Z150" s="3"/>
    </row>
    <row r="151" spans="1:26" hidden="1" outlineLevel="1" x14ac:dyDescent="0.3">
      <c r="A151" s="3"/>
      <c r="B151" s="82" t="s">
        <v>644</v>
      </c>
      <c r="C151" s="83"/>
      <c r="D151" s="83"/>
      <c r="E151" s="84">
        <f>SUM(E152:E156)</f>
        <v>0</v>
      </c>
      <c r="F151" s="84">
        <f>SUMIF(D152:D156,"OK",F152:F156)</f>
        <v>0</v>
      </c>
      <c r="G151" s="85"/>
      <c r="H151" s="85"/>
      <c r="I151" s="86"/>
      <c r="J151" s="85"/>
      <c r="K151" s="28"/>
      <c r="L151" s="28"/>
      <c r="M151" s="28"/>
      <c r="N151" s="28"/>
      <c r="O151" s="28"/>
      <c r="P151" s="28"/>
      <c r="Q151" s="28"/>
      <c r="R151" s="28"/>
      <c r="S151" s="28"/>
      <c r="T151" s="28"/>
      <c r="U151" s="3"/>
      <c r="W151" s="3"/>
      <c r="X151" s="3"/>
      <c r="Y151" s="3"/>
      <c r="Z151" s="3"/>
    </row>
    <row r="152" spans="1:26" ht="14.4" hidden="1" outlineLevel="1" x14ac:dyDescent="0.3">
      <c r="A152" s="3"/>
      <c r="B152" s="9" t="s">
        <v>354</v>
      </c>
      <c r="C152" s="53"/>
      <c r="D152" s="53"/>
      <c r="E152" s="11">
        <v>0</v>
      </c>
      <c r="F152" s="11">
        <v>0</v>
      </c>
      <c r="G152" s="56"/>
      <c r="H152" s="56"/>
      <c r="I152" s="80"/>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355</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356</v>
      </c>
      <c r="C154" s="53"/>
      <c r="D154" s="53"/>
      <c r="E154" s="11">
        <v>0</v>
      </c>
      <c r="F154" s="11">
        <v>0</v>
      </c>
      <c r="G154" s="56"/>
      <c r="H154" s="56"/>
      <c r="I154" s="80"/>
      <c r="J154" s="56"/>
      <c r="K154" s="28"/>
      <c r="L154" s="28"/>
      <c r="M154" s="28"/>
      <c r="N154" s="28"/>
      <c r="O154" s="28"/>
      <c r="P154" s="28"/>
      <c r="Q154" s="28"/>
      <c r="R154" s="28"/>
      <c r="S154" s="28"/>
      <c r="T154" s="28"/>
      <c r="U154" s="3"/>
      <c r="W154" s="3"/>
      <c r="X154" s="3"/>
      <c r="Y154" s="3"/>
      <c r="Z154" s="3"/>
    </row>
    <row r="155" spans="1:26" ht="14.4" hidden="1" outlineLevel="1" x14ac:dyDescent="0.3">
      <c r="A155" s="3"/>
      <c r="B155" s="9" t="s">
        <v>370</v>
      </c>
      <c r="C155" s="53"/>
      <c r="D155" s="53"/>
      <c r="E155" s="11">
        <v>0</v>
      </c>
      <c r="F155" s="11">
        <v>0</v>
      </c>
      <c r="G155" s="56"/>
      <c r="H155" s="56"/>
      <c r="I155" s="80"/>
      <c r="J155" s="56"/>
      <c r="K155" s="28"/>
      <c r="L155" s="28"/>
      <c r="M155" s="28"/>
      <c r="N155" s="28"/>
      <c r="O155" s="28"/>
      <c r="P155" s="28"/>
      <c r="Q155" s="28"/>
      <c r="R155" s="28"/>
      <c r="S155" s="28"/>
      <c r="T155" s="28"/>
      <c r="U155" s="3"/>
      <c r="W155" s="3"/>
      <c r="X155" s="3"/>
      <c r="Y155" s="3"/>
      <c r="Z155" s="3"/>
    </row>
    <row r="156" spans="1:26" ht="14.4" hidden="1" outlineLevel="1" x14ac:dyDescent="0.3">
      <c r="A156" s="3"/>
      <c r="B156" s="9" t="s">
        <v>328</v>
      </c>
      <c r="C156" s="53"/>
      <c r="D156" s="53"/>
      <c r="E156" s="11">
        <v>0</v>
      </c>
      <c r="F156" s="11">
        <v>0</v>
      </c>
      <c r="G156" s="56"/>
      <c r="H156" s="56"/>
      <c r="I156" s="80"/>
      <c r="J156" s="56"/>
      <c r="K156" s="28"/>
      <c r="L156" s="28"/>
      <c r="M156" s="28"/>
      <c r="N156" s="28"/>
      <c r="O156" s="28"/>
      <c r="P156" s="28"/>
      <c r="Q156" s="28"/>
      <c r="R156" s="28"/>
      <c r="S156" s="28"/>
      <c r="T156" s="28"/>
      <c r="U156" s="3"/>
      <c r="W156" s="3"/>
      <c r="X156" s="3"/>
      <c r="Y156" s="3"/>
      <c r="Z156" s="3"/>
    </row>
    <row r="157" spans="1:26" hidden="1" outlineLevel="1" x14ac:dyDescent="0.3">
      <c r="A157" s="3"/>
      <c r="B157" s="82" t="s">
        <v>382</v>
      </c>
      <c r="C157" s="83"/>
      <c r="D157" s="83"/>
      <c r="E157" s="84">
        <f>SUM(E158:E162)</f>
        <v>0</v>
      </c>
      <c r="F157" s="84">
        <f>SUMIF(D158:D162,"OK",F158:F162)</f>
        <v>0</v>
      </c>
      <c r="G157" s="85"/>
      <c r="H157" s="85"/>
      <c r="I157" s="86"/>
      <c r="J157" s="85"/>
      <c r="K157" s="28"/>
      <c r="L157" s="28"/>
      <c r="M157" s="28"/>
      <c r="N157" s="28"/>
      <c r="O157" s="28"/>
      <c r="P157" s="28"/>
      <c r="Q157" s="28"/>
      <c r="R157" s="28"/>
      <c r="S157" s="28"/>
      <c r="T157" s="28"/>
      <c r="U157" s="3"/>
      <c r="W157" s="3"/>
      <c r="X157" s="3"/>
      <c r="Y157" s="3"/>
      <c r="Z157" s="3"/>
    </row>
    <row r="158" spans="1:26" ht="14.4" hidden="1" outlineLevel="1" x14ac:dyDescent="0.3">
      <c r="A158" s="3"/>
      <c r="B158" s="9" t="s">
        <v>354</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355</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356</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ht="14.4" hidden="1" outlineLevel="1" x14ac:dyDescent="0.3">
      <c r="A161" s="3"/>
      <c r="B161" s="9" t="s">
        <v>370</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ht="14.4" hidden="1" outlineLevel="1" x14ac:dyDescent="0.3">
      <c r="A162" s="3"/>
      <c r="B162" s="9" t="s">
        <v>328</v>
      </c>
      <c r="C162" s="53"/>
      <c r="D162" s="53"/>
      <c r="E162" s="11">
        <v>0</v>
      </c>
      <c r="F162" s="11">
        <v>0</v>
      </c>
      <c r="G162" s="56"/>
      <c r="H162" s="56"/>
      <c r="I162" s="80"/>
      <c r="J162" s="56"/>
      <c r="K162" s="28"/>
      <c r="L162" s="28"/>
      <c r="M162" s="28"/>
      <c r="N162" s="28"/>
      <c r="O162" s="28"/>
      <c r="P162" s="28"/>
      <c r="Q162" s="28"/>
      <c r="R162" s="28"/>
      <c r="S162" s="28"/>
      <c r="T162" s="28"/>
      <c r="U162" s="3"/>
      <c r="W162" s="3"/>
      <c r="X162" s="3"/>
      <c r="Y162" s="3"/>
      <c r="Z162" s="3"/>
    </row>
    <row r="163" spans="1:26" hidden="1" outlineLevel="1" x14ac:dyDescent="0.3">
      <c r="A163" s="3"/>
      <c r="B163" s="82" t="s">
        <v>383</v>
      </c>
      <c r="C163" s="83"/>
      <c r="D163" s="83"/>
      <c r="E163" s="84">
        <f>SUM(E164:E168)</f>
        <v>0</v>
      </c>
      <c r="F163" s="84">
        <f>SUMIF(D164:D168,"OK",F164:F168)</f>
        <v>0</v>
      </c>
      <c r="G163" s="85"/>
      <c r="H163" s="85"/>
      <c r="I163" s="86"/>
      <c r="J163" s="85"/>
      <c r="K163" s="28"/>
      <c r="L163" s="28"/>
      <c r="M163" s="28"/>
      <c r="N163" s="28"/>
      <c r="O163" s="28"/>
      <c r="P163" s="28"/>
      <c r="Q163" s="28"/>
      <c r="R163" s="28"/>
      <c r="S163" s="28"/>
      <c r="T163" s="28"/>
      <c r="U163" s="3"/>
      <c r="W163" s="3"/>
      <c r="X163" s="3"/>
      <c r="Y163" s="3"/>
      <c r="Z163" s="3"/>
    </row>
    <row r="164" spans="1:26" ht="14.4" hidden="1" outlineLevel="1" x14ac:dyDescent="0.3">
      <c r="A164" s="3"/>
      <c r="B164" s="9" t="s">
        <v>354</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4.4" hidden="1" outlineLevel="1" x14ac:dyDescent="0.3">
      <c r="A165" s="3"/>
      <c r="B165" s="9" t="s">
        <v>355</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4.4" hidden="1" outlineLevel="1" x14ac:dyDescent="0.3">
      <c r="A166" s="3"/>
      <c r="B166" s="9" t="s">
        <v>356</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370</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t="14.4" hidden="1" outlineLevel="1" x14ac:dyDescent="0.3">
      <c r="A168" s="3"/>
      <c r="B168" s="9" t="s">
        <v>328</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t="20.399999999999999" collapsed="1" x14ac:dyDescent="0.3">
      <c r="A169" s="3"/>
      <c r="B169" s="75" t="s">
        <v>384</v>
      </c>
      <c r="C169" s="76" t="s">
        <v>44</v>
      </c>
      <c r="D169" s="76" t="s">
        <v>44</v>
      </c>
      <c r="E169" s="77">
        <f>SUM(E170:E174)</f>
        <v>0</v>
      </c>
      <c r="F169" s="77">
        <f>SUMIF(D170:D174,"OK",F170:F174)</f>
        <v>0</v>
      </c>
      <c r="G169" s="78"/>
      <c r="H169" s="78"/>
      <c r="I169" s="79"/>
      <c r="J169" s="78"/>
      <c r="K169" s="28"/>
      <c r="L169" s="28"/>
      <c r="M169" s="28"/>
      <c r="N169" s="28"/>
      <c r="O169" s="28"/>
      <c r="P169" s="28"/>
      <c r="Q169" s="28"/>
      <c r="R169" s="28"/>
      <c r="S169" s="28"/>
      <c r="T169" s="28"/>
      <c r="U169" s="3"/>
      <c r="W169" s="3"/>
      <c r="X169" s="3"/>
      <c r="Y169" s="3"/>
      <c r="Z169" s="3"/>
    </row>
    <row r="170" spans="1:26" ht="14.4" hidden="1" outlineLevel="1" x14ac:dyDescent="0.3">
      <c r="A170" s="3"/>
      <c r="B170" s="9" t="s">
        <v>1015</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4.4" hidden="1" outlineLevel="1" x14ac:dyDescent="0.3">
      <c r="A171" s="3"/>
      <c r="B171" s="9" t="s">
        <v>355</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356</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370</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14.4" hidden="1" outlineLevel="1" x14ac:dyDescent="0.3">
      <c r="A174" s="3"/>
      <c r="B174" s="9" t="s">
        <v>328</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20.399999999999999" collapsed="1" x14ac:dyDescent="0.3">
      <c r="A175" s="3"/>
      <c r="B175" s="75" t="s">
        <v>385</v>
      </c>
      <c r="C175" s="76" t="s">
        <v>44</v>
      </c>
      <c r="D175" s="76" t="s">
        <v>44</v>
      </c>
      <c r="E175" s="77">
        <f>SUM(E176:E203)</f>
        <v>0</v>
      </c>
      <c r="F175" s="77">
        <f>SUMIF(D176:D203,"OK",F176:F203)</f>
        <v>3300.12</v>
      </c>
      <c r="G175" s="78"/>
      <c r="H175" s="78"/>
      <c r="I175" s="79"/>
      <c r="J175" s="78"/>
      <c r="K175" s="28"/>
      <c r="L175" s="28"/>
      <c r="M175" s="28"/>
      <c r="N175" s="28"/>
      <c r="O175" s="28"/>
      <c r="P175" s="28"/>
      <c r="Q175" s="28"/>
      <c r="R175" s="28"/>
      <c r="S175" s="28"/>
      <c r="T175" s="28"/>
      <c r="U175" s="3"/>
      <c r="W175" s="3"/>
      <c r="X175" s="3"/>
      <c r="Y175" s="3"/>
      <c r="Z175" s="3"/>
    </row>
    <row r="176" spans="1:26" ht="14.4" hidden="1" outlineLevel="1" x14ac:dyDescent="0.3">
      <c r="A176" s="3"/>
      <c r="B176" s="9" t="s">
        <v>865</v>
      </c>
      <c r="C176" s="71">
        <v>1</v>
      </c>
      <c r="D176" s="53" t="s">
        <v>95</v>
      </c>
      <c r="E176" s="11">
        <v>0</v>
      </c>
      <c r="F176" s="11">
        <v>60</v>
      </c>
      <c r="G176" s="80" t="s">
        <v>1122</v>
      </c>
      <c r="H176" s="56" t="s">
        <v>37</v>
      </c>
      <c r="I176" s="102" t="s">
        <v>1123</v>
      </c>
      <c r="J176" s="56"/>
      <c r="K176" s="28"/>
      <c r="L176" s="28"/>
      <c r="M176" s="28"/>
      <c r="N176" s="28"/>
      <c r="O176" s="28"/>
      <c r="P176" s="28"/>
      <c r="Q176" s="28"/>
      <c r="R176" s="28"/>
      <c r="S176" s="28"/>
      <c r="T176" s="28"/>
      <c r="U176" s="3"/>
      <c r="W176" s="3"/>
      <c r="X176" s="3"/>
      <c r="Y176" s="3"/>
      <c r="Z176" s="3"/>
    </row>
    <row r="177" spans="1:26" ht="14.4" hidden="1" outlineLevel="1" x14ac:dyDescent="0.3">
      <c r="A177" s="3"/>
      <c r="B177" s="9" t="s">
        <v>1124</v>
      </c>
      <c r="C177" s="53">
        <v>2</v>
      </c>
      <c r="D177" s="53" t="s">
        <v>95</v>
      </c>
      <c r="E177" s="11">
        <v>0</v>
      </c>
      <c r="F177" s="11">
        <v>215</v>
      </c>
      <c r="G177" s="80"/>
      <c r="H177" s="56" t="s">
        <v>37</v>
      </c>
      <c r="I177" s="102" t="s">
        <v>1125</v>
      </c>
      <c r="J177" s="80"/>
      <c r="K177" s="28"/>
      <c r="L177" s="28"/>
      <c r="M177" s="28"/>
      <c r="N177" s="28"/>
      <c r="O177" s="28"/>
      <c r="P177" s="28"/>
      <c r="Q177" s="28"/>
      <c r="R177" s="28"/>
      <c r="S177" s="28"/>
      <c r="T177" s="28"/>
      <c r="U177" s="3"/>
      <c r="W177" s="3"/>
      <c r="X177" s="3"/>
      <c r="Y177" s="3"/>
      <c r="Z177" s="3"/>
    </row>
    <row r="178" spans="1:26" ht="14.4" hidden="1" outlineLevel="1" x14ac:dyDescent="0.3">
      <c r="A178" s="3"/>
      <c r="B178" s="9" t="s">
        <v>1126</v>
      </c>
      <c r="C178" s="53">
        <v>7</v>
      </c>
      <c r="D178" s="53" t="s">
        <v>95</v>
      </c>
      <c r="E178" s="11">
        <v>0</v>
      </c>
      <c r="F178" s="11">
        <v>200</v>
      </c>
      <c r="G178" s="56"/>
      <c r="H178" s="56" t="s">
        <v>37</v>
      </c>
      <c r="I178" s="102" t="s">
        <v>1127</v>
      </c>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865</v>
      </c>
      <c r="C179" s="53">
        <v>8</v>
      </c>
      <c r="D179" s="53" t="s">
        <v>95</v>
      </c>
      <c r="E179" s="11">
        <v>0</v>
      </c>
      <c r="F179" s="11">
        <v>40</v>
      </c>
      <c r="G179" s="80"/>
      <c r="H179" s="56" t="s">
        <v>37</v>
      </c>
      <c r="I179" s="102" t="s">
        <v>1128</v>
      </c>
      <c r="J179" s="56"/>
      <c r="K179" s="28"/>
      <c r="L179" s="28"/>
      <c r="M179" s="28"/>
      <c r="N179" s="28"/>
      <c r="O179" s="28"/>
      <c r="P179" s="28"/>
      <c r="Q179" s="28"/>
      <c r="R179" s="28"/>
      <c r="S179" s="28"/>
      <c r="T179" s="28"/>
      <c r="U179" s="3"/>
      <c r="W179" s="3"/>
      <c r="X179" s="3"/>
      <c r="Y179" s="3"/>
      <c r="Z179" s="3"/>
    </row>
    <row r="180" spans="1:26" ht="14.4" hidden="1" outlineLevel="1" x14ac:dyDescent="0.3">
      <c r="A180" s="3"/>
      <c r="B180" s="9" t="s">
        <v>1129</v>
      </c>
      <c r="C180" s="53">
        <v>23</v>
      </c>
      <c r="D180" s="53" t="s">
        <v>95</v>
      </c>
      <c r="E180" s="11">
        <v>0</v>
      </c>
      <c r="F180" s="11">
        <v>1148.24</v>
      </c>
      <c r="G180" s="56" t="s">
        <v>1130</v>
      </c>
      <c r="H180" s="56" t="s">
        <v>37</v>
      </c>
      <c r="I180" s="102" t="s">
        <v>1131</v>
      </c>
      <c r="J180" s="56"/>
      <c r="K180" s="28"/>
      <c r="L180" s="28"/>
      <c r="M180" s="28"/>
      <c r="N180" s="28"/>
      <c r="O180" s="28"/>
      <c r="P180" s="28"/>
      <c r="Q180" s="28"/>
      <c r="R180" s="28"/>
      <c r="S180" s="28"/>
      <c r="T180" s="28"/>
      <c r="U180" s="3"/>
      <c r="W180" s="3"/>
      <c r="X180" s="3"/>
      <c r="Y180" s="3"/>
      <c r="Z180" s="3"/>
    </row>
    <row r="181" spans="1:26" ht="14.4" hidden="1" outlineLevel="1" x14ac:dyDescent="0.3">
      <c r="A181" s="3"/>
      <c r="B181" s="9" t="s">
        <v>1129</v>
      </c>
      <c r="C181" s="53">
        <v>23</v>
      </c>
      <c r="D181" s="53" t="s">
        <v>95</v>
      </c>
      <c r="E181" s="11">
        <v>0</v>
      </c>
      <c r="F181" s="11">
        <v>41.39</v>
      </c>
      <c r="G181" s="56" t="s">
        <v>1132</v>
      </c>
      <c r="H181" s="56" t="s">
        <v>37</v>
      </c>
      <c r="I181" s="102" t="s">
        <v>1133</v>
      </c>
      <c r="J181" s="56"/>
      <c r="K181" s="28"/>
      <c r="L181" s="28"/>
      <c r="M181" s="28"/>
      <c r="N181" s="28"/>
      <c r="O181" s="28"/>
      <c r="P181" s="28"/>
      <c r="Q181" s="28"/>
      <c r="R181" s="28"/>
      <c r="S181" s="28"/>
      <c r="T181" s="28"/>
      <c r="U181" s="3"/>
      <c r="W181" s="3"/>
      <c r="X181" s="3"/>
      <c r="Y181" s="3"/>
      <c r="Z181" s="3"/>
    </row>
    <row r="182" spans="1:26" ht="14.4" hidden="1" outlineLevel="1" x14ac:dyDescent="0.3">
      <c r="A182" s="3"/>
      <c r="B182" s="9" t="s">
        <v>1129</v>
      </c>
      <c r="C182" s="53">
        <v>24</v>
      </c>
      <c r="D182" s="53" t="s">
        <v>95</v>
      </c>
      <c r="E182" s="11">
        <v>0</v>
      </c>
      <c r="F182" s="11">
        <v>40</v>
      </c>
      <c r="G182" s="56" t="s">
        <v>1134</v>
      </c>
      <c r="H182" s="56" t="s">
        <v>37</v>
      </c>
      <c r="I182" s="102" t="s">
        <v>1135</v>
      </c>
      <c r="J182" s="56"/>
      <c r="K182" s="28"/>
      <c r="L182" s="28"/>
      <c r="M182" s="28"/>
      <c r="N182" s="28"/>
      <c r="O182" s="28"/>
      <c r="P182" s="28"/>
      <c r="Q182" s="28"/>
      <c r="R182" s="28"/>
      <c r="S182" s="28"/>
      <c r="T182" s="28"/>
      <c r="U182" s="3"/>
      <c r="W182" s="3"/>
      <c r="X182" s="3"/>
      <c r="Y182" s="3"/>
      <c r="Z182" s="3"/>
    </row>
    <row r="183" spans="1:26" ht="14.4" hidden="1" outlineLevel="1" x14ac:dyDescent="0.3">
      <c r="A183" s="3"/>
      <c r="B183" s="9" t="s">
        <v>1129</v>
      </c>
      <c r="C183" s="53">
        <v>25</v>
      </c>
      <c r="D183" s="53" t="s">
        <v>95</v>
      </c>
      <c r="E183" s="11">
        <v>0</v>
      </c>
      <c r="F183" s="11">
        <v>600</v>
      </c>
      <c r="G183" s="56" t="s">
        <v>1136</v>
      </c>
      <c r="H183" s="56" t="s">
        <v>37</v>
      </c>
      <c r="I183" s="102" t="s">
        <v>1135</v>
      </c>
      <c r="J183" s="56"/>
      <c r="K183" s="28"/>
      <c r="L183" s="28"/>
      <c r="M183" s="28"/>
      <c r="N183" s="28"/>
      <c r="O183" s="28"/>
      <c r="P183" s="28"/>
      <c r="Q183" s="28"/>
      <c r="R183" s="28"/>
      <c r="S183" s="28"/>
      <c r="T183" s="28"/>
      <c r="U183" s="3"/>
      <c r="W183" s="3"/>
      <c r="X183" s="3"/>
      <c r="Y183" s="3"/>
      <c r="Z183" s="3"/>
    </row>
    <row r="184" spans="1:26" ht="14.4" hidden="1" outlineLevel="1" x14ac:dyDescent="0.3">
      <c r="A184" s="3"/>
      <c r="B184" s="9" t="s">
        <v>1129</v>
      </c>
      <c r="C184" s="53">
        <v>25</v>
      </c>
      <c r="D184" s="53" t="s">
        <v>95</v>
      </c>
      <c r="E184" s="11">
        <v>0</v>
      </c>
      <c r="F184" s="11">
        <v>60</v>
      </c>
      <c r="G184" s="56" t="s">
        <v>1137</v>
      </c>
      <c r="H184" s="56" t="s">
        <v>37</v>
      </c>
      <c r="I184" s="102" t="s">
        <v>1135</v>
      </c>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1129</v>
      </c>
      <c r="C185" s="53">
        <v>28</v>
      </c>
      <c r="D185" s="53" t="s">
        <v>95</v>
      </c>
      <c r="E185" s="11">
        <v>0</v>
      </c>
      <c r="F185" s="11">
        <v>213.49</v>
      </c>
      <c r="G185" s="56" t="s">
        <v>1138</v>
      </c>
      <c r="H185" s="56" t="s">
        <v>37</v>
      </c>
      <c r="I185" s="102" t="s">
        <v>1139</v>
      </c>
      <c r="J185" s="56"/>
      <c r="K185" s="28"/>
      <c r="L185" s="28"/>
      <c r="M185" s="28"/>
      <c r="N185" s="28"/>
      <c r="O185" s="28"/>
      <c r="P185" s="28"/>
      <c r="Q185" s="28"/>
      <c r="R185" s="28"/>
      <c r="S185" s="28"/>
      <c r="T185" s="28"/>
      <c r="U185" s="3"/>
      <c r="W185" s="3"/>
      <c r="X185" s="3"/>
      <c r="Y185" s="3"/>
      <c r="Z185" s="3"/>
    </row>
    <row r="186" spans="1:26" ht="14.4" hidden="1" outlineLevel="1" x14ac:dyDescent="0.3">
      <c r="A186" s="3"/>
      <c r="B186" s="9" t="s">
        <v>1129</v>
      </c>
      <c r="C186" s="53">
        <v>30</v>
      </c>
      <c r="D186" s="53" t="s">
        <v>95</v>
      </c>
      <c r="E186" s="11">
        <v>0</v>
      </c>
      <c r="F186" s="11">
        <v>318.35000000000002</v>
      </c>
      <c r="G186" s="56" t="s">
        <v>1140</v>
      </c>
      <c r="H186" s="56" t="s">
        <v>37</v>
      </c>
      <c r="I186" s="102" t="s">
        <v>1141</v>
      </c>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1129</v>
      </c>
      <c r="C187" s="53">
        <v>30</v>
      </c>
      <c r="D187" s="53" t="s">
        <v>95</v>
      </c>
      <c r="E187" s="11">
        <v>0</v>
      </c>
      <c r="F187" s="11">
        <v>313.64999999999998</v>
      </c>
      <c r="G187" s="56" t="s">
        <v>1132</v>
      </c>
      <c r="H187" s="56" t="s">
        <v>37</v>
      </c>
      <c r="I187" s="102" t="s">
        <v>1142</v>
      </c>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1129</v>
      </c>
      <c r="C188" s="53"/>
      <c r="D188" s="53"/>
      <c r="E188" s="11">
        <v>0</v>
      </c>
      <c r="F188" s="11">
        <v>0</v>
      </c>
      <c r="G188" s="56"/>
      <c r="H188" s="56"/>
      <c r="I188" s="102"/>
      <c r="J188" s="56"/>
      <c r="K188" s="28"/>
      <c r="L188" s="28"/>
      <c r="M188" s="28"/>
      <c r="N188" s="28"/>
      <c r="O188" s="28"/>
      <c r="P188" s="28"/>
      <c r="Q188" s="28"/>
      <c r="R188" s="28"/>
      <c r="S188" s="28"/>
      <c r="T188" s="28"/>
      <c r="U188" s="3"/>
      <c r="W188" s="3"/>
      <c r="X188" s="3"/>
      <c r="Y188" s="3"/>
      <c r="Z188" s="3"/>
    </row>
    <row r="189" spans="1:26" ht="14.4" hidden="1" outlineLevel="1" x14ac:dyDescent="0.3">
      <c r="A189" s="3"/>
      <c r="B189" s="9" t="s">
        <v>1129</v>
      </c>
      <c r="C189" s="53"/>
      <c r="D189" s="53"/>
      <c r="E189" s="11">
        <v>0</v>
      </c>
      <c r="F189" s="11">
        <v>0</v>
      </c>
      <c r="G189" s="56"/>
      <c r="H189" s="56"/>
      <c r="I189" s="102"/>
      <c r="J189" s="56"/>
      <c r="K189" s="28"/>
      <c r="L189" s="28"/>
      <c r="M189" s="28"/>
      <c r="N189" s="28"/>
      <c r="O189" s="28"/>
      <c r="P189" s="28"/>
      <c r="Q189" s="28"/>
      <c r="R189" s="28"/>
      <c r="S189" s="28"/>
      <c r="T189" s="28"/>
      <c r="U189" s="3"/>
      <c r="W189" s="3"/>
      <c r="X189" s="3"/>
      <c r="Y189" s="3"/>
      <c r="Z189" s="3"/>
    </row>
    <row r="190" spans="1:26" ht="14.4" hidden="1" outlineLevel="1" x14ac:dyDescent="0.3">
      <c r="A190" s="3"/>
      <c r="B190" s="9" t="s">
        <v>1129</v>
      </c>
      <c r="C190" s="53"/>
      <c r="D190" s="53"/>
      <c r="E190" s="11">
        <v>0</v>
      </c>
      <c r="F190" s="11">
        <v>0</v>
      </c>
      <c r="G190" s="56"/>
      <c r="H190" s="56"/>
      <c r="I190" s="102"/>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1129</v>
      </c>
      <c r="C191" s="53"/>
      <c r="D191" s="53"/>
      <c r="E191" s="11">
        <v>0</v>
      </c>
      <c r="F191" s="11">
        <v>0</v>
      </c>
      <c r="G191" s="56"/>
      <c r="H191" s="56"/>
      <c r="I191" s="102"/>
      <c r="J191" s="56"/>
      <c r="K191" s="28"/>
      <c r="L191" s="28"/>
      <c r="M191" s="28"/>
      <c r="N191" s="28"/>
      <c r="O191" s="28"/>
      <c r="P191" s="28"/>
      <c r="Q191" s="28"/>
      <c r="R191" s="28"/>
      <c r="S191" s="28"/>
      <c r="T191" s="28"/>
      <c r="U191" s="3"/>
      <c r="W191" s="3"/>
      <c r="X191" s="3"/>
      <c r="Y191" s="3"/>
      <c r="Z191" s="3"/>
    </row>
    <row r="192" spans="1:26" ht="14.4" hidden="1" outlineLevel="1" x14ac:dyDescent="0.3">
      <c r="A192" s="3"/>
      <c r="B192" s="9" t="s">
        <v>1129</v>
      </c>
      <c r="C192" s="53"/>
      <c r="D192" s="53"/>
      <c r="E192" s="11">
        <v>0</v>
      </c>
      <c r="F192" s="11">
        <v>0</v>
      </c>
      <c r="G192" s="56"/>
      <c r="H192" s="56"/>
      <c r="I192" s="102"/>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1129</v>
      </c>
      <c r="C193" s="53"/>
      <c r="D193" s="53"/>
      <c r="E193" s="11">
        <v>0</v>
      </c>
      <c r="F193" s="11">
        <v>0</v>
      </c>
      <c r="G193" s="56"/>
      <c r="H193" s="56"/>
      <c r="I193" s="102"/>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865</v>
      </c>
      <c r="C194" s="53">
        <v>25</v>
      </c>
      <c r="D194" s="53" t="s">
        <v>95</v>
      </c>
      <c r="E194" s="11">
        <v>0</v>
      </c>
      <c r="F194" s="11">
        <v>50</v>
      </c>
      <c r="G194" s="56"/>
      <c r="H194" s="56" t="s">
        <v>37</v>
      </c>
      <c r="I194" s="102" t="s">
        <v>1143</v>
      </c>
      <c r="J194" s="56"/>
      <c r="K194" s="28"/>
      <c r="L194" s="28"/>
      <c r="M194" s="28"/>
      <c r="N194" s="28"/>
      <c r="O194" s="28"/>
      <c r="P194" s="28"/>
      <c r="Q194" s="28"/>
      <c r="R194" s="28"/>
      <c r="S194" s="28"/>
      <c r="T194" s="28"/>
      <c r="U194" s="3"/>
      <c r="W194" s="3"/>
      <c r="X194" s="3"/>
      <c r="Y194" s="3"/>
      <c r="Z194" s="3"/>
    </row>
    <row r="195" spans="1:26" ht="14.4" hidden="1" outlineLevel="1" x14ac:dyDescent="0.3">
      <c r="A195" s="3"/>
      <c r="B195" s="9" t="s">
        <v>51</v>
      </c>
      <c r="C195" s="53"/>
      <c r="D195" s="53"/>
      <c r="E195" s="11">
        <v>0</v>
      </c>
      <c r="F195" s="11">
        <v>0</v>
      </c>
      <c r="G195" s="56"/>
      <c r="H195" s="56"/>
      <c r="I195" s="102"/>
      <c r="J195" s="56"/>
      <c r="K195" s="28"/>
      <c r="L195" s="28"/>
      <c r="M195" s="28"/>
      <c r="N195" s="28"/>
      <c r="O195" s="28"/>
      <c r="P195" s="28"/>
      <c r="Q195" s="28"/>
      <c r="R195" s="28"/>
      <c r="S195" s="28"/>
      <c r="T195" s="28"/>
      <c r="U195" s="3"/>
      <c r="W195" s="3"/>
      <c r="X195" s="3"/>
      <c r="Y195" s="3"/>
      <c r="Z195" s="3"/>
    </row>
    <row r="196" spans="1:26" ht="14.4" hidden="1" outlineLevel="1" x14ac:dyDescent="0.3">
      <c r="A196" s="3"/>
      <c r="B196" s="9" t="s">
        <v>51</v>
      </c>
      <c r="C196" s="53"/>
      <c r="D196" s="53"/>
      <c r="E196" s="11">
        <v>0</v>
      </c>
      <c r="F196" s="11">
        <v>0</v>
      </c>
      <c r="G196" s="56"/>
      <c r="H196" s="56"/>
      <c r="I196" s="102"/>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51</v>
      </c>
      <c r="C197" s="53"/>
      <c r="D197" s="53"/>
      <c r="E197" s="11">
        <v>0</v>
      </c>
      <c r="F197" s="11">
        <v>0</v>
      </c>
      <c r="G197" s="56"/>
      <c r="H197" s="56"/>
      <c r="I197" s="102"/>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51</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51</v>
      </c>
      <c r="C199" s="53"/>
      <c r="D199" s="53"/>
      <c r="E199" s="11">
        <v>0</v>
      </c>
      <c r="F199" s="11">
        <v>0</v>
      </c>
      <c r="G199" s="56"/>
      <c r="H199" s="56"/>
      <c r="I199" s="80"/>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51</v>
      </c>
      <c r="C200" s="53"/>
      <c r="D200" s="53"/>
      <c r="E200" s="11">
        <v>0</v>
      </c>
      <c r="F200" s="11">
        <v>0</v>
      </c>
      <c r="G200" s="56"/>
      <c r="H200" s="56"/>
      <c r="I200" s="80"/>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51</v>
      </c>
      <c r="C201" s="53"/>
      <c r="D201" s="53"/>
      <c r="E201" s="11">
        <v>0</v>
      </c>
      <c r="F201" s="11">
        <v>0</v>
      </c>
      <c r="G201" s="56"/>
      <c r="H201" s="56"/>
      <c r="I201" s="80"/>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80"/>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80"/>
      <c r="J203" s="56"/>
      <c r="K203" s="28"/>
      <c r="L203" s="28"/>
      <c r="M203" s="28"/>
      <c r="N203" s="28"/>
      <c r="O203" s="28"/>
      <c r="P203" s="28"/>
      <c r="Q203" s="28"/>
      <c r="R203" s="28"/>
      <c r="S203" s="28"/>
      <c r="T203" s="28"/>
      <c r="U203" s="3"/>
      <c r="W203" s="3"/>
      <c r="X203" s="3"/>
      <c r="Y203" s="3"/>
      <c r="Z203" s="3"/>
    </row>
    <row r="204" spans="1:26" ht="20.399999999999999" collapsed="1" x14ac:dyDescent="0.3">
      <c r="A204" s="3"/>
      <c r="B204" s="75" t="s">
        <v>395</v>
      </c>
      <c r="C204" s="76" t="s">
        <v>44</v>
      </c>
      <c r="D204" s="76" t="s">
        <v>44</v>
      </c>
      <c r="E204" s="77">
        <f>SUM(E205:E213)</f>
        <v>0</v>
      </c>
      <c r="F204" s="77">
        <f>SUMIF(D205:D213,"OK",F205:F213)</f>
        <v>100</v>
      </c>
      <c r="G204" s="78"/>
      <c r="H204" s="78"/>
      <c r="I204" s="79"/>
      <c r="J204" s="78"/>
      <c r="K204" s="28"/>
      <c r="L204" s="28"/>
      <c r="M204" s="28"/>
      <c r="N204" s="28"/>
      <c r="O204" s="28"/>
      <c r="P204" s="28"/>
      <c r="Q204" s="28"/>
      <c r="R204" s="28"/>
      <c r="S204" s="28"/>
      <c r="T204" s="28"/>
      <c r="U204" s="3"/>
      <c r="W204" s="3"/>
      <c r="X204" s="3"/>
      <c r="Y204" s="3"/>
      <c r="Z204" s="3"/>
    </row>
    <row r="205" spans="1:26" ht="14.4" hidden="1" outlineLevel="1" x14ac:dyDescent="0.3">
      <c r="A205" s="3"/>
      <c r="B205" s="9" t="s">
        <v>1144</v>
      </c>
      <c r="C205" s="53">
        <v>11</v>
      </c>
      <c r="D205" s="53" t="s">
        <v>95</v>
      </c>
      <c r="E205" s="11">
        <v>0</v>
      </c>
      <c r="F205" s="11">
        <v>100</v>
      </c>
      <c r="G205" s="56"/>
      <c r="H205" s="56" t="s">
        <v>37</v>
      </c>
      <c r="I205" s="102" t="s">
        <v>1145</v>
      </c>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355</v>
      </c>
      <c r="C206" s="53"/>
      <c r="D206" s="53"/>
      <c r="E206" s="11">
        <v>0</v>
      </c>
      <c r="F206" s="11">
        <v>0</v>
      </c>
      <c r="G206" s="56"/>
      <c r="H206" s="56"/>
      <c r="I206" s="102"/>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356</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370</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328</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329</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371</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372</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373</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20.399999999999999" collapsed="1" x14ac:dyDescent="0.3">
      <c r="A214" s="3"/>
      <c r="B214" s="75" t="s">
        <v>402</v>
      </c>
      <c r="C214" s="76" t="s">
        <v>44</v>
      </c>
      <c r="D214" s="76" t="s">
        <v>44</v>
      </c>
      <c r="E214" s="77">
        <f>SUM(E215:E223)</f>
        <v>0</v>
      </c>
      <c r="F214" s="77">
        <f>SUMIF(D215:D223,"OK",F215:F223)</f>
        <v>0</v>
      </c>
      <c r="G214" s="78"/>
      <c r="H214" s="78"/>
      <c r="I214" s="79"/>
      <c r="J214" s="78"/>
      <c r="K214" s="28"/>
      <c r="L214" s="28"/>
      <c r="M214" s="28"/>
      <c r="N214" s="28"/>
      <c r="O214" s="28"/>
      <c r="P214" s="28"/>
      <c r="Q214" s="28"/>
      <c r="R214" s="28"/>
      <c r="S214" s="28"/>
      <c r="T214" s="28"/>
      <c r="U214" s="3"/>
      <c r="W214" s="3"/>
      <c r="X214" s="3"/>
      <c r="Y214" s="3"/>
      <c r="Z214" s="3"/>
    </row>
    <row r="215" spans="1:26" ht="14.4" hidden="1" outlineLevel="1" x14ac:dyDescent="0.3">
      <c r="A215" s="3"/>
      <c r="B215" s="9" t="s">
        <v>1146</v>
      </c>
      <c r="C215" s="53"/>
      <c r="D215" s="53"/>
      <c r="E215" s="11">
        <v>0</v>
      </c>
      <c r="F215" s="11">
        <v>0</v>
      </c>
      <c r="G215" s="56"/>
      <c r="H215" s="56"/>
      <c r="I215" s="102"/>
      <c r="J215" s="56"/>
      <c r="K215" s="28"/>
      <c r="L215" s="28"/>
      <c r="M215" s="28"/>
      <c r="N215" s="28"/>
      <c r="O215" s="28"/>
      <c r="P215" s="28"/>
      <c r="Q215" s="28"/>
      <c r="R215" s="28"/>
      <c r="S215" s="28"/>
      <c r="T215" s="28"/>
      <c r="U215" s="3"/>
      <c r="W215" s="3"/>
      <c r="X215" s="3"/>
      <c r="Y215" s="3"/>
      <c r="Z215" s="3"/>
    </row>
    <row r="216" spans="1:26" ht="14.4" hidden="1" outlineLevel="1" x14ac:dyDescent="0.3">
      <c r="A216" s="3"/>
      <c r="B216" s="9" t="s">
        <v>1147</v>
      </c>
      <c r="C216" s="53"/>
      <c r="D216" s="53"/>
      <c r="E216" s="11">
        <v>0</v>
      </c>
      <c r="F216" s="11">
        <v>0</v>
      </c>
      <c r="G216" s="56"/>
      <c r="H216" s="56"/>
      <c r="I216" s="102"/>
      <c r="J216" s="56"/>
      <c r="K216" s="28"/>
      <c r="L216" s="28"/>
      <c r="M216" s="28"/>
      <c r="N216" s="28"/>
      <c r="O216" s="28"/>
      <c r="P216" s="28"/>
      <c r="Q216" s="28"/>
      <c r="R216" s="28"/>
      <c r="S216" s="28"/>
      <c r="T216" s="28"/>
      <c r="U216" s="3"/>
      <c r="W216" s="3"/>
      <c r="X216" s="3"/>
      <c r="Y216" s="3"/>
      <c r="Z216" s="3"/>
    </row>
    <row r="217" spans="1:26" ht="14.4" hidden="1" outlineLevel="1" x14ac:dyDescent="0.3">
      <c r="A217" s="3"/>
      <c r="B217" s="9" t="s">
        <v>356</v>
      </c>
      <c r="C217" s="53"/>
      <c r="D217" s="53"/>
      <c r="E217" s="11">
        <v>0</v>
      </c>
      <c r="F217" s="11">
        <v>0</v>
      </c>
      <c r="G217" s="56"/>
      <c r="H217" s="56"/>
      <c r="I217" s="102"/>
      <c r="J217" s="56"/>
      <c r="K217" s="28"/>
      <c r="L217" s="28"/>
      <c r="M217" s="28"/>
      <c r="N217" s="28"/>
      <c r="O217" s="28"/>
      <c r="P217" s="28"/>
      <c r="Q217" s="28"/>
      <c r="R217" s="28"/>
      <c r="S217" s="28"/>
      <c r="T217" s="28"/>
      <c r="U217" s="3"/>
      <c r="W217" s="3"/>
      <c r="X217" s="3"/>
      <c r="Y217" s="3"/>
      <c r="Z217" s="3"/>
    </row>
    <row r="218" spans="1:26" ht="14.4" hidden="1" outlineLevel="1" x14ac:dyDescent="0.3">
      <c r="A218" s="3"/>
      <c r="B218" s="9" t="s">
        <v>370</v>
      </c>
      <c r="C218" s="53"/>
      <c r="D218" s="53"/>
      <c r="E218" s="11">
        <v>0</v>
      </c>
      <c r="F218" s="11">
        <v>0</v>
      </c>
      <c r="G218" s="56"/>
      <c r="H218" s="56"/>
      <c r="I218" s="102"/>
      <c r="J218" s="56"/>
      <c r="K218" s="28"/>
      <c r="L218" s="28"/>
      <c r="M218" s="28"/>
      <c r="N218" s="28"/>
      <c r="O218" s="28"/>
      <c r="P218" s="28"/>
      <c r="Q218" s="28"/>
      <c r="R218" s="28"/>
      <c r="S218" s="28"/>
      <c r="T218" s="28"/>
      <c r="U218" s="3"/>
      <c r="W218" s="3"/>
      <c r="X218" s="3"/>
      <c r="Y218" s="3"/>
      <c r="Z218" s="3"/>
    </row>
    <row r="219" spans="1:26" ht="14.4" hidden="1" outlineLevel="1" x14ac:dyDescent="0.3">
      <c r="A219" s="3"/>
      <c r="B219" s="9" t="s">
        <v>328</v>
      </c>
      <c r="C219" s="53"/>
      <c r="D219" s="53"/>
      <c r="E219" s="11">
        <v>0</v>
      </c>
      <c r="F219" s="11">
        <v>0</v>
      </c>
      <c r="G219" s="56"/>
      <c r="H219" s="56"/>
      <c r="I219" s="102"/>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329</v>
      </c>
      <c r="C220" s="53"/>
      <c r="D220" s="53"/>
      <c r="E220" s="11">
        <v>0</v>
      </c>
      <c r="F220" s="11">
        <v>0</v>
      </c>
      <c r="G220" s="56"/>
      <c r="H220" s="56"/>
      <c r="I220" s="102"/>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371</v>
      </c>
      <c r="C221" s="53"/>
      <c r="D221" s="53"/>
      <c r="E221" s="11">
        <v>0</v>
      </c>
      <c r="F221" s="11">
        <v>0</v>
      </c>
      <c r="G221" s="56"/>
      <c r="H221" s="56"/>
      <c r="I221" s="102"/>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372</v>
      </c>
      <c r="C222" s="53"/>
      <c r="D222" s="53"/>
      <c r="E222" s="11">
        <v>0</v>
      </c>
      <c r="F222" s="11">
        <v>0</v>
      </c>
      <c r="G222" s="80"/>
      <c r="H222" s="56"/>
      <c r="I222" s="102"/>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373</v>
      </c>
      <c r="C223" s="53"/>
      <c r="D223" s="53"/>
      <c r="E223" s="11">
        <v>0</v>
      </c>
      <c r="F223" s="11">
        <v>0</v>
      </c>
      <c r="G223" s="80"/>
      <c r="H223" s="56"/>
      <c r="I223" s="102"/>
      <c r="J223" s="56"/>
      <c r="K223" s="28"/>
      <c r="L223" s="28"/>
      <c r="M223" s="28"/>
      <c r="N223" s="28"/>
      <c r="O223" s="28"/>
      <c r="P223" s="28"/>
      <c r="Q223" s="28"/>
      <c r="R223" s="28"/>
      <c r="S223" s="28"/>
      <c r="T223" s="28"/>
      <c r="U223" s="3"/>
      <c r="W223" s="3"/>
      <c r="X223" s="3"/>
      <c r="Y223" s="3"/>
      <c r="Z223" s="3"/>
    </row>
    <row r="224" spans="1:26" ht="20.399999999999999" collapsed="1" x14ac:dyDescent="0.3">
      <c r="A224" s="3"/>
      <c r="B224" s="75" t="s">
        <v>403</v>
      </c>
      <c r="C224" s="76" t="s">
        <v>44</v>
      </c>
      <c r="D224" s="76" t="s">
        <v>44</v>
      </c>
      <c r="E224" s="77">
        <f>SUM(E225:E233)</f>
        <v>0</v>
      </c>
      <c r="F224" s="77">
        <f>SUMIF(D225:D233,"OK",F225:F233)</f>
        <v>0</v>
      </c>
      <c r="G224" s="78"/>
      <c r="H224" s="78"/>
      <c r="I224" s="79"/>
      <c r="J224" s="78"/>
      <c r="K224" s="28"/>
      <c r="L224" s="28"/>
      <c r="M224" s="28"/>
      <c r="N224" s="28"/>
      <c r="O224" s="28"/>
      <c r="P224" s="28"/>
      <c r="Q224" s="28"/>
      <c r="R224" s="28"/>
      <c r="S224" s="28"/>
      <c r="T224" s="28"/>
      <c r="U224" s="3"/>
      <c r="W224" s="3"/>
      <c r="X224" s="3"/>
      <c r="Y224" s="3"/>
      <c r="Z224" s="3"/>
    </row>
    <row r="225" spans="1:26" ht="14.4" hidden="1" outlineLevel="1" x14ac:dyDescent="0.3">
      <c r="A225" s="3"/>
      <c r="B225" s="9" t="s">
        <v>354</v>
      </c>
      <c r="C225" s="53"/>
      <c r="D225" s="53"/>
      <c r="E225" s="11">
        <v>0</v>
      </c>
      <c r="F225" s="11">
        <v>0</v>
      </c>
      <c r="G225" s="56"/>
      <c r="H225" s="56"/>
      <c r="I225" s="80"/>
      <c r="J225" s="56"/>
      <c r="K225" s="28"/>
      <c r="L225" s="28"/>
      <c r="M225" s="28"/>
      <c r="N225" s="28"/>
      <c r="O225" s="28"/>
      <c r="P225" s="28"/>
      <c r="Q225" s="28"/>
      <c r="R225" s="28"/>
      <c r="S225" s="28"/>
      <c r="T225" s="28"/>
      <c r="U225" s="3"/>
      <c r="W225" s="3"/>
      <c r="X225" s="3"/>
      <c r="Y225" s="3"/>
      <c r="Z225" s="3"/>
    </row>
    <row r="226" spans="1:26" ht="14.4" hidden="1" outlineLevel="1" x14ac:dyDescent="0.3">
      <c r="A226" s="3"/>
      <c r="B226" s="9" t="s">
        <v>355</v>
      </c>
      <c r="C226" s="53"/>
      <c r="D226" s="53"/>
      <c r="E226" s="11">
        <v>0</v>
      </c>
      <c r="F226" s="11">
        <v>0</v>
      </c>
      <c r="G226" s="56"/>
      <c r="H226" s="56"/>
      <c r="I226" s="80"/>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356</v>
      </c>
      <c r="C227" s="53"/>
      <c r="D227" s="53"/>
      <c r="E227" s="11">
        <v>0</v>
      </c>
      <c r="F227" s="11">
        <v>0</v>
      </c>
      <c r="G227" s="56"/>
      <c r="H227" s="56"/>
      <c r="I227" s="80"/>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370</v>
      </c>
      <c r="C228" s="53"/>
      <c r="D228" s="53"/>
      <c r="E228" s="11">
        <v>0</v>
      </c>
      <c r="F228" s="11">
        <v>0</v>
      </c>
      <c r="G228" s="56"/>
      <c r="H228" s="56"/>
      <c r="I228" s="80"/>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328</v>
      </c>
      <c r="C229" s="53"/>
      <c r="D229" s="53"/>
      <c r="E229" s="11">
        <v>0</v>
      </c>
      <c r="F229" s="11">
        <v>0</v>
      </c>
      <c r="G229" s="56"/>
      <c r="H229" s="56"/>
      <c r="I229" s="80"/>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329</v>
      </c>
      <c r="C230" s="53"/>
      <c r="D230" s="53"/>
      <c r="E230" s="11">
        <v>0</v>
      </c>
      <c r="F230" s="11">
        <v>0</v>
      </c>
      <c r="G230" s="56"/>
      <c r="H230" s="56"/>
      <c r="I230" s="80"/>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371</v>
      </c>
      <c r="C231" s="53"/>
      <c r="D231" s="53"/>
      <c r="E231" s="11">
        <v>0</v>
      </c>
      <c r="F231" s="11">
        <v>0</v>
      </c>
      <c r="G231" s="56"/>
      <c r="H231" s="56"/>
      <c r="I231" s="80"/>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372</v>
      </c>
      <c r="C232" s="53"/>
      <c r="D232" s="53"/>
      <c r="E232" s="11">
        <v>0</v>
      </c>
      <c r="F232" s="11">
        <v>0</v>
      </c>
      <c r="G232" s="56"/>
      <c r="H232" s="56"/>
      <c r="I232" s="80"/>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373</v>
      </c>
      <c r="C233" s="53"/>
      <c r="D233" s="53"/>
      <c r="E233" s="11">
        <v>0</v>
      </c>
      <c r="F233" s="11">
        <v>0</v>
      </c>
      <c r="G233" s="56"/>
      <c r="H233" s="56"/>
      <c r="I233" s="80"/>
      <c r="J233" s="56"/>
      <c r="K233" s="28"/>
      <c r="L233" s="28"/>
      <c r="M233" s="28"/>
      <c r="N233" s="28"/>
      <c r="O233" s="28"/>
      <c r="P233" s="28"/>
      <c r="Q233" s="28"/>
      <c r="R233" s="28"/>
      <c r="S233" s="28"/>
      <c r="T233" s="28"/>
      <c r="U233" s="3"/>
      <c r="W233" s="3"/>
      <c r="X233" s="3"/>
      <c r="Y233" s="3"/>
      <c r="Z233" s="3"/>
    </row>
    <row r="234" spans="1:26" ht="20.399999999999999" collapsed="1" x14ac:dyDescent="0.3">
      <c r="A234" s="3"/>
      <c r="B234" s="75" t="s">
        <v>404</v>
      </c>
      <c r="C234" s="76" t="s">
        <v>44</v>
      </c>
      <c r="D234" s="76" t="s">
        <v>44</v>
      </c>
      <c r="E234" s="77">
        <f>SUM(E235:E243)</f>
        <v>0</v>
      </c>
      <c r="F234" s="77">
        <f>SUMIF(D235:D243,"OK",F235:F243)</f>
        <v>1240</v>
      </c>
      <c r="G234" s="78"/>
      <c r="H234" s="78"/>
      <c r="I234" s="79"/>
      <c r="J234" s="78"/>
      <c r="K234" s="28"/>
      <c r="L234" s="28"/>
      <c r="M234" s="28"/>
      <c r="N234" s="28"/>
      <c r="O234" s="28"/>
      <c r="P234" s="28"/>
      <c r="Q234" s="28"/>
      <c r="R234" s="28"/>
      <c r="S234" s="28"/>
      <c r="T234" s="28"/>
      <c r="U234" s="3"/>
      <c r="W234" s="3"/>
      <c r="X234" s="3"/>
      <c r="Y234" s="3"/>
      <c r="Z234" s="3"/>
    </row>
    <row r="235" spans="1:26" ht="14.4" hidden="1" outlineLevel="1" x14ac:dyDescent="0.3">
      <c r="A235" s="3"/>
      <c r="B235" s="9" t="s">
        <v>1148</v>
      </c>
      <c r="C235" s="53">
        <v>30</v>
      </c>
      <c r="D235" s="53" t="s">
        <v>95</v>
      </c>
      <c r="E235" s="11">
        <v>0</v>
      </c>
      <c r="F235" s="11">
        <v>1160</v>
      </c>
      <c r="G235" s="80"/>
      <c r="H235" s="56" t="s">
        <v>37</v>
      </c>
      <c r="I235" s="102" t="s">
        <v>1061</v>
      </c>
      <c r="J235" s="56"/>
      <c r="K235" s="28"/>
      <c r="L235" s="28"/>
      <c r="M235" s="28"/>
      <c r="N235" s="28"/>
      <c r="O235" s="28"/>
      <c r="P235" s="28"/>
      <c r="Q235" s="28"/>
      <c r="R235" s="28"/>
      <c r="S235" s="28"/>
      <c r="T235" s="28"/>
      <c r="U235" s="3"/>
      <c r="W235" s="3"/>
      <c r="X235" s="3"/>
      <c r="Y235" s="3"/>
      <c r="Z235" s="3"/>
    </row>
    <row r="236" spans="1:26" ht="14.4" hidden="1" outlineLevel="1" x14ac:dyDescent="0.3">
      <c r="A236" s="3"/>
      <c r="B236" s="9" t="s">
        <v>1149</v>
      </c>
      <c r="C236" s="53">
        <v>30</v>
      </c>
      <c r="D236" s="53" t="s">
        <v>95</v>
      </c>
      <c r="E236" s="11">
        <v>0</v>
      </c>
      <c r="F236" s="11">
        <v>80</v>
      </c>
      <c r="G236" s="56"/>
      <c r="H236" s="56" t="s">
        <v>37</v>
      </c>
      <c r="I236" s="102" t="s">
        <v>1061</v>
      </c>
      <c r="J236" s="56"/>
      <c r="K236" s="28"/>
      <c r="L236" s="28"/>
      <c r="M236" s="28"/>
      <c r="N236" s="28"/>
      <c r="O236" s="28"/>
      <c r="P236" s="28"/>
      <c r="Q236" s="28"/>
      <c r="R236" s="28"/>
      <c r="S236" s="28"/>
      <c r="T236" s="28"/>
      <c r="U236" s="3"/>
      <c r="W236" s="3"/>
      <c r="X236" s="3"/>
      <c r="Y236" s="3"/>
      <c r="Z236" s="3"/>
    </row>
    <row r="237" spans="1:26" ht="14.4" hidden="1" outlineLevel="1" x14ac:dyDescent="0.3">
      <c r="A237" s="3"/>
      <c r="B237" s="9" t="s">
        <v>356</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4.4" hidden="1" outlineLevel="1" x14ac:dyDescent="0.3">
      <c r="A238" s="3"/>
      <c r="B238" s="9" t="s">
        <v>370</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328</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329</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371</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372</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373</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20.399999999999999" collapsed="1" x14ac:dyDescent="0.3">
      <c r="A244" s="3"/>
      <c r="B244" s="75" t="s">
        <v>406</v>
      </c>
      <c r="C244" s="76" t="s">
        <v>44</v>
      </c>
      <c r="D244" s="76" t="s">
        <v>44</v>
      </c>
      <c r="E244" s="77">
        <f>SUM(E245:E253)</f>
        <v>0</v>
      </c>
      <c r="F244" s="77">
        <f>SUMIF(D245:D253,"OK",F245:F253)</f>
        <v>0</v>
      </c>
      <c r="G244" s="78"/>
      <c r="H244" s="78"/>
      <c r="I244" s="79"/>
      <c r="J244" s="78"/>
      <c r="K244" s="28"/>
      <c r="L244" s="28"/>
      <c r="M244" s="28"/>
      <c r="N244" s="28"/>
      <c r="O244" s="28"/>
      <c r="P244" s="28"/>
      <c r="Q244" s="28"/>
      <c r="R244" s="28"/>
      <c r="S244" s="28"/>
      <c r="T244" s="28"/>
      <c r="U244" s="3"/>
      <c r="W244" s="3"/>
      <c r="X244" s="3"/>
      <c r="Y244" s="3"/>
      <c r="Z244" s="3"/>
    </row>
    <row r="245" spans="1:26" ht="14.4" hidden="1" outlineLevel="1" x14ac:dyDescent="0.3">
      <c r="A245" s="3"/>
      <c r="B245" s="9" t="s">
        <v>1024</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355</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14.4" hidden="1" outlineLevel="1" x14ac:dyDescent="0.3">
      <c r="A247" s="3"/>
      <c r="B247" s="9" t="s">
        <v>356</v>
      </c>
      <c r="C247" s="53"/>
      <c r="D247" s="53"/>
      <c r="E247" s="11">
        <v>0</v>
      </c>
      <c r="F247" s="11">
        <v>0</v>
      </c>
      <c r="G247" s="56"/>
      <c r="H247" s="56"/>
      <c r="I247" s="80"/>
      <c r="J247" s="56"/>
      <c r="K247" s="28"/>
      <c r="L247" s="28"/>
      <c r="M247" s="28"/>
      <c r="N247" s="28"/>
      <c r="O247" s="28"/>
      <c r="P247" s="28"/>
      <c r="Q247" s="28"/>
      <c r="R247" s="28"/>
      <c r="S247" s="28"/>
      <c r="T247" s="28"/>
      <c r="U247" s="3"/>
      <c r="W247" s="3"/>
      <c r="X247" s="3"/>
      <c r="Y247" s="3"/>
      <c r="Z247" s="3"/>
    </row>
    <row r="248" spans="1:26" ht="14.4" hidden="1" outlineLevel="1" x14ac:dyDescent="0.3">
      <c r="A248" s="3"/>
      <c r="B248" s="9" t="s">
        <v>370</v>
      </c>
      <c r="C248" s="53"/>
      <c r="D248" s="53"/>
      <c r="E248" s="11">
        <v>0</v>
      </c>
      <c r="F248" s="11">
        <v>0</v>
      </c>
      <c r="G248" s="56"/>
      <c r="H248" s="56"/>
      <c r="I248" s="80"/>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328</v>
      </c>
      <c r="C249" s="53"/>
      <c r="D249" s="53"/>
      <c r="E249" s="11">
        <v>0</v>
      </c>
      <c r="F249" s="11">
        <v>0</v>
      </c>
      <c r="G249" s="56"/>
      <c r="H249" s="56"/>
      <c r="I249" s="80"/>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329</v>
      </c>
      <c r="C250" s="53"/>
      <c r="D250" s="53"/>
      <c r="E250" s="11">
        <v>0</v>
      </c>
      <c r="F250" s="11">
        <v>0</v>
      </c>
      <c r="G250" s="56"/>
      <c r="H250" s="56"/>
      <c r="I250" s="80"/>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371</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372</v>
      </c>
      <c r="C252" s="53"/>
      <c r="D252" s="53"/>
      <c r="E252" s="11">
        <v>0</v>
      </c>
      <c r="F252" s="11">
        <v>0</v>
      </c>
      <c r="G252" s="56"/>
      <c r="H252" s="56"/>
      <c r="I252" s="80"/>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373</v>
      </c>
      <c r="C253" s="53"/>
      <c r="D253" s="53"/>
      <c r="E253" s="11">
        <v>0</v>
      </c>
      <c r="F253" s="11">
        <v>0</v>
      </c>
      <c r="G253" s="56"/>
      <c r="H253" s="56"/>
      <c r="I253" s="80"/>
      <c r="J253" s="56"/>
      <c r="K253" s="28"/>
      <c r="L253" s="28"/>
      <c r="M253" s="28"/>
      <c r="N253" s="28"/>
      <c r="O253" s="28"/>
      <c r="P253" s="28"/>
      <c r="Q253" s="28"/>
      <c r="R253" s="28"/>
      <c r="S253" s="28"/>
      <c r="T253" s="28"/>
      <c r="U253" s="3"/>
      <c r="W253" s="3"/>
      <c r="X253" s="3"/>
      <c r="Y253" s="3"/>
      <c r="Z253" s="3"/>
    </row>
    <row r="254" spans="1:26" ht="20.399999999999999" collapsed="1" x14ac:dyDescent="0.3">
      <c r="A254" s="3"/>
      <c r="B254" s="75" t="s">
        <v>409</v>
      </c>
      <c r="C254" s="76" t="s">
        <v>44</v>
      </c>
      <c r="D254" s="76" t="s">
        <v>44</v>
      </c>
      <c r="E254" s="77">
        <f>SUM(E255,E265,E275,E285)</f>
        <v>0</v>
      </c>
      <c r="F254" s="77">
        <f>SUM(F255,F265,F275,F285,F295)</f>
        <v>0</v>
      </c>
      <c r="G254" s="78"/>
      <c r="H254" s="78"/>
      <c r="I254" s="79"/>
      <c r="J254" s="78"/>
      <c r="K254" s="28"/>
      <c r="L254" s="28"/>
      <c r="M254" s="28"/>
      <c r="N254" s="28"/>
      <c r="O254" s="28"/>
      <c r="P254" s="28"/>
      <c r="Q254" s="28"/>
      <c r="R254" s="28"/>
      <c r="S254" s="28"/>
      <c r="T254" s="28"/>
      <c r="U254" s="3"/>
      <c r="W254" s="3"/>
      <c r="X254" s="3"/>
      <c r="Y254" s="3"/>
      <c r="Z254" s="3"/>
    </row>
    <row r="255" spans="1:26" hidden="1" outlineLevel="1" x14ac:dyDescent="0.3">
      <c r="A255" s="3"/>
      <c r="B255" s="82" t="s">
        <v>233</v>
      </c>
      <c r="C255" s="83"/>
      <c r="D255" s="83"/>
      <c r="E255" s="84">
        <f>SUM(E256:E264)</f>
        <v>0</v>
      </c>
      <c r="F255" s="84">
        <f>SUMIF(D256:D264,"OK",F256:F264)</f>
        <v>0</v>
      </c>
      <c r="G255" s="85"/>
      <c r="H255" s="85"/>
      <c r="I255" s="86"/>
      <c r="J255" s="85"/>
      <c r="K255" s="28"/>
      <c r="L255" s="28"/>
      <c r="M255" s="28"/>
      <c r="N255" s="28"/>
      <c r="O255" s="28"/>
      <c r="P255" s="28"/>
      <c r="Q255" s="28"/>
      <c r="R255" s="28"/>
      <c r="S255" s="28"/>
      <c r="T255" s="28"/>
      <c r="U255" s="3"/>
      <c r="W255" s="3"/>
      <c r="X255" s="3"/>
      <c r="Y255" s="3"/>
      <c r="Z255" s="3"/>
    </row>
    <row r="256" spans="1:26" ht="14.4" hidden="1" outlineLevel="1" x14ac:dyDescent="0.3">
      <c r="A256" s="3"/>
      <c r="B256" s="9" t="s">
        <v>354</v>
      </c>
      <c r="C256" s="53"/>
      <c r="D256" s="53"/>
      <c r="E256" s="11">
        <v>0</v>
      </c>
      <c r="F256" s="11">
        <v>0</v>
      </c>
      <c r="G256" s="56"/>
      <c r="H256" s="56"/>
      <c r="I256" s="115"/>
      <c r="J256" s="56"/>
      <c r="K256" s="28"/>
      <c r="L256" s="28"/>
      <c r="M256" s="28"/>
      <c r="N256" s="28"/>
      <c r="O256" s="28"/>
      <c r="P256" s="28"/>
      <c r="Q256" s="28"/>
      <c r="R256" s="28"/>
      <c r="S256" s="28"/>
      <c r="T256" s="28"/>
      <c r="U256" s="3"/>
      <c r="W256" s="3"/>
      <c r="X256" s="3"/>
      <c r="Y256" s="3"/>
      <c r="Z256" s="3"/>
    </row>
    <row r="257" spans="1:26" ht="14.4" hidden="1" outlineLevel="1" x14ac:dyDescent="0.3">
      <c r="A257" s="3"/>
      <c r="B257" s="9" t="s">
        <v>355</v>
      </c>
      <c r="C257" s="53"/>
      <c r="D257" s="53"/>
      <c r="E257" s="11">
        <v>0</v>
      </c>
      <c r="F257" s="11">
        <v>0</v>
      </c>
      <c r="G257" s="56"/>
      <c r="H257" s="56"/>
      <c r="I257" s="115"/>
      <c r="J257" s="56"/>
      <c r="K257" s="28"/>
      <c r="L257" s="28"/>
      <c r="M257" s="28"/>
      <c r="N257" s="28"/>
      <c r="O257" s="28"/>
      <c r="P257" s="28"/>
      <c r="Q257" s="28"/>
      <c r="R257" s="28"/>
      <c r="S257" s="28"/>
      <c r="T257" s="28"/>
      <c r="U257" s="3"/>
      <c r="W257" s="3"/>
      <c r="X257" s="3"/>
      <c r="Y257" s="3"/>
      <c r="Z257" s="3"/>
    </row>
    <row r="258" spans="1:26" ht="14.4" hidden="1" outlineLevel="1" x14ac:dyDescent="0.3">
      <c r="A258" s="3"/>
      <c r="B258" s="9" t="s">
        <v>356</v>
      </c>
      <c r="C258" s="53"/>
      <c r="D258" s="53"/>
      <c r="E258" s="11">
        <v>0</v>
      </c>
      <c r="F258" s="11">
        <v>0</v>
      </c>
      <c r="G258" s="56"/>
      <c r="H258" s="56"/>
      <c r="I258" s="115"/>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370</v>
      </c>
      <c r="C259" s="53"/>
      <c r="D259" s="53"/>
      <c r="E259" s="11">
        <v>0</v>
      </c>
      <c r="F259" s="11">
        <v>0</v>
      </c>
      <c r="G259" s="56"/>
      <c r="H259" s="56"/>
      <c r="I259" s="102"/>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328</v>
      </c>
      <c r="C260" s="53"/>
      <c r="D260" s="53"/>
      <c r="E260" s="11">
        <v>0</v>
      </c>
      <c r="F260" s="11">
        <v>0</v>
      </c>
      <c r="G260" s="56"/>
      <c r="H260" s="56"/>
      <c r="I260" s="102"/>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329</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371</v>
      </c>
      <c r="C262" s="53"/>
      <c r="D262" s="53"/>
      <c r="E262" s="11">
        <v>0</v>
      </c>
      <c r="F262" s="11">
        <v>0</v>
      </c>
      <c r="G262" s="56"/>
      <c r="H262" s="56"/>
      <c r="I262" s="80"/>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372</v>
      </c>
      <c r="C263" s="53"/>
      <c r="D263" s="53"/>
      <c r="E263" s="11">
        <v>0</v>
      </c>
      <c r="F263" s="11">
        <v>0</v>
      </c>
      <c r="G263" s="56"/>
      <c r="H263" s="56"/>
      <c r="I263" s="80"/>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373</v>
      </c>
      <c r="C264" s="53"/>
      <c r="D264" s="53"/>
      <c r="E264" s="11">
        <v>0</v>
      </c>
      <c r="F264" s="11">
        <v>0</v>
      </c>
      <c r="G264" s="56"/>
      <c r="H264" s="56"/>
      <c r="I264" s="80"/>
      <c r="J264" s="56"/>
      <c r="K264" s="28"/>
      <c r="L264" s="28"/>
      <c r="M264" s="28"/>
      <c r="N264" s="28"/>
      <c r="O264" s="28"/>
      <c r="P264" s="28"/>
      <c r="Q264" s="28"/>
      <c r="R264" s="28"/>
      <c r="S264" s="28"/>
      <c r="T264" s="28"/>
      <c r="U264" s="3"/>
      <c r="W264" s="3"/>
      <c r="X264" s="3"/>
      <c r="Y264" s="3"/>
      <c r="Z264" s="3"/>
    </row>
    <row r="265" spans="1:26" hidden="1" outlineLevel="1" x14ac:dyDescent="0.3">
      <c r="A265" s="3"/>
      <c r="B265" s="82" t="s">
        <v>652</v>
      </c>
      <c r="C265" s="83"/>
      <c r="D265" s="83"/>
      <c r="E265" s="84">
        <f>SUM(E266:E274)</f>
        <v>0</v>
      </c>
      <c r="F265" s="84">
        <f>SUMIF(D266:D274,"OK",F266:F274)</f>
        <v>0</v>
      </c>
      <c r="G265" s="85"/>
      <c r="H265" s="85"/>
      <c r="I265" s="86"/>
      <c r="J265" s="85"/>
      <c r="K265" s="28"/>
      <c r="L265" s="28"/>
      <c r="M265" s="28"/>
      <c r="N265" s="28"/>
      <c r="O265" s="28"/>
      <c r="P265" s="28"/>
      <c r="Q265" s="28"/>
      <c r="R265" s="28"/>
      <c r="S265" s="28"/>
      <c r="T265" s="28"/>
      <c r="U265" s="3"/>
      <c r="W265" s="3"/>
      <c r="X265" s="3"/>
      <c r="Y265" s="3"/>
      <c r="Z265" s="3"/>
    </row>
    <row r="266" spans="1:26" ht="14.4" hidden="1" outlineLevel="1" x14ac:dyDescent="0.3">
      <c r="A266" s="3"/>
      <c r="B266" s="9" t="s">
        <v>354</v>
      </c>
      <c r="C266" s="53"/>
      <c r="D266" s="53"/>
      <c r="E266" s="11">
        <v>0</v>
      </c>
      <c r="F266" s="11">
        <v>0</v>
      </c>
      <c r="G266" s="56"/>
      <c r="H266" s="56"/>
      <c r="I266" s="102"/>
      <c r="J266" s="56"/>
      <c r="K266" s="28"/>
      <c r="L266" s="28"/>
      <c r="M266" s="28"/>
      <c r="N266" s="28"/>
      <c r="O266" s="28"/>
      <c r="P266" s="28"/>
      <c r="Q266" s="28"/>
      <c r="R266" s="28"/>
      <c r="S266" s="28"/>
      <c r="T266" s="28"/>
      <c r="U266" s="3"/>
      <c r="W266" s="3"/>
      <c r="X266" s="3"/>
      <c r="Y266" s="3"/>
      <c r="Z266" s="3"/>
    </row>
    <row r="267" spans="1:26" ht="14.4" hidden="1" outlineLevel="1" x14ac:dyDescent="0.3">
      <c r="A267" s="3"/>
      <c r="B267" s="9" t="s">
        <v>355</v>
      </c>
      <c r="C267" s="53"/>
      <c r="D267" s="53"/>
      <c r="E267" s="11">
        <v>0</v>
      </c>
      <c r="F267" s="11">
        <v>0</v>
      </c>
      <c r="G267" s="56"/>
      <c r="H267" s="56"/>
      <c r="I267" s="102"/>
      <c r="J267" s="56"/>
      <c r="K267" s="28"/>
      <c r="L267" s="28"/>
      <c r="M267" s="28"/>
      <c r="N267" s="28"/>
      <c r="O267" s="28"/>
      <c r="P267" s="28"/>
      <c r="Q267" s="28"/>
      <c r="R267" s="28"/>
      <c r="S267" s="28"/>
      <c r="T267" s="28"/>
      <c r="U267" s="3"/>
      <c r="W267" s="3"/>
      <c r="X267" s="3"/>
      <c r="Y267" s="3"/>
      <c r="Z267" s="3"/>
    </row>
    <row r="268" spans="1:26" ht="14.4" hidden="1" outlineLevel="1" x14ac:dyDescent="0.3">
      <c r="A268" s="3"/>
      <c r="B268" s="9" t="s">
        <v>356</v>
      </c>
      <c r="C268" s="53"/>
      <c r="D268" s="53"/>
      <c r="E268" s="11">
        <v>0</v>
      </c>
      <c r="F268" s="11">
        <v>0</v>
      </c>
      <c r="G268" s="56"/>
      <c r="H268" s="56"/>
      <c r="I268" s="102"/>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370</v>
      </c>
      <c r="C269" s="53"/>
      <c r="D269" s="53"/>
      <c r="E269" s="11">
        <v>0</v>
      </c>
      <c r="F269" s="11">
        <v>0</v>
      </c>
      <c r="G269" s="56"/>
      <c r="H269" s="56"/>
      <c r="I269" s="102"/>
      <c r="J269" s="56"/>
      <c r="K269" s="28"/>
      <c r="L269" s="28"/>
      <c r="M269" s="28"/>
      <c r="N269" s="28"/>
      <c r="O269" s="28"/>
      <c r="P269" s="28"/>
      <c r="Q269" s="28"/>
      <c r="R269" s="28"/>
      <c r="S269" s="28"/>
      <c r="T269" s="28"/>
      <c r="U269" s="3"/>
      <c r="W269" s="3"/>
      <c r="X269" s="3"/>
      <c r="Y269" s="3"/>
      <c r="Z269" s="3"/>
    </row>
    <row r="270" spans="1:26" ht="14.4" hidden="1" outlineLevel="1" x14ac:dyDescent="0.3">
      <c r="A270" s="3"/>
      <c r="B270" s="9" t="s">
        <v>328</v>
      </c>
      <c r="C270" s="53"/>
      <c r="D270" s="53"/>
      <c r="E270" s="11">
        <v>0</v>
      </c>
      <c r="F270" s="11">
        <v>0</v>
      </c>
      <c r="G270" s="56"/>
      <c r="H270" s="56"/>
      <c r="I270" s="102"/>
      <c r="J270" s="56"/>
      <c r="K270" s="28"/>
      <c r="L270" s="28"/>
      <c r="M270" s="28"/>
      <c r="N270" s="28"/>
      <c r="O270" s="28"/>
      <c r="P270" s="28"/>
      <c r="Q270" s="28"/>
      <c r="R270" s="28"/>
      <c r="S270" s="28"/>
      <c r="T270" s="28"/>
      <c r="U270" s="3"/>
      <c r="W270" s="3"/>
      <c r="X270" s="3"/>
      <c r="Y270" s="3"/>
      <c r="Z270" s="3"/>
    </row>
    <row r="271" spans="1:26" ht="14.4" hidden="1" outlineLevel="1" x14ac:dyDescent="0.3">
      <c r="A271" s="3"/>
      <c r="B271" s="9" t="s">
        <v>329</v>
      </c>
      <c r="C271" s="53"/>
      <c r="D271" s="53"/>
      <c r="E271" s="11">
        <v>0</v>
      </c>
      <c r="F271" s="11">
        <v>0</v>
      </c>
      <c r="G271" s="56"/>
      <c r="H271" s="56"/>
      <c r="I271" s="102"/>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371</v>
      </c>
      <c r="C272" s="53"/>
      <c r="D272" s="53"/>
      <c r="E272" s="11">
        <v>0</v>
      </c>
      <c r="F272" s="11">
        <v>0</v>
      </c>
      <c r="G272" s="56"/>
      <c r="H272" s="56"/>
      <c r="I272" s="102"/>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372</v>
      </c>
      <c r="C273" s="53"/>
      <c r="D273" s="53"/>
      <c r="E273" s="11">
        <v>0</v>
      </c>
      <c r="F273" s="11">
        <v>0</v>
      </c>
      <c r="G273" s="56"/>
      <c r="H273" s="56"/>
      <c r="I273" s="102"/>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373</v>
      </c>
      <c r="C274" s="53"/>
      <c r="D274" s="53"/>
      <c r="E274" s="11">
        <v>0</v>
      </c>
      <c r="F274" s="11">
        <v>0</v>
      </c>
      <c r="G274" s="56"/>
      <c r="H274" s="56"/>
      <c r="I274" s="80"/>
      <c r="J274" s="56"/>
      <c r="K274" s="28"/>
      <c r="L274" s="28"/>
      <c r="M274" s="28"/>
      <c r="N274" s="28"/>
      <c r="O274" s="28"/>
      <c r="P274" s="28"/>
      <c r="Q274" s="28"/>
      <c r="R274" s="28"/>
      <c r="S274" s="28"/>
      <c r="T274" s="28"/>
      <c r="U274" s="3"/>
      <c r="W274" s="3"/>
      <c r="X274" s="3"/>
      <c r="Y274" s="3"/>
      <c r="Z274" s="3"/>
    </row>
    <row r="275" spans="1:26" hidden="1" outlineLevel="1" x14ac:dyDescent="0.3">
      <c r="A275" s="3"/>
      <c r="B275" s="82" t="s">
        <v>1025</v>
      </c>
      <c r="C275" s="83"/>
      <c r="D275" s="83"/>
      <c r="E275" s="84">
        <f>SUM(E276:E284)</f>
        <v>0</v>
      </c>
      <c r="F275" s="84">
        <f>SUMIF(D276:D284,"OK",F276:F284)</f>
        <v>0</v>
      </c>
      <c r="G275" s="85"/>
      <c r="H275" s="85"/>
      <c r="I275" s="86"/>
      <c r="J275" s="85"/>
      <c r="K275" s="28"/>
      <c r="L275" s="28"/>
      <c r="M275" s="28"/>
      <c r="N275" s="28"/>
      <c r="O275" s="28"/>
      <c r="P275" s="28"/>
      <c r="Q275" s="28"/>
      <c r="R275" s="28"/>
      <c r="S275" s="28"/>
      <c r="T275" s="28"/>
      <c r="U275" s="3"/>
      <c r="W275" s="3"/>
      <c r="X275" s="3"/>
      <c r="Y275" s="3"/>
      <c r="Z275" s="3"/>
    </row>
    <row r="276" spans="1:26" ht="14.4" hidden="1" outlineLevel="1" x14ac:dyDescent="0.3">
      <c r="A276" s="3"/>
      <c r="B276" s="9" t="s">
        <v>1026</v>
      </c>
      <c r="C276" s="53"/>
      <c r="D276" s="53"/>
      <c r="E276" s="11">
        <v>0</v>
      </c>
      <c r="F276" s="11">
        <v>0</v>
      </c>
      <c r="G276" s="56"/>
      <c r="H276" s="56"/>
      <c r="I276" s="80"/>
      <c r="J276" s="56"/>
      <c r="K276" s="28"/>
      <c r="L276" s="28"/>
      <c r="M276" s="28"/>
      <c r="N276" s="28"/>
      <c r="O276" s="28"/>
      <c r="P276" s="28"/>
      <c r="Q276" s="28"/>
      <c r="R276" s="28"/>
      <c r="S276" s="28"/>
      <c r="T276" s="28"/>
      <c r="U276" s="3"/>
      <c r="W276" s="3"/>
      <c r="X276" s="3"/>
      <c r="Y276" s="3"/>
      <c r="Z276" s="3"/>
    </row>
    <row r="277" spans="1:26" ht="14.4" hidden="1" outlineLevel="1" x14ac:dyDescent="0.3">
      <c r="A277" s="3"/>
      <c r="B277" s="9" t="s">
        <v>355</v>
      </c>
      <c r="C277" s="53"/>
      <c r="D277" s="53"/>
      <c r="E277" s="11">
        <v>0</v>
      </c>
      <c r="F277" s="11">
        <v>0</v>
      </c>
      <c r="G277" s="56"/>
      <c r="H277" s="56"/>
      <c r="I277" s="80"/>
      <c r="J277" s="56"/>
      <c r="K277" s="28"/>
      <c r="L277" s="28"/>
      <c r="M277" s="28"/>
      <c r="N277" s="28"/>
      <c r="O277" s="28"/>
      <c r="P277" s="28"/>
      <c r="Q277" s="28"/>
      <c r="R277" s="28"/>
      <c r="S277" s="28"/>
      <c r="T277" s="28"/>
      <c r="U277" s="3"/>
      <c r="W277" s="3"/>
      <c r="X277" s="3"/>
      <c r="Y277" s="3"/>
      <c r="Z277" s="3"/>
    </row>
    <row r="278" spans="1:26" ht="14.4" hidden="1" outlineLevel="1" x14ac:dyDescent="0.3">
      <c r="A278" s="3"/>
      <c r="B278" s="9" t="s">
        <v>356</v>
      </c>
      <c r="C278" s="53"/>
      <c r="D278" s="53"/>
      <c r="E278" s="11">
        <v>0</v>
      </c>
      <c r="F278" s="11">
        <v>0</v>
      </c>
      <c r="G278" s="56"/>
      <c r="H278" s="56"/>
      <c r="I278" s="80"/>
      <c r="J278" s="56"/>
      <c r="K278" s="28"/>
      <c r="L278" s="28"/>
      <c r="M278" s="28"/>
      <c r="N278" s="28"/>
      <c r="O278" s="28"/>
      <c r="P278" s="28"/>
      <c r="Q278" s="28"/>
      <c r="R278" s="28"/>
      <c r="S278" s="28"/>
      <c r="T278" s="28"/>
      <c r="U278" s="3"/>
      <c r="W278" s="3"/>
      <c r="X278" s="3"/>
      <c r="Y278" s="3"/>
      <c r="Z278" s="3"/>
    </row>
    <row r="279" spans="1:26" ht="14.4" hidden="1" outlineLevel="1" x14ac:dyDescent="0.3">
      <c r="A279" s="3"/>
      <c r="B279" s="9" t="s">
        <v>370</v>
      </c>
      <c r="C279" s="53"/>
      <c r="D279" s="53"/>
      <c r="E279" s="11">
        <v>0</v>
      </c>
      <c r="F279" s="11">
        <v>0</v>
      </c>
      <c r="G279" s="56"/>
      <c r="H279" s="56"/>
      <c r="I279" s="80"/>
      <c r="J279" s="56"/>
      <c r="K279" s="28"/>
      <c r="L279" s="28"/>
      <c r="M279" s="28"/>
      <c r="N279" s="28"/>
      <c r="O279" s="28"/>
      <c r="P279" s="28"/>
      <c r="Q279" s="28"/>
      <c r="R279" s="28"/>
      <c r="S279" s="28"/>
      <c r="T279" s="28"/>
      <c r="U279" s="3"/>
      <c r="W279" s="3"/>
      <c r="X279" s="3"/>
      <c r="Y279" s="3"/>
      <c r="Z279" s="3"/>
    </row>
    <row r="280" spans="1:26" ht="14.4" hidden="1" outlineLevel="1" x14ac:dyDescent="0.3">
      <c r="A280" s="3"/>
      <c r="B280" s="9" t="s">
        <v>328</v>
      </c>
      <c r="C280" s="53"/>
      <c r="D280" s="53"/>
      <c r="E280" s="11">
        <v>0</v>
      </c>
      <c r="F280" s="11">
        <v>0</v>
      </c>
      <c r="G280" s="56"/>
      <c r="H280" s="56"/>
      <c r="I280" s="80"/>
      <c r="J280" s="56"/>
      <c r="K280" s="28"/>
      <c r="L280" s="28"/>
      <c r="M280" s="28"/>
      <c r="N280" s="28"/>
      <c r="O280" s="28"/>
      <c r="P280" s="28"/>
      <c r="Q280" s="28"/>
      <c r="R280" s="28"/>
      <c r="S280" s="28"/>
      <c r="T280" s="28"/>
      <c r="U280" s="3"/>
      <c r="W280" s="3"/>
      <c r="X280" s="3"/>
      <c r="Y280" s="3"/>
      <c r="Z280" s="3"/>
    </row>
    <row r="281" spans="1:26" ht="14.4" hidden="1" outlineLevel="1" x14ac:dyDescent="0.3">
      <c r="A281" s="3"/>
      <c r="B281" s="9" t="s">
        <v>329</v>
      </c>
      <c r="C281" s="53"/>
      <c r="D281" s="53"/>
      <c r="E281" s="11">
        <v>0</v>
      </c>
      <c r="F281" s="11">
        <v>0</v>
      </c>
      <c r="G281" s="56"/>
      <c r="H281" s="56"/>
      <c r="I281" s="80"/>
      <c r="J281" s="56"/>
      <c r="K281" s="28"/>
      <c r="L281" s="28"/>
      <c r="M281" s="28"/>
      <c r="N281" s="28"/>
      <c r="O281" s="28"/>
      <c r="P281" s="28"/>
      <c r="Q281" s="28"/>
      <c r="R281" s="28"/>
      <c r="S281" s="28"/>
      <c r="T281" s="28"/>
      <c r="U281" s="3"/>
      <c r="W281" s="3"/>
      <c r="X281" s="3"/>
      <c r="Y281" s="3"/>
      <c r="Z281" s="3"/>
    </row>
    <row r="282" spans="1:26" ht="14.4" hidden="1" outlineLevel="1" x14ac:dyDescent="0.3">
      <c r="A282" s="3"/>
      <c r="B282" s="9" t="s">
        <v>371</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ht="14.4" hidden="1" outlineLevel="1" x14ac:dyDescent="0.3">
      <c r="A283" s="3"/>
      <c r="B283" s="9" t="s">
        <v>372</v>
      </c>
      <c r="C283" s="53"/>
      <c r="D283" s="53"/>
      <c r="E283" s="11">
        <v>0</v>
      </c>
      <c r="F283" s="11">
        <v>0</v>
      </c>
      <c r="G283" s="56"/>
      <c r="H283" s="56"/>
      <c r="I283" s="80"/>
      <c r="J283" s="56"/>
      <c r="K283" s="28"/>
      <c r="L283" s="28"/>
      <c r="M283" s="28"/>
      <c r="N283" s="28"/>
      <c r="O283" s="28"/>
      <c r="P283" s="28"/>
      <c r="Q283" s="28"/>
      <c r="R283" s="28"/>
      <c r="S283" s="28"/>
      <c r="T283" s="28"/>
      <c r="U283" s="3"/>
      <c r="W283" s="3"/>
      <c r="X283" s="3"/>
      <c r="Y283" s="3"/>
      <c r="Z283" s="3"/>
    </row>
    <row r="284" spans="1:26" ht="14.4" hidden="1" outlineLevel="1" x14ac:dyDescent="0.3">
      <c r="A284" s="3"/>
      <c r="B284" s="9" t="s">
        <v>373</v>
      </c>
      <c r="C284" s="53"/>
      <c r="D284" s="53"/>
      <c r="E284" s="11">
        <v>0</v>
      </c>
      <c r="F284" s="11">
        <v>0</v>
      </c>
      <c r="G284" s="56"/>
      <c r="H284" s="56"/>
      <c r="I284" s="80"/>
      <c r="J284" s="56"/>
      <c r="K284" s="28"/>
      <c r="L284" s="28"/>
      <c r="M284" s="28"/>
      <c r="N284" s="28"/>
      <c r="O284" s="28"/>
      <c r="P284" s="28"/>
      <c r="Q284" s="28"/>
      <c r="R284" s="28"/>
      <c r="S284" s="28"/>
      <c r="T284" s="28"/>
      <c r="U284" s="3"/>
      <c r="W284" s="3"/>
      <c r="X284" s="3"/>
      <c r="Y284" s="3"/>
      <c r="Z284" s="3"/>
    </row>
    <row r="285" spans="1:26" hidden="1" outlineLevel="1" x14ac:dyDescent="0.3">
      <c r="A285" s="3"/>
      <c r="B285" s="82" t="s">
        <v>65</v>
      </c>
      <c r="C285" s="83"/>
      <c r="D285" s="83"/>
      <c r="E285" s="84">
        <f>SUM(E286:E294)</f>
        <v>0</v>
      </c>
      <c r="F285" s="84">
        <f>SUMIF(D286:D294,"OK",F286:F294)</f>
        <v>0</v>
      </c>
      <c r="G285" s="85"/>
      <c r="H285" s="85"/>
      <c r="I285" s="86"/>
      <c r="J285" s="85"/>
      <c r="K285" s="28"/>
      <c r="L285" s="28"/>
      <c r="M285" s="28"/>
      <c r="N285" s="28"/>
      <c r="O285" s="28"/>
      <c r="P285" s="28"/>
      <c r="Q285" s="28"/>
      <c r="R285" s="28"/>
      <c r="S285" s="28"/>
      <c r="T285" s="28"/>
      <c r="U285" s="3"/>
      <c r="W285" s="3"/>
      <c r="X285" s="3"/>
      <c r="Y285" s="3"/>
      <c r="Z285" s="3"/>
    </row>
    <row r="286" spans="1:26" ht="14.4" hidden="1" outlineLevel="1" x14ac:dyDescent="0.3">
      <c r="A286" s="3"/>
      <c r="B286" s="9" t="s">
        <v>1150</v>
      </c>
      <c r="C286" s="53"/>
      <c r="D286" s="53"/>
      <c r="E286" s="11">
        <v>0</v>
      </c>
      <c r="F286" s="11">
        <v>0</v>
      </c>
      <c r="G286" s="56"/>
      <c r="H286" s="56"/>
      <c r="I286" s="102"/>
      <c r="J286" s="56"/>
      <c r="K286" s="28"/>
      <c r="L286" s="28"/>
      <c r="M286" s="28"/>
      <c r="N286" s="28"/>
      <c r="O286" s="28"/>
      <c r="P286" s="28"/>
      <c r="Q286" s="28"/>
      <c r="R286" s="28"/>
      <c r="S286" s="28"/>
      <c r="T286" s="28"/>
      <c r="U286" s="3"/>
      <c r="W286" s="3"/>
      <c r="X286" s="3"/>
      <c r="Y286" s="3"/>
      <c r="Z286" s="3"/>
    </row>
    <row r="287" spans="1:26" ht="14.4" hidden="1" outlineLevel="1" x14ac:dyDescent="0.3">
      <c r="A287" s="3"/>
      <c r="B287" s="9" t="s">
        <v>355</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4.4" hidden="1" outlineLevel="1" x14ac:dyDescent="0.3">
      <c r="A288" s="3"/>
      <c r="B288" s="9" t="s">
        <v>356</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4.4" hidden="1" outlineLevel="1" x14ac:dyDescent="0.3">
      <c r="A289" s="3"/>
      <c r="B289" s="9" t="s">
        <v>370</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4.4" hidden="1" outlineLevel="1" x14ac:dyDescent="0.3">
      <c r="A290" s="3"/>
      <c r="B290" s="9" t="s">
        <v>328</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t="14.4" hidden="1" outlineLevel="1" x14ac:dyDescent="0.3">
      <c r="A291" s="3"/>
      <c r="B291" s="9" t="s">
        <v>329</v>
      </c>
      <c r="C291" s="53"/>
      <c r="D291" s="53"/>
      <c r="E291" s="11">
        <v>0</v>
      </c>
      <c r="F291" s="11">
        <v>0</v>
      </c>
      <c r="G291" s="56"/>
      <c r="H291" s="56"/>
      <c r="I291" s="80"/>
      <c r="J291" s="56"/>
      <c r="K291" s="28"/>
      <c r="L291" s="28"/>
      <c r="M291" s="28"/>
      <c r="N291" s="28"/>
      <c r="O291" s="28"/>
      <c r="P291" s="28"/>
      <c r="Q291" s="28"/>
      <c r="R291" s="28"/>
      <c r="S291" s="28"/>
      <c r="T291" s="28"/>
      <c r="U291" s="3"/>
      <c r="W291" s="3"/>
      <c r="X291" s="3"/>
      <c r="Y291" s="3"/>
      <c r="Z291" s="3"/>
    </row>
    <row r="292" spans="1:26" ht="14.4" hidden="1" outlineLevel="1" x14ac:dyDescent="0.3">
      <c r="A292" s="3"/>
      <c r="B292" s="9" t="s">
        <v>371</v>
      </c>
      <c r="C292" s="53"/>
      <c r="D292" s="53"/>
      <c r="E292" s="11">
        <v>0</v>
      </c>
      <c r="F292" s="11">
        <v>0</v>
      </c>
      <c r="G292" s="56"/>
      <c r="H292" s="56"/>
      <c r="I292" s="80"/>
      <c r="J292" s="56"/>
      <c r="K292" s="28"/>
      <c r="L292" s="28"/>
      <c r="M292" s="28"/>
      <c r="N292" s="28"/>
      <c r="O292" s="28"/>
      <c r="P292" s="28"/>
      <c r="Q292" s="28"/>
      <c r="R292" s="28"/>
      <c r="S292" s="28"/>
      <c r="T292" s="28"/>
      <c r="U292" s="3"/>
      <c r="W292" s="3"/>
      <c r="X292" s="3"/>
      <c r="Y292" s="3"/>
      <c r="Z292" s="3"/>
    </row>
    <row r="293" spans="1:26" ht="14.4" hidden="1" outlineLevel="1" x14ac:dyDescent="0.3">
      <c r="A293" s="3"/>
      <c r="B293" s="9" t="s">
        <v>372</v>
      </c>
      <c r="C293" s="53"/>
      <c r="D293" s="53"/>
      <c r="E293" s="11">
        <v>0</v>
      </c>
      <c r="F293" s="11">
        <v>0</v>
      </c>
      <c r="G293" s="56"/>
      <c r="H293" s="56"/>
      <c r="I293" s="80"/>
      <c r="J293" s="56"/>
      <c r="K293" s="28"/>
      <c r="L293" s="28"/>
      <c r="M293" s="28"/>
      <c r="N293" s="28"/>
      <c r="O293" s="28"/>
      <c r="P293" s="28"/>
      <c r="Q293" s="28"/>
      <c r="R293" s="28"/>
      <c r="S293" s="28"/>
      <c r="T293" s="28"/>
      <c r="U293" s="3"/>
      <c r="W293" s="3"/>
      <c r="X293" s="3"/>
      <c r="Y293" s="3"/>
      <c r="Z293" s="3"/>
    </row>
    <row r="294" spans="1:26" ht="14.4" hidden="1" outlineLevel="1" x14ac:dyDescent="0.3">
      <c r="A294" s="3"/>
      <c r="B294" s="9" t="s">
        <v>373</v>
      </c>
      <c r="C294" s="53"/>
      <c r="D294" s="53"/>
      <c r="E294" s="11">
        <v>0</v>
      </c>
      <c r="F294" s="11">
        <v>0</v>
      </c>
      <c r="G294" s="56"/>
      <c r="H294" s="56"/>
      <c r="I294" s="80"/>
      <c r="J294" s="56"/>
      <c r="K294" s="28"/>
      <c r="L294" s="28"/>
      <c r="M294" s="28"/>
      <c r="N294" s="28"/>
      <c r="O294" s="28"/>
      <c r="P294" s="28"/>
      <c r="Q294" s="28"/>
      <c r="R294" s="28"/>
      <c r="S294" s="28"/>
      <c r="T294" s="28"/>
      <c r="U294" s="3"/>
      <c r="W294" s="3"/>
      <c r="X294" s="3"/>
      <c r="Y294" s="3"/>
      <c r="Z294" s="3"/>
    </row>
    <row r="295" spans="1:26" hidden="1" outlineLevel="1" x14ac:dyDescent="0.3">
      <c r="A295" s="3"/>
      <c r="B295" s="82" t="s">
        <v>690</v>
      </c>
      <c r="C295" s="83"/>
      <c r="D295" s="83"/>
      <c r="E295" s="84">
        <f>SUM(E296:E304)</f>
        <v>0</v>
      </c>
      <c r="F295" s="84">
        <f>SUMIF(D296:D304,"OK",F296:F304)</f>
        <v>0</v>
      </c>
      <c r="G295" s="85"/>
      <c r="H295" s="85"/>
      <c r="I295" s="86"/>
      <c r="J295" s="85"/>
      <c r="K295" s="28"/>
      <c r="L295" s="28"/>
      <c r="M295" s="28"/>
      <c r="N295" s="28"/>
      <c r="O295" s="28"/>
      <c r="P295" s="28"/>
      <c r="Q295" s="28"/>
      <c r="R295" s="28"/>
      <c r="S295" s="28"/>
      <c r="T295" s="28"/>
      <c r="U295" s="3"/>
      <c r="W295" s="3"/>
      <c r="X295" s="3"/>
      <c r="Y295" s="3"/>
      <c r="Z295" s="3"/>
    </row>
    <row r="296" spans="1:26" ht="14.4" hidden="1" outlineLevel="1" x14ac:dyDescent="0.3">
      <c r="A296" s="3"/>
      <c r="B296" s="9" t="s">
        <v>1151</v>
      </c>
      <c r="C296" s="53"/>
      <c r="D296" s="53"/>
      <c r="E296" s="11">
        <v>0</v>
      </c>
      <c r="F296" s="11">
        <v>0</v>
      </c>
      <c r="G296" s="56"/>
      <c r="H296" s="56"/>
      <c r="I296" s="102"/>
      <c r="J296" s="56"/>
      <c r="K296" s="28"/>
      <c r="L296" s="28"/>
      <c r="M296" s="28"/>
      <c r="N296" s="28"/>
      <c r="O296" s="28"/>
      <c r="P296" s="28"/>
      <c r="Q296" s="28"/>
      <c r="R296" s="28"/>
      <c r="S296" s="28"/>
      <c r="T296" s="28"/>
      <c r="U296" s="3"/>
      <c r="W296" s="3"/>
      <c r="X296" s="3"/>
      <c r="Y296" s="3"/>
      <c r="Z296" s="3"/>
    </row>
    <row r="297" spans="1:26" ht="14.4" hidden="1" outlineLevel="1" x14ac:dyDescent="0.3">
      <c r="A297" s="3"/>
      <c r="B297" s="9" t="s">
        <v>1151</v>
      </c>
      <c r="C297" s="53"/>
      <c r="D297" s="53"/>
      <c r="E297" s="11">
        <v>0</v>
      </c>
      <c r="F297" s="11">
        <v>0</v>
      </c>
      <c r="G297" s="56"/>
      <c r="H297" s="56"/>
      <c r="I297" s="102"/>
      <c r="J297" s="56"/>
      <c r="K297" s="28"/>
      <c r="L297" s="28"/>
      <c r="M297" s="28"/>
      <c r="N297" s="28"/>
      <c r="O297" s="28"/>
      <c r="P297" s="28"/>
      <c r="Q297" s="28"/>
      <c r="R297" s="28"/>
      <c r="S297" s="28"/>
      <c r="T297" s="28"/>
      <c r="U297" s="3"/>
      <c r="W297" s="3"/>
      <c r="X297" s="3"/>
      <c r="Y297" s="3"/>
      <c r="Z297" s="3"/>
    </row>
    <row r="298" spans="1:26" ht="14.4" hidden="1" outlineLevel="1" x14ac:dyDescent="0.3">
      <c r="A298" s="3"/>
      <c r="B298" s="9" t="s">
        <v>356</v>
      </c>
      <c r="C298" s="53"/>
      <c r="D298" s="53"/>
      <c r="E298" s="11">
        <v>0</v>
      </c>
      <c r="F298" s="11">
        <v>0</v>
      </c>
      <c r="G298" s="56"/>
      <c r="H298" s="56"/>
      <c r="I298" s="80"/>
      <c r="J298" s="56"/>
      <c r="K298" s="28"/>
      <c r="L298" s="28"/>
      <c r="M298" s="28"/>
      <c r="N298" s="28"/>
      <c r="O298" s="28"/>
      <c r="P298" s="28"/>
      <c r="Q298" s="28"/>
      <c r="R298" s="28"/>
      <c r="S298" s="28"/>
      <c r="T298" s="28"/>
      <c r="U298" s="3"/>
      <c r="W298" s="3"/>
      <c r="X298" s="3"/>
      <c r="Y298" s="3"/>
      <c r="Z298" s="3"/>
    </row>
    <row r="299" spans="1:26" ht="14.4" hidden="1" outlineLevel="1" x14ac:dyDescent="0.3">
      <c r="A299" s="3"/>
      <c r="B299" s="9" t="s">
        <v>370</v>
      </c>
      <c r="C299" s="53"/>
      <c r="D299" s="53"/>
      <c r="E299" s="11">
        <v>0</v>
      </c>
      <c r="F299" s="11">
        <v>0</v>
      </c>
      <c r="G299" s="56"/>
      <c r="H299" s="56"/>
      <c r="I299" s="80"/>
      <c r="J299" s="56"/>
      <c r="K299" s="28"/>
      <c r="L299" s="28"/>
      <c r="M299" s="28"/>
      <c r="N299" s="28"/>
      <c r="O299" s="28"/>
      <c r="P299" s="28"/>
      <c r="Q299" s="28"/>
      <c r="R299" s="28"/>
      <c r="S299" s="28"/>
      <c r="T299" s="28"/>
      <c r="U299" s="3"/>
      <c r="W299" s="3"/>
      <c r="X299" s="3"/>
      <c r="Y299" s="3"/>
      <c r="Z299" s="3"/>
    </row>
    <row r="300" spans="1:26" ht="14.4" hidden="1" outlineLevel="1" x14ac:dyDescent="0.3">
      <c r="A300" s="3"/>
      <c r="B300" s="9" t="s">
        <v>328</v>
      </c>
      <c r="C300" s="53"/>
      <c r="D300" s="53"/>
      <c r="E300" s="11">
        <v>0</v>
      </c>
      <c r="F300" s="11">
        <v>0</v>
      </c>
      <c r="G300" s="56"/>
      <c r="H300" s="56"/>
      <c r="I300" s="80"/>
      <c r="J300" s="56"/>
      <c r="K300" s="28"/>
      <c r="L300" s="28"/>
      <c r="M300" s="28"/>
      <c r="N300" s="28"/>
      <c r="O300" s="28"/>
      <c r="P300" s="28"/>
      <c r="Q300" s="28"/>
      <c r="R300" s="28"/>
      <c r="S300" s="28"/>
      <c r="T300" s="28"/>
      <c r="U300" s="3"/>
      <c r="W300" s="3"/>
      <c r="X300" s="3"/>
      <c r="Y300" s="3"/>
      <c r="Z300" s="3"/>
    </row>
    <row r="301" spans="1:26" ht="14.4" hidden="1" outlineLevel="1" x14ac:dyDescent="0.3">
      <c r="A301" s="3"/>
      <c r="B301" s="9" t="s">
        <v>329</v>
      </c>
      <c r="C301" s="53"/>
      <c r="D301" s="53"/>
      <c r="E301" s="11">
        <v>0</v>
      </c>
      <c r="F301" s="11">
        <v>0</v>
      </c>
      <c r="G301" s="56"/>
      <c r="H301" s="56"/>
      <c r="I301" s="80"/>
      <c r="J301" s="56"/>
      <c r="K301" s="28"/>
      <c r="L301" s="28"/>
      <c r="M301" s="28"/>
      <c r="N301" s="28"/>
      <c r="O301" s="28"/>
      <c r="P301" s="28"/>
      <c r="Q301" s="28"/>
      <c r="R301" s="28"/>
      <c r="S301" s="28"/>
      <c r="T301" s="28"/>
      <c r="U301" s="3"/>
      <c r="W301" s="3"/>
      <c r="X301" s="3"/>
      <c r="Y301" s="3"/>
      <c r="Z301" s="3"/>
    </row>
    <row r="302" spans="1:26" ht="14.4" hidden="1" outlineLevel="1" x14ac:dyDescent="0.3">
      <c r="A302" s="3"/>
      <c r="B302" s="9" t="s">
        <v>371</v>
      </c>
      <c r="C302" s="53"/>
      <c r="D302" s="53"/>
      <c r="E302" s="11">
        <v>0</v>
      </c>
      <c r="F302" s="11">
        <v>0</v>
      </c>
      <c r="G302" s="56"/>
      <c r="H302" s="56"/>
      <c r="I302" s="80"/>
      <c r="J302" s="56"/>
      <c r="K302" s="28"/>
      <c r="L302" s="28"/>
      <c r="M302" s="28"/>
      <c r="N302" s="28"/>
      <c r="O302" s="28"/>
      <c r="P302" s="28"/>
      <c r="Q302" s="28"/>
      <c r="R302" s="28"/>
      <c r="S302" s="28"/>
      <c r="T302" s="28"/>
      <c r="U302" s="3"/>
      <c r="W302" s="3"/>
      <c r="X302" s="3"/>
      <c r="Y302" s="3"/>
      <c r="Z302" s="3"/>
    </row>
    <row r="303" spans="1:26" ht="14.4" hidden="1" outlineLevel="1" x14ac:dyDescent="0.3">
      <c r="A303" s="3"/>
      <c r="B303" s="9" t="s">
        <v>372</v>
      </c>
      <c r="C303" s="53"/>
      <c r="D303" s="53"/>
      <c r="E303" s="11">
        <v>0</v>
      </c>
      <c r="F303" s="11">
        <v>0</v>
      </c>
      <c r="G303" s="56"/>
      <c r="H303" s="56"/>
      <c r="I303" s="80"/>
      <c r="J303" s="56"/>
      <c r="K303" s="28"/>
      <c r="L303" s="28"/>
      <c r="M303" s="28"/>
      <c r="N303" s="28"/>
      <c r="O303" s="28"/>
      <c r="P303" s="28"/>
      <c r="Q303" s="28"/>
      <c r="R303" s="28"/>
      <c r="S303" s="28"/>
      <c r="T303" s="28"/>
      <c r="U303" s="3"/>
      <c r="W303" s="3"/>
      <c r="X303" s="3"/>
      <c r="Y303" s="3"/>
      <c r="Z303" s="3"/>
    </row>
    <row r="304" spans="1:26" ht="14.4" hidden="1" outlineLevel="1" x14ac:dyDescent="0.3">
      <c r="A304" s="3"/>
      <c r="B304" s="9" t="s">
        <v>373</v>
      </c>
      <c r="C304" s="53"/>
      <c r="D304" s="53"/>
      <c r="E304" s="11">
        <v>0</v>
      </c>
      <c r="F304" s="11">
        <v>0</v>
      </c>
      <c r="G304" s="56"/>
      <c r="H304" s="56"/>
      <c r="I304" s="80"/>
      <c r="J304" s="56"/>
      <c r="K304" s="28"/>
      <c r="L304" s="28"/>
      <c r="M304" s="28"/>
      <c r="N304" s="28"/>
      <c r="O304" s="28"/>
      <c r="P304" s="28"/>
      <c r="Q304" s="28"/>
      <c r="R304" s="28"/>
      <c r="S304" s="28"/>
      <c r="T304" s="28"/>
      <c r="U304" s="3"/>
      <c r="W304" s="3"/>
      <c r="X304" s="3"/>
      <c r="Y304" s="3"/>
      <c r="Z304" s="3"/>
    </row>
    <row r="305" spans="1:26" ht="20.399999999999999" collapsed="1" x14ac:dyDescent="0.3">
      <c r="A305" s="3"/>
      <c r="B305" s="75" t="s">
        <v>412</v>
      </c>
      <c r="C305" s="76" t="s">
        <v>44</v>
      </c>
      <c r="D305" s="76" t="s">
        <v>44</v>
      </c>
      <c r="E305" s="77">
        <f>SUM(E306:E320)</f>
        <v>0</v>
      </c>
      <c r="F305" s="77">
        <f>SUMIF(D306:D320,"OK",F306:F320)</f>
        <v>227.5</v>
      </c>
      <c r="G305" s="78"/>
      <c r="H305" s="78"/>
      <c r="I305" s="79"/>
      <c r="J305" s="78"/>
      <c r="K305" s="28"/>
      <c r="L305" s="28"/>
      <c r="M305" s="28"/>
      <c r="N305" s="28"/>
      <c r="O305" s="28"/>
      <c r="P305" s="28"/>
      <c r="Q305" s="28"/>
      <c r="R305" s="28"/>
      <c r="S305" s="28"/>
      <c r="T305" s="28"/>
      <c r="U305" s="3"/>
      <c r="W305" s="3"/>
      <c r="X305" s="3"/>
      <c r="Y305" s="3"/>
      <c r="Z305" s="3"/>
    </row>
    <row r="306" spans="1:26" ht="15.75" hidden="1" customHeight="1" outlineLevel="1" x14ac:dyDescent="0.3">
      <c r="A306" s="3"/>
      <c r="B306" s="9" t="s">
        <v>413</v>
      </c>
      <c r="C306" s="53"/>
      <c r="D306" s="53"/>
      <c r="E306" s="11">
        <v>0</v>
      </c>
      <c r="F306" s="11">
        <v>0</v>
      </c>
      <c r="G306" s="56"/>
      <c r="H306" s="56"/>
      <c r="I306" s="80"/>
      <c r="J306" s="56"/>
      <c r="K306" s="28"/>
      <c r="L306" s="28"/>
      <c r="M306" s="28"/>
      <c r="N306" s="28"/>
      <c r="O306" s="28"/>
      <c r="P306" s="28"/>
      <c r="Q306" s="28"/>
      <c r="R306" s="28"/>
      <c r="S306" s="28"/>
      <c r="T306" s="28"/>
      <c r="U306" s="3"/>
      <c r="W306" s="3"/>
      <c r="X306" s="3"/>
      <c r="Y306" s="3"/>
      <c r="Z306" s="3"/>
    </row>
    <row r="307" spans="1:26" ht="15.75" hidden="1" customHeight="1" outlineLevel="1" x14ac:dyDescent="0.3">
      <c r="A307" s="3"/>
      <c r="B307" s="9" t="s">
        <v>414</v>
      </c>
      <c r="C307" s="53"/>
      <c r="D307" s="53"/>
      <c r="E307" s="11">
        <v>0</v>
      </c>
      <c r="F307" s="11">
        <v>0</v>
      </c>
      <c r="G307" s="80"/>
      <c r="H307" s="56"/>
      <c r="I307" s="102"/>
      <c r="J307" s="56"/>
      <c r="K307" s="28"/>
      <c r="L307" s="28"/>
      <c r="M307" s="28"/>
      <c r="N307" s="28"/>
      <c r="O307" s="28"/>
      <c r="P307" s="28"/>
      <c r="Q307" s="28"/>
      <c r="R307" s="28"/>
      <c r="S307" s="28"/>
      <c r="T307" s="28"/>
      <c r="U307" s="3"/>
      <c r="W307" s="3"/>
      <c r="X307" s="3"/>
      <c r="Y307" s="3"/>
      <c r="Z307" s="3"/>
    </row>
    <row r="308" spans="1:26" ht="15.75" hidden="1" customHeight="1" outlineLevel="1" x14ac:dyDescent="0.3">
      <c r="A308" s="3"/>
      <c r="B308" s="9" t="s">
        <v>414</v>
      </c>
      <c r="C308" s="53"/>
      <c r="D308" s="53"/>
      <c r="E308" s="11">
        <v>0</v>
      </c>
      <c r="F308" s="11">
        <v>0</v>
      </c>
      <c r="G308" s="56"/>
      <c r="H308" s="56"/>
      <c r="I308" s="102"/>
      <c r="J308" s="56"/>
      <c r="K308" s="28"/>
      <c r="L308" s="28"/>
      <c r="M308" s="28"/>
      <c r="N308" s="28"/>
      <c r="O308" s="28"/>
      <c r="P308" s="28"/>
      <c r="Q308" s="28"/>
      <c r="R308" s="28"/>
      <c r="S308" s="28"/>
      <c r="T308" s="28"/>
      <c r="U308" s="3"/>
      <c r="W308" s="3"/>
      <c r="X308" s="3"/>
      <c r="Y308" s="3"/>
      <c r="Z308" s="3"/>
    </row>
    <row r="309" spans="1:26" ht="15.75" hidden="1" customHeight="1" outlineLevel="1" x14ac:dyDescent="0.3">
      <c r="A309" s="3"/>
      <c r="B309" s="9" t="s">
        <v>415</v>
      </c>
      <c r="C309" s="53"/>
      <c r="D309" s="53"/>
      <c r="E309" s="11">
        <v>0</v>
      </c>
      <c r="F309" s="11">
        <v>0</v>
      </c>
      <c r="G309" s="56"/>
      <c r="H309" s="56"/>
      <c r="I309" s="80"/>
      <c r="J309" s="56"/>
      <c r="K309" s="28"/>
      <c r="L309" s="28"/>
      <c r="M309" s="28"/>
      <c r="N309" s="28"/>
      <c r="O309" s="28"/>
      <c r="P309" s="28"/>
      <c r="Q309" s="28"/>
      <c r="R309" s="28"/>
      <c r="S309" s="28"/>
      <c r="T309" s="28"/>
      <c r="U309" s="3"/>
      <c r="W309" s="3"/>
      <c r="X309" s="3"/>
      <c r="Y309" s="3"/>
      <c r="Z309" s="3"/>
    </row>
    <row r="310" spans="1:26" ht="15.75" hidden="1" customHeight="1" outlineLevel="1" x14ac:dyDescent="0.3">
      <c r="A310" s="3"/>
      <c r="B310" s="9" t="s">
        <v>415</v>
      </c>
      <c r="C310" s="53"/>
      <c r="D310" s="53"/>
      <c r="E310" s="11">
        <v>0</v>
      </c>
      <c r="F310" s="11">
        <v>0</v>
      </c>
      <c r="G310" s="56"/>
      <c r="H310" s="56"/>
      <c r="I310" s="80"/>
      <c r="J310" s="56"/>
      <c r="K310" s="28"/>
      <c r="L310" s="28"/>
      <c r="M310" s="28"/>
      <c r="N310" s="28"/>
      <c r="O310" s="28"/>
      <c r="P310" s="28"/>
      <c r="Q310" s="28"/>
      <c r="R310" s="28"/>
      <c r="S310" s="28"/>
      <c r="T310" s="28"/>
      <c r="U310" s="3"/>
      <c r="W310" s="3"/>
      <c r="X310" s="3"/>
      <c r="Y310" s="3"/>
      <c r="Z310" s="3"/>
    </row>
    <row r="311" spans="1:26" ht="15.75" hidden="1" customHeight="1" outlineLevel="1" x14ac:dyDescent="0.3">
      <c r="A311" s="3"/>
      <c r="B311" s="9" t="s">
        <v>415</v>
      </c>
      <c r="C311" s="53"/>
      <c r="D311" s="53"/>
      <c r="E311" s="11">
        <v>0</v>
      </c>
      <c r="F311" s="11">
        <v>0</v>
      </c>
      <c r="G311" s="56"/>
      <c r="H311" s="56"/>
      <c r="I311" s="80"/>
      <c r="J311" s="56"/>
      <c r="K311" s="28"/>
      <c r="L311" s="28"/>
      <c r="M311" s="28"/>
      <c r="N311" s="28"/>
      <c r="O311" s="28"/>
      <c r="P311" s="28"/>
      <c r="Q311" s="28"/>
      <c r="R311" s="28"/>
      <c r="S311" s="28"/>
      <c r="T311" s="28"/>
      <c r="U311" s="3"/>
      <c r="W311" s="3"/>
      <c r="X311" s="3"/>
      <c r="Y311" s="3"/>
      <c r="Z311" s="3"/>
    </row>
    <row r="312" spans="1:26" ht="15.75" hidden="1" customHeight="1" outlineLevel="1" x14ac:dyDescent="0.3">
      <c r="A312" s="3"/>
      <c r="B312" s="9" t="s">
        <v>416</v>
      </c>
      <c r="C312" s="53">
        <v>25</v>
      </c>
      <c r="D312" s="53" t="s">
        <v>95</v>
      </c>
      <c r="E312" s="11">
        <v>0</v>
      </c>
      <c r="F312" s="11">
        <v>200</v>
      </c>
      <c r="G312" s="56"/>
      <c r="H312" s="56" t="s">
        <v>37</v>
      </c>
      <c r="I312" s="102" t="s">
        <v>1152</v>
      </c>
      <c r="J312" s="56"/>
      <c r="K312" s="28"/>
      <c r="L312" s="28"/>
      <c r="M312" s="28"/>
      <c r="N312" s="28"/>
      <c r="O312" s="28"/>
      <c r="P312" s="28"/>
      <c r="Q312" s="28"/>
      <c r="R312" s="28"/>
      <c r="S312" s="28"/>
      <c r="T312" s="28"/>
      <c r="U312" s="3"/>
      <c r="W312" s="3"/>
      <c r="X312" s="3"/>
      <c r="Y312" s="3"/>
      <c r="Z312" s="3"/>
    </row>
    <row r="313" spans="1:26" ht="15.75" hidden="1" customHeight="1" outlineLevel="1" x14ac:dyDescent="0.3">
      <c r="A313" s="3"/>
      <c r="B313" s="9" t="s">
        <v>416</v>
      </c>
      <c r="C313" s="53">
        <v>30</v>
      </c>
      <c r="D313" s="53" t="s">
        <v>95</v>
      </c>
      <c r="E313" s="11">
        <v>0</v>
      </c>
      <c r="F313" s="11">
        <v>27.5</v>
      </c>
      <c r="G313" s="56"/>
      <c r="H313" s="56" t="s">
        <v>37</v>
      </c>
      <c r="I313" s="102" t="s">
        <v>1153</v>
      </c>
      <c r="J313" s="56"/>
      <c r="K313" s="28"/>
      <c r="L313" s="28"/>
      <c r="M313" s="28"/>
      <c r="N313" s="28"/>
      <c r="O313" s="28"/>
      <c r="P313" s="28"/>
      <c r="Q313" s="28"/>
      <c r="R313" s="28"/>
      <c r="S313" s="28"/>
      <c r="T313" s="28"/>
      <c r="U313" s="3"/>
      <c r="W313" s="3"/>
      <c r="X313" s="3"/>
      <c r="Y313" s="3"/>
      <c r="Z313" s="3"/>
    </row>
    <row r="314" spans="1:26" ht="15.75" hidden="1" customHeight="1" outlineLevel="1" x14ac:dyDescent="0.3">
      <c r="A314" s="3"/>
      <c r="B314" s="9" t="s">
        <v>416</v>
      </c>
      <c r="C314" s="53"/>
      <c r="D314" s="53"/>
      <c r="E314" s="11">
        <v>0</v>
      </c>
      <c r="F314" s="11">
        <v>0</v>
      </c>
      <c r="G314" s="56"/>
      <c r="H314" s="56"/>
      <c r="I314" s="102"/>
      <c r="J314" s="56"/>
      <c r="K314" s="28"/>
      <c r="L314" s="28"/>
      <c r="M314" s="28"/>
      <c r="N314" s="28"/>
      <c r="O314" s="28"/>
      <c r="P314" s="28"/>
      <c r="Q314" s="28"/>
      <c r="R314" s="28"/>
      <c r="S314" s="28"/>
      <c r="T314" s="28"/>
      <c r="U314" s="3"/>
      <c r="W314" s="3"/>
      <c r="X314" s="3"/>
      <c r="Y314" s="3"/>
      <c r="Z314" s="3"/>
    </row>
    <row r="315" spans="1:26" ht="15.75" hidden="1" customHeight="1" outlineLevel="1" x14ac:dyDescent="0.3">
      <c r="A315" s="3"/>
      <c r="B315" s="9" t="s">
        <v>417</v>
      </c>
      <c r="C315" s="53"/>
      <c r="D315" s="53"/>
      <c r="E315" s="11">
        <v>0</v>
      </c>
      <c r="F315" s="11">
        <v>0</v>
      </c>
      <c r="G315" s="56"/>
      <c r="H315" s="56"/>
      <c r="I315" s="80"/>
      <c r="J315" s="56"/>
      <c r="K315" s="28"/>
      <c r="L315" s="28"/>
      <c r="M315" s="28"/>
      <c r="N315" s="28"/>
      <c r="O315" s="28"/>
      <c r="P315" s="28"/>
      <c r="Q315" s="28"/>
      <c r="R315" s="28"/>
      <c r="S315" s="28"/>
      <c r="T315" s="28"/>
      <c r="U315" s="3"/>
      <c r="W315" s="3"/>
      <c r="X315" s="3"/>
      <c r="Y315" s="3"/>
      <c r="Z315" s="3"/>
    </row>
    <row r="316" spans="1:26" ht="15.75" hidden="1" customHeight="1" outlineLevel="1" x14ac:dyDescent="0.3">
      <c r="A316" s="3"/>
      <c r="B316" s="9" t="s">
        <v>418</v>
      </c>
      <c r="C316" s="53"/>
      <c r="D316" s="53"/>
      <c r="E316" s="11">
        <v>0</v>
      </c>
      <c r="F316" s="11">
        <v>0</v>
      </c>
      <c r="G316" s="56"/>
      <c r="H316" s="56"/>
      <c r="I316" s="80"/>
      <c r="J316" s="56"/>
      <c r="K316" s="28"/>
      <c r="L316" s="28"/>
      <c r="M316" s="28"/>
      <c r="N316" s="28"/>
      <c r="O316" s="28"/>
      <c r="P316" s="28"/>
      <c r="Q316" s="28"/>
      <c r="R316" s="28"/>
      <c r="S316" s="28"/>
      <c r="T316" s="28"/>
      <c r="U316" s="3"/>
      <c r="W316" s="3"/>
      <c r="X316" s="3"/>
      <c r="Y316" s="3"/>
      <c r="Z316" s="3"/>
    </row>
    <row r="317" spans="1:26" ht="15.75" hidden="1" customHeight="1" outlineLevel="1" x14ac:dyDescent="0.3">
      <c r="A317" s="3"/>
      <c r="B317" s="9" t="s">
        <v>419</v>
      </c>
      <c r="C317" s="53"/>
      <c r="D317" s="53"/>
      <c r="E317" s="11">
        <v>0</v>
      </c>
      <c r="F317" s="11">
        <v>0</v>
      </c>
      <c r="G317" s="56"/>
      <c r="H317" s="56"/>
      <c r="I317" s="80"/>
      <c r="J317" s="56"/>
      <c r="K317" s="28"/>
      <c r="L317" s="28"/>
      <c r="M317" s="28"/>
      <c r="N317" s="28"/>
      <c r="O317" s="28"/>
      <c r="P317" s="28"/>
      <c r="Q317" s="28"/>
      <c r="R317" s="28"/>
      <c r="S317" s="28"/>
      <c r="T317" s="28"/>
      <c r="U317" s="3"/>
      <c r="W317" s="3"/>
      <c r="X317" s="3"/>
      <c r="Y317" s="3"/>
      <c r="Z317" s="3"/>
    </row>
    <row r="318" spans="1:26" ht="15.75" hidden="1" customHeight="1" outlineLevel="1" x14ac:dyDescent="0.3">
      <c r="A318" s="3"/>
      <c r="B318" s="9" t="s">
        <v>420</v>
      </c>
      <c r="C318" s="53"/>
      <c r="D318" s="53"/>
      <c r="E318" s="11">
        <v>0</v>
      </c>
      <c r="F318" s="11">
        <v>0</v>
      </c>
      <c r="G318" s="56"/>
      <c r="H318" s="56"/>
      <c r="I318" s="80"/>
      <c r="J318" s="56"/>
      <c r="K318" s="28"/>
      <c r="L318" s="28"/>
      <c r="M318" s="28"/>
      <c r="N318" s="28"/>
      <c r="O318" s="28"/>
      <c r="P318" s="28"/>
      <c r="Q318" s="28"/>
      <c r="R318" s="28"/>
      <c r="S318" s="28"/>
      <c r="T318" s="28"/>
      <c r="U318" s="3"/>
      <c r="W318" s="3"/>
      <c r="X318" s="3"/>
      <c r="Y318" s="3"/>
      <c r="Z318" s="3"/>
    </row>
    <row r="319" spans="1:26" ht="15.75" hidden="1" customHeight="1" outlineLevel="1" x14ac:dyDescent="0.3">
      <c r="A319" s="3"/>
      <c r="B319" s="9" t="s">
        <v>421</v>
      </c>
      <c r="C319" s="53"/>
      <c r="D319" s="53"/>
      <c r="E319" s="11">
        <v>0</v>
      </c>
      <c r="F319" s="11">
        <v>0</v>
      </c>
      <c r="G319" s="56"/>
      <c r="H319" s="56"/>
      <c r="I319" s="80"/>
      <c r="J319" s="56"/>
      <c r="K319" s="28"/>
      <c r="L319" s="28"/>
      <c r="M319" s="28"/>
      <c r="N319" s="28"/>
      <c r="O319" s="28"/>
      <c r="P319" s="28"/>
      <c r="Q319" s="28"/>
      <c r="R319" s="28"/>
      <c r="S319" s="28"/>
      <c r="T319" s="28"/>
      <c r="U319" s="3"/>
      <c r="W319" s="3"/>
      <c r="X319" s="3"/>
      <c r="Y319" s="3"/>
      <c r="Z319" s="3"/>
    </row>
    <row r="320" spans="1:26" ht="15.75" hidden="1" customHeight="1" outlineLevel="1" x14ac:dyDescent="0.3">
      <c r="A320" s="3"/>
      <c r="B320" s="9" t="s">
        <v>66</v>
      </c>
      <c r="C320" s="53"/>
      <c r="D320" s="53"/>
      <c r="E320" s="11">
        <v>0</v>
      </c>
      <c r="F320" s="11">
        <v>0</v>
      </c>
      <c r="G320" s="56"/>
      <c r="H320" s="56"/>
      <c r="I320" s="80"/>
      <c r="J320" s="56"/>
      <c r="K320" s="28"/>
      <c r="L320" s="28"/>
      <c r="M320" s="28"/>
      <c r="N320" s="28"/>
      <c r="O320" s="28"/>
      <c r="P320" s="28"/>
      <c r="Q320" s="28"/>
      <c r="R320" s="28"/>
      <c r="S320" s="28"/>
      <c r="T320" s="28"/>
      <c r="U320" s="3"/>
      <c r="W320" s="3"/>
      <c r="X320" s="3"/>
      <c r="Y320" s="3"/>
      <c r="Z320" s="3"/>
    </row>
    <row r="321" spans="1:21" ht="15.75" customHeight="1" collapsed="1" x14ac:dyDescent="0.3">
      <c r="A321" s="3"/>
      <c r="B321" s="3"/>
      <c r="C321" s="28"/>
      <c r="D321" s="28"/>
      <c r="E321" s="28"/>
      <c r="F321" s="28"/>
      <c r="G321" s="89"/>
      <c r="H321" s="89"/>
      <c r="I321" s="90"/>
      <c r="J321" s="89"/>
      <c r="K321" s="28"/>
      <c r="L321" s="28"/>
      <c r="M321" s="28"/>
      <c r="N321" s="28"/>
      <c r="O321" s="28"/>
      <c r="P321" s="28"/>
      <c r="Q321" s="28"/>
      <c r="R321" s="28"/>
      <c r="S321" s="28"/>
      <c r="T321" s="28"/>
      <c r="U321" s="3"/>
    </row>
    <row r="322" spans="1:21" ht="15.75" customHeight="1" x14ac:dyDescent="0.3">
      <c r="A322" s="3"/>
      <c r="B322" s="3"/>
      <c r="C322" s="28"/>
      <c r="D322" s="28"/>
      <c r="E322" s="28"/>
      <c r="F322" s="28"/>
      <c r="G322" s="89"/>
      <c r="H322" s="89"/>
      <c r="I322" s="90"/>
      <c r="J322" s="89"/>
      <c r="K322" s="28"/>
      <c r="L322" s="28"/>
      <c r="M322" s="28"/>
      <c r="N322" s="28"/>
      <c r="O322" s="28"/>
      <c r="P322" s="28"/>
      <c r="Q322" s="28"/>
      <c r="R322" s="28"/>
      <c r="S322" s="28"/>
      <c r="T322" s="28"/>
      <c r="U322" s="3"/>
    </row>
    <row r="323" spans="1:21" ht="15.75" customHeight="1" x14ac:dyDescent="0.3">
      <c r="A323" s="3"/>
      <c r="B323" s="3"/>
      <c r="C323" s="28"/>
      <c r="D323" s="28"/>
      <c r="E323" s="28"/>
      <c r="F323" s="28"/>
      <c r="G323" s="89"/>
      <c r="H323" s="89"/>
      <c r="I323" s="90"/>
      <c r="J323" s="89"/>
      <c r="K323" s="28"/>
      <c r="L323" s="28"/>
      <c r="M323" s="28"/>
      <c r="N323" s="28"/>
      <c r="O323" s="28"/>
      <c r="P323" s="28"/>
      <c r="Q323" s="28"/>
      <c r="R323" s="28"/>
      <c r="S323" s="28"/>
      <c r="T323" s="28"/>
      <c r="U323" s="3"/>
    </row>
    <row r="324" spans="1:21" ht="15.75" customHeight="1" x14ac:dyDescent="0.3">
      <c r="A324" s="3"/>
      <c r="B324" s="3"/>
      <c r="C324" s="28"/>
      <c r="D324" s="28"/>
      <c r="E324" s="28"/>
      <c r="F324" s="28"/>
      <c r="G324" s="89"/>
      <c r="H324" s="89"/>
      <c r="I324" s="90"/>
      <c r="J324" s="89"/>
      <c r="K324" s="28"/>
      <c r="L324" s="28"/>
      <c r="M324" s="28"/>
      <c r="N324" s="28"/>
      <c r="O324" s="28"/>
      <c r="P324" s="28"/>
      <c r="Q324" s="28"/>
      <c r="R324" s="28"/>
      <c r="S324" s="28"/>
      <c r="T324" s="28"/>
      <c r="U324" s="3"/>
    </row>
    <row r="325" spans="1:21" ht="15.75" customHeight="1" x14ac:dyDescent="0.3">
      <c r="A325" s="3"/>
      <c r="B325" s="3"/>
      <c r="C325" s="28"/>
      <c r="D325" s="28"/>
      <c r="E325" s="28"/>
      <c r="F325" s="28"/>
      <c r="G325" s="89"/>
      <c r="H325" s="89"/>
      <c r="I325" s="90"/>
      <c r="J325" s="89"/>
      <c r="K325" s="28"/>
      <c r="L325" s="28"/>
      <c r="M325" s="28"/>
      <c r="N325" s="28"/>
      <c r="O325" s="28"/>
      <c r="P325" s="28"/>
      <c r="Q325" s="28"/>
      <c r="R325" s="28"/>
      <c r="S325" s="28"/>
      <c r="T325" s="28"/>
      <c r="U325" s="3"/>
    </row>
    <row r="326" spans="1:21" ht="15.75" customHeight="1" x14ac:dyDescent="0.3">
      <c r="A326" s="3"/>
      <c r="B326" s="3"/>
      <c r="C326" s="28"/>
      <c r="D326" s="28"/>
      <c r="E326" s="28"/>
      <c r="F326" s="28"/>
      <c r="G326" s="89"/>
      <c r="H326" s="89"/>
      <c r="I326" s="90"/>
      <c r="J326" s="89"/>
      <c r="K326" s="28"/>
      <c r="L326" s="28"/>
      <c r="M326" s="28"/>
      <c r="N326" s="28"/>
      <c r="O326" s="28"/>
      <c r="P326" s="28"/>
      <c r="Q326" s="28"/>
      <c r="R326" s="28"/>
      <c r="S326" s="28"/>
      <c r="T326" s="28"/>
      <c r="U326" s="3"/>
    </row>
    <row r="327" spans="1:21" ht="15.75" customHeight="1" x14ac:dyDescent="0.3">
      <c r="A327" s="3"/>
      <c r="B327" s="3"/>
      <c r="C327" s="28"/>
      <c r="D327" s="28"/>
      <c r="E327" s="28"/>
      <c r="F327" s="28"/>
      <c r="G327" s="89"/>
      <c r="H327" s="89"/>
      <c r="I327" s="90"/>
      <c r="J327" s="89"/>
      <c r="K327" s="28"/>
      <c r="L327" s="28"/>
      <c r="M327" s="28"/>
      <c r="N327" s="28"/>
      <c r="O327" s="28"/>
      <c r="P327" s="28"/>
      <c r="Q327" s="28"/>
      <c r="R327" s="28"/>
      <c r="S327" s="28"/>
      <c r="T327" s="28"/>
      <c r="U327" s="3"/>
    </row>
    <row r="328" spans="1:21" ht="15.75" customHeight="1" x14ac:dyDescent="0.3">
      <c r="A328" s="3"/>
      <c r="B328" s="3"/>
      <c r="C328" s="28"/>
      <c r="D328" s="28"/>
      <c r="E328" s="28"/>
      <c r="F328" s="28"/>
      <c r="G328" s="89"/>
      <c r="H328" s="89"/>
      <c r="I328" s="90"/>
      <c r="J328" s="89"/>
      <c r="K328" s="28"/>
      <c r="L328" s="28"/>
      <c r="M328" s="28"/>
      <c r="N328" s="28"/>
      <c r="O328" s="28"/>
      <c r="P328" s="28"/>
      <c r="Q328" s="28"/>
      <c r="R328" s="28"/>
      <c r="S328" s="28"/>
      <c r="T328" s="28"/>
      <c r="U328" s="3"/>
    </row>
    <row r="329" spans="1:21" ht="15.75" customHeight="1" x14ac:dyDescent="0.3">
      <c r="A329" s="3"/>
      <c r="B329" s="3"/>
      <c r="C329" s="28"/>
      <c r="D329" s="28"/>
      <c r="E329" s="28"/>
      <c r="F329" s="28"/>
      <c r="G329" s="89"/>
      <c r="H329" s="89"/>
      <c r="I329" s="90"/>
      <c r="J329" s="89"/>
      <c r="K329" s="28"/>
      <c r="L329" s="28"/>
      <c r="M329" s="28"/>
      <c r="N329" s="28"/>
      <c r="O329" s="28"/>
      <c r="P329" s="28"/>
      <c r="Q329" s="28"/>
      <c r="R329" s="28"/>
      <c r="S329" s="28"/>
      <c r="T329" s="28"/>
      <c r="U329" s="3"/>
    </row>
    <row r="330" spans="1:21" ht="15.75" customHeight="1" x14ac:dyDescent="0.3">
      <c r="A330" s="3"/>
      <c r="B330" s="3"/>
      <c r="C330" s="28"/>
      <c r="D330" s="28"/>
      <c r="E330" s="28"/>
      <c r="F330" s="28"/>
      <c r="G330" s="89"/>
      <c r="H330" s="89"/>
      <c r="I330" s="90"/>
      <c r="J330" s="89"/>
      <c r="K330" s="28"/>
      <c r="L330" s="28"/>
      <c r="M330" s="28"/>
      <c r="N330" s="28"/>
      <c r="O330" s="28"/>
      <c r="P330" s="28"/>
      <c r="Q330" s="28"/>
      <c r="R330" s="28"/>
      <c r="S330" s="28"/>
      <c r="T330" s="28"/>
      <c r="U330" s="3"/>
    </row>
    <row r="331" spans="1:21" ht="15.75" customHeight="1" x14ac:dyDescent="0.3">
      <c r="A331" s="3"/>
      <c r="B331" s="3"/>
      <c r="C331" s="28"/>
      <c r="D331" s="28"/>
      <c r="E331" s="28"/>
      <c r="F331" s="28"/>
      <c r="G331" s="89"/>
      <c r="H331" s="89"/>
      <c r="I331" s="90"/>
      <c r="J331" s="89"/>
      <c r="K331" s="28"/>
      <c r="L331" s="28"/>
      <c r="M331" s="28"/>
      <c r="N331" s="28"/>
      <c r="O331" s="28"/>
      <c r="P331" s="28"/>
      <c r="Q331" s="28"/>
      <c r="R331" s="28"/>
      <c r="S331" s="28"/>
      <c r="T331" s="28"/>
      <c r="U331" s="3"/>
    </row>
    <row r="332" spans="1:21" ht="15.75" customHeight="1" x14ac:dyDescent="0.3">
      <c r="A332" s="3"/>
      <c r="B332" s="3"/>
      <c r="C332" s="28"/>
      <c r="D332" s="28"/>
      <c r="E332" s="28"/>
      <c r="F332" s="28"/>
      <c r="G332" s="89"/>
      <c r="H332" s="89"/>
      <c r="I332" s="90"/>
      <c r="J332" s="89"/>
      <c r="K332" s="28"/>
      <c r="L332" s="28"/>
      <c r="M332" s="28"/>
      <c r="N332" s="28"/>
      <c r="O332" s="28"/>
      <c r="P332" s="28"/>
      <c r="Q332" s="28"/>
      <c r="R332" s="28"/>
      <c r="S332" s="28"/>
      <c r="T332" s="28"/>
      <c r="U332" s="3"/>
    </row>
    <row r="333" spans="1:21" ht="15.75" customHeight="1" x14ac:dyDescent="0.3">
      <c r="A333" s="3"/>
      <c r="B333" s="3"/>
      <c r="C333" s="28"/>
      <c r="D333" s="28"/>
      <c r="E333" s="28"/>
      <c r="F333" s="28"/>
      <c r="G333" s="89"/>
      <c r="H333" s="89"/>
      <c r="I333" s="90"/>
      <c r="J333" s="89"/>
      <c r="K333" s="28"/>
      <c r="L333" s="28"/>
      <c r="M333" s="28"/>
      <c r="N333" s="28"/>
      <c r="O333" s="28"/>
      <c r="P333" s="28"/>
      <c r="Q333" s="28"/>
      <c r="R333" s="28"/>
      <c r="S333" s="28"/>
      <c r="T333" s="28"/>
      <c r="U333" s="3"/>
    </row>
    <row r="334" spans="1:21" ht="15.75" customHeight="1" x14ac:dyDescent="0.3">
      <c r="A334" s="3"/>
      <c r="B334" s="3"/>
      <c r="C334" s="28"/>
      <c r="D334" s="28"/>
      <c r="E334" s="28"/>
      <c r="F334" s="28"/>
      <c r="G334" s="89"/>
      <c r="H334" s="89"/>
      <c r="I334" s="90"/>
      <c r="J334" s="89"/>
      <c r="K334" s="28"/>
      <c r="L334" s="28"/>
      <c r="M334" s="28"/>
      <c r="N334" s="28"/>
      <c r="O334" s="28"/>
      <c r="P334" s="28"/>
      <c r="Q334" s="28"/>
      <c r="R334" s="28"/>
      <c r="S334" s="28"/>
      <c r="T334" s="28"/>
      <c r="U334" s="3"/>
    </row>
    <row r="335" spans="1:21" ht="15.75" customHeight="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1"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5.7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5.7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5.7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5.7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5.7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5.7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5.7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5.7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5.7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5.7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5.7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5.7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5.7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5.7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5.7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5.7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5.7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5.7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5.7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5.7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5.7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5.7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5.7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5.7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5.7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5.7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5.7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5.7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5.7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5.7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5.7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5.7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5.7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5.7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5.7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5.7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5.7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5.7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5.7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5.7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5.7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5.7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5.7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5.7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5.7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5.7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5.7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5.7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5.7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5.7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5.7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5.7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5.7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5.7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5.7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5.7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5.7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5.7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5.7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5.7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5.7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5.7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5.7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5.7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5.7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5.7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5.7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5.7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5.7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5.7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5.7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5.7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5.7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5.7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5.7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5.7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5.75" customHeight="1" x14ac:dyDescent="0.3"/>
    <row r="522" spans="1:21" ht="15.75" customHeight="1" x14ac:dyDescent="0.3"/>
    <row r="523" spans="1:21" ht="15.75" customHeight="1" x14ac:dyDescent="0.3"/>
    <row r="524" spans="1:21" ht="15.75" customHeight="1" x14ac:dyDescent="0.3"/>
    <row r="525" spans="1:21" ht="15.75" customHeight="1" x14ac:dyDescent="0.3"/>
    <row r="526" spans="1:21" ht="15.75" customHeight="1" x14ac:dyDescent="0.3"/>
    <row r="527" spans="1:21" ht="15.75" customHeight="1" x14ac:dyDescent="0.3"/>
    <row r="528" spans="1:21"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320" xr:uid="{00000000-0009-0000-0000-00000E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3 D135:D143 D146:D150 D152:D156 D158:D162 D164:D168 D170:D174 D176:D253 D256:D264 D266:D274 D276:D284 D286:D294 D296:D304 D306:D320" xr:uid="{00000000-0002-0000-0E00-000001000000}">
      <formula1>"OK,Parcial,Pendente"</formula1>
    </dataValidation>
  </dataValidations>
  <hyperlinks>
    <hyperlink ref="I7" r:id="rId1" xr:uid="{00000000-0004-0000-0E00-000000000000}"/>
    <hyperlink ref="I10" r:id="rId2" xr:uid="{00000000-0004-0000-0E00-000001000000}"/>
    <hyperlink ref="I11" r:id="rId3" xr:uid="{00000000-0004-0000-0E00-000002000000}"/>
    <hyperlink ref="I12" r:id="rId4" xr:uid="{00000000-0004-0000-0E00-000003000000}"/>
    <hyperlink ref="I15" r:id="rId5" xr:uid="{00000000-0004-0000-0E00-000004000000}"/>
    <hyperlink ref="I17" r:id="rId6" xr:uid="{00000000-0004-0000-0E00-000005000000}"/>
    <hyperlink ref="I22" r:id="rId7" xr:uid="{00000000-0004-0000-0E00-000006000000}"/>
    <hyperlink ref="I29" r:id="rId8" xr:uid="{00000000-0004-0000-0E00-000007000000}"/>
    <hyperlink ref="I30" r:id="rId9" xr:uid="{00000000-0004-0000-0E00-000008000000}"/>
    <hyperlink ref="I32" r:id="rId10" xr:uid="{00000000-0004-0000-0E00-000009000000}"/>
    <hyperlink ref="I33" r:id="rId11" xr:uid="{00000000-0004-0000-0E00-00000A000000}"/>
    <hyperlink ref="I35" r:id="rId12" xr:uid="{00000000-0004-0000-0E00-00000B000000}"/>
    <hyperlink ref="I39" r:id="rId13" xr:uid="{00000000-0004-0000-0E00-00000C000000}"/>
    <hyperlink ref="I40" r:id="rId14" xr:uid="{00000000-0004-0000-0E00-00000D000000}"/>
    <hyperlink ref="I42" r:id="rId15" xr:uid="{00000000-0004-0000-0E00-00000E000000}"/>
    <hyperlink ref="I43" r:id="rId16" xr:uid="{00000000-0004-0000-0E00-00000F000000}"/>
    <hyperlink ref="I44" r:id="rId17" xr:uid="{00000000-0004-0000-0E00-000010000000}"/>
    <hyperlink ref="I45" r:id="rId18" xr:uid="{00000000-0004-0000-0E00-000011000000}"/>
    <hyperlink ref="I46" r:id="rId19" xr:uid="{00000000-0004-0000-0E00-000012000000}"/>
    <hyperlink ref="I47" r:id="rId20" xr:uid="{00000000-0004-0000-0E00-000013000000}"/>
    <hyperlink ref="I48" r:id="rId21" xr:uid="{00000000-0004-0000-0E00-000014000000}"/>
    <hyperlink ref="I49" r:id="rId22" xr:uid="{00000000-0004-0000-0E00-000015000000}"/>
    <hyperlink ref="I64" r:id="rId23" xr:uid="{00000000-0004-0000-0E00-000016000000}"/>
    <hyperlink ref="I65" r:id="rId24" xr:uid="{00000000-0004-0000-0E00-000017000000}"/>
    <hyperlink ref="I69" r:id="rId25" xr:uid="{00000000-0004-0000-0E00-000018000000}"/>
    <hyperlink ref="I77" r:id="rId26" xr:uid="{00000000-0004-0000-0E00-000019000000}"/>
    <hyperlink ref="I79" r:id="rId27" xr:uid="{00000000-0004-0000-0E00-00001A000000}"/>
    <hyperlink ref="I80" r:id="rId28" xr:uid="{00000000-0004-0000-0E00-00001B000000}"/>
    <hyperlink ref="I83" r:id="rId29" xr:uid="{00000000-0004-0000-0E00-00001C000000}"/>
    <hyperlink ref="I84" r:id="rId30" xr:uid="{00000000-0004-0000-0E00-00001D000000}"/>
    <hyperlink ref="I119" r:id="rId31" xr:uid="{00000000-0004-0000-0E00-00001E000000}"/>
    <hyperlink ref="I120" r:id="rId32" xr:uid="{00000000-0004-0000-0E00-00001F000000}"/>
    <hyperlink ref="I121" r:id="rId33" xr:uid="{00000000-0004-0000-0E00-000020000000}"/>
    <hyperlink ref="I127" r:id="rId34" xr:uid="{00000000-0004-0000-0E00-000021000000}"/>
    <hyperlink ref="I128" r:id="rId35" xr:uid="{00000000-0004-0000-0E00-000022000000}"/>
    <hyperlink ref="I129" r:id="rId36" xr:uid="{00000000-0004-0000-0E00-000023000000}"/>
    <hyperlink ref="I130" r:id="rId37" xr:uid="{00000000-0004-0000-0E00-000024000000}"/>
    <hyperlink ref="I135" r:id="rId38" xr:uid="{00000000-0004-0000-0E00-000025000000}"/>
    <hyperlink ref="I146" r:id="rId39" xr:uid="{00000000-0004-0000-0E00-000026000000}"/>
    <hyperlink ref="I147" r:id="rId40" xr:uid="{00000000-0004-0000-0E00-000027000000}"/>
    <hyperlink ref="I148" r:id="rId41" xr:uid="{00000000-0004-0000-0E00-000028000000}"/>
    <hyperlink ref="I149" r:id="rId42" xr:uid="{00000000-0004-0000-0E00-000029000000}"/>
    <hyperlink ref="I150" r:id="rId43" xr:uid="{00000000-0004-0000-0E00-00002A000000}"/>
    <hyperlink ref="I176" r:id="rId44" xr:uid="{00000000-0004-0000-0E00-00002B000000}"/>
    <hyperlink ref="I177" r:id="rId45" xr:uid="{00000000-0004-0000-0E00-00002C000000}"/>
    <hyperlink ref="I178" r:id="rId46" xr:uid="{00000000-0004-0000-0E00-00002D000000}"/>
    <hyperlink ref="I179" r:id="rId47" xr:uid="{00000000-0004-0000-0E00-00002E000000}"/>
    <hyperlink ref="I180" r:id="rId48" xr:uid="{00000000-0004-0000-0E00-00002F000000}"/>
    <hyperlink ref="I181" r:id="rId49" xr:uid="{00000000-0004-0000-0E00-000030000000}"/>
    <hyperlink ref="I182" r:id="rId50" xr:uid="{00000000-0004-0000-0E00-000031000000}"/>
    <hyperlink ref="I185" r:id="rId51" xr:uid="{00000000-0004-0000-0E00-000032000000}"/>
    <hyperlink ref="I186" r:id="rId52" xr:uid="{00000000-0004-0000-0E00-000033000000}"/>
    <hyperlink ref="I187" r:id="rId53" xr:uid="{00000000-0004-0000-0E00-000034000000}"/>
    <hyperlink ref="I194" r:id="rId54" xr:uid="{00000000-0004-0000-0E00-000035000000}"/>
    <hyperlink ref="I205" r:id="rId55" xr:uid="{00000000-0004-0000-0E00-000036000000}"/>
    <hyperlink ref="I235" r:id="rId56" xr:uid="{00000000-0004-0000-0E00-000037000000}"/>
    <hyperlink ref="I236" r:id="rId57" xr:uid="{00000000-0004-0000-0E00-000038000000}"/>
    <hyperlink ref="I312" r:id="rId58" xr:uid="{00000000-0004-0000-0E00-000039000000}"/>
    <hyperlink ref="I313" r:id="rId59" xr:uid="{00000000-0004-0000-0E00-00003A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E00-000000000000}">
          <x14:formula1>
            <xm:f>Caixa!$B$5:$B$8</xm:f>
          </x14:formula1>
          <xm:sqref>H7:H15 H17:H33 H35:H37 H39:H62 H64:H84 H87:H101 H103:H106 H108:H110 H113:H117 H119:H133 H135:H143 H146:H150 H152:H156 H158:H162 H164:H168 H170:H174 H176:H203 H205:H213 H215:H223 H225:H233 H235:H243 H245:H253 H256:H264 H266:H274 H276:H284 H286:H294 H296:H304 H306:H320</xm:sqref>
        </x14:dataValidation>
        <x14:dataValidation type="list" allowBlank="1" showErrorMessage="1" xr:uid="{00000000-0002-0000-0E00-000002000000}">
          <x14:formula1>
            <xm:f>'Plano de contas DG'!$C$43:$C$145</xm:f>
          </x14:formula1>
          <xm:sqref>J236</xm:sqref>
        </x14:dataValidation>
        <x14:dataValidation type="list" allowBlank="1" showErrorMessage="1" xr:uid="{00000000-0002-0000-0E00-000003000000}">
          <x14:formula1>
            <xm:f>'Plano de contas DG'!$C$5:$C$145</xm:f>
          </x14:formula1>
          <xm:sqref>J6:J235 J237:J320</xm:sqref>
        </x14:dataValidation>
        <x14:dataValidation type="list" allowBlank="1" showErrorMessage="1" xr:uid="{00000000-0002-0000-0E00-000004000000}">
          <x14:formula1>
            <xm:f>Caixa!$B$5:$B$7</xm:f>
          </x14:formula1>
          <xm:sqref>H16 H34 H85:H86 H102 H107 H111:H112 H118 H204 H214 H224 H234 H244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Z998"/>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SUM(E6,E124,E149,E179,E183)</f>
        <v>16935.62</v>
      </c>
      <c r="F4" s="18">
        <f t="shared" si="0"/>
        <v>22836.629999999997</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SUM(E7:E123)</f>
        <v>16935.62</v>
      </c>
      <c r="F6" s="48">
        <f>SUMIF(D7:D123,"OK",F7:F123)+SUMIF(D7:D123,"Parcial",F7:F123)</f>
        <v>15807.579999999998</v>
      </c>
      <c r="G6" s="107" t="s">
        <v>44</v>
      </c>
      <c r="H6" s="50"/>
      <c r="I6" s="50"/>
      <c r="J6" s="51">
        <f>(COUNTIF(D7:D123,"Pendente")+COUNTIF(D7:D123,"Parcial"))/COUNTA(B7:B123)</f>
        <v>0.20202020202020202</v>
      </c>
      <c r="K6" s="51">
        <f>IFERROR(-(X6/E6),"Pendente info")</f>
        <v>0.16675681197381614</v>
      </c>
      <c r="L6" s="91">
        <f>SUM(L7:L102)/COUNTA(B7:B102)</f>
        <v>0.1875</v>
      </c>
      <c r="M6" s="48">
        <f t="shared" ref="M6:U6" si="1">SUMIF($D$7:$D$123,"OK",M7:M123)+SUMIF($D$7:$D$123,"Parcial",M7:M123)</f>
        <v>9409.3800000000028</v>
      </c>
      <c r="N6" s="48">
        <f t="shared" si="1"/>
        <v>1916.4599999999989</v>
      </c>
      <c r="O6" s="48">
        <f t="shared" si="1"/>
        <v>936</v>
      </c>
      <c r="P6" s="48">
        <f t="shared" si="1"/>
        <v>178.73999999999995</v>
      </c>
      <c r="Q6" s="48">
        <f t="shared" si="1"/>
        <v>150</v>
      </c>
      <c r="R6" s="48">
        <f t="shared" si="1"/>
        <v>175</v>
      </c>
      <c r="S6" s="48">
        <f t="shared" si="1"/>
        <v>227</v>
      </c>
      <c r="T6" s="48">
        <f t="shared" si="1"/>
        <v>520</v>
      </c>
      <c r="U6" s="48">
        <f t="shared" si="1"/>
        <v>2295</v>
      </c>
      <c r="V6" s="47" t="s">
        <v>44</v>
      </c>
      <c r="W6" s="35" t="str">
        <f t="shared" ref="W6:W123" si="2">IF(F6=SUM(M6:U6),"OK","Diferente")</f>
        <v>OK</v>
      </c>
      <c r="X6" s="38">
        <f>SUM(X7:X123)</f>
        <v>-2824.13</v>
      </c>
      <c r="Y6" s="14">
        <f>SUM(M6:U6)-F6</f>
        <v>0</v>
      </c>
      <c r="Z6" s="3"/>
    </row>
    <row r="7" spans="1:26" ht="14.4" hidden="1" outlineLevel="1" x14ac:dyDescent="0.3">
      <c r="A7" s="3"/>
      <c r="B7" s="52" t="s">
        <v>423</v>
      </c>
      <c r="C7" s="53"/>
      <c r="D7" s="53" t="s">
        <v>95</v>
      </c>
      <c r="E7" s="11"/>
      <c r="F7" s="92"/>
      <c r="G7" s="243"/>
      <c r="H7" s="93"/>
      <c r="I7" s="54"/>
      <c r="J7" s="55"/>
      <c r="K7" s="53"/>
      <c r="L7" s="53" t="str">
        <f t="shared" ref="L7:L123" si="3">IF(C7&gt;=13,1,"")</f>
        <v/>
      </c>
      <c r="M7" s="11"/>
      <c r="N7" s="11"/>
      <c r="O7" s="11"/>
      <c r="P7" s="11"/>
      <c r="Q7" s="11"/>
      <c r="R7" s="11"/>
      <c r="S7" s="11"/>
      <c r="T7" s="11"/>
      <c r="U7" s="11"/>
      <c r="V7" s="56" t="s">
        <v>1154</v>
      </c>
      <c r="W7" s="35" t="str">
        <f t="shared" si="2"/>
        <v>OK</v>
      </c>
      <c r="X7" s="38" t="str">
        <f t="shared" ref="X7:X123" si="4">IF(W7="Diferente",F7-SUM(M7:U7),"")</f>
        <v/>
      </c>
      <c r="Y7" s="3"/>
      <c r="Z7" s="116"/>
    </row>
    <row r="8" spans="1:26" ht="14.4" hidden="1" outlineLevel="1" x14ac:dyDescent="0.3">
      <c r="A8" s="3"/>
      <c r="B8" s="52" t="s">
        <v>425</v>
      </c>
      <c r="C8" s="53"/>
      <c r="D8" s="53" t="s">
        <v>95</v>
      </c>
      <c r="E8" s="11"/>
      <c r="F8" s="92"/>
      <c r="G8" s="244"/>
      <c r="H8" s="93"/>
      <c r="I8" s="54"/>
      <c r="J8" s="55"/>
      <c r="K8" s="53"/>
      <c r="L8" s="53" t="str">
        <f t="shared" si="3"/>
        <v/>
      </c>
      <c r="M8" s="11"/>
      <c r="N8" s="11"/>
      <c r="O8" s="11"/>
      <c r="P8" s="11"/>
      <c r="Q8" s="11"/>
      <c r="R8" s="11"/>
      <c r="S8" s="11"/>
      <c r="T8" s="11"/>
      <c r="U8" s="11"/>
      <c r="V8" s="56" t="s">
        <v>1155</v>
      </c>
      <c r="W8" s="35" t="str">
        <f t="shared" si="2"/>
        <v>OK</v>
      </c>
      <c r="X8" s="38" t="str">
        <f t="shared" si="4"/>
        <v/>
      </c>
      <c r="Y8" s="3"/>
      <c r="Z8" s="116"/>
    </row>
    <row r="9" spans="1:26" ht="14.4" hidden="1" outlineLevel="1" x14ac:dyDescent="0.3">
      <c r="A9" s="3"/>
      <c r="B9" s="52" t="s">
        <v>426</v>
      </c>
      <c r="C9" s="53"/>
      <c r="D9" s="53" t="s">
        <v>95</v>
      </c>
      <c r="E9" s="11"/>
      <c r="F9" s="92"/>
      <c r="G9" s="244"/>
      <c r="H9" s="93"/>
      <c r="I9" s="54"/>
      <c r="J9" s="55"/>
      <c r="K9" s="53"/>
      <c r="L9" s="53" t="str">
        <f t="shared" si="3"/>
        <v/>
      </c>
      <c r="M9" s="11"/>
      <c r="N9" s="11"/>
      <c r="O9" s="11"/>
      <c r="P9" s="11"/>
      <c r="Q9" s="11"/>
      <c r="R9" s="11"/>
      <c r="S9" s="11"/>
      <c r="T9" s="11"/>
      <c r="U9" s="11"/>
      <c r="V9" s="56" t="s">
        <v>1155</v>
      </c>
      <c r="W9" s="35" t="str">
        <f t="shared" si="2"/>
        <v>OK</v>
      </c>
      <c r="X9" s="38" t="str">
        <f t="shared" si="4"/>
        <v/>
      </c>
      <c r="Y9" s="3"/>
      <c r="Z9" s="116"/>
    </row>
    <row r="10" spans="1:26" ht="14.4" hidden="1" outlineLevel="1" x14ac:dyDescent="0.3">
      <c r="A10" s="3"/>
      <c r="B10" s="52" t="s">
        <v>427</v>
      </c>
      <c r="C10" s="53"/>
      <c r="D10" s="53" t="s">
        <v>95</v>
      </c>
      <c r="E10" s="11"/>
      <c r="F10" s="92"/>
      <c r="G10" s="245"/>
      <c r="H10" s="93"/>
      <c r="I10" s="54"/>
      <c r="J10" s="55"/>
      <c r="K10" s="53"/>
      <c r="L10" s="53" t="str">
        <f t="shared" si="3"/>
        <v/>
      </c>
      <c r="M10" s="11"/>
      <c r="N10" s="11"/>
      <c r="O10" s="11"/>
      <c r="P10" s="11"/>
      <c r="Q10" s="11"/>
      <c r="R10" s="11"/>
      <c r="S10" s="11"/>
      <c r="T10" s="11"/>
      <c r="U10" s="11"/>
      <c r="V10" s="56" t="s">
        <v>1155</v>
      </c>
      <c r="W10" s="35" t="str">
        <f t="shared" si="2"/>
        <v>OK</v>
      </c>
      <c r="X10" s="38" t="str">
        <f t="shared" si="4"/>
        <v/>
      </c>
      <c r="Y10" s="3"/>
      <c r="Z10" s="116"/>
    </row>
    <row r="11" spans="1:26" ht="14.4" hidden="1" outlineLevel="1" x14ac:dyDescent="0.3">
      <c r="A11" s="3"/>
      <c r="B11" s="9" t="s">
        <v>428</v>
      </c>
      <c r="C11" s="53">
        <v>6</v>
      </c>
      <c r="D11" s="53" t="s">
        <v>95</v>
      </c>
      <c r="E11" s="11">
        <f t="shared" ref="E11:E40" si="5">SUM(M11:U11)</f>
        <v>205.43</v>
      </c>
      <c r="F11" s="92">
        <f t="shared" ref="F11:F12" si="6">E11</f>
        <v>205.43</v>
      </c>
      <c r="G11" s="243"/>
      <c r="H11" s="93" t="s">
        <v>37</v>
      </c>
      <c r="I11" s="54"/>
      <c r="J11" s="55"/>
      <c r="K11" s="53"/>
      <c r="L11" s="53" t="str">
        <f t="shared" si="3"/>
        <v/>
      </c>
      <c r="M11" s="11">
        <v>130</v>
      </c>
      <c r="N11" s="11">
        <v>24.57</v>
      </c>
      <c r="O11" s="11">
        <v>12</v>
      </c>
      <c r="P11" s="11">
        <v>3.86</v>
      </c>
      <c r="Q11" s="11">
        <v>5</v>
      </c>
      <c r="R11" s="11"/>
      <c r="S11" s="11"/>
      <c r="T11" s="11"/>
      <c r="U11" s="11">
        <v>30</v>
      </c>
      <c r="V11" s="56" t="s">
        <v>1155</v>
      </c>
      <c r="W11" s="35" t="str">
        <f t="shared" si="2"/>
        <v>OK</v>
      </c>
      <c r="X11" s="38" t="str">
        <f t="shared" si="4"/>
        <v/>
      </c>
      <c r="Y11" s="3"/>
      <c r="Z11" s="116"/>
    </row>
    <row r="12" spans="1:26" ht="14.4" hidden="1" outlineLevel="1" x14ac:dyDescent="0.3">
      <c r="A12" s="3"/>
      <c r="B12" s="9" t="s">
        <v>429</v>
      </c>
      <c r="C12" s="53">
        <v>6</v>
      </c>
      <c r="D12" s="53" t="s">
        <v>95</v>
      </c>
      <c r="E12" s="11">
        <f t="shared" si="5"/>
        <v>198.57</v>
      </c>
      <c r="F12" s="92">
        <f t="shared" si="6"/>
        <v>198.57</v>
      </c>
      <c r="G12" s="245"/>
      <c r="H12" s="93" t="s">
        <v>37</v>
      </c>
      <c r="I12" s="54"/>
      <c r="J12" s="55"/>
      <c r="K12" s="53"/>
      <c r="L12" s="53" t="str">
        <f t="shared" si="3"/>
        <v/>
      </c>
      <c r="M12" s="11">
        <v>130</v>
      </c>
      <c r="N12" s="11">
        <v>24.57</v>
      </c>
      <c r="O12" s="11">
        <v>12</v>
      </c>
      <c r="P12" s="11">
        <v>2</v>
      </c>
      <c r="Q12" s="11"/>
      <c r="R12" s="11"/>
      <c r="S12" s="11"/>
      <c r="T12" s="11"/>
      <c r="U12" s="11">
        <v>30</v>
      </c>
      <c r="V12" s="56" t="s">
        <v>1155</v>
      </c>
      <c r="W12" s="35" t="str">
        <f t="shared" si="2"/>
        <v>OK</v>
      </c>
      <c r="X12" s="38" t="str">
        <f t="shared" si="4"/>
        <v/>
      </c>
      <c r="Y12" s="3"/>
      <c r="Z12" s="116"/>
    </row>
    <row r="13" spans="1:26" ht="14.4" hidden="1" outlineLevel="1" x14ac:dyDescent="0.3">
      <c r="A13" s="3"/>
      <c r="B13" s="52" t="s">
        <v>430</v>
      </c>
      <c r="C13" s="53"/>
      <c r="D13" s="53" t="s">
        <v>105</v>
      </c>
      <c r="E13" s="11">
        <f t="shared" si="5"/>
        <v>328.49</v>
      </c>
      <c r="F13" s="92"/>
      <c r="G13" s="246"/>
      <c r="H13" s="93"/>
      <c r="I13" s="54"/>
      <c r="J13" s="55"/>
      <c r="K13" s="53"/>
      <c r="L13" s="53" t="str">
        <f t="shared" si="3"/>
        <v/>
      </c>
      <c r="M13" s="11">
        <v>130.47999999999999</v>
      </c>
      <c r="N13" s="11">
        <v>24.57</v>
      </c>
      <c r="O13" s="11">
        <v>12</v>
      </c>
      <c r="P13" s="11">
        <v>1.44</v>
      </c>
      <c r="Q13" s="11">
        <v>10</v>
      </c>
      <c r="R13" s="11">
        <v>20</v>
      </c>
      <c r="S13" s="11">
        <v>50</v>
      </c>
      <c r="T13" s="11">
        <v>50</v>
      </c>
      <c r="U13" s="11">
        <v>30</v>
      </c>
      <c r="V13" s="56" t="s">
        <v>1155</v>
      </c>
      <c r="W13" s="35" t="str">
        <f t="shared" si="2"/>
        <v>Diferente</v>
      </c>
      <c r="X13" s="38">
        <f t="shared" si="4"/>
        <v>-328.49</v>
      </c>
      <c r="Y13" s="3"/>
      <c r="Z13" s="116"/>
    </row>
    <row r="14" spans="1:26" ht="14.4" hidden="1" outlineLevel="1" x14ac:dyDescent="0.3">
      <c r="A14" s="3"/>
      <c r="B14" s="52" t="s">
        <v>432</v>
      </c>
      <c r="C14" s="53"/>
      <c r="D14" s="53" t="s">
        <v>105</v>
      </c>
      <c r="E14" s="11">
        <f t="shared" si="5"/>
        <v>221.29</v>
      </c>
      <c r="F14" s="92"/>
      <c r="G14" s="245"/>
      <c r="H14" s="93"/>
      <c r="I14" s="54"/>
      <c r="J14" s="55"/>
      <c r="K14" s="53"/>
      <c r="L14" s="53" t="str">
        <f t="shared" si="3"/>
        <v/>
      </c>
      <c r="M14" s="11">
        <v>98.28</v>
      </c>
      <c r="N14" s="11">
        <v>24.57</v>
      </c>
      <c r="O14" s="11">
        <v>12</v>
      </c>
      <c r="P14" s="11">
        <v>1.44</v>
      </c>
      <c r="Q14" s="11">
        <v>5</v>
      </c>
      <c r="R14" s="11"/>
      <c r="S14" s="11"/>
      <c r="T14" s="11">
        <v>50</v>
      </c>
      <c r="U14" s="11">
        <v>30</v>
      </c>
      <c r="V14" s="56" t="s">
        <v>1155</v>
      </c>
      <c r="W14" s="35" t="str">
        <f t="shared" si="2"/>
        <v>Diferente</v>
      </c>
      <c r="X14" s="38">
        <f t="shared" si="4"/>
        <v>-221.29</v>
      </c>
      <c r="Y14" s="3"/>
      <c r="Z14" s="116"/>
    </row>
    <row r="15" spans="1:26" ht="14.4" hidden="1" outlineLevel="1" x14ac:dyDescent="0.3">
      <c r="A15" s="3"/>
      <c r="B15" s="9" t="s">
        <v>433</v>
      </c>
      <c r="C15" s="53">
        <v>14</v>
      </c>
      <c r="D15" s="53" t="s">
        <v>95</v>
      </c>
      <c r="E15" s="11">
        <f t="shared" si="5"/>
        <v>155</v>
      </c>
      <c r="F15" s="92">
        <f t="shared" ref="F15:F20" si="7">E15</f>
        <v>155</v>
      </c>
      <c r="G15" s="246"/>
      <c r="H15" s="93" t="s">
        <v>37</v>
      </c>
      <c r="I15" s="54"/>
      <c r="J15" s="55"/>
      <c r="K15" s="53"/>
      <c r="L15" s="53">
        <f t="shared" si="3"/>
        <v>1</v>
      </c>
      <c r="M15" s="11">
        <v>61.99</v>
      </c>
      <c r="N15" s="11">
        <v>24.57</v>
      </c>
      <c r="O15" s="11">
        <v>12</v>
      </c>
      <c r="P15" s="11">
        <v>1.44</v>
      </c>
      <c r="Q15" s="11">
        <v>0</v>
      </c>
      <c r="R15" s="11">
        <v>0</v>
      </c>
      <c r="S15" s="11">
        <v>0</v>
      </c>
      <c r="T15" s="11"/>
      <c r="U15" s="11">
        <v>55</v>
      </c>
      <c r="V15" s="56" t="s">
        <v>1154</v>
      </c>
      <c r="W15" s="35" t="str">
        <f t="shared" si="2"/>
        <v>OK</v>
      </c>
      <c r="X15" s="38" t="str">
        <f t="shared" si="4"/>
        <v/>
      </c>
      <c r="Y15" s="3"/>
      <c r="Z15" s="116"/>
    </row>
    <row r="16" spans="1:26" ht="14.4" hidden="1" outlineLevel="1" x14ac:dyDescent="0.3">
      <c r="A16" s="3"/>
      <c r="B16" s="9" t="s">
        <v>434</v>
      </c>
      <c r="C16" s="53">
        <v>14</v>
      </c>
      <c r="D16" s="53" t="s">
        <v>95</v>
      </c>
      <c r="E16" s="11">
        <f t="shared" si="5"/>
        <v>130</v>
      </c>
      <c r="F16" s="92">
        <f t="shared" si="7"/>
        <v>130</v>
      </c>
      <c r="G16" s="245"/>
      <c r="H16" s="93" t="s">
        <v>37</v>
      </c>
      <c r="I16" s="54"/>
      <c r="J16" s="55"/>
      <c r="K16" s="53"/>
      <c r="L16" s="53">
        <f t="shared" si="3"/>
        <v>1</v>
      </c>
      <c r="M16" s="11">
        <v>61.99</v>
      </c>
      <c r="N16" s="11">
        <v>24.57</v>
      </c>
      <c r="O16" s="11">
        <v>12</v>
      </c>
      <c r="P16" s="11">
        <v>1.44</v>
      </c>
      <c r="Q16" s="11">
        <v>0</v>
      </c>
      <c r="R16" s="11">
        <v>0</v>
      </c>
      <c r="S16" s="11"/>
      <c r="T16" s="11"/>
      <c r="U16" s="11">
        <v>30</v>
      </c>
      <c r="V16" s="56" t="s">
        <v>1155</v>
      </c>
      <c r="W16" s="35" t="str">
        <f t="shared" si="2"/>
        <v>OK</v>
      </c>
      <c r="X16" s="38" t="str">
        <f t="shared" si="4"/>
        <v/>
      </c>
      <c r="Y16" s="3"/>
      <c r="Z16" s="116"/>
    </row>
    <row r="17" spans="1:26" ht="14.4" hidden="1" outlineLevel="1" x14ac:dyDescent="0.3">
      <c r="A17" s="3"/>
      <c r="B17" s="52" t="s">
        <v>435</v>
      </c>
      <c r="C17" s="53">
        <v>2</v>
      </c>
      <c r="D17" s="53" t="s">
        <v>95</v>
      </c>
      <c r="E17" s="11">
        <f t="shared" si="5"/>
        <v>289.19</v>
      </c>
      <c r="F17" s="92">
        <f t="shared" si="7"/>
        <v>289.19</v>
      </c>
      <c r="G17" s="243"/>
      <c r="H17" s="93" t="s">
        <v>37</v>
      </c>
      <c r="I17" s="54"/>
      <c r="J17" s="55"/>
      <c r="K17" s="53"/>
      <c r="L17" s="53" t="str">
        <f t="shared" si="3"/>
        <v/>
      </c>
      <c r="M17" s="11">
        <v>191.18</v>
      </c>
      <c r="N17" s="11">
        <v>24.57</v>
      </c>
      <c r="O17" s="11">
        <v>12</v>
      </c>
      <c r="P17" s="11">
        <v>1.44</v>
      </c>
      <c r="Q17" s="11">
        <v>5</v>
      </c>
      <c r="R17" s="11"/>
      <c r="S17" s="11"/>
      <c r="T17" s="11"/>
      <c r="U17" s="11">
        <v>55</v>
      </c>
      <c r="V17" s="56" t="s">
        <v>1154</v>
      </c>
      <c r="W17" s="35" t="str">
        <f t="shared" si="2"/>
        <v>OK</v>
      </c>
      <c r="X17" s="38" t="str">
        <f t="shared" si="4"/>
        <v/>
      </c>
      <c r="Y17" s="3"/>
      <c r="Z17" s="116"/>
    </row>
    <row r="18" spans="1:26" ht="14.4" hidden="1" outlineLevel="1" x14ac:dyDescent="0.3">
      <c r="A18" s="3"/>
      <c r="B18" s="52" t="s">
        <v>436</v>
      </c>
      <c r="C18" s="53">
        <v>2</v>
      </c>
      <c r="D18" s="53" t="s">
        <v>95</v>
      </c>
      <c r="E18" s="11">
        <f t="shared" si="5"/>
        <v>203.98999999999998</v>
      </c>
      <c r="F18" s="92">
        <f t="shared" si="7"/>
        <v>203.98999999999998</v>
      </c>
      <c r="G18" s="245"/>
      <c r="H18" s="93" t="s">
        <v>37</v>
      </c>
      <c r="I18" s="54"/>
      <c r="J18" s="55"/>
      <c r="K18" s="53"/>
      <c r="L18" s="53" t="str">
        <f t="shared" si="3"/>
        <v/>
      </c>
      <c r="M18" s="11">
        <v>135.97999999999999</v>
      </c>
      <c r="N18" s="11">
        <v>24.57</v>
      </c>
      <c r="O18" s="11">
        <v>12</v>
      </c>
      <c r="P18" s="11">
        <v>1.44</v>
      </c>
      <c r="Q18" s="11"/>
      <c r="R18" s="11"/>
      <c r="S18" s="11"/>
      <c r="T18" s="11"/>
      <c r="U18" s="11">
        <v>30</v>
      </c>
      <c r="V18" s="56" t="s">
        <v>1155</v>
      </c>
      <c r="W18" s="35" t="str">
        <f t="shared" si="2"/>
        <v>OK</v>
      </c>
      <c r="X18" s="38" t="str">
        <f t="shared" si="4"/>
        <v/>
      </c>
      <c r="Y18" s="3"/>
      <c r="Z18" s="116"/>
    </row>
    <row r="19" spans="1:26" ht="14.4" hidden="1" outlineLevel="1" x14ac:dyDescent="0.3">
      <c r="A19" s="3"/>
      <c r="B19" s="9" t="s">
        <v>437</v>
      </c>
      <c r="C19" s="53">
        <v>2</v>
      </c>
      <c r="D19" s="53" t="s">
        <v>95</v>
      </c>
      <c r="E19" s="11">
        <f t="shared" si="5"/>
        <v>471.28999999999996</v>
      </c>
      <c r="F19" s="92">
        <f t="shared" si="7"/>
        <v>471.28999999999996</v>
      </c>
      <c r="G19" s="243"/>
      <c r="H19" s="93" t="s">
        <v>37</v>
      </c>
      <c r="I19" s="54"/>
      <c r="J19" s="55"/>
      <c r="K19" s="53"/>
      <c r="L19" s="53" t="str">
        <f t="shared" si="3"/>
        <v/>
      </c>
      <c r="M19" s="11">
        <v>328.28</v>
      </c>
      <c r="N19" s="11">
        <v>24.57</v>
      </c>
      <c r="O19" s="11">
        <v>12</v>
      </c>
      <c r="P19" s="11">
        <v>11.44</v>
      </c>
      <c r="Q19" s="11">
        <v>5</v>
      </c>
      <c r="R19" s="11">
        <v>10</v>
      </c>
      <c r="S19" s="11"/>
      <c r="T19" s="11">
        <v>50</v>
      </c>
      <c r="U19" s="11">
        <v>30</v>
      </c>
      <c r="V19" s="56" t="s">
        <v>1155</v>
      </c>
      <c r="W19" s="35" t="str">
        <f t="shared" si="2"/>
        <v>OK</v>
      </c>
      <c r="X19" s="38" t="str">
        <f t="shared" si="4"/>
        <v/>
      </c>
      <c r="Y19" s="3"/>
      <c r="Z19" s="116"/>
    </row>
    <row r="20" spans="1:26" ht="14.4" hidden="1" outlineLevel="1" x14ac:dyDescent="0.3">
      <c r="A20" s="3"/>
      <c r="B20" s="9" t="s">
        <v>438</v>
      </c>
      <c r="C20" s="53">
        <v>2</v>
      </c>
      <c r="D20" s="53" t="s">
        <v>95</v>
      </c>
      <c r="E20" s="11">
        <f t="shared" si="5"/>
        <v>461.28999999999996</v>
      </c>
      <c r="F20" s="92">
        <f t="shared" si="7"/>
        <v>461.28999999999996</v>
      </c>
      <c r="G20" s="245"/>
      <c r="H20" s="93" t="s">
        <v>37</v>
      </c>
      <c r="I20" s="54"/>
      <c r="J20" s="55"/>
      <c r="K20" s="53"/>
      <c r="L20" s="53" t="str">
        <f t="shared" si="3"/>
        <v/>
      </c>
      <c r="M20" s="11">
        <v>328.28</v>
      </c>
      <c r="N20" s="11">
        <v>24.57</v>
      </c>
      <c r="O20" s="11">
        <v>12</v>
      </c>
      <c r="P20" s="11">
        <v>1.44</v>
      </c>
      <c r="Q20" s="11">
        <v>5</v>
      </c>
      <c r="R20" s="11">
        <v>10</v>
      </c>
      <c r="S20" s="11"/>
      <c r="T20" s="11">
        <v>50</v>
      </c>
      <c r="U20" s="11">
        <v>30</v>
      </c>
      <c r="V20" s="56" t="s">
        <v>1155</v>
      </c>
      <c r="W20" s="35" t="str">
        <f t="shared" si="2"/>
        <v>OK</v>
      </c>
      <c r="X20" s="38" t="str">
        <f t="shared" si="4"/>
        <v/>
      </c>
      <c r="Y20" s="3"/>
      <c r="Z20" s="116"/>
    </row>
    <row r="21" spans="1:26" ht="15.75" hidden="1" customHeight="1" outlineLevel="1" x14ac:dyDescent="0.3">
      <c r="A21" s="3"/>
      <c r="B21" s="52" t="s">
        <v>439</v>
      </c>
      <c r="C21" s="53"/>
      <c r="D21" s="53" t="s">
        <v>105</v>
      </c>
      <c r="E21" s="11">
        <f t="shared" si="5"/>
        <v>228.99</v>
      </c>
      <c r="F21" s="92"/>
      <c r="G21" s="246"/>
      <c r="H21" s="93"/>
      <c r="I21" s="54"/>
      <c r="J21" s="55"/>
      <c r="K21" s="53"/>
      <c r="L21" s="53" t="str">
        <f t="shared" si="3"/>
        <v/>
      </c>
      <c r="M21" s="11">
        <v>120.98</v>
      </c>
      <c r="N21" s="11">
        <v>24.57</v>
      </c>
      <c r="O21" s="11">
        <v>12</v>
      </c>
      <c r="P21" s="11">
        <v>1.44</v>
      </c>
      <c r="Q21" s="11">
        <v>5</v>
      </c>
      <c r="R21" s="11">
        <v>5</v>
      </c>
      <c r="S21" s="11"/>
      <c r="T21" s="11">
        <v>30</v>
      </c>
      <c r="U21" s="11">
        <v>30</v>
      </c>
      <c r="V21" s="56" t="s">
        <v>1155</v>
      </c>
      <c r="W21" s="35" t="str">
        <f t="shared" si="2"/>
        <v>Diferente</v>
      </c>
      <c r="X21" s="38">
        <f t="shared" si="4"/>
        <v>-228.99</v>
      </c>
      <c r="Y21" s="3"/>
      <c r="Z21" s="116"/>
    </row>
    <row r="22" spans="1:26" ht="15.75" hidden="1" customHeight="1" outlineLevel="1" x14ac:dyDescent="0.3">
      <c r="A22" s="3"/>
      <c r="B22" s="52" t="s">
        <v>440</v>
      </c>
      <c r="C22" s="53"/>
      <c r="D22" s="53" t="s">
        <v>105</v>
      </c>
      <c r="E22" s="11">
        <f t="shared" si="5"/>
        <v>205.59</v>
      </c>
      <c r="F22" s="92"/>
      <c r="G22" s="245"/>
      <c r="H22" s="93"/>
      <c r="I22" s="54"/>
      <c r="J22" s="55"/>
      <c r="K22" s="53"/>
      <c r="L22" s="53" t="str">
        <f t="shared" si="3"/>
        <v/>
      </c>
      <c r="M22" s="11">
        <v>102.58</v>
      </c>
      <c r="N22" s="11">
        <v>24.57</v>
      </c>
      <c r="O22" s="11">
        <v>12</v>
      </c>
      <c r="P22" s="11">
        <v>1.44</v>
      </c>
      <c r="Q22" s="11">
        <v>5</v>
      </c>
      <c r="R22" s="11"/>
      <c r="S22" s="11"/>
      <c r="T22" s="11">
        <v>30</v>
      </c>
      <c r="U22" s="11">
        <v>30</v>
      </c>
      <c r="V22" s="56" t="s">
        <v>1155</v>
      </c>
      <c r="W22" s="35" t="str">
        <f t="shared" si="2"/>
        <v>Diferente</v>
      </c>
      <c r="X22" s="38">
        <f t="shared" si="4"/>
        <v>-205.59</v>
      </c>
      <c r="Y22" s="3"/>
      <c r="Z22" s="116"/>
    </row>
    <row r="23" spans="1:26" ht="15.75" hidden="1" customHeight="1" outlineLevel="1" x14ac:dyDescent="0.3">
      <c r="A23" s="3"/>
      <c r="B23" s="52" t="s">
        <v>443</v>
      </c>
      <c r="C23" s="53"/>
      <c r="D23" s="53" t="s">
        <v>105</v>
      </c>
      <c r="E23" s="11">
        <f t="shared" si="5"/>
        <v>215</v>
      </c>
      <c r="F23" s="92"/>
      <c r="G23" s="108"/>
      <c r="H23" s="93"/>
      <c r="I23" s="54"/>
      <c r="J23" s="55"/>
      <c r="K23" s="11"/>
      <c r="L23" s="53" t="str">
        <f t="shared" si="3"/>
        <v/>
      </c>
      <c r="M23" s="11">
        <v>131.99</v>
      </c>
      <c r="N23" s="11">
        <v>24.57</v>
      </c>
      <c r="O23" s="11">
        <v>12</v>
      </c>
      <c r="P23" s="11">
        <v>6.44</v>
      </c>
      <c r="Q23" s="11"/>
      <c r="R23" s="11">
        <v>10</v>
      </c>
      <c r="S23" s="11"/>
      <c r="T23" s="11"/>
      <c r="U23" s="11">
        <v>30</v>
      </c>
      <c r="V23" s="56" t="s">
        <v>1155</v>
      </c>
      <c r="W23" s="35" t="str">
        <f t="shared" si="2"/>
        <v>Diferente</v>
      </c>
      <c r="X23" s="38">
        <f t="shared" si="4"/>
        <v>-215</v>
      </c>
      <c r="Y23" s="3"/>
      <c r="Z23" s="116"/>
    </row>
    <row r="24" spans="1:26" ht="15.75" hidden="1" customHeight="1" outlineLevel="1" x14ac:dyDescent="0.3">
      <c r="A24" s="3"/>
      <c r="B24" s="9" t="s">
        <v>444</v>
      </c>
      <c r="C24" s="53">
        <v>10</v>
      </c>
      <c r="D24" s="53" t="s">
        <v>95</v>
      </c>
      <c r="E24" s="11">
        <f t="shared" si="5"/>
        <v>50</v>
      </c>
      <c r="F24" s="92">
        <f t="shared" ref="F24:F28" si="8">E24</f>
        <v>50</v>
      </c>
      <c r="G24" s="108"/>
      <c r="H24" s="93" t="s">
        <v>37</v>
      </c>
      <c r="I24" s="54"/>
      <c r="J24" s="55"/>
      <c r="K24" s="11"/>
      <c r="L24" s="53" t="str">
        <f t="shared" si="3"/>
        <v/>
      </c>
      <c r="M24" s="11">
        <v>11.43</v>
      </c>
      <c r="N24" s="11">
        <v>24.57</v>
      </c>
      <c r="O24" s="11">
        <v>12</v>
      </c>
      <c r="P24" s="11">
        <v>2</v>
      </c>
      <c r="Q24" s="11"/>
      <c r="R24" s="11"/>
      <c r="S24" s="11"/>
      <c r="T24" s="11"/>
      <c r="U24" s="11"/>
      <c r="V24" s="56"/>
      <c r="W24" s="35" t="str">
        <f t="shared" si="2"/>
        <v>OK</v>
      </c>
      <c r="X24" s="38" t="str">
        <f t="shared" si="4"/>
        <v/>
      </c>
      <c r="Y24" s="3"/>
      <c r="Z24" s="116"/>
    </row>
    <row r="25" spans="1:26" ht="15.75" hidden="1" customHeight="1" outlineLevel="1" x14ac:dyDescent="0.3">
      <c r="A25" s="3"/>
      <c r="B25" s="52" t="s">
        <v>445</v>
      </c>
      <c r="C25" s="53">
        <v>5</v>
      </c>
      <c r="D25" s="53" t="s">
        <v>95</v>
      </c>
      <c r="E25" s="11">
        <f t="shared" si="5"/>
        <v>260</v>
      </c>
      <c r="F25" s="92">
        <f t="shared" si="8"/>
        <v>260</v>
      </c>
      <c r="G25" s="246"/>
      <c r="H25" s="93" t="s">
        <v>37</v>
      </c>
      <c r="I25" s="54"/>
      <c r="J25" s="55"/>
      <c r="K25" s="11"/>
      <c r="L25" s="53" t="str">
        <f t="shared" si="3"/>
        <v/>
      </c>
      <c r="M25" s="11">
        <v>131.99</v>
      </c>
      <c r="N25" s="11">
        <v>24.57</v>
      </c>
      <c r="O25" s="11">
        <v>12</v>
      </c>
      <c r="P25" s="11">
        <v>11.44</v>
      </c>
      <c r="Q25" s="11">
        <v>5</v>
      </c>
      <c r="R25" s="11">
        <v>5</v>
      </c>
      <c r="S25" s="11">
        <v>10</v>
      </c>
      <c r="T25" s="11">
        <v>30</v>
      </c>
      <c r="U25" s="11">
        <v>30</v>
      </c>
      <c r="V25" s="56" t="s">
        <v>1155</v>
      </c>
      <c r="W25" s="35" t="str">
        <f t="shared" si="2"/>
        <v>OK</v>
      </c>
      <c r="X25" s="38" t="str">
        <f t="shared" si="4"/>
        <v/>
      </c>
      <c r="Y25" s="3"/>
      <c r="Z25" s="116"/>
    </row>
    <row r="26" spans="1:26" ht="15.75" hidden="1" customHeight="1" outlineLevel="1" x14ac:dyDescent="0.3">
      <c r="A26" s="3"/>
      <c r="B26" s="52" t="s">
        <v>447</v>
      </c>
      <c r="C26" s="53">
        <v>5</v>
      </c>
      <c r="D26" s="53" t="s">
        <v>95</v>
      </c>
      <c r="E26" s="11">
        <f t="shared" si="5"/>
        <v>250</v>
      </c>
      <c r="F26" s="92">
        <f t="shared" si="8"/>
        <v>250</v>
      </c>
      <c r="G26" s="245"/>
      <c r="H26" s="93" t="s">
        <v>37</v>
      </c>
      <c r="I26" s="54"/>
      <c r="J26" s="55"/>
      <c r="K26" s="11"/>
      <c r="L26" s="53" t="str">
        <f t="shared" si="3"/>
        <v/>
      </c>
      <c r="M26" s="11">
        <v>131.99</v>
      </c>
      <c r="N26" s="11">
        <v>24.57</v>
      </c>
      <c r="O26" s="11">
        <v>12</v>
      </c>
      <c r="P26" s="11">
        <v>1.44</v>
      </c>
      <c r="Q26" s="11">
        <v>5</v>
      </c>
      <c r="R26" s="11">
        <v>5</v>
      </c>
      <c r="S26" s="11">
        <v>10</v>
      </c>
      <c r="T26" s="11">
        <v>30</v>
      </c>
      <c r="U26" s="11">
        <v>30</v>
      </c>
      <c r="V26" s="56" t="s">
        <v>1155</v>
      </c>
      <c r="W26" s="35" t="str">
        <f t="shared" si="2"/>
        <v>OK</v>
      </c>
      <c r="X26" s="38" t="str">
        <f t="shared" si="4"/>
        <v/>
      </c>
      <c r="Y26" s="3"/>
      <c r="Z26" s="116"/>
    </row>
    <row r="27" spans="1:26" ht="15.75" hidden="1" customHeight="1" outlineLevel="1" x14ac:dyDescent="0.3">
      <c r="A27" s="3"/>
      <c r="B27" s="9" t="s">
        <v>448</v>
      </c>
      <c r="C27" s="53">
        <v>13</v>
      </c>
      <c r="D27" s="53" t="s">
        <v>95</v>
      </c>
      <c r="E27" s="11">
        <f t="shared" si="5"/>
        <v>239.69</v>
      </c>
      <c r="F27" s="92">
        <f t="shared" si="8"/>
        <v>239.69</v>
      </c>
      <c r="G27" s="246"/>
      <c r="H27" s="93" t="s">
        <v>37</v>
      </c>
      <c r="I27" s="54"/>
      <c r="J27" s="55"/>
      <c r="K27" s="11"/>
      <c r="L27" s="53">
        <f t="shared" si="3"/>
        <v>1</v>
      </c>
      <c r="M27" s="11">
        <v>116.68</v>
      </c>
      <c r="N27" s="11">
        <v>24.57</v>
      </c>
      <c r="O27" s="11">
        <v>12</v>
      </c>
      <c r="P27" s="11">
        <v>1.44</v>
      </c>
      <c r="Q27" s="11">
        <v>5</v>
      </c>
      <c r="R27" s="11">
        <v>10</v>
      </c>
      <c r="S27" s="11">
        <v>10</v>
      </c>
      <c r="T27" s="11">
        <v>30</v>
      </c>
      <c r="U27" s="11">
        <v>30</v>
      </c>
      <c r="V27" s="56" t="s">
        <v>1155</v>
      </c>
      <c r="W27" s="35" t="str">
        <f t="shared" si="2"/>
        <v>OK</v>
      </c>
      <c r="X27" s="38" t="str">
        <f t="shared" si="4"/>
        <v/>
      </c>
      <c r="Y27" s="3"/>
      <c r="Z27" s="116"/>
    </row>
    <row r="28" spans="1:26" ht="15.75" hidden="1" customHeight="1" outlineLevel="1" x14ac:dyDescent="0.3">
      <c r="A28" s="3"/>
      <c r="B28" s="9" t="s">
        <v>449</v>
      </c>
      <c r="C28" s="53">
        <v>13</v>
      </c>
      <c r="D28" s="53" t="s">
        <v>95</v>
      </c>
      <c r="E28" s="11">
        <f t="shared" si="5"/>
        <v>188.69</v>
      </c>
      <c r="F28" s="92">
        <f t="shared" si="8"/>
        <v>188.69</v>
      </c>
      <c r="G28" s="245"/>
      <c r="H28" s="93" t="s">
        <v>37</v>
      </c>
      <c r="I28" s="54"/>
      <c r="J28" s="55"/>
      <c r="K28" s="11"/>
      <c r="L28" s="53">
        <f t="shared" si="3"/>
        <v>1</v>
      </c>
      <c r="M28" s="11">
        <v>70.680000000000007</v>
      </c>
      <c r="N28" s="11">
        <v>24.57</v>
      </c>
      <c r="O28" s="11">
        <v>12</v>
      </c>
      <c r="P28" s="11">
        <v>1.44</v>
      </c>
      <c r="Q28" s="11"/>
      <c r="R28" s="11">
        <v>10</v>
      </c>
      <c r="S28" s="11">
        <v>10</v>
      </c>
      <c r="T28" s="11">
        <v>30</v>
      </c>
      <c r="U28" s="11">
        <v>30</v>
      </c>
      <c r="V28" s="56" t="s">
        <v>1155</v>
      </c>
      <c r="W28" s="35" t="str">
        <f t="shared" si="2"/>
        <v>OK</v>
      </c>
      <c r="X28" s="38" t="str">
        <f t="shared" si="4"/>
        <v/>
      </c>
      <c r="Y28" s="3"/>
      <c r="Z28" s="116"/>
    </row>
    <row r="29" spans="1:26" ht="15.75" hidden="1" customHeight="1" outlineLevel="1" x14ac:dyDescent="0.3">
      <c r="A29" s="3"/>
      <c r="B29" s="52" t="s">
        <v>450</v>
      </c>
      <c r="C29" s="53"/>
      <c r="D29" s="53" t="s">
        <v>105</v>
      </c>
      <c r="E29" s="11">
        <f t="shared" si="5"/>
        <v>197.44</v>
      </c>
      <c r="F29" s="92"/>
      <c r="G29" s="246"/>
      <c r="H29" s="93"/>
      <c r="I29" s="54"/>
      <c r="J29" s="55"/>
      <c r="K29" s="11"/>
      <c r="L29" s="53" t="str">
        <f t="shared" si="3"/>
        <v/>
      </c>
      <c r="M29" s="11">
        <v>104.43</v>
      </c>
      <c r="N29" s="11">
        <v>24.57</v>
      </c>
      <c r="O29" s="11">
        <v>12</v>
      </c>
      <c r="P29" s="11">
        <v>1.44</v>
      </c>
      <c r="Q29" s="11">
        <v>5</v>
      </c>
      <c r="R29" s="11"/>
      <c r="S29" s="11">
        <v>10</v>
      </c>
      <c r="T29" s="11">
        <v>10</v>
      </c>
      <c r="U29" s="11">
        <v>30</v>
      </c>
      <c r="V29" s="56" t="s">
        <v>1155</v>
      </c>
      <c r="W29" s="35" t="str">
        <f t="shared" si="2"/>
        <v>Diferente</v>
      </c>
      <c r="X29" s="38">
        <f t="shared" si="4"/>
        <v>-197.44</v>
      </c>
      <c r="Y29" s="3"/>
      <c r="Z29" s="116"/>
    </row>
    <row r="30" spans="1:26" ht="15.75" hidden="1" customHeight="1" outlineLevel="1" x14ac:dyDescent="0.3">
      <c r="A30" s="3"/>
      <c r="B30" s="52" t="s">
        <v>451</v>
      </c>
      <c r="C30" s="53"/>
      <c r="D30" s="53" t="s">
        <v>105</v>
      </c>
      <c r="E30" s="11">
        <f t="shared" si="5"/>
        <v>197.44</v>
      </c>
      <c r="F30" s="92"/>
      <c r="G30" s="245"/>
      <c r="H30" s="93"/>
      <c r="I30" s="54"/>
      <c r="J30" s="55"/>
      <c r="K30" s="11"/>
      <c r="L30" s="53" t="str">
        <f t="shared" si="3"/>
        <v/>
      </c>
      <c r="M30" s="11">
        <v>104.43</v>
      </c>
      <c r="N30" s="11">
        <v>24.57</v>
      </c>
      <c r="O30" s="11">
        <v>12</v>
      </c>
      <c r="P30" s="11">
        <v>1.44</v>
      </c>
      <c r="Q30" s="11">
        <v>5</v>
      </c>
      <c r="R30" s="11"/>
      <c r="S30" s="11">
        <v>10</v>
      </c>
      <c r="T30" s="11">
        <v>10</v>
      </c>
      <c r="U30" s="11">
        <v>30</v>
      </c>
      <c r="V30" s="56" t="s">
        <v>1155</v>
      </c>
      <c r="W30" s="35" t="str">
        <f t="shared" si="2"/>
        <v>Diferente</v>
      </c>
      <c r="X30" s="38">
        <f t="shared" si="4"/>
        <v>-197.44</v>
      </c>
      <c r="Y30" s="3"/>
      <c r="Z30" s="116"/>
    </row>
    <row r="31" spans="1:26" ht="15.75" hidden="1" customHeight="1" outlineLevel="1" x14ac:dyDescent="0.3">
      <c r="A31" s="3"/>
      <c r="B31" s="9" t="s">
        <v>452</v>
      </c>
      <c r="C31" s="53">
        <v>13</v>
      </c>
      <c r="D31" s="53" t="s">
        <v>95</v>
      </c>
      <c r="E31" s="11">
        <f t="shared" si="5"/>
        <v>229.01</v>
      </c>
      <c r="F31" s="92">
        <f t="shared" ref="F31:F32" si="9">E31</f>
        <v>229.01</v>
      </c>
      <c r="G31" s="246"/>
      <c r="H31" s="93" t="s">
        <v>37</v>
      </c>
      <c r="I31" s="54"/>
      <c r="J31" s="55"/>
      <c r="K31" s="11"/>
      <c r="L31" s="53">
        <f t="shared" si="3"/>
        <v>1</v>
      </c>
      <c r="M31" s="11">
        <v>156</v>
      </c>
      <c r="N31" s="11">
        <v>24.57</v>
      </c>
      <c r="O31" s="11">
        <v>12</v>
      </c>
      <c r="P31" s="11">
        <v>1.44</v>
      </c>
      <c r="Q31" s="11">
        <v>5</v>
      </c>
      <c r="R31" s="11"/>
      <c r="S31" s="11"/>
      <c r="T31" s="11"/>
      <c r="U31" s="11">
        <v>30</v>
      </c>
      <c r="V31" s="56" t="s">
        <v>1155</v>
      </c>
      <c r="W31" s="35" t="str">
        <f t="shared" si="2"/>
        <v>OK</v>
      </c>
      <c r="X31" s="38" t="str">
        <f t="shared" si="4"/>
        <v/>
      </c>
      <c r="Y31" s="3"/>
      <c r="Z31" s="116"/>
    </row>
    <row r="32" spans="1:26" ht="15.75" hidden="1" customHeight="1" outlineLevel="1" x14ac:dyDescent="0.3">
      <c r="A32" s="3"/>
      <c r="B32" s="9" t="s">
        <v>453</v>
      </c>
      <c r="C32" s="53">
        <v>13</v>
      </c>
      <c r="D32" s="53" t="s">
        <v>95</v>
      </c>
      <c r="E32" s="11">
        <f t="shared" si="5"/>
        <v>249.01</v>
      </c>
      <c r="F32" s="92">
        <f t="shared" si="9"/>
        <v>249.01</v>
      </c>
      <c r="G32" s="245"/>
      <c r="H32" s="93" t="s">
        <v>37</v>
      </c>
      <c r="I32" s="54"/>
      <c r="J32" s="55"/>
      <c r="K32" s="11"/>
      <c r="L32" s="53">
        <f t="shared" si="3"/>
        <v>1</v>
      </c>
      <c r="M32" s="11">
        <v>156</v>
      </c>
      <c r="N32" s="11">
        <v>24.57</v>
      </c>
      <c r="O32" s="11">
        <v>12</v>
      </c>
      <c r="P32" s="11">
        <v>11.44</v>
      </c>
      <c r="Q32" s="11">
        <v>5</v>
      </c>
      <c r="R32" s="11">
        <v>10</v>
      </c>
      <c r="S32" s="11"/>
      <c r="T32" s="11"/>
      <c r="U32" s="11">
        <v>30</v>
      </c>
      <c r="V32" s="56" t="s">
        <v>1155</v>
      </c>
      <c r="W32" s="35" t="str">
        <f t="shared" si="2"/>
        <v>OK</v>
      </c>
      <c r="X32" s="38" t="str">
        <f t="shared" si="4"/>
        <v/>
      </c>
      <c r="Y32" s="3"/>
      <c r="Z32" s="116"/>
    </row>
    <row r="33" spans="1:26" ht="15.75" hidden="1" customHeight="1" outlineLevel="1" x14ac:dyDescent="0.3">
      <c r="A33" s="3"/>
      <c r="B33" s="52" t="s">
        <v>454</v>
      </c>
      <c r="C33" s="53"/>
      <c r="D33" s="53" t="s">
        <v>105</v>
      </c>
      <c r="E33" s="11">
        <f t="shared" si="5"/>
        <v>513.4</v>
      </c>
      <c r="F33" s="92"/>
      <c r="G33" s="109"/>
      <c r="H33" s="93"/>
      <c r="I33" s="54"/>
      <c r="J33" s="55"/>
      <c r="K33" s="11"/>
      <c r="L33" s="53" t="str">
        <f t="shared" si="3"/>
        <v/>
      </c>
      <c r="M33" s="11">
        <v>48.43</v>
      </c>
      <c r="N33" s="11">
        <v>24.57</v>
      </c>
      <c r="O33" s="11">
        <v>12</v>
      </c>
      <c r="P33" s="11">
        <v>2</v>
      </c>
      <c r="Q33" s="11">
        <v>0</v>
      </c>
      <c r="R33" s="11">
        <v>0</v>
      </c>
      <c r="S33" s="11"/>
      <c r="T33" s="11"/>
      <c r="U33" s="11">
        <v>426.4</v>
      </c>
      <c r="V33" s="56" t="s">
        <v>1156</v>
      </c>
      <c r="W33" s="35" t="str">
        <f t="shared" si="2"/>
        <v>Diferente</v>
      </c>
      <c r="X33" s="38">
        <f t="shared" si="4"/>
        <v>-513.4</v>
      </c>
      <c r="Y33" s="3"/>
      <c r="Z33" s="116"/>
    </row>
    <row r="34" spans="1:26" ht="15.75" hidden="1" customHeight="1" outlineLevel="1" x14ac:dyDescent="0.3">
      <c r="A34" s="3"/>
      <c r="B34" s="9" t="s">
        <v>455</v>
      </c>
      <c r="C34" s="53">
        <v>2</v>
      </c>
      <c r="D34" s="53" t="s">
        <v>95</v>
      </c>
      <c r="E34" s="11">
        <f t="shared" si="5"/>
        <v>258.76</v>
      </c>
      <c r="F34" s="92">
        <f t="shared" ref="F34:F36" si="10">E34</f>
        <v>258.76</v>
      </c>
      <c r="G34" s="108"/>
      <c r="H34" s="93" t="s">
        <v>37</v>
      </c>
      <c r="I34" s="54"/>
      <c r="J34" s="55"/>
      <c r="K34" s="11"/>
      <c r="L34" s="53" t="str">
        <f t="shared" si="3"/>
        <v/>
      </c>
      <c r="M34" s="11">
        <v>132.19</v>
      </c>
      <c r="N34" s="11">
        <v>24.57</v>
      </c>
      <c r="O34" s="11">
        <v>12</v>
      </c>
      <c r="P34" s="11">
        <v>5</v>
      </c>
      <c r="Q34" s="11">
        <v>5</v>
      </c>
      <c r="R34" s="11">
        <v>10</v>
      </c>
      <c r="S34" s="11">
        <v>10</v>
      </c>
      <c r="T34" s="11">
        <v>30</v>
      </c>
      <c r="U34" s="11">
        <v>30</v>
      </c>
      <c r="V34" s="56" t="s">
        <v>1155</v>
      </c>
      <c r="W34" s="35" t="str">
        <f t="shared" si="2"/>
        <v>OK</v>
      </c>
      <c r="X34" s="38" t="str">
        <f t="shared" si="4"/>
        <v/>
      </c>
      <c r="Y34" s="3"/>
      <c r="Z34" s="116"/>
    </row>
    <row r="35" spans="1:26" ht="15.75" hidden="1" customHeight="1" outlineLevel="1" x14ac:dyDescent="0.3">
      <c r="A35" s="3"/>
      <c r="B35" s="52" t="s">
        <v>456</v>
      </c>
      <c r="C35" s="53">
        <v>2</v>
      </c>
      <c r="D35" s="53" t="s">
        <v>95</v>
      </c>
      <c r="E35" s="11">
        <f t="shared" si="5"/>
        <v>142.81</v>
      </c>
      <c r="F35" s="92">
        <f t="shared" si="10"/>
        <v>142.81</v>
      </c>
      <c r="G35" s="246"/>
      <c r="H35" s="93" t="s">
        <v>37</v>
      </c>
      <c r="I35" s="54"/>
      <c r="J35" s="55"/>
      <c r="K35" s="11"/>
      <c r="L35" s="53" t="str">
        <f t="shared" si="3"/>
        <v/>
      </c>
      <c r="M35" s="11">
        <v>74.739999999999995</v>
      </c>
      <c r="N35" s="11">
        <v>24.57</v>
      </c>
      <c r="O35" s="11">
        <v>12</v>
      </c>
      <c r="P35" s="11">
        <v>1.5</v>
      </c>
      <c r="Q35" s="11"/>
      <c r="R35" s="11"/>
      <c r="S35" s="11"/>
      <c r="T35" s="11"/>
      <c r="U35" s="11">
        <v>30</v>
      </c>
      <c r="V35" s="56" t="s">
        <v>1155</v>
      </c>
      <c r="W35" s="35" t="str">
        <f t="shared" si="2"/>
        <v>OK</v>
      </c>
      <c r="X35" s="38" t="str">
        <f t="shared" si="4"/>
        <v/>
      </c>
      <c r="Y35" s="3"/>
      <c r="Z35" s="116"/>
    </row>
    <row r="36" spans="1:26" ht="15.75" hidden="1" customHeight="1" outlineLevel="1" x14ac:dyDescent="0.3">
      <c r="A36" s="3"/>
      <c r="B36" s="52" t="s">
        <v>457</v>
      </c>
      <c r="C36" s="53">
        <v>2</v>
      </c>
      <c r="D36" s="53" t="s">
        <v>95</v>
      </c>
      <c r="E36" s="11">
        <f t="shared" si="5"/>
        <v>142.81</v>
      </c>
      <c r="F36" s="92">
        <f t="shared" si="10"/>
        <v>142.81</v>
      </c>
      <c r="G36" s="245"/>
      <c r="H36" s="93" t="s">
        <v>37</v>
      </c>
      <c r="I36" s="54"/>
      <c r="J36" s="55"/>
      <c r="K36" s="11"/>
      <c r="L36" s="53" t="str">
        <f t="shared" si="3"/>
        <v/>
      </c>
      <c r="M36" s="11">
        <v>74.739999999999995</v>
      </c>
      <c r="N36" s="11">
        <v>24.57</v>
      </c>
      <c r="O36" s="11">
        <v>12</v>
      </c>
      <c r="P36" s="11">
        <v>1.5</v>
      </c>
      <c r="Q36" s="11"/>
      <c r="R36" s="11"/>
      <c r="S36" s="11"/>
      <c r="T36" s="11"/>
      <c r="U36" s="11">
        <v>30</v>
      </c>
      <c r="V36" s="56" t="s">
        <v>1155</v>
      </c>
      <c r="W36" s="35" t="str">
        <f t="shared" si="2"/>
        <v>OK</v>
      </c>
      <c r="X36" s="38" t="str">
        <f t="shared" si="4"/>
        <v/>
      </c>
      <c r="Y36" s="3"/>
      <c r="Z36" s="116"/>
    </row>
    <row r="37" spans="1:26" ht="15.75" hidden="1" customHeight="1" outlineLevel="1" x14ac:dyDescent="0.3">
      <c r="A37" s="3"/>
      <c r="B37" s="9" t="s">
        <v>458</v>
      </c>
      <c r="C37" s="53">
        <v>9</v>
      </c>
      <c r="D37" s="53" t="s">
        <v>95</v>
      </c>
      <c r="E37" s="11">
        <f t="shared" si="5"/>
        <v>201.44</v>
      </c>
      <c r="F37" s="92">
        <f t="shared" ref="F37:F41" si="11">SUM(M37:U37)</f>
        <v>201.44</v>
      </c>
      <c r="G37" s="243"/>
      <c r="H37" s="93" t="s">
        <v>37</v>
      </c>
      <c r="I37" s="54"/>
      <c r="J37" s="55"/>
      <c r="K37" s="11"/>
      <c r="L37" s="53" t="str">
        <f t="shared" si="3"/>
        <v/>
      </c>
      <c r="M37" s="11">
        <v>103.43</v>
      </c>
      <c r="N37" s="11">
        <v>24.57</v>
      </c>
      <c r="O37" s="11">
        <v>12</v>
      </c>
      <c r="P37" s="11">
        <v>1.44</v>
      </c>
      <c r="Q37" s="11"/>
      <c r="R37" s="11">
        <v>5</v>
      </c>
      <c r="S37" s="11"/>
      <c r="T37" s="11"/>
      <c r="U37" s="11">
        <v>55</v>
      </c>
      <c r="V37" s="56" t="s">
        <v>1154</v>
      </c>
      <c r="W37" s="35" t="str">
        <f t="shared" si="2"/>
        <v>OK</v>
      </c>
      <c r="X37" s="38" t="str">
        <f t="shared" si="4"/>
        <v/>
      </c>
      <c r="Y37" s="3"/>
      <c r="Z37" s="116"/>
    </row>
    <row r="38" spans="1:26" ht="15.75" hidden="1" customHeight="1" outlineLevel="1" x14ac:dyDescent="0.3">
      <c r="A38" s="3"/>
      <c r="B38" s="9" t="s">
        <v>459</v>
      </c>
      <c r="C38" s="53">
        <v>9</v>
      </c>
      <c r="D38" s="53" t="s">
        <v>95</v>
      </c>
      <c r="E38" s="11">
        <f t="shared" si="5"/>
        <v>181.44</v>
      </c>
      <c r="F38" s="92">
        <f t="shared" si="11"/>
        <v>181.44</v>
      </c>
      <c r="G38" s="244"/>
      <c r="H38" s="93" t="s">
        <v>37</v>
      </c>
      <c r="I38" s="54"/>
      <c r="J38" s="55"/>
      <c r="K38" s="11"/>
      <c r="L38" s="53" t="str">
        <f t="shared" si="3"/>
        <v/>
      </c>
      <c r="M38" s="11">
        <v>103.43</v>
      </c>
      <c r="N38" s="11">
        <v>24.57</v>
      </c>
      <c r="O38" s="11">
        <v>12</v>
      </c>
      <c r="P38" s="11">
        <v>1.44</v>
      </c>
      <c r="Q38" s="11">
        <v>5</v>
      </c>
      <c r="R38" s="11">
        <v>5</v>
      </c>
      <c r="S38" s="11"/>
      <c r="T38" s="11"/>
      <c r="U38" s="11">
        <v>30</v>
      </c>
      <c r="V38" s="56" t="s">
        <v>1155</v>
      </c>
      <c r="W38" s="35" t="str">
        <f t="shared" si="2"/>
        <v>OK</v>
      </c>
      <c r="X38" s="38" t="str">
        <f t="shared" si="4"/>
        <v/>
      </c>
      <c r="Y38" s="3"/>
      <c r="Z38" s="116"/>
    </row>
    <row r="39" spans="1:26" ht="15.75" hidden="1" customHeight="1" outlineLevel="1" x14ac:dyDescent="0.3">
      <c r="A39" s="3"/>
      <c r="B39" s="9" t="s">
        <v>460</v>
      </c>
      <c r="C39" s="53">
        <v>9</v>
      </c>
      <c r="D39" s="53" t="s">
        <v>95</v>
      </c>
      <c r="E39" s="11">
        <f t="shared" si="5"/>
        <v>181.44</v>
      </c>
      <c r="F39" s="92">
        <f t="shared" si="11"/>
        <v>181.44</v>
      </c>
      <c r="G39" s="244"/>
      <c r="H39" s="93" t="s">
        <v>37</v>
      </c>
      <c r="I39" s="54"/>
      <c r="J39" s="55"/>
      <c r="K39" s="11"/>
      <c r="L39" s="53" t="str">
        <f t="shared" si="3"/>
        <v/>
      </c>
      <c r="M39" s="11">
        <v>103.43</v>
      </c>
      <c r="N39" s="11">
        <v>24.57</v>
      </c>
      <c r="O39" s="11">
        <v>12</v>
      </c>
      <c r="P39" s="11">
        <v>1.44</v>
      </c>
      <c r="Q39" s="11">
        <v>5</v>
      </c>
      <c r="R39" s="11">
        <v>5</v>
      </c>
      <c r="S39" s="11"/>
      <c r="T39" s="11"/>
      <c r="U39" s="11">
        <v>30</v>
      </c>
      <c r="V39" s="56" t="s">
        <v>1155</v>
      </c>
      <c r="W39" s="35" t="str">
        <f t="shared" si="2"/>
        <v>OK</v>
      </c>
      <c r="X39" s="38" t="str">
        <f t="shared" si="4"/>
        <v/>
      </c>
      <c r="Y39" s="3"/>
      <c r="Z39" s="116"/>
    </row>
    <row r="40" spans="1:26" ht="15.75" hidden="1" customHeight="1" outlineLevel="1" x14ac:dyDescent="0.3">
      <c r="A40" s="3"/>
      <c r="B40" s="9" t="s">
        <v>461</v>
      </c>
      <c r="C40" s="53">
        <v>9</v>
      </c>
      <c r="D40" s="53" t="s">
        <v>95</v>
      </c>
      <c r="E40" s="11">
        <f t="shared" si="5"/>
        <v>99.59</v>
      </c>
      <c r="F40" s="92">
        <f t="shared" si="11"/>
        <v>99.59</v>
      </c>
      <c r="G40" s="245"/>
      <c r="H40" s="93" t="s">
        <v>37</v>
      </c>
      <c r="I40" s="54"/>
      <c r="J40" s="55"/>
      <c r="K40" s="11"/>
      <c r="L40" s="53" t="str">
        <f t="shared" si="3"/>
        <v/>
      </c>
      <c r="M40" s="11">
        <v>31.58</v>
      </c>
      <c r="N40" s="11">
        <v>24.57</v>
      </c>
      <c r="O40" s="11">
        <v>12</v>
      </c>
      <c r="P40" s="11">
        <v>1.44</v>
      </c>
      <c r="Q40" s="11"/>
      <c r="R40" s="11"/>
      <c r="S40" s="11"/>
      <c r="T40" s="11"/>
      <c r="U40" s="11">
        <v>30</v>
      </c>
      <c r="V40" s="56" t="s">
        <v>1155</v>
      </c>
      <c r="W40" s="35" t="str">
        <f t="shared" si="2"/>
        <v>OK</v>
      </c>
      <c r="X40" s="38" t="str">
        <f t="shared" si="4"/>
        <v/>
      </c>
      <c r="Y40" s="3"/>
      <c r="Z40" s="116"/>
    </row>
    <row r="41" spans="1:26" ht="15.75" hidden="1" customHeight="1" outlineLevel="1" x14ac:dyDescent="0.3">
      <c r="A41" s="3"/>
      <c r="B41" s="52" t="s">
        <v>462</v>
      </c>
      <c r="C41" s="53">
        <v>8</v>
      </c>
      <c r="D41" s="53" t="s">
        <v>95</v>
      </c>
      <c r="E41" s="11">
        <v>230</v>
      </c>
      <c r="F41" s="92">
        <f t="shared" si="11"/>
        <v>941.00000000000011</v>
      </c>
      <c r="G41" s="118"/>
      <c r="H41" s="93" t="s">
        <v>37</v>
      </c>
      <c r="I41" s="54"/>
      <c r="J41" s="55"/>
      <c r="K41" s="11"/>
      <c r="L41" s="53" t="str">
        <f t="shared" si="3"/>
        <v/>
      </c>
      <c r="M41" s="11">
        <f>151.99+711</f>
        <v>862.99</v>
      </c>
      <c r="N41" s="11">
        <v>24.57</v>
      </c>
      <c r="O41" s="11">
        <v>12</v>
      </c>
      <c r="P41" s="11">
        <v>1.44</v>
      </c>
      <c r="Q41" s="11"/>
      <c r="R41" s="11">
        <v>5</v>
      </c>
      <c r="S41" s="11">
        <v>5</v>
      </c>
      <c r="T41" s="11"/>
      <c r="U41" s="11">
        <v>30</v>
      </c>
      <c r="V41" s="56" t="s">
        <v>1155</v>
      </c>
      <c r="W41" s="35" t="str">
        <f t="shared" si="2"/>
        <v>OK</v>
      </c>
      <c r="X41" s="38" t="str">
        <f t="shared" si="4"/>
        <v/>
      </c>
      <c r="Y41" s="3"/>
      <c r="Z41" s="116"/>
    </row>
    <row r="42" spans="1:26" ht="15.75" hidden="1" customHeight="1" outlineLevel="1" x14ac:dyDescent="0.3">
      <c r="A42" s="3"/>
      <c r="B42" s="9" t="s">
        <v>463</v>
      </c>
      <c r="C42" s="53">
        <v>16</v>
      </c>
      <c r="D42" s="53" t="s">
        <v>95</v>
      </c>
      <c r="E42" s="11">
        <f t="shared" ref="E42:E54" si="12">SUM(M42:U42)</f>
        <v>328.89</v>
      </c>
      <c r="F42" s="92">
        <f t="shared" ref="F42:F54" si="13">E42</f>
        <v>328.89</v>
      </c>
      <c r="G42" s="243"/>
      <c r="H42" s="93" t="s">
        <v>37</v>
      </c>
      <c r="I42" s="54"/>
      <c r="J42" s="55"/>
      <c r="K42" s="11"/>
      <c r="L42" s="53">
        <f t="shared" si="3"/>
        <v>1</v>
      </c>
      <c r="M42" s="11">
        <v>125.88</v>
      </c>
      <c r="N42" s="11">
        <v>24.57</v>
      </c>
      <c r="O42" s="11">
        <v>12</v>
      </c>
      <c r="P42" s="11">
        <v>1.44</v>
      </c>
      <c r="Q42" s="11">
        <v>5</v>
      </c>
      <c r="R42" s="11">
        <v>10</v>
      </c>
      <c r="S42" s="11">
        <v>20</v>
      </c>
      <c r="T42" s="11">
        <v>100</v>
      </c>
      <c r="U42" s="11">
        <v>30</v>
      </c>
      <c r="V42" s="56" t="s">
        <v>1155</v>
      </c>
      <c r="W42" s="35" t="str">
        <f t="shared" si="2"/>
        <v>OK</v>
      </c>
      <c r="X42" s="38" t="str">
        <f t="shared" si="4"/>
        <v/>
      </c>
      <c r="Y42" s="3"/>
      <c r="Z42" s="116"/>
    </row>
    <row r="43" spans="1:26" ht="15.75" hidden="1" customHeight="1" outlineLevel="1" x14ac:dyDescent="0.3">
      <c r="A43" s="3"/>
      <c r="B43" s="9" t="s">
        <v>464</v>
      </c>
      <c r="C43" s="53">
        <v>16</v>
      </c>
      <c r="D43" s="53" t="s">
        <v>95</v>
      </c>
      <c r="E43" s="11">
        <f t="shared" si="12"/>
        <v>192.44</v>
      </c>
      <c r="F43" s="92">
        <f t="shared" si="13"/>
        <v>192.44</v>
      </c>
      <c r="G43" s="245"/>
      <c r="H43" s="93" t="s">
        <v>37</v>
      </c>
      <c r="I43" s="54"/>
      <c r="J43" s="55"/>
      <c r="K43" s="11"/>
      <c r="L43" s="53">
        <f t="shared" si="3"/>
        <v>1</v>
      </c>
      <c r="M43" s="11">
        <v>99.43</v>
      </c>
      <c r="N43" s="11">
        <v>24.57</v>
      </c>
      <c r="O43" s="11">
        <v>12</v>
      </c>
      <c r="P43" s="11">
        <v>1.44</v>
      </c>
      <c r="Q43" s="11">
        <v>5</v>
      </c>
      <c r="R43" s="11"/>
      <c r="S43" s="11">
        <v>20</v>
      </c>
      <c r="T43" s="11"/>
      <c r="U43" s="11">
        <v>30</v>
      </c>
      <c r="V43" s="56" t="s">
        <v>1155</v>
      </c>
      <c r="W43" s="35" t="str">
        <f t="shared" si="2"/>
        <v>OK</v>
      </c>
      <c r="X43" s="38" t="str">
        <f t="shared" si="4"/>
        <v/>
      </c>
      <c r="Y43" s="3"/>
      <c r="Z43" s="116"/>
    </row>
    <row r="44" spans="1:26" ht="15.75" hidden="1" customHeight="1" outlineLevel="1" x14ac:dyDescent="0.3">
      <c r="A44" s="3"/>
      <c r="B44" s="52" t="s">
        <v>465</v>
      </c>
      <c r="C44" s="53">
        <v>2</v>
      </c>
      <c r="D44" s="53" t="s">
        <v>95</v>
      </c>
      <c r="E44" s="11">
        <f t="shared" si="12"/>
        <v>182</v>
      </c>
      <c r="F44" s="92">
        <f t="shared" si="13"/>
        <v>182</v>
      </c>
      <c r="G44" s="225"/>
      <c r="H44" s="54" t="s">
        <v>37</v>
      </c>
      <c r="I44" s="54"/>
      <c r="J44" s="55"/>
      <c r="K44" s="11"/>
      <c r="L44" s="53" t="str">
        <f t="shared" si="3"/>
        <v/>
      </c>
      <c r="M44" s="11">
        <v>93.43</v>
      </c>
      <c r="N44" s="11">
        <v>24.57</v>
      </c>
      <c r="O44" s="11">
        <v>12</v>
      </c>
      <c r="P44" s="11">
        <v>2</v>
      </c>
      <c r="Q44" s="11">
        <v>5</v>
      </c>
      <c r="R44" s="11">
        <v>5</v>
      </c>
      <c r="S44" s="11">
        <v>10</v>
      </c>
      <c r="T44" s="11"/>
      <c r="U44" s="11">
        <v>30</v>
      </c>
      <c r="V44" s="56" t="s">
        <v>1155</v>
      </c>
      <c r="W44" s="35" t="str">
        <f t="shared" si="2"/>
        <v>OK</v>
      </c>
      <c r="X44" s="38" t="str">
        <f t="shared" si="4"/>
        <v/>
      </c>
      <c r="Y44" s="3"/>
      <c r="Z44" s="116"/>
    </row>
    <row r="45" spans="1:26" ht="15.75" hidden="1" customHeight="1" outlineLevel="1" x14ac:dyDescent="0.3">
      <c r="A45" s="3"/>
      <c r="B45" s="52" t="s">
        <v>466</v>
      </c>
      <c r="C45" s="53">
        <v>2</v>
      </c>
      <c r="D45" s="53" t="s">
        <v>95</v>
      </c>
      <c r="E45" s="11">
        <f t="shared" si="12"/>
        <v>117</v>
      </c>
      <c r="F45" s="92">
        <f t="shared" si="13"/>
        <v>117</v>
      </c>
      <c r="G45" s="227"/>
      <c r="H45" s="54" t="s">
        <v>37</v>
      </c>
      <c r="I45" s="54"/>
      <c r="J45" s="55"/>
      <c r="K45" s="11"/>
      <c r="L45" s="53" t="str">
        <f t="shared" si="3"/>
        <v/>
      </c>
      <c r="M45" s="11">
        <v>43.93</v>
      </c>
      <c r="N45" s="11">
        <v>24.57</v>
      </c>
      <c r="O45" s="11">
        <v>12</v>
      </c>
      <c r="P45" s="11">
        <v>1.5</v>
      </c>
      <c r="Q45" s="11"/>
      <c r="R45" s="11"/>
      <c r="S45" s="11">
        <v>5</v>
      </c>
      <c r="T45" s="11"/>
      <c r="U45" s="11">
        <v>30</v>
      </c>
      <c r="V45" s="56" t="s">
        <v>1155</v>
      </c>
      <c r="W45" s="35" t="str">
        <f t="shared" si="2"/>
        <v>OK</v>
      </c>
      <c r="X45" s="38" t="str">
        <f t="shared" si="4"/>
        <v/>
      </c>
      <c r="Y45" s="3"/>
      <c r="Z45" s="116"/>
    </row>
    <row r="46" spans="1:26" ht="31.5" hidden="1" customHeight="1" outlineLevel="1" x14ac:dyDescent="0.3">
      <c r="A46" s="3"/>
      <c r="B46" s="9" t="s">
        <v>467</v>
      </c>
      <c r="C46" s="53">
        <v>3</v>
      </c>
      <c r="D46" s="53" t="s">
        <v>95</v>
      </c>
      <c r="E46" s="11">
        <f t="shared" si="12"/>
        <v>211.99</v>
      </c>
      <c r="F46" s="92">
        <f t="shared" si="13"/>
        <v>211.99</v>
      </c>
      <c r="G46" s="246"/>
      <c r="H46" s="54" t="s">
        <v>37</v>
      </c>
      <c r="I46" s="54"/>
      <c r="J46" s="55"/>
      <c r="K46" s="11"/>
      <c r="L46" s="53" t="str">
        <f t="shared" si="3"/>
        <v/>
      </c>
      <c r="M46" s="11">
        <v>118.98</v>
      </c>
      <c r="N46" s="11">
        <v>24.57</v>
      </c>
      <c r="O46" s="11">
        <v>12</v>
      </c>
      <c r="P46" s="11">
        <v>11.44</v>
      </c>
      <c r="Q46" s="11">
        <v>5</v>
      </c>
      <c r="R46" s="11">
        <v>10</v>
      </c>
      <c r="S46" s="11"/>
      <c r="T46" s="11"/>
      <c r="U46" s="11">
        <v>30</v>
      </c>
      <c r="V46" s="56" t="s">
        <v>1155</v>
      </c>
      <c r="W46" s="35" t="str">
        <f t="shared" si="2"/>
        <v>OK</v>
      </c>
      <c r="X46" s="38" t="str">
        <f t="shared" si="4"/>
        <v/>
      </c>
      <c r="Y46" s="3"/>
      <c r="Z46" s="116"/>
    </row>
    <row r="47" spans="1:26" ht="31.5" hidden="1" customHeight="1" outlineLevel="1" x14ac:dyDescent="0.3">
      <c r="A47" s="3"/>
      <c r="B47" s="9" t="s">
        <v>468</v>
      </c>
      <c r="C47" s="53">
        <v>3</v>
      </c>
      <c r="D47" s="53" t="s">
        <v>95</v>
      </c>
      <c r="E47" s="11">
        <f t="shared" si="12"/>
        <v>123.74</v>
      </c>
      <c r="F47" s="92">
        <f t="shared" si="13"/>
        <v>123.74</v>
      </c>
      <c r="G47" s="245"/>
      <c r="H47" s="54" t="s">
        <v>37</v>
      </c>
      <c r="I47" s="54"/>
      <c r="J47" s="55"/>
      <c r="K47" s="11"/>
      <c r="L47" s="53" t="str">
        <f t="shared" si="3"/>
        <v/>
      </c>
      <c r="M47" s="11">
        <v>55.73</v>
      </c>
      <c r="N47" s="11">
        <v>24.57</v>
      </c>
      <c r="O47" s="11">
        <v>12</v>
      </c>
      <c r="P47" s="11">
        <v>1.44</v>
      </c>
      <c r="Q47" s="11"/>
      <c r="R47" s="11"/>
      <c r="S47" s="11"/>
      <c r="T47" s="11"/>
      <c r="U47" s="11">
        <v>30</v>
      </c>
      <c r="V47" s="56" t="s">
        <v>1155</v>
      </c>
      <c r="W47" s="35" t="str">
        <f t="shared" si="2"/>
        <v>OK</v>
      </c>
      <c r="X47" s="38" t="str">
        <f t="shared" si="4"/>
        <v/>
      </c>
      <c r="Y47" s="3"/>
      <c r="Z47" s="116"/>
    </row>
    <row r="48" spans="1:26" ht="15.75" hidden="1" customHeight="1" outlineLevel="1" x14ac:dyDescent="0.3">
      <c r="A48" s="3"/>
      <c r="B48" s="52" t="s">
        <v>469</v>
      </c>
      <c r="C48" s="53">
        <v>2</v>
      </c>
      <c r="D48" s="53" t="s">
        <v>95</v>
      </c>
      <c r="E48" s="11">
        <f t="shared" si="12"/>
        <v>124.75999999999999</v>
      </c>
      <c r="F48" s="92">
        <f t="shared" si="13"/>
        <v>124.75999999999999</v>
      </c>
      <c r="G48" s="225"/>
      <c r="H48" s="54" t="s">
        <v>37</v>
      </c>
      <c r="I48" s="54"/>
      <c r="J48" s="55"/>
      <c r="K48" s="11"/>
      <c r="L48" s="53" t="str">
        <f t="shared" si="3"/>
        <v/>
      </c>
      <c r="M48" s="11">
        <v>58.19</v>
      </c>
      <c r="N48" s="11">
        <v>24.57</v>
      </c>
      <c r="O48" s="11">
        <v>12</v>
      </c>
      <c r="P48" s="11" t="s">
        <v>44</v>
      </c>
      <c r="Q48" s="11" t="s">
        <v>44</v>
      </c>
      <c r="R48" s="11" t="s">
        <v>44</v>
      </c>
      <c r="S48" s="11" t="s">
        <v>44</v>
      </c>
      <c r="T48" s="11"/>
      <c r="U48" s="11">
        <v>30</v>
      </c>
      <c r="V48" s="56" t="s">
        <v>1155</v>
      </c>
      <c r="W48" s="35" t="str">
        <f t="shared" si="2"/>
        <v>OK</v>
      </c>
      <c r="X48" s="38" t="str">
        <f t="shared" si="4"/>
        <v/>
      </c>
      <c r="Y48" s="3"/>
      <c r="Z48" s="116"/>
    </row>
    <row r="49" spans="1:26" ht="15.75" hidden="1" customHeight="1" outlineLevel="1" x14ac:dyDescent="0.3">
      <c r="A49" s="3"/>
      <c r="B49" s="52" t="s">
        <v>470</v>
      </c>
      <c r="C49" s="53">
        <v>2</v>
      </c>
      <c r="D49" s="53" t="s">
        <v>95</v>
      </c>
      <c r="E49" s="11">
        <f t="shared" si="12"/>
        <v>100.45</v>
      </c>
      <c r="F49" s="92">
        <f t="shared" si="13"/>
        <v>100.45</v>
      </c>
      <c r="G49" s="227"/>
      <c r="H49" s="54" t="s">
        <v>37</v>
      </c>
      <c r="I49" s="54"/>
      <c r="J49" s="55"/>
      <c r="K49" s="11"/>
      <c r="L49" s="53" t="str">
        <f t="shared" si="3"/>
        <v/>
      </c>
      <c r="M49" s="11">
        <v>33.880000000000003</v>
      </c>
      <c r="N49" s="11">
        <v>24.57</v>
      </c>
      <c r="O49" s="11">
        <v>12</v>
      </c>
      <c r="P49" s="11" t="s">
        <v>44</v>
      </c>
      <c r="Q49" s="11"/>
      <c r="R49" s="11" t="s">
        <v>44</v>
      </c>
      <c r="S49" s="11"/>
      <c r="T49" s="11"/>
      <c r="U49" s="11">
        <v>30</v>
      </c>
      <c r="V49" s="56" t="s">
        <v>1155</v>
      </c>
      <c r="W49" s="35" t="str">
        <f t="shared" si="2"/>
        <v>OK</v>
      </c>
      <c r="X49" s="38" t="str">
        <f t="shared" si="4"/>
        <v/>
      </c>
      <c r="Y49" s="3"/>
      <c r="Z49" s="116"/>
    </row>
    <row r="50" spans="1:26" ht="15.75" hidden="1" customHeight="1" outlineLevel="1" x14ac:dyDescent="0.3">
      <c r="A50" s="3"/>
      <c r="B50" s="9" t="s">
        <v>471</v>
      </c>
      <c r="C50" s="53">
        <v>15</v>
      </c>
      <c r="D50" s="53" t="s">
        <v>95</v>
      </c>
      <c r="E50" s="11">
        <f t="shared" si="12"/>
        <v>171.69</v>
      </c>
      <c r="F50" s="92">
        <f t="shared" si="13"/>
        <v>171.69</v>
      </c>
      <c r="G50" s="246"/>
      <c r="H50" s="54" t="s">
        <v>37</v>
      </c>
      <c r="I50" s="54"/>
      <c r="J50" s="55"/>
      <c r="K50" s="11"/>
      <c r="L50" s="53">
        <f t="shared" si="3"/>
        <v>1</v>
      </c>
      <c r="M50" s="11">
        <v>93.62</v>
      </c>
      <c r="N50" s="11">
        <v>24.57</v>
      </c>
      <c r="O50" s="11">
        <v>12</v>
      </c>
      <c r="P50" s="11">
        <v>1.5</v>
      </c>
      <c r="Q50" s="11"/>
      <c r="R50" s="11"/>
      <c r="S50" s="11">
        <v>10</v>
      </c>
      <c r="T50" s="11"/>
      <c r="U50" s="11">
        <v>30</v>
      </c>
      <c r="V50" s="80" t="s">
        <v>1155</v>
      </c>
      <c r="W50" s="35" t="str">
        <f t="shared" si="2"/>
        <v>OK</v>
      </c>
      <c r="X50" s="38" t="str">
        <f t="shared" si="4"/>
        <v/>
      </c>
      <c r="Y50" s="3"/>
      <c r="Z50" s="116"/>
    </row>
    <row r="51" spans="1:26" ht="15.75" hidden="1" customHeight="1" outlineLevel="1" x14ac:dyDescent="0.3">
      <c r="A51" s="3"/>
      <c r="B51" s="9" t="s">
        <v>473</v>
      </c>
      <c r="C51" s="53">
        <v>15</v>
      </c>
      <c r="D51" s="53" t="s">
        <v>95</v>
      </c>
      <c r="E51" s="11">
        <f t="shared" si="12"/>
        <v>161.69</v>
      </c>
      <c r="F51" s="92">
        <f t="shared" si="13"/>
        <v>161.69</v>
      </c>
      <c r="G51" s="245"/>
      <c r="H51" s="54" t="s">
        <v>37</v>
      </c>
      <c r="I51" s="54"/>
      <c r="J51" s="55"/>
      <c r="K51" s="11"/>
      <c r="L51" s="53">
        <f t="shared" si="3"/>
        <v>1</v>
      </c>
      <c r="M51" s="11">
        <v>93.62</v>
      </c>
      <c r="N51" s="11">
        <v>24.57</v>
      </c>
      <c r="O51" s="11">
        <v>12</v>
      </c>
      <c r="P51" s="11">
        <v>1.5</v>
      </c>
      <c r="Q51" s="11"/>
      <c r="R51" s="11"/>
      <c r="S51" s="11"/>
      <c r="T51" s="11"/>
      <c r="U51" s="11">
        <v>30</v>
      </c>
      <c r="V51" s="56" t="s">
        <v>1155</v>
      </c>
      <c r="W51" s="35" t="str">
        <f t="shared" si="2"/>
        <v>OK</v>
      </c>
      <c r="X51" s="38" t="str">
        <f t="shared" si="4"/>
        <v/>
      </c>
      <c r="Y51" s="3"/>
      <c r="Z51" s="116"/>
    </row>
    <row r="52" spans="1:26" ht="15.75" hidden="1" customHeight="1" outlineLevel="1" x14ac:dyDescent="0.3">
      <c r="A52" s="3"/>
      <c r="B52" s="52" t="s">
        <v>474</v>
      </c>
      <c r="C52" s="53">
        <v>3</v>
      </c>
      <c r="D52" s="53" t="s">
        <v>95</v>
      </c>
      <c r="E52" s="11">
        <f t="shared" si="12"/>
        <v>212.44</v>
      </c>
      <c r="F52" s="92">
        <f t="shared" si="13"/>
        <v>212.44</v>
      </c>
      <c r="G52" s="58"/>
      <c r="H52" s="54" t="s">
        <v>37</v>
      </c>
      <c r="I52" s="54"/>
      <c r="J52" s="55"/>
      <c r="K52" s="11"/>
      <c r="L52" s="53" t="str">
        <f t="shared" si="3"/>
        <v/>
      </c>
      <c r="M52" s="11">
        <v>139.43</v>
      </c>
      <c r="N52" s="11">
        <v>24.57</v>
      </c>
      <c r="O52" s="11">
        <v>12</v>
      </c>
      <c r="P52" s="11">
        <v>1.44</v>
      </c>
      <c r="Q52" s="11">
        <v>5</v>
      </c>
      <c r="R52" s="11"/>
      <c r="S52" s="11"/>
      <c r="T52" s="11"/>
      <c r="U52" s="11">
        <v>30</v>
      </c>
      <c r="V52" s="56" t="s">
        <v>1155</v>
      </c>
      <c r="W52" s="35" t="str">
        <f t="shared" si="2"/>
        <v>OK</v>
      </c>
      <c r="X52" s="38" t="str">
        <f t="shared" si="4"/>
        <v/>
      </c>
      <c r="Y52" s="3"/>
      <c r="Z52" s="116"/>
    </row>
    <row r="53" spans="1:26" ht="15.75" hidden="1" customHeight="1" outlineLevel="1" x14ac:dyDescent="0.3">
      <c r="A53" s="3"/>
      <c r="B53" s="9" t="s">
        <v>475</v>
      </c>
      <c r="C53" s="53">
        <v>13</v>
      </c>
      <c r="D53" s="53" t="s">
        <v>95</v>
      </c>
      <c r="E53" s="11">
        <f t="shared" si="12"/>
        <v>276.28999999999996</v>
      </c>
      <c r="F53" s="92">
        <f t="shared" si="13"/>
        <v>276.28999999999996</v>
      </c>
      <c r="G53" s="225"/>
      <c r="H53" s="54" t="s">
        <v>37</v>
      </c>
      <c r="I53" s="54"/>
      <c r="J53" s="55"/>
      <c r="K53" s="11"/>
      <c r="L53" s="53">
        <f t="shared" si="3"/>
        <v>1</v>
      </c>
      <c r="M53" s="11">
        <v>98.28</v>
      </c>
      <c r="N53" s="11">
        <v>24.57</v>
      </c>
      <c r="O53" s="11">
        <v>12</v>
      </c>
      <c r="P53" s="11">
        <v>1.44</v>
      </c>
      <c r="Q53" s="11"/>
      <c r="R53" s="11">
        <v>10</v>
      </c>
      <c r="S53" s="11"/>
      <c r="T53" s="11">
        <v>100</v>
      </c>
      <c r="U53" s="11">
        <v>30</v>
      </c>
      <c r="V53" s="56" t="s">
        <v>1155</v>
      </c>
      <c r="W53" s="35" t="str">
        <f t="shared" si="2"/>
        <v>OK</v>
      </c>
      <c r="X53" s="38" t="str">
        <f t="shared" si="4"/>
        <v/>
      </c>
      <c r="Y53" s="3"/>
      <c r="Z53" s="116"/>
    </row>
    <row r="54" spans="1:26" ht="15.75" hidden="1" customHeight="1" outlineLevel="1" x14ac:dyDescent="0.3">
      <c r="A54" s="3"/>
      <c r="B54" s="9" t="s">
        <v>477</v>
      </c>
      <c r="C54" s="53">
        <v>13</v>
      </c>
      <c r="D54" s="53" t="s">
        <v>95</v>
      </c>
      <c r="E54" s="11">
        <f t="shared" si="12"/>
        <v>176.29</v>
      </c>
      <c r="F54" s="92">
        <f t="shared" si="13"/>
        <v>176.29</v>
      </c>
      <c r="G54" s="227"/>
      <c r="H54" s="54" t="s">
        <v>37</v>
      </c>
      <c r="I54" s="54"/>
      <c r="J54" s="55"/>
      <c r="K54" s="11"/>
      <c r="L54" s="53">
        <f t="shared" si="3"/>
        <v>1</v>
      </c>
      <c r="M54" s="11">
        <v>98.28</v>
      </c>
      <c r="N54" s="11">
        <v>24.57</v>
      </c>
      <c r="O54" s="11">
        <v>12</v>
      </c>
      <c r="P54" s="11">
        <v>1.44</v>
      </c>
      <c r="Q54" s="11"/>
      <c r="R54" s="11">
        <v>10</v>
      </c>
      <c r="S54" s="11"/>
      <c r="T54" s="11"/>
      <c r="U54" s="11">
        <v>30</v>
      </c>
      <c r="V54" s="56" t="s">
        <v>1155</v>
      </c>
      <c r="W54" s="35" t="str">
        <f t="shared" si="2"/>
        <v>OK</v>
      </c>
      <c r="X54" s="38" t="str">
        <f t="shared" si="4"/>
        <v/>
      </c>
      <c r="Y54" s="3"/>
      <c r="Z54" s="116"/>
    </row>
    <row r="55" spans="1:26" ht="15.75" hidden="1" customHeight="1" outlineLevel="1" x14ac:dyDescent="0.3">
      <c r="A55" s="3"/>
      <c r="B55" s="52" t="s">
        <v>478</v>
      </c>
      <c r="C55" s="53">
        <v>12</v>
      </c>
      <c r="D55" s="53" t="s">
        <v>130</v>
      </c>
      <c r="E55" s="11">
        <v>87</v>
      </c>
      <c r="F55" s="92">
        <f>SUM(M55:U55)</f>
        <v>100</v>
      </c>
      <c r="G55" s="61"/>
      <c r="H55" s="54" t="s">
        <v>37</v>
      </c>
      <c r="I55" s="54"/>
      <c r="J55" s="55"/>
      <c r="K55" s="11"/>
      <c r="L55" s="53" t="str">
        <f t="shared" si="3"/>
        <v/>
      </c>
      <c r="M55" s="11">
        <f>13.93+13</f>
        <v>26.93</v>
      </c>
      <c r="N55" s="11">
        <v>24.57</v>
      </c>
      <c r="O55" s="11">
        <v>12</v>
      </c>
      <c r="P55" s="11">
        <v>1.5</v>
      </c>
      <c r="Q55" s="11">
        <v>5</v>
      </c>
      <c r="R55" s="11"/>
      <c r="S55" s="11"/>
      <c r="T55" s="11"/>
      <c r="U55" s="11">
        <v>30</v>
      </c>
      <c r="V55" s="56" t="s">
        <v>1155</v>
      </c>
      <c r="W55" s="35" t="str">
        <f t="shared" si="2"/>
        <v>OK</v>
      </c>
      <c r="X55" s="38" t="str">
        <f t="shared" si="4"/>
        <v/>
      </c>
      <c r="Y55" s="3"/>
      <c r="Z55" s="116"/>
    </row>
    <row r="56" spans="1:26" ht="15.75" hidden="1" customHeight="1" outlineLevel="1" x14ac:dyDescent="0.3">
      <c r="A56" s="3"/>
      <c r="B56" s="9" t="s">
        <v>479</v>
      </c>
      <c r="C56" s="53">
        <v>6</v>
      </c>
      <c r="D56" s="53" t="s">
        <v>95</v>
      </c>
      <c r="E56" s="11">
        <f t="shared" ref="E56:E58" si="14">SUM(M56:U56)</f>
        <v>170.5</v>
      </c>
      <c r="F56" s="92">
        <f t="shared" ref="F56:F58" si="15">E56</f>
        <v>170.5</v>
      </c>
      <c r="G56" s="225"/>
      <c r="H56" s="54" t="s">
        <v>37</v>
      </c>
      <c r="I56" s="54"/>
      <c r="J56" s="55"/>
      <c r="K56" s="11"/>
      <c r="L56" s="53" t="str">
        <f t="shared" si="3"/>
        <v/>
      </c>
      <c r="M56" s="11">
        <v>93.43</v>
      </c>
      <c r="N56" s="11">
        <v>24.57</v>
      </c>
      <c r="O56" s="11">
        <v>12</v>
      </c>
      <c r="P56" s="11">
        <v>1.5</v>
      </c>
      <c r="Q56" s="11"/>
      <c r="R56" s="11">
        <v>0</v>
      </c>
      <c r="S56" s="11">
        <v>4</v>
      </c>
      <c r="T56" s="11">
        <v>5</v>
      </c>
      <c r="U56" s="11">
        <v>30</v>
      </c>
      <c r="V56" s="56" t="s">
        <v>1155</v>
      </c>
      <c r="W56" s="35" t="str">
        <f t="shared" si="2"/>
        <v>OK</v>
      </c>
      <c r="X56" s="38" t="str">
        <f t="shared" si="4"/>
        <v/>
      </c>
      <c r="Y56" s="3"/>
      <c r="Z56" s="116"/>
    </row>
    <row r="57" spans="1:26" ht="15.75" hidden="1" customHeight="1" outlineLevel="1" x14ac:dyDescent="0.3">
      <c r="A57" s="3"/>
      <c r="B57" s="9" t="s">
        <v>480</v>
      </c>
      <c r="C57" s="53">
        <v>6</v>
      </c>
      <c r="D57" s="53" t="s">
        <v>95</v>
      </c>
      <c r="E57" s="11">
        <f t="shared" si="14"/>
        <v>169.5</v>
      </c>
      <c r="F57" s="92">
        <f t="shared" si="15"/>
        <v>169.5</v>
      </c>
      <c r="G57" s="227"/>
      <c r="H57" s="54" t="s">
        <v>37</v>
      </c>
      <c r="I57" s="54"/>
      <c r="J57" s="55"/>
      <c r="K57" s="11"/>
      <c r="L57" s="53" t="str">
        <f t="shared" si="3"/>
        <v/>
      </c>
      <c r="M57" s="11">
        <v>93.43</v>
      </c>
      <c r="N57" s="11">
        <v>24.57</v>
      </c>
      <c r="O57" s="11">
        <v>12</v>
      </c>
      <c r="P57" s="11">
        <v>1.5</v>
      </c>
      <c r="Q57" s="11"/>
      <c r="R57" s="11">
        <v>0</v>
      </c>
      <c r="S57" s="11">
        <v>3</v>
      </c>
      <c r="T57" s="11">
        <v>5</v>
      </c>
      <c r="U57" s="11">
        <v>30</v>
      </c>
      <c r="V57" s="56" t="s">
        <v>1155</v>
      </c>
      <c r="W57" s="35" t="str">
        <f t="shared" si="2"/>
        <v>OK</v>
      </c>
      <c r="X57" s="38" t="str">
        <f t="shared" si="4"/>
        <v/>
      </c>
      <c r="Y57" s="3"/>
      <c r="Z57" s="116"/>
    </row>
    <row r="58" spans="1:26" ht="15.75" hidden="1" customHeight="1" outlineLevel="1" x14ac:dyDescent="0.3">
      <c r="A58" s="3"/>
      <c r="B58" s="52" t="s">
        <v>481</v>
      </c>
      <c r="C58" s="53">
        <v>3</v>
      </c>
      <c r="D58" s="53" t="s">
        <v>95</v>
      </c>
      <c r="E58" s="11">
        <f t="shared" si="14"/>
        <v>100</v>
      </c>
      <c r="F58" s="92">
        <f t="shared" si="15"/>
        <v>100</v>
      </c>
      <c r="G58" s="58"/>
      <c r="H58" s="54" t="s">
        <v>37</v>
      </c>
      <c r="I58" s="54"/>
      <c r="J58" s="55"/>
      <c r="K58" s="11"/>
      <c r="L58" s="53" t="str">
        <f t="shared" si="3"/>
        <v/>
      </c>
      <c r="M58" s="11">
        <v>61.93</v>
      </c>
      <c r="N58" s="11">
        <v>24.57</v>
      </c>
      <c r="O58" s="11">
        <v>12</v>
      </c>
      <c r="P58" s="11">
        <v>1.5</v>
      </c>
      <c r="Q58" s="11"/>
      <c r="R58" s="11"/>
      <c r="S58" s="11"/>
      <c r="T58" s="11"/>
      <c r="U58" s="11"/>
      <c r="V58" s="56"/>
      <c r="W58" s="35" t="str">
        <f t="shared" si="2"/>
        <v>OK</v>
      </c>
      <c r="X58" s="38" t="str">
        <f t="shared" si="4"/>
        <v/>
      </c>
      <c r="Y58" s="3"/>
      <c r="Z58" s="116"/>
    </row>
    <row r="59" spans="1:26" ht="15.75" hidden="1" customHeight="1" outlineLevel="1" x14ac:dyDescent="0.3">
      <c r="A59" s="3"/>
      <c r="B59" s="9" t="s">
        <v>482</v>
      </c>
      <c r="C59" s="53">
        <v>28</v>
      </c>
      <c r="D59" s="53" t="s">
        <v>95</v>
      </c>
      <c r="E59" s="11">
        <v>92.37</v>
      </c>
      <c r="F59" s="92">
        <f>SUM(M59:U59)</f>
        <v>344.18</v>
      </c>
      <c r="G59" s="58"/>
      <c r="H59" s="54" t="s">
        <v>38</v>
      </c>
      <c r="I59" s="54"/>
      <c r="J59" s="55"/>
      <c r="K59" s="11"/>
      <c r="L59" s="53">
        <f t="shared" si="3"/>
        <v>1</v>
      </c>
      <c r="M59" s="11">
        <f>344.18-SUM(N59:U59)</f>
        <v>271.17</v>
      </c>
      <c r="N59" s="11">
        <v>24.57</v>
      </c>
      <c r="O59" s="11">
        <v>12</v>
      </c>
      <c r="P59" s="11">
        <v>1.44</v>
      </c>
      <c r="Q59" s="11">
        <v>5</v>
      </c>
      <c r="R59" s="11"/>
      <c r="S59" s="11"/>
      <c r="T59" s="11"/>
      <c r="U59" s="11">
        <v>30</v>
      </c>
      <c r="V59" s="56" t="s">
        <v>1155</v>
      </c>
      <c r="W59" s="35" t="str">
        <f t="shared" si="2"/>
        <v>OK</v>
      </c>
      <c r="X59" s="38" t="str">
        <f t="shared" si="4"/>
        <v/>
      </c>
      <c r="Y59" s="3"/>
      <c r="Z59" s="116"/>
    </row>
    <row r="60" spans="1:26" ht="15.75" hidden="1" customHeight="1" outlineLevel="1" x14ac:dyDescent="0.3">
      <c r="A60" s="3"/>
      <c r="B60" s="52" t="s">
        <v>483</v>
      </c>
      <c r="C60" s="53"/>
      <c r="D60" s="53" t="s">
        <v>105</v>
      </c>
      <c r="E60" s="11">
        <f t="shared" ref="E60:E62" si="16">SUM(M60:U60)</f>
        <v>102.75</v>
      </c>
      <c r="F60" s="92"/>
      <c r="G60" s="225"/>
      <c r="H60" s="54"/>
      <c r="I60" s="54"/>
      <c r="J60" s="55"/>
      <c r="K60" s="11"/>
      <c r="L60" s="53" t="str">
        <f t="shared" si="3"/>
        <v/>
      </c>
      <c r="M60" s="11">
        <v>29.74</v>
      </c>
      <c r="N60" s="11">
        <v>24.57</v>
      </c>
      <c r="O60" s="11">
        <v>12</v>
      </c>
      <c r="P60" s="11">
        <v>1.44</v>
      </c>
      <c r="Q60" s="11">
        <v>5</v>
      </c>
      <c r="R60" s="11"/>
      <c r="S60" s="11"/>
      <c r="T60" s="11"/>
      <c r="U60" s="11">
        <v>30</v>
      </c>
      <c r="V60" s="56" t="s">
        <v>1155</v>
      </c>
      <c r="W60" s="35" t="str">
        <f t="shared" si="2"/>
        <v>Diferente</v>
      </c>
      <c r="X60" s="38">
        <f t="shared" si="4"/>
        <v>-102.75</v>
      </c>
      <c r="Y60" s="3"/>
      <c r="Z60" s="116"/>
    </row>
    <row r="61" spans="1:26" ht="15.75" hidden="1" customHeight="1" outlineLevel="1" x14ac:dyDescent="0.3">
      <c r="A61" s="3"/>
      <c r="B61" s="52" t="s">
        <v>484</v>
      </c>
      <c r="C61" s="53"/>
      <c r="D61" s="53" t="s">
        <v>105</v>
      </c>
      <c r="E61" s="11">
        <f t="shared" si="16"/>
        <v>103</v>
      </c>
      <c r="F61" s="92"/>
      <c r="G61" s="227"/>
      <c r="H61" s="54"/>
      <c r="I61" s="54"/>
      <c r="J61" s="55"/>
      <c r="K61" s="11"/>
      <c r="L61" s="53" t="str">
        <f t="shared" si="3"/>
        <v/>
      </c>
      <c r="M61" s="11">
        <v>29.93</v>
      </c>
      <c r="N61" s="11">
        <v>24.57</v>
      </c>
      <c r="O61" s="11">
        <v>12</v>
      </c>
      <c r="P61" s="11">
        <v>1.5</v>
      </c>
      <c r="Q61" s="11">
        <v>5</v>
      </c>
      <c r="R61" s="11"/>
      <c r="S61" s="11"/>
      <c r="T61" s="11"/>
      <c r="U61" s="11">
        <v>30</v>
      </c>
      <c r="V61" s="56" t="s">
        <v>1155</v>
      </c>
      <c r="W61" s="35" t="str">
        <f t="shared" si="2"/>
        <v>Diferente</v>
      </c>
      <c r="X61" s="38">
        <f t="shared" si="4"/>
        <v>-103</v>
      </c>
      <c r="Y61" s="3"/>
      <c r="Z61" s="116"/>
    </row>
    <row r="62" spans="1:26" ht="15.75" hidden="1" customHeight="1" outlineLevel="1" x14ac:dyDescent="0.3">
      <c r="A62" s="3"/>
      <c r="B62" s="9" t="s">
        <v>485</v>
      </c>
      <c r="C62" s="53"/>
      <c r="D62" s="53" t="s">
        <v>105</v>
      </c>
      <c r="E62" s="11">
        <f t="shared" si="16"/>
        <v>130</v>
      </c>
      <c r="F62" s="92"/>
      <c r="G62" s="58"/>
      <c r="H62" s="54"/>
      <c r="I62" s="54"/>
      <c r="J62" s="55"/>
      <c r="K62" s="11"/>
      <c r="L62" s="53" t="str">
        <f t="shared" si="3"/>
        <v/>
      </c>
      <c r="M62" s="11">
        <v>61.99</v>
      </c>
      <c r="N62" s="11">
        <v>24.57</v>
      </c>
      <c r="O62" s="11">
        <v>12</v>
      </c>
      <c r="P62" s="11">
        <v>1.44</v>
      </c>
      <c r="Q62" s="11"/>
      <c r="R62" s="11"/>
      <c r="S62" s="11"/>
      <c r="T62" s="11"/>
      <c r="U62" s="11">
        <v>30</v>
      </c>
      <c r="V62" s="56" t="s">
        <v>1155</v>
      </c>
      <c r="W62" s="35" t="str">
        <f t="shared" si="2"/>
        <v>Diferente</v>
      </c>
      <c r="X62" s="38">
        <f t="shared" si="4"/>
        <v>-130</v>
      </c>
      <c r="Y62" s="3"/>
      <c r="Z62" s="116"/>
    </row>
    <row r="63" spans="1:26" ht="15.75" hidden="1" customHeight="1" outlineLevel="1" x14ac:dyDescent="0.3">
      <c r="A63" s="3"/>
      <c r="B63" s="52" t="s">
        <v>489</v>
      </c>
      <c r="C63" s="53">
        <v>8</v>
      </c>
      <c r="D63" s="53" t="s">
        <v>95</v>
      </c>
      <c r="E63" s="11">
        <v>168.07</v>
      </c>
      <c r="F63" s="92">
        <f>SUM(M63:U63)</f>
        <v>870.35</v>
      </c>
      <c r="G63" s="60"/>
      <c r="H63" s="54" t="s">
        <v>37</v>
      </c>
      <c r="I63" s="54"/>
      <c r="J63" s="55"/>
      <c r="K63" s="11"/>
      <c r="L63" s="53" t="str">
        <f t="shared" si="3"/>
        <v/>
      </c>
      <c r="M63" s="11">
        <f>100+702.28</f>
        <v>802.28</v>
      </c>
      <c r="N63" s="11">
        <v>24.57</v>
      </c>
      <c r="O63" s="11">
        <v>12</v>
      </c>
      <c r="P63" s="11">
        <v>1.5</v>
      </c>
      <c r="Q63" s="11"/>
      <c r="R63" s="11"/>
      <c r="S63" s="11"/>
      <c r="T63" s="11"/>
      <c r="U63" s="11">
        <v>30</v>
      </c>
      <c r="V63" s="56" t="s">
        <v>1155</v>
      </c>
      <c r="W63" s="35" t="str">
        <f t="shared" si="2"/>
        <v>OK</v>
      </c>
      <c r="X63" s="38" t="str">
        <f t="shared" si="4"/>
        <v/>
      </c>
      <c r="Y63" s="3"/>
      <c r="Z63" s="116"/>
    </row>
    <row r="64" spans="1:26" ht="15.75" hidden="1" customHeight="1" outlineLevel="1" x14ac:dyDescent="0.3">
      <c r="A64" s="3"/>
      <c r="B64" s="9" t="s">
        <v>490</v>
      </c>
      <c r="C64" s="53"/>
      <c r="D64" s="53" t="s">
        <v>95</v>
      </c>
      <c r="E64" s="11">
        <f t="shared" ref="E64:E80" si="17">SUM(M64:U64)</f>
        <v>248.82</v>
      </c>
      <c r="F64" s="92">
        <f t="shared" ref="F64:F68" si="18">E64</f>
        <v>248.82</v>
      </c>
      <c r="G64" s="61"/>
      <c r="H64" s="54" t="s">
        <v>37</v>
      </c>
      <c r="I64" s="54"/>
      <c r="J64" s="55"/>
      <c r="K64" s="11"/>
      <c r="L64" s="53" t="str">
        <f t="shared" si="3"/>
        <v/>
      </c>
      <c r="M64" s="11">
        <v>122.25</v>
      </c>
      <c r="N64" s="11">
        <v>24.57</v>
      </c>
      <c r="O64" s="11">
        <v>12</v>
      </c>
      <c r="P64" s="11">
        <v>10</v>
      </c>
      <c r="Q64" s="11">
        <v>5</v>
      </c>
      <c r="R64" s="11">
        <v>5</v>
      </c>
      <c r="S64" s="11">
        <v>15</v>
      </c>
      <c r="T64" s="11">
        <v>25</v>
      </c>
      <c r="U64" s="11">
        <v>30</v>
      </c>
      <c r="V64" s="56" t="s">
        <v>1155</v>
      </c>
      <c r="W64" s="35" t="str">
        <f t="shared" si="2"/>
        <v>OK</v>
      </c>
      <c r="X64" s="38" t="str">
        <f t="shared" si="4"/>
        <v/>
      </c>
      <c r="Y64" s="3"/>
      <c r="Z64" s="116"/>
    </row>
    <row r="65" spans="1:26" ht="15.75" hidden="1" customHeight="1" outlineLevel="1" x14ac:dyDescent="0.3">
      <c r="A65" s="3"/>
      <c r="B65" s="9" t="s">
        <v>491</v>
      </c>
      <c r="C65" s="53">
        <v>2</v>
      </c>
      <c r="D65" s="53" t="s">
        <v>95</v>
      </c>
      <c r="E65" s="11">
        <f t="shared" si="17"/>
        <v>248.82</v>
      </c>
      <c r="F65" s="92">
        <f t="shared" si="18"/>
        <v>248.82</v>
      </c>
      <c r="G65" s="60"/>
      <c r="H65" s="54" t="s">
        <v>37</v>
      </c>
      <c r="I65" s="54"/>
      <c r="J65" s="55"/>
      <c r="K65" s="11"/>
      <c r="L65" s="53" t="str">
        <f t="shared" si="3"/>
        <v/>
      </c>
      <c r="M65" s="11">
        <v>122.25</v>
      </c>
      <c r="N65" s="11">
        <v>24.57</v>
      </c>
      <c r="O65" s="11">
        <v>12</v>
      </c>
      <c r="P65" s="11">
        <v>10</v>
      </c>
      <c r="Q65" s="11">
        <v>5</v>
      </c>
      <c r="R65" s="11">
        <v>5</v>
      </c>
      <c r="S65" s="11">
        <v>15</v>
      </c>
      <c r="T65" s="11">
        <v>25</v>
      </c>
      <c r="U65" s="11">
        <v>30</v>
      </c>
      <c r="V65" s="56" t="s">
        <v>1155</v>
      </c>
      <c r="W65" s="35" t="str">
        <f t="shared" si="2"/>
        <v>OK</v>
      </c>
      <c r="X65" s="38" t="str">
        <f t="shared" si="4"/>
        <v/>
      </c>
      <c r="Y65" s="3"/>
      <c r="Z65" s="116"/>
    </row>
    <row r="66" spans="1:26" ht="15.75" hidden="1" customHeight="1" outlineLevel="1" x14ac:dyDescent="0.3">
      <c r="A66" s="3"/>
      <c r="B66" s="52" t="s">
        <v>492</v>
      </c>
      <c r="C66" s="53">
        <v>2</v>
      </c>
      <c r="D66" s="53" t="s">
        <v>95</v>
      </c>
      <c r="E66" s="11">
        <f t="shared" si="17"/>
        <v>211.44</v>
      </c>
      <c r="F66" s="92">
        <f t="shared" si="18"/>
        <v>211.44</v>
      </c>
      <c r="G66" s="225"/>
      <c r="H66" s="54" t="s">
        <v>37</v>
      </c>
      <c r="I66" s="54"/>
      <c r="J66" s="55"/>
      <c r="K66" s="11"/>
      <c r="L66" s="53" t="str">
        <f t="shared" si="3"/>
        <v/>
      </c>
      <c r="M66" s="11">
        <v>113.43</v>
      </c>
      <c r="N66" s="11">
        <v>24.57</v>
      </c>
      <c r="O66" s="11">
        <v>12</v>
      </c>
      <c r="P66" s="11">
        <v>1.44</v>
      </c>
      <c r="Q66" s="11">
        <v>5</v>
      </c>
      <c r="R66" s="11">
        <v>20</v>
      </c>
      <c r="S66" s="11">
        <v>5</v>
      </c>
      <c r="T66" s="11"/>
      <c r="U66" s="11">
        <v>30</v>
      </c>
      <c r="V66" s="56" t="s">
        <v>1155</v>
      </c>
      <c r="W66" s="35" t="str">
        <f t="shared" si="2"/>
        <v>OK</v>
      </c>
      <c r="X66" s="38" t="str">
        <f t="shared" si="4"/>
        <v/>
      </c>
      <c r="Y66" s="3"/>
      <c r="Z66" s="116"/>
    </row>
    <row r="67" spans="1:26" ht="15.75" hidden="1" customHeight="1" outlineLevel="1" x14ac:dyDescent="0.3">
      <c r="A67" s="3"/>
      <c r="B67" s="9" t="s">
        <v>493</v>
      </c>
      <c r="C67" s="53">
        <v>9</v>
      </c>
      <c r="D67" s="53" t="s">
        <v>95</v>
      </c>
      <c r="E67" s="11">
        <f t="shared" si="17"/>
        <v>95.67</v>
      </c>
      <c r="F67" s="92">
        <f t="shared" si="18"/>
        <v>95.67</v>
      </c>
      <c r="G67" s="227"/>
      <c r="H67" s="54" t="s">
        <v>37</v>
      </c>
      <c r="I67" s="54"/>
      <c r="J67" s="55"/>
      <c r="K67" s="11"/>
      <c r="L67" s="53" t="str">
        <f t="shared" si="3"/>
        <v/>
      </c>
      <c r="M67" s="11">
        <v>27.66</v>
      </c>
      <c r="N67" s="11">
        <v>24.57</v>
      </c>
      <c r="O67" s="11">
        <v>12</v>
      </c>
      <c r="P67" s="11">
        <v>1.44</v>
      </c>
      <c r="Q67" s="11"/>
      <c r="R67" s="11"/>
      <c r="S67" s="11"/>
      <c r="T67" s="11"/>
      <c r="U67" s="11">
        <v>30</v>
      </c>
      <c r="V67" s="56" t="s">
        <v>1155</v>
      </c>
      <c r="W67" s="35" t="str">
        <f t="shared" si="2"/>
        <v>OK</v>
      </c>
      <c r="X67" s="38" t="str">
        <f t="shared" si="4"/>
        <v/>
      </c>
      <c r="Y67" s="3"/>
      <c r="Z67" s="116"/>
    </row>
    <row r="68" spans="1:26" ht="15.75" hidden="1" customHeight="1" outlineLevel="1" x14ac:dyDescent="0.3">
      <c r="A68" s="3"/>
      <c r="B68" s="52" t="s">
        <v>494</v>
      </c>
      <c r="C68" s="53">
        <v>9</v>
      </c>
      <c r="D68" s="53" t="s">
        <v>95</v>
      </c>
      <c r="E68" s="11">
        <f t="shared" si="17"/>
        <v>150</v>
      </c>
      <c r="F68" s="92">
        <f t="shared" si="18"/>
        <v>150</v>
      </c>
      <c r="G68" s="58"/>
      <c r="H68" s="54" t="s">
        <v>37</v>
      </c>
      <c r="I68" s="54"/>
      <c r="J68" s="55"/>
      <c r="K68" s="11"/>
      <c r="L68" s="53" t="str">
        <f t="shared" si="3"/>
        <v/>
      </c>
      <c r="M68" s="11">
        <v>81.93</v>
      </c>
      <c r="N68" s="11">
        <v>24.57</v>
      </c>
      <c r="O68" s="11">
        <v>12</v>
      </c>
      <c r="P68" s="11">
        <v>1.5</v>
      </c>
      <c r="Q68" s="11"/>
      <c r="R68" s="11"/>
      <c r="S68" s="11"/>
      <c r="T68" s="11"/>
      <c r="U68" s="11">
        <v>30</v>
      </c>
      <c r="V68" s="56" t="s">
        <v>1155</v>
      </c>
      <c r="W68" s="35" t="str">
        <f t="shared" si="2"/>
        <v>OK</v>
      </c>
      <c r="X68" s="38" t="str">
        <f t="shared" si="4"/>
        <v/>
      </c>
      <c r="Y68" s="3"/>
      <c r="Z68" s="116"/>
    </row>
    <row r="69" spans="1:26" ht="15.75" hidden="1" customHeight="1" outlineLevel="1" x14ac:dyDescent="0.3">
      <c r="A69" s="3"/>
      <c r="B69" s="9" t="s">
        <v>495</v>
      </c>
      <c r="C69" s="53"/>
      <c r="D69" s="53" t="s">
        <v>105</v>
      </c>
      <c r="E69" s="11">
        <f t="shared" si="17"/>
        <v>82</v>
      </c>
      <c r="F69" s="92"/>
      <c r="G69" s="58"/>
      <c r="H69" s="54"/>
      <c r="I69" s="54"/>
      <c r="J69" s="55"/>
      <c r="K69" s="11"/>
      <c r="L69" s="53" t="str">
        <f t="shared" si="3"/>
        <v/>
      </c>
      <c r="M69" s="11">
        <v>13.93</v>
      </c>
      <c r="N69" s="11">
        <v>24.57</v>
      </c>
      <c r="O69" s="11">
        <v>12</v>
      </c>
      <c r="P69" s="11">
        <v>1.5</v>
      </c>
      <c r="Q69" s="11"/>
      <c r="R69" s="11"/>
      <c r="S69" s="11"/>
      <c r="T69" s="11"/>
      <c r="U69" s="11">
        <v>30</v>
      </c>
      <c r="V69" s="56" t="s">
        <v>1155</v>
      </c>
      <c r="W69" s="35" t="str">
        <f t="shared" si="2"/>
        <v>Diferente</v>
      </c>
      <c r="X69" s="38">
        <f t="shared" si="4"/>
        <v>-82</v>
      </c>
      <c r="Y69" s="3"/>
      <c r="Z69" s="116"/>
    </row>
    <row r="70" spans="1:26" ht="15.75" hidden="1" customHeight="1" outlineLevel="1" x14ac:dyDescent="0.3">
      <c r="A70" s="3"/>
      <c r="B70" s="9" t="s">
        <v>496</v>
      </c>
      <c r="C70" s="53"/>
      <c r="D70" s="53" t="s">
        <v>105</v>
      </c>
      <c r="E70" s="11">
        <f t="shared" si="17"/>
        <v>82</v>
      </c>
      <c r="F70" s="92"/>
      <c r="G70" s="58"/>
      <c r="H70" s="54"/>
      <c r="I70" s="54"/>
      <c r="J70" s="55"/>
      <c r="K70" s="11"/>
      <c r="L70" s="53" t="str">
        <f t="shared" si="3"/>
        <v/>
      </c>
      <c r="M70" s="11">
        <v>13.93</v>
      </c>
      <c r="N70" s="11">
        <v>24.57</v>
      </c>
      <c r="O70" s="11">
        <v>12</v>
      </c>
      <c r="P70" s="11">
        <v>1.5</v>
      </c>
      <c r="Q70" s="11"/>
      <c r="R70" s="11"/>
      <c r="S70" s="11"/>
      <c r="T70" s="11"/>
      <c r="U70" s="11">
        <v>30</v>
      </c>
      <c r="V70" s="56" t="s">
        <v>1155</v>
      </c>
      <c r="W70" s="35" t="str">
        <f t="shared" si="2"/>
        <v>Diferente</v>
      </c>
      <c r="X70" s="38">
        <f t="shared" si="4"/>
        <v>-82</v>
      </c>
      <c r="Y70" s="3"/>
      <c r="Z70" s="116"/>
    </row>
    <row r="71" spans="1:26" ht="15.75" hidden="1" customHeight="1" outlineLevel="1" x14ac:dyDescent="0.3">
      <c r="A71" s="3"/>
      <c r="B71" s="52" t="s">
        <v>497</v>
      </c>
      <c r="C71" s="53">
        <v>10</v>
      </c>
      <c r="D71" s="53" t="s">
        <v>95</v>
      </c>
      <c r="E71" s="11">
        <f t="shared" si="17"/>
        <v>130</v>
      </c>
      <c r="F71" s="92">
        <f t="shared" ref="F71:F73" si="19">E71</f>
        <v>130</v>
      </c>
      <c r="G71" s="225"/>
      <c r="H71" s="54" t="s">
        <v>37</v>
      </c>
      <c r="I71" s="54"/>
      <c r="J71" s="55"/>
      <c r="K71" s="11"/>
      <c r="L71" s="53" t="str">
        <f t="shared" si="3"/>
        <v/>
      </c>
      <c r="M71" s="11">
        <v>56.93</v>
      </c>
      <c r="N71" s="11">
        <v>24.57</v>
      </c>
      <c r="O71" s="11">
        <v>12</v>
      </c>
      <c r="P71" s="11">
        <v>1.5</v>
      </c>
      <c r="Q71" s="11">
        <v>5</v>
      </c>
      <c r="R71" s="11"/>
      <c r="S71" s="11"/>
      <c r="T71" s="11"/>
      <c r="U71" s="11">
        <v>30</v>
      </c>
      <c r="V71" s="56" t="s">
        <v>1155</v>
      </c>
      <c r="W71" s="35" t="str">
        <f t="shared" si="2"/>
        <v>OK</v>
      </c>
      <c r="X71" s="38" t="str">
        <f t="shared" si="4"/>
        <v/>
      </c>
      <c r="Y71" s="3"/>
      <c r="Z71" s="116"/>
    </row>
    <row r="72" spans="1:26" ht="15.75" hidden="1" customHeight="1" outlineLevel="1" x14ac:dyDescent="0.3">
      <c r="A72" s="3"/>
      <c r="B72" s="9" t="s">
        <v>498</v>
      </c>
      <c r="C72" s="53">
        <v>7</v>
      </c>
      <c r="D72" s="53" t="s">
        <v>95</v>
      </c>
      <c r="E72" s="11">
        <f t="shared" si="17"/>
        <v>230</v>
      </c>
      <c r="F72" s="92">
        <f t="shared" si="19"/>
        <v>230</v>
      </c>
      <c r="G72" s="227"/>
      <c r="H72" s="54" t="s">
        <v>37</v>
      </c>
      <c r="I72" s="54"/>
      <c r="J72" s="55"/>
      <c r="K72" s="11"/>
      <c r="L72" s="53" t="str">
        <f t="shared" si="3"/>
        <v/>
      </c>
      <c r="M72" s="11">
        <v>148.43</v>
      </c>
      <c r="N72" s="11">
        <v>24.57</v>
      </c>
      <c r="O72" s="11">
        <v>12</v>
      </c>
      <c r="P72" s="11">
        <v>5</v>
      </c>
      <c r="Q72" s="11">
        <v>10</v>
      </c>
      <c r="R72" s="11"/>
      <c r="S72" s="11"/>
      <c r="T72" s="11"/>
      <c r="U72" s="11">
        <v>30</v>
      </c>
      <c r="V72" s="56" t="s">
        <v>1155</v>
      </c>
      <c r="W72" s="35" t="str">
        <f t="shared" si="2"/>
        <v>OK</v>
      </c>
      <c r="X72" s="38" t="str">
        <f t="shared" si="4"/>
        <v/>
      </c>
      <c r="Y72" s="3"/>
      <c r="Z72" s="116"/>
    </row>
    <row r="73" spans="1:26" ht="15.75" hidden="1" customHeight="1" outlineLevel="1" x14ac:dyDescent="0.3">
      <c r="A73" s="3"/>
      <c r="B73" s="52" t="s">
        <v>499</v>
      </c>
      <c r="C73" s="53">
        <v>8</v>
      </c>
      <c r="D73" s="53" t="s">
        <v>95</v>
      </c>
      <c r="E73" s="11">
        <f t="shared" si="17"/>
        <v>87.39</v>
      </c>
      <c r="F73" s="92">
        <f t="shared" si="19"/>
        <v>87.39</v>
      </c>
      <c r="G73" s="58"/>
      <c r="H73" s="54" t="s">
        <v>37</v>
      </c>
      <c r="I73" s="54"/>
      <c r="J73" s="55"/>
      <c r="K73" s="11"/>
      <c r="L73" s="53" t="str">
        <f t="shared" si="3"/>
        <v/>
      </c>
      <c r="M73" s="11">
        <v>19.32</v>
      </c>
      <c r="N73" s="11">
        <v>24.57</v>
      </c>
      <c r="O73" s="11">
        <v>12</v>
      </c>
      <c r="P73" s="11">
        <v>1.5</v>
      </c>
      <c r="Q73" s="11"/>
      <c r="R73" s="11"/>
      <c r="S73" s="11"/>
      <c r="T73" s="11"/>
      <c r="U73" s="11">
        <v>30</v>
      </c>
      <c r="V73" s="56" t="s">
        <v>1155</v>
      </c>
      <c r="W73" s="35" t="str">
        <f t="shared" si="2"/>
        <v>OK</v>
      </c>
      <c r="X73" s="38" t="str">
        <f t="shared" si="4"/>
        <v/>
      </c>
      <c r="Y73" s="3"/>
      <c r="Z73" s="116"/>
    </row>
    <row r="74" spans="1:26" ht="15.75" hidden="1" customHeight="1" outlineLevel="1" x14ac:dyDescent="0.3">
      <c r="A74" s="3"/>
      <c r="B74" s="9" t="s">
        <v>500</v>
      </c>
      <c r="C74" s="53"/>
      <c r="D74" s="53" t="s">
        <v>105</v>
      </c>
      <c r="E74" s="11">
        <f t="shared" si="17"/>
        <v>97.740000000000009</v>
      </c>
      <c r="F74" s="92"/>
      <c r="G74" s="58"/>
      <c r="H74" s="54"/>
      <c r="I74" s="54"/>
      <c r="J74" s="55"/>
      <c r="K74" s="11"/>
      <c r="L74" s="53" t="str">
        <f t="shared" si="3"/>
        <v/>
      </c>
      <c r="M74" s="11">
        <v>29.67</v>
      </c>
      <c r="N74" s="11">
        <v>24.57</v>
      </c>
      <c r="O74" s="11">
        <v>12</v>
      </c>
      <c r="P74" s="11">
        <v>1.5</v>
      </c>
      <c r="Q74" s="11"/>
      <c r="R74" s="11"/>
      <c r="S74" s="11"/>
      <c r="T74" s="11"/>
      <c r="U74" s="11">
        <v>30</v>
      </c>
      <c r="V74" s="56" t="s">
        <v>1155</v>
      </c>
      <c r="W74" s="35" t="str">
        <f t="shared" si="2"/>
        <v>Diferente</v>
      </c>
      <c r="X74" s="38">
        <f t="shared" si="4"/>
        <v>-97.740000000000009</v>
      </c>
      <c r="Y74" s="3"/>
      <c r="Z74" s="116"/>
    </row>
    <row r="75" spans="1:26" ht="15.75" hidden="1" customHeight="1" outlineLevel="1" x14ac:dyDescent="0.3">
      <c r="A75" s="3"/>
      <c r="B75" s="52" t="s">
        <v>501</v>
      </c>
      <c r="C75" s="53">
        <v>25</v>
      </c>
      <c r="D75" s="53" t="s">
        <v>95</v>
      </c>
      <c r="E75" s="11">
        <f t="shared" si="17"/>
        <v>124.43</v>
      </c>
      <c r="F75" s="92">
        <f t="shared" ref="F75:F80" si="20">E75</f>
        <v>124.43</v>
      </c>
      <c r="G75" s="58"/>
      <c r="H75" s="54" t="s">
        <v>37</v>
      </c>
      <c r="I75" s="54"/>
      <c r="J75" s="55"/>
      <c r="K75" s="11"/>
      <c r="L75" s="53">
        <f t="shared" si="3"/>
        <v>1</v>
      </c>
      <c r="M75" s="11">
        <v>50.86</v>
      </c>
      <c r="N75" s="11">
        <v>24.57</v>
      </c>
      <c r="O75" s="11">
        <v>12</v>
      </c>
      <c r="P75" s="11">
        <v>2</v>
      </c>
      <c r="Q75" s="11">
        <v>5</v>
      </c>
      <c r="R75" s="11"/>
      <c r="S75" s="11"/>
      <c r="T75" s="11"/>
      <c r="U75" s="11">
        <v>30</v>
      </c>
      <c r="V75" s="56" t="s">
        <v>1155</v>
      </c>
      <c r="W75" s="35" t="str">
        <f t="shared" si="2"/>
        <v>OK</v>
      </c>
      <c r="X75" s="38" t="str">
        <f t="shared" si="4"/>
        <v/>
      </c>
      <c r="Y75" s="3"/>
      <c r="Z75" s="116"/>
    </row>
    <row r="76" spans="1:26" ht="15.75" hidden="1" customHeight="1" outlineLevel="1" x14ac:dyDescent="0.3">
      <c r="A76" s="3"/>
      <c r="B76" s="52" t="s">
        <v>502</v>
      </c>
      <c r="C76" s="53">
        <v>25</v>
      </c>
      <c r="D76" s="53" t="s">
        <v>95</v>
      </c>
      <c r="E76" s="11">
        <f t="shared" si="17"/>
        <v>123.57</v>
      </c>
      <c r="F76" s="92">
        <f t="shared" si="20"/>
        <v>123.57</v>
      </c>
      <c r="G76" s="58"/>
      <c r="H76" s="54" t="s">
        <v>37</v>
      </c>
      <c r="I76" s="54"/>
      <c r="J76" s="55"/>
      <c r="K76" s="11"/>
      <c r="L76" s="53">
        <f t="shared" si="3"/>
        <v>1</v>
      </c>
      <c r="M76" s="11">
        <v>50</v>
      </c>
      <c r="N76" s="11">
        <v>24.57</v>
      </c>
      <c r="O76" s="11">
        <v>12</v>
      </c>
      <c r="P76" s="11">
        <v>2</v>
      </c>
      <c r="Q76" s="11">
        <v>5</v>
      </c>
      <c r="R76" s="11"/>
      <c r="S76" s="11"/>
      <c r="T76" s="11"/>
      <c r="U76" s="11">
        <v>30</v>
      </c>
      <c r="V76" s="56" t="s">
        <v>1155</v>
      </c>
      <c r="W76" s="35" t="str">
        <f t="shared" si="2"/>
        <v>OK</v>
      </c>
      <c r="X76" s="38" t="str">
        <f t="shared" si="4"/>
        <v/>
      </c>
      <c r="Y76" s="3"/>
      <c r="Z76" s="116"/>
    </row>
    <row r="77" spans="1:26" ht="15.75" hidden="1" customHeight="1" outlineLevel="1" x14ac:dyDescent="0.3">
      <c r="A77" s="3"/>
      <c r="B77" s="9" t="s">
        <v>503</v>
      </c>
      <c r="C77" s="53">
        <v>8</v>
      </c>
      <c r="D77" s="53" t="s">
        <v>95</v>
      </c>
      <c r="E77" s="11">
        <f t="shared" si="17"/>
        <v>161.69</v>
      </c>
      <c r="F77" s="92">
        <f t="shared" si="20"/>
        <v>161.69</v>
      </c>
      <c r="G77" s="58"/>
      <c r="H77" s="54" t="s">
        <v>37</v>
      </c>
      <c r="I77" s="54"/>
      <c r="J77" s="55"/>
      <c r="K77" s="11"/>
      <c r="L77" s="53" t="str">
        <f t="shared" si="3"/>
        <v/>
      </c>
      <c r="M77" s="11">
        <v>93.62</v>
      </c>
      <c r="N77" s="11">
        <v>24.57</v>
      </c>
      <c r="O77" s="11">
        <v>12</v>
      </c>
      <c r="P77" s="11">
        <v>1.5</v>
      </c>
      <c r="Q77" s="11"/>
      <c r="R77" s="11"/>
      <c r="S77" s="11"/>
      <c r="T77" s="11"/>
      <c r="U77" s="11">
        <v>30</v>
      </c>
      <c r="V77" s="56" t="s">
        <v>1155</v>
      </c>
      <c r="W77" s="35" t="str">
        <f t="shared" si="2"/>
        <v>OK</v>
      </c>
      <c r="X77" s="38" t="str">
        <f t="shared" si="4"/>
        <v/>
      </c>
      <c r="Y77" s="3"/>
      <c r="Z77" s="116"/>
    </row>
    <row r="78" spans="1:26" ht="15.75" hidden="1" customHeight="1" outlineLevel="1" x14ac:dyDescent="0.3">
      <c r="A78" s="3"/>
      <c r="B78" s="9" t="s">
        <v>504</v>
      </c>
      <c r="C78" s="53">
        <v>8</v>
      </c>
      <c r="D78" s="53" t="s">
        <v>95</v>
      </c>
      <c r="E78" s="11">
        <f t="shared" si="17"/>
        <v>161.69</v>
      </c>
      <c r="F78" s="92">
        <f t="shared" si="20"/>
        <v>161.69</v>
      </c>
      <c r="G78" s="58"/>
      <c r="H78" s="54" t="s">
        <v>37</v>
      </c>
      <c r="I78" s="54"/>
      <c r="J78" s="55"/>
      <c r="K78" s="11"/>
      <c r="L78" s="53" t="str">
        <f t="shared" si="3"/>
        <v/>
      </c>
      <c r="M78" s="11">
        <v>93.62</v>
      </c>
      <c r="N78" s="11">
        <v>24.57</v>
      </c>
      <c r="O78" s="11">
        <v>12</v>
      </c>
      <c r="P78" s="11">
        <v>1.5</v>
      </c>
      <c r="Q78" s="11"/>
      <c r="R78" s="11"/>
      <c r="S78" s="11"/>
      <c r="T78" s="11"/>
      <c r="U78" s="11">
        <v>30</v>
      </c>
      <c r="V78" s="56" t="s">
        <v>1155</v>
      </c>
      <c r="W78" s="35" t="str">
        <f t="shared" si="2"/>
        <v>OK</v>
      </c>
      <c r="X78" s="38" t="str">
        <f t="shared" si="4"/>
        <v/>
      </c>
      <c r="Y78" s="3"/>
      <c r="Z78" s="116"/>
    </row>
    <row r="79" spans="1:26" ht="15.75" hidden="1" customHeight="1" outlineLevel="1" x14ac:dyDescent="0.3">
      <c r="A79" s="3"/>
      <c r="B79" s="52" t="s">
        <v>505</v>
      </c>
      <c r="C79" s="53">
        <v>9</v>
      </c>
      <c r="D79" s="53" t="s">
        <v>95</v>
      </c>
      <c r="E79" s="11">
        <f t="shared" si="17"/>
        <v>173.57</v>
      </c>
      <c r="F79" s="92">
        <f t="shared" si="20"/>
        <v>173.57</v>
      </c>
      <c r="G79" s="58"/>
      <c r="H79" s="54" t="s">
        <v>37</v>
      </c>
      <c r="I79" s="54"/>
      <c r="J79" s="55"/>
      <c r="K79" s="11"/>
      <c r="L79" s="53" t="str">
        <f t="shared" si="3"/>
        <v/>
      </c>
      <c r="M79" s="11">
        <v>100</v>
      </c>
      <c r="N79" s="11">
        <v>24.57</v>
      </c>
      <c r="O79" s="11">
        <v>12</v>
      </c>
      <c r="P79" s="11">
        <v>2</v>
      </c>
      <c r="Q79" s="11"/>
      <c r="R79" s="11"/>
      <c r="S79" s="11">
        <v>5</v>
      </c>
      <c r="T79" s="11"/>
      <c r="U79" s="11">
        <v>30</v>
      </c>
      <c r="V79" s="56" t="s">
        <v>1155</v>
      </c>
      <c r="W79" s="35" t="str">
        <f t="shared" si="2"/>
        <v>OK</v>
      </c>
      <c r="X79" s="38" t="str">
        <f t="shared" si="4"/>
        <v/>
      </c>
      <c r="Y79" s="3"/>
      <c r="Z79" s="116"/>
    </row>
    <row r="80" spans="1:26" ht="15.75" hidden="1" customHeight="1" outlineLevel="1" x14ac:dyDescent="0.3">
      <c r="A80" s="3"/>
      <c r="B80" s="52" t="s">
        <v>507</v>
      </c>
      <c r="C80" s="53">
        <v>9</v>
      </c>
      <c r="D80" s="53" t="s">
        <v>95</v>
      </c>
      <c r="E80" s="11">
        <f t="shared" si="17"/>
        <v>173.57</v>
      </c>
      <c r="F80" s="92">
        <f t="shared" si="20"/>
        <v>173.57</v>
      </c>
      <c r="G80" s="58"/>
      <c r="H80" s="54" t="s">
        <v>37</v>
      </c>
      <c r="I80" s="54"/>
      <c r="J80" s="55"/>
      <c r="K80" s="11"/>
      <c r="L80" s="53" t="str">
        <f t="shared" si="3"/>
        <v/>
      </c>
      <c r="M80" s="11">
        <v>100</v>
      </c>
      <c r="N80" s="11">
        <v>24.57</v>
      </c>
      <c r="O80" s="11">
        <v>12</v>
      </c>
      <c r="P80" s="11">
        <v>2</v>
      </c>
      <c r="Q80" s="11"/>
      <c r="R80" s="11"/>
      <c r="S80" s="11">
        <v>5</v>
      </c>
      <c r="T80" s="11"/>
      <c r="U80" s="11">
        <v>30</v>
      </c>
      <c r="V80" s="56" t="s">
        <v>1155</v>
      </c>
      <c r="W80" s="35" t="str">
        <f t="shared" si="2"/>
        <v>OK</v>
      </c>
      <c r="X80" s="38" t="str">
        <f t="shared" si="4"/>
        <v/>
      </c>
      <c r="Y80" s="3"/>
      <c r="Z80" s="116"/>
    </row>
    <row r="81" spans="1:26" ht="15.75" hidden="1" customHeight="1" outlineLevel="1" x14ac:dyDescent="0.3">
      <c r="A81" s="3"/>
      <c r="B81" s="9" t="s">
        <v>508</v>
      </c>
      <c r="C81" s="53" t="s">
        <v>1157</v>
      </c>
      <c r="D81" s="53" t="s">
        <v>95</v>
      </c>
      <c r="E81" s="11">
        <v>280</v>
      </c>
      <c r="F81" s="92">
        <f t="shared" ref="F81:F82" si="21">SUM(M81:U81)</f>
        <v>280</v>
      </c>
      <c r="G81" s="61"/>
      <c r="H81" s="54" t="s">
        <v>37</v>
      </c>
      <c r="I81" s="54"/>
      <c r="J81" s="55"/>
      <c r="K81" s="11"/>
      <c r="L81" s="53">
        <f t="shared" si="3"/>
        <v>1</v>
      </c>
      <c r="M81" s="11">
        <v>196.43</v>
      </c>
      <c r="N81" s="11">
        <v>24.57</v>
      </c>
      <c r="O81" s="11">
        <v>12</v>
      </c>
      <c r="P81" s="11">
        <v>2</v>
      </c>
      <c r="Q81" s="11"/>
      <c r="R81" s="11"/>
      <c r="S81" s="11">
        <v>5</v>
      </c>
      <c r="T81" s="11">
        <v>10</v>
      </c>
      <c r="U81" s="11">
        <v>30</v>
      </c>
      <c r="V81" s="56" t="s">
        <v>1155</v>
      </c>
      <c r="W81" s="35" t="str">
        <f t="shared" si="2"/>
        <v>OK</v>
      </c>
      <c r="X81" s="38" t="str">
        <f t="shared" si="4"/>
        <v/>
      </c>
      <c r="Y81" s="3"/>
      <c r="Z81" s="116"/>
    </row>
    <row r="82" spans="1:26" ht="15.75" hidden="1" customHeight="1" outlineLevel="1" x14ac:dyDescent="0.3">
      <c r="A82" s="3"/>
      <c r="B82" s="9" t="s">
        <v>1158</v>
      </c>
      <c r="C82" s="53">
        <v>26</v>
      </c>
      <c r="D82" s="53" t="s">
        <v>95</v>
      </c>
      <c r="E82" s="11">
        <f t="shared" ref="E82:E90" si="22">SUM(M82:U82)</f>
        <v>162.19</v>
      </c>
      <c r="F82" s="92">
        <f t="shared" si="21"/>
        <v>162.19</v>
      </c>
      <c r="G82" s="58"/>
      <c r="H82" s="54" t="s">
        <v>37</v>
      </c>
      <c r="I82" s="54"/>
      <c r="J82" s="55"/>
      <c r="K82" s="11"/>
      <c r="L82" s="53">
        <f t="shared" si="3"/>
        <v>1</v>
      </c>
      <c r="M82" s="11">
        <v>93.62</v>
      </c>
      <c r="N82" s="11">
        <v>24.57</v>
      </c>
      <c r="O82" s="11">
        <v>12</v>
      </c>
      <c r="P82" s="11">
        <v>2</v>
      </c>
      <c r="Q82" s="11"/>
      <c r="R82" s="11"/>
      <c r="S82" s="11">
        <v>0</v>
      </c>
      <c r="T82" s="11">
        <v>0</v>
      </c>
      <c r="U82" s="11">
        <v>30</v>
      </c>
      <c r="V82" s="56" t="s">
        <v>1155</v>
      </c>
      <c r="W82" s="35" t="str">
        <f t="shared" si="2"/>
        <v>OK</v>
      </c>
      <c r="X82" s="38" t="str">
        <f t="shared" si="4"/>
        <v/>
      </c>
      <c r="Y82" s="3"/>
      <c r="Z82" s="116"/>
    </row>
    <row r="83" spans="1:26" ht="15.75" hidden="1" customHeight="1" outlineLevel="1" x14ac:dyDescent="0.3">
      <c r="A83" s="3"/>
      <c r="B83" s="52" t="s">
        <v>509</v>
      </c>
      <c r="C83" s="53">
        <v>9</v>
      </c>
      <c r="D83" s="53" t="s">
        <v>95</v>
      </c>
      <c r="E83" s="11">
        <f t="shared" si="22"/>
        <v>227</v>
      </c>
      <c r="F83" s="92">
        <f t="shared" ref="F83:F90" si="23">E83</f>
        <v>227</v>
      </c>
      <c r="G83" s="58"/>
      <c r="H83" s="54" t="s">
        <v>37</v>
      </c>
      <c r="I83" s="54"/>
      <c r="J83" s="55"/>
      <c r="K83" s="11"/>
      <c r="L83" s="53" t="str">
        <f t="shared" si="3"/>
        <v/>
      </c>
      <c r="M83" s="11">
        <v>138.43</v>
      </c>
      <c r="N83" s="11">
        <v>24.57</v>
      </c>
      <c r="O83" s="11">
        <v>12</v>
      </c>
      <c r="P83" s="11">
        <v>2</v>
      </c>
      <c r="Q83" s="11">
        <v>5</v>
      </c>
      <c r="R83" s="11">
        <v>5</v>
      </c>
      <c r="S83" s="11">
        <v>10</v>
      </c>
      <c r="T83" s="11"/>
      <c r="U83" s="11">
        <v>30</v>
      </c>
      <c r="V83" s="56" t="s">
        <v>1155</v>
      </c>
      <c r="W83" s="35" t="str">
        <f t="shared" si="2"/>
        <v>OK</v>
      </c>
      <c r="X83" s="38" t="str">
        <f t="shared" si="4"/>
        <v/>
      </c>
      <c r="Y83" s="3"/>
      <c r="Z83" s="116"/>
    </row>
    <row r="84" spans="1:26" ht="15.75" hidden="1" customHeight="1" outlineLevel="1" x14ac:dyDescent="0.3">
      <c r="A84" s="3"/>
      <c r="B84" s="52" t="s">
        <v>510</v>
      </c>
      <c r="C84" s="53">
        <v>9</v>
      </c>
      <c r="D84" s="53" t="s">
        <v>95</v>
      </c>
      <c r="E84" s="11">
        <f t="shared" si="22"/>
        <v>227</v>
      </c>
      <c r="F84" s="92">
        <f t="shared" si="23"/>
        <v>227</v>
      </c>
      <c r="G84" s="58"/>
      <c r="H84" s="54" t="s">
        <v>37</v>
      </c>
      <c r="I84" s="54"/>
      <c r="J84" s="55"/>
      <c r="K84" s="11"/>
      <c r="L84" s="53" t="str">
        <f t="shared" si="3"/>
        <v/>
      </c>
      <c r="M84" s="11">
        <v>138.43</v>
      </c>
      <c r="N84" s="11">
        <v>24.57</v>
      </c>
      <c r="O84" s="11">
        <v>12</v>
      </c>
      <c r="P84" s="11">
        <v>2</v>
      </c>
      <c r="Q84" s="11">
        <v>5</v>
      </c>
      <c r="R84" s="11">
        <v>5</v>
      </c>
      <c r="S84" s="11">
        <v>10</v>
      </c>
      <c r="T84" s="11"/>
      <c r="U84" s="11">
        <v>30</v>
      </c>
      <c r="V84" s="56" t="s">
        <v>1155</v>
      </c>
      <c r="W84" s="35" t="str">
        <f t="shared" si="2"/>
        <v>OK</v>
      </c>
      <c r="X84" s="38" t="str">
        <f t="shared" si="4"/>
        <v/>
      </c>
      <c r="Y84" s="3"/>
      <c r="Z84" s="116"/>
    </row>
    <row r="85" spans="1:26" ht="15.75" hidden="1" customHeight="1" outlineLevel="1" x14ac:dyDescent="0.3">
      <c r="A85" s="3"/>
      <c r="B85" s="9" t="s">
        <v>513</v>
      </c>
      <c r="C85" s="53">
        <v>5</v>
      </c>
      <c r="D85" s="53" t="s">
        <v>95</v>
      </c>
      <c r="E85" s="11">
        <f t="shared" si="22"/>
        <v>193.57</v>
      </c>
      <c r="F85" s="92">
        <f t="shared" si="23"/>
        <v>193.57</v>
      </c>
      <c r="G85" s="228"/>
      <c r="H85" s="54" t="s">
        <v>37</v>
      </c>
      <c r="I85" s="54"/>
      <c r="J85" s="55"/>
      <c r="K85" s="11"/>
      <c r="L85" s="53" t="str">
        <f t="shared" si="3"/>
        <v/>
      </c>
      <c r="M85" s="11">
        <v>120</v>
      </c>
      <c r="N85" s="11">
        <v>24.57</v>
      </c>
      <c r="O85" s="11">
        <v>12</v>
      </c>
      <c r="P85" s="11">
        <v>2</v>
      </c>
      <c r="Q85" s="11"/>
      <c r="R85" s="11"/>
      <c r="S85" s="11">
        <v>5</v>
      </c>
      <c r="T85" s="11"/>
      <c r="U85" s="11">
        <v>30</v>
      </c>
      <c r="V85" s="56" t="s">
        <v>1155</v>
      </c>
      <c r="W85" s="35" t="str">
        <f t="shared" si="2"/>
        <v>OK</v>
      </c>
      <c r="X85" s="38" t="str">
        <f t="shared" si="4"/>
        <v/>
      </c>
      <c r="Y85" s="3"/>
      <c r="Z85" s="116"/>
    </row>
    <row r="86" spans="1:26" ht="15.75" hidden="1" customHeight="1" outlineLevel="1" x14ac:dyDescent="0.3">
      <c r="A86" s="3"/>
      <c r="B86" s="9" t="s">
        <v>514</v>
      </c>
      <c r="C86" s="53">
        <v>5</v>
      </c>
      <c r="D86" s="53" t="s">
        <v>95</v>
      </c>
      <c r="E86" s="11">
        <f t="shared" si="22"/>
        <v>193.57</v>
      </c>
      <c r="F86" s="92">
        <f t="shared" si="23"/>
        <v>193.57</v>
      </c>
      <c r="G86" s="227"/>
      <c r="H86" s="54" t="s">
        <v>37</v>
      </c>
      <c r="I86" s="54"/>
      <c r="J86" s="55"/>
      <c r="K86" s="11"/>
      <c r="L86" s="53" t="str">
        <f t="shared" si="3"/>
        <v/>
      </c>
      <c r="M86" s="11">
        <v>120</v>
      </c>
      <c r="N86" s="11">
        <v>24.57</v>
      </c>
      <c r="O86" s="11">
        <v>12</v>
      </c>
      <c r="P86" s="11">
        <v>2</v>
      </c>
      <c r="Q86" s="11"/>
      <c r="R86" s="11"/>
      <c r="S86" s="11">
        <v>5</v>
      </c>
      <c r="T86" s="11"/>
      <c r="U86" s="11">
        <v>30</v>
      </c>
      <c r="V86" s="56" t="s">
        <v>1155</v>
      </c>
      <c r="W86" s="35" t="str">
        <f t="shared" si="2"/>
        <v>OK</v>
      </c>
      <c r="X86" s="38" t="str">
        <f t="shared" si="4"/>
        <v/>
      </c>
      <c r="Y86" s="3"/>
      <c r="Z86" s="116"/>
    </row>
    <row r="87" spans="1:26" ht="15.75" hidden="1" customHeight="1" outlineLevel="1" x14ac:dyDescent="0.3">
      <c r="A87" s="3"/>
      <c r="B87" s="52" t="s">
        <v>515</v>
      </c>
      <c r="C87" s="53">
        <v>5</v>
      </c>
      <c r="D87" s="53" t="s">
        <v>95</v>
      </c>
      <c r="E87" s="11">
        <f t="shared" si="22"/>
        <v>182</v>
      </c>
      <c r="F87" s="92">
        <f t="shared" si="23"/>
        <v>182</v>
      </c>
      <c r="G87" s="60"/>
      <c r="H87" s="54" t="s">
        <v>37</v>
      </c>
      <c r="I87" s="54"/>
      <c r="J87" s="55"/>
      <c r="K87" s="11"/>
      <c r="L87" s="53" t="str">
        <f t="shared" si="3"/>
        <v/>
      </c>
      <c r="M87" s="11">
        <v>108.43</v>
      </c>
      <c r="N87" s="11">
        <v>24.57</v>
      </c>
      <c r="O87" s="11">
        <v>12</v>
      </c>
      <c r="P87" s="11">
        <v>2</v>
      </c>
      <c r="Q87" s="11"/>
      <c r="R87" s="11"/>
      <c r="S87" s="11">
        <v>5</v>
      </c>
      <c r="T87" s="11"/>
      <c r="U87" s="11">
        <v>30</v>
      </c>
      <c r="V87" s="56" t="s">
        <v>1155</v>
      </c>
      <c r="W87" s="35" t="str">
        <f t="shared" si="2"/>
        <v>OK</v>
      </c>
      <c r="X87" s="38" t="str">
        <f t="shared" si="4"/>
        <v/>
      </c>
      <c r="Y87" s="3"/>
      <c r="Z87" s="116"/>
    </row>
    <row r="88" spans="1:26" ht="15.75" hidden="1" customHeight="1" outlineLevel="1" x14ac:dyDescent="0.3">
      <c r="A88" s="3"/>
      <c r="B88" s="9" t="s">
        <v>516</v>
      </c>
      <c r="C88" s="53">
        <v>3</v>
      </c>
      <c r="D88" s="53" t="s">
        <v>95</v>
      </c>
      <c r="E88" s="11">
        <f t="shared" si="22"/>
        <v>131.5</v>
      </c>
      <c r="F88" s="92">
        <f t="shared" si="23"/>
        <v>131.5</v>
      </c>
      <c r="G88" s="58"/>
      <c r="H88" s="54" t="s">
        <v>37</v>
      </c>
      <c r="I88" s="54"/>
      <c r="J88" s="55"/>
      <c r="K88" s="11"/>
      <c r="L88" s="53" t="str">
        <f t="shared" si="3"/>
        <v/>
      </c>
      <c r="M88" s="11">
        <v>63.43</v>
      </c>
      <c r="N88" s="11">
        <v>24.57</v>
      </c>
      <c r="O88" s="11">
        <v>12</v>
      </c>
      <c r="P88" s="11">
        <v>1.5</v>
      </c>
      <c r="Q88" s="11"/>
      <c r="R88" s="11"/>
      <c r="S88" s="11"/>
      <c r="T88" s="11"/>
      <c r="U88" s="11">
        <v>30</v>
      </c>
      <c r="V88" s="56" t="s">
        <v>1155</v>
      </c>
      <c r="W88" s="35" t="str">
        <f t="shared" si="2"/>
        <v>OK</v>
      </c>
      <c r="X88" s="38" t="str">
        <f t="shared" si="4"/>
        <v/>
      </c>
      <c r="Y88" s="3"/>
      <c r="Z88" s="116"/>
    </row>
    <row r="89" spans="1:26" ht="15.75" hidden="1" customHeight="1" outlineLevel="1" x14ac:dyDescent="0.3">
      <c r="A89" s="3"/>
      <c r="B89" s="9" t="s">
        <v>517</v>
      </c>
      <c r="C89" s="53">
        <v>3</v>
      </c>
      <c r="D89" s="53" t="s">
        <v>95</v>
      </c>
      <c r="E89" s="11">
        <f t="shared" si="22"/>
        <v>131.5</v>
      </c>
      <c r="F89" s="92">
        <f t="shared" si="23"/>
        <v>131.5</v>
      </c>
      <c r="G89" s="225"/>
      <c r="H89" s="54" t="s">
        <v>37</v>
      </c>
      <c r="I89" s="54"/>
      <c r="J89" s="55"/>
      <c r="K89" s="11"/>
      <c r="L89" s="53" t="str">
        <f t="shared" si="3"/>
        <v/>
      </c>
      <c r="M89" s="11">
        <v>63.43</v>
      </c>
      <c r="N89" s="11">
        <v>24.57</v>
      </c>
      <c r="O89" s="11">
        <v>12</v>
      </c>
      <c r="P89" s="11">
        <v>1.5</v>
      </c>
      <c r="Q89" s="11"/>
      <c r="R89" s="11"/>
      <c r="S89" s="11"/>
      <c r="T89" s="11"/>
      <c r="U89" s="11">
        <v>30</v>
      </c>
      <c r="V89" s="56" t="s">
        <v>1155</v>
      </c>
      <c r="W89" s="35" t="str">
        <f t="shared" si="2"/>
        <v>OK</v>
      </c>
      <c r="X89" s="38" t="str">
        <f t="shared" si="4"/>
        <v/>
      </c>
      <c r="Y89" s="3"/>
      <c r="Z89" s="116"/>
    </row>
    <row r="90" spans="1:26" ht="15.75" hidden="1" customHeight="1" outlineLevel="1" x14ac:dyDescent="0.3">
      <c r="A90" s="3"/>
      <c r="B90" s="52" t="s">
        <v>518</v>
      </c>
      <c r="C90" s="53">
        <v>9</v>
      </c>
      <c r="D90" s="53" t="s">
        <v>95</v>
      </c>
      <c r="E90" s="11">
        <f t="shared" si="22"/>
        <v>177</v>
      </c>
      <c r="F90" s="92">
        <f t="shared" si="23"/>
        <v>177</v>
      </c>
      <c r="G90" s="227"/>
      <c r="H90" s="54" t="s">
        <v>37</v>
      </c>
      <c r="I90" s="54"/>
      <c r="J90" s="55"/>
      <c r="K90" s="11"/>
      <c r="L90" s="53" t="str">
        <f t="shared" si="3"/>
        <v/>
      </c>
      <c r="M90" s="11">
        <v>93.93</v>
      </c>
      <c r="N90" s="11">
        <v>24.57</v>
      </c>
      <c r="O90" s="11">
        <v>12</v>
      </c>
      <c r="P90" s="11">
        <v>1.5</v>
      </c>
      <c r="Q90" s="11">
        <v>5</v>
      </c>
      <c r="R90" s="11"/>
      <c r="S90" s="11">
        <v>10</v>
      </c>
      <c r="T90" s="11"/>
      <c r="U90" s="11">
        <v>30</v>
      </c>
      <c r="V90" s="56" t="s">
        <v>1155</v>
      </c>
      <c r="W90" s="35" t="str">
        <f t="shared" si="2"/>
        <v>OK</v>
      </c>
      <c r="X90" s="38" t="str">
        <f t="shared" si="4"/>
        <v/>
      </c>
      <c r="Y90" s="3"/>
      <c r="Z90" s="116"/>
    </row>
    <row r="91" spans="1:26" ht="15.75" hidden="1" customHeight="1" outlineLevel="1" x14ac:dyDescent="0.3">
      <c r="A91" s="3"/>
      <c r="B91" s="9" t="s">
        <v>519</v>
      </c>
      <c r="C91" s="53">
        <v>21</v>
      </c>
      <c r="D91" s="53" t="s">
        <v>95</v>
      </c>
      <c r="E91" s="11">
        <v>182</v>
      </c>
      <c r="F91" s="92">
        <f>SUM(M91:U91)</f>
        <v>190</v>
      </c>
      <c r="G91" s="58"/>
      <c r="H91" s="54" t="s">
        <v>37</v>
      </c>
      <c r="I91" s="54"/>
      <c r="J91" s="55"/>
      <c r="K91" s="11"/>
      <c r="L91" s="53">
        <f t="shared" si="3"/>
        <v>1</v>
      </c>
      <c r="M91" s="11">
        <v>116.43</v>
      </c>
      <c r="N91" s="11">
        <v>24.57</v>
      </c>
      <c r="O91" s="11">
        <v>12</v>
      </c>
      <c r="P91" s="11">
        <v>2</v>
      </c>
      <c r="Q91" s="11"/>
      <c r="R91" s="11"/>
      <c r="S91" s="11">
        <v>5</v>
      </c>
      <c r="T91" s="11"/>
      <c r="U91" s="11">
        <v>30</v>
      </c>
      <c r="V91" s="56" t="s">
        <v>1155</v>
      </c>
      <c r="W91" s="35" t="str">
        <f t="shared" si="2"/>
        <v>OK</v>
      </c>
      <c r="X91" s="38" t="str">
        <f t="shared" si="4"/>
        <v/>
      </c>
      <c r="Y91" s="3"/>
      <c r="Z91" s="116"/>
    </row>
    <row r="92" spans="1:26" ht="15.75" hidden="1" customHeight="1" outlineLevel="1" x14ac:dyDescent="0.3">
      <c r="A92" s="3"/>
      <c r="B92" s="52" t="s">
        <v>520</v>
      </c>
      <c r="C92" s="53">
        <v>11</v>
      </c>
      <c r="D92" s="53" t="s">
        <v>95</v>
      </c>
      <c r="E92" s="11">
        <f t="shared" ref="E92:E95" si="24">SUM(M92:U92)</f>
        <v>180</v>
      </c>
      <c r="F92" s="92">
        <f>E92</f>
        <v>180</v>
      </c>
      <c r="G92" s="225"/>
      <c r="H92" s="54" t="s">
        <v>37</v>
      </c>
      <c r="I92" s="54"/>
      <c r="J92" s="55"/>
      <c r="K92" s="11"/>
      <c r="L92" s="53" t="str">
        <f t="shared" si="3"/>
        <v/>
      </c>
      <c r="M92" s="11">
        <v>113.43</v>
      </c>
      <c r="N92" s="11">
        <v>24.57</v>
      </c>
      <c r="O92" s="11">
        <v>12</v>
      </c>
      <c r="P92" s="11"/>
      <c r="Q92" s="11"/>
      <c r="R92" s="11"/>
      <c r="S92" s="11"/>
      <c r="T92" s="11"/>
      <c r="U92" s="11">
        <v>30</v>
      </c>
      <c r="V92" s="56" t="s">
        <v>1155</v>
      </c>
      <c r="W92" s="35" t="str">
        <f t="shared" si="2"/>
        <v>OK</v>
      </c>
      <c r="X92" s="38" t="str">
        <f t="shared" si="4"/>
        <v/>
      </c>
      <c r="Y92" s="3"/>
      <c r="Z92" s="116"/>
    </row>
    <row r="93" spans="1:26" ht="15.75" hidden="1" customHeight="1" outlineLevel="1" x14ac:dyDescent="0.3">
      <c r="A93" s="3"/>
      <c r="B93" s="9" t="s">
        <v>521</v>
      </c>
      <c r="C93" s="53"/>
      <c r="D93" s="53" t="s">
        <v>105</v>
      </c>
      <c r="E93" s="11">
        <f t="shared" si="24"/>
        <v>24</v>
      </c>
      <c r="F93" s="92"/>
      <c r="G93" s="227"/>
      <c r="H93" s="54"/>
      <c r="I93" s="54"/>
      <c r="J93" s="55"/>
      <c r="K93" s="11"/>
      <c r="L93" s="53" t="str">
        <f t="shared" si="3"/>
        <v/>
      </c>
      <c r="M93" s="11">
        <v>-12.57</v>
      </c>
      <c r="N93" s="11">
        <v>24.57</v>
      </c>
      <c r="O93" s="11">
        <v>12</v>
      </c>
      <c r="P93" s="11"/>
      <c r="Q93" s="11"/>
      <c r="R93" s="11"/>
      <c r="S93" s="11"/>
      <c r="T93" s="11"/>
      <c r="U93" s="11"/>
      <c r="V93" s="56"/>
      <c r="W93" s="35" t="str">
        <f t="shared" si="2"/>
        <v>Diferente</v>
      </c>
      <c r="X93" s="38">
        <f t="shared" si="4"/>
        <v>-24</v>
      </c>
      <c r="Y93" s="3"/>
      <c r="Z93" s="116"/>
    </row>
    <row r="94" spans="1:26" ht="15.75" hidden="1" customHeight="1" outlineLevel="1" x14ac:dyDescent="0.3">
      <c r="A94" s="3"/>
      <c r="B94" s="52" t="s">
        <v>523</v>
      </c>
      <c r="C94" s="71">
        <v>2</v>
      </c>
      <c r="D94" s="53" t="s">
        <v>95</v>
      </c>
      <c r="E94" s="11">
        <f t="shared" si="24"/>
        <v>155</v>
      </c>
      <c r="F94" s="92">
        <f t="shared" ref="F94:F95" si="25">E94</f>
        <v>155</v>
      </c>
      <c r="G94" s="58"/>
      <c r="H94" s="54" t="s">
        <v>37</v>
      </c>
      <c r="I94" s="54"/>
      <c r="J94" s="55"/>
      <c r="K94" s="11"/>
      <c r="L94" s="53" t="str">
        <f t="shared" si="3"/>
        <v/>
      </c>
      <c r="M94" s="11">
        <v>88.43</v>
      </c>
      <c r="N94" s="11">
        <v>24.57</v>
      </c>
      <c r="O94" s="11">
        <v>12</v>
      </c>
      <c r="P94" s="11"/>
      <c r="Q94" s="11"/>
      <c r="R94" s="11"/>
      <c r="S94" s="11"/>
      <c r="T94" s="11"/>
      <c r="U94" s="11">
        <v>30</v>
      </c>
      <c r="V94" s="56" t="s">
        <v>1155</v>
      </c>
      <c r="W94" s="35" t="str">
        <f t="shared" si="2"/>
        <v>OK</v>
      </c>
      <c r="X94" s="38" t="str">
        <f t="shared" si="4"/>
        <v/>
      </c>
      <c r="Y94" s="3"/>
      <c r="Z94" s="116"/>
    </row>
    <row r="95" spans="1:26" ht="15.75" hidden="1" customHeight="1" outlineLevel="1" x14ac:dyDescent="0.3">
      <c r="A95" s="3"/>
      <c r="B95" s="9" t="s">
        <v>524</v>
      </c>
      <c r="C95" s="53">
        <v>5</v>
      </c>
      <c r="D95" s="53" t="s">
        <v>95</v>
      </c>
      <c r="E95" s="11">
        <f t="shared" si="24"/>
        <v>80</v>
      </c>
      <c r="F95" s="92">
        <f t="shared" si="25"/>
        <v>80</v>
      </c>
      <c r="G95" s="58"/>
      <c r="H95" s="54" t="s">
        <v>37</v>
      </c>
      <c r="I95" s="54"/>
      <c r="J95" s="55"/>
      <c r="K95" s="11"/>
      <c r="L95" s="53" t="str">
        <f t="shared" si="3"/>
        <v/>
      </c>
      <c r="M95" s="11">
        <v>13.43</v>
      </c>
      <c r="N95" s="11">
        <v>24.57</v>
      </c>
      <c r="O95" s="11">
        <v>12</v>
      </c>
      <c r="P95" s="11"/>
      <c r="Q95" s="11"/>
      <c r="R95" s="11"/>
      <c r="S95" s="11"/>
      <c r="T95" s="11"/>
      <c r="U95" s="11">
        <v>30</v>
      </c>
      <c r="V95" s="56" t="s">
        <v>1155</v>
      </c>
      <c r="W95" s="35" t="str">
        <f t="shared" si="2"/>
        <v>OK</v>
      </c>
      <c r="X95" s="38" t="str">
        <f t="shared" si="4"/>
        <v/>
      </c>
      <c r="Y95" s="3"/>
      <c r="Z95" s="116"/>
    </row>
    <row r="96" spans="1:26" ht="15.75" hidden="1" customHeight="1" outlineLevel="1" x14ac:dyDescent="0.3">
      <c r="A96" s="3"/>
      <c r="B96" s="52" t="s">
        <v>525</v>
      </c>
      <c r="C96" s="53">
        <v>7</v>
      </c>
      <c r="D96" s="53" t="s">
        <v>130</v>
      </c>
      <c r="E96" s="11">
        <v>160</v>
      </c>
      <c r="F96" s="92">
        <f>SUM(M96:U96)</f>
        <v>170</v>
      </c>
      <c r="G96" s="61" t="s">
        <v>1159</v>
      </c>
      <c r="H96" s="54" t="s">
        <v>37</v>
      </c>
      <c r="I96" s="54"/>
      <c r="J96" s="55"/>
      <c r="K96" s="11"/>
      <c r="L96" s="53" t="str">
        <f t="shared" si="3"/>
        <v/>
      </c>
      <c r="M96" s="11">
        <v>101.93</v>
      </c>
      <c r="N96" s="11">
        <v>24.57</v>
      </c>
      <c r="O96" s="11">
        <v>12</v>
      </c>
      <c r="P96" s="11">
        <v>1.5</v>
      </c>
      <c r="Q96" s="11"/>
      <c r="R96" s="11"/>
      <c r="S96" s="11"/>
      <c r="T96" s="11"/>
      <c r="U96" s="11">
        <v>30</v>
      </c>
      <c r="V96" s="56" t="s">
        <v>1155</v>
      </c>
      <c r="W96" s="35" t="str">
        <f t="shared" si="2"/>
        <v>OK</v>
      </c>
      <c r="X96" s="38" t="str">
        <f t="shared" si="4"/>
        <v/>
      </c>
      <c r="Y96" s="3"/>
      <c r="Z96" s="116"/>
    </row>
    <row r="97" spans="1:26" ht="15.75" hidden="1" customHeight="1" outlineLevel="1" x14ac:dyDescent="0.3">
      <c r="A97" s="3"/>
      <c r="B97" s="52" t="s">
        <v>526</v>
      </c>
      <c r="C97" s="53">
        <v>7</v>
      </c>
      <c r="D97" s="53" t="s">
        <v>130</v>
      </c>
      <c r="E97" s="11">
        <f t="shared" ref="E97:E105" si="26">SUM(M97:U97)</f>
        <v>160</v>
      </c>
      <c r="F97" s="92">
        <f>E97</f>
        <v>160</v>
      </c>
      <c r="G97" s="61" t="s">
        <v>1159</v>
      </c>
      <c r="H97" s="54" t="s">
        <v>37</v>
      </c>
      <c r="I97" s="54"/>
      <c r="J97" s="55"/>
      <c r="K97" s="11"/>
      <c r="L97" s="53" t="str">
        <f t="shared" si="3"/>
        <v/>
      </c>
      <c r="M97" s="11">
        <v>91.93</v>
      </c>
      <c r="N97" s="11">
        <v>24.57</v>
      </c>
      <c r="O97" s="11">
        <v>12</v>
      </c>
      <c r="P97" s="11">
        <v>1.5</v>
      </c>
      <c r="Q97" s="11"/>
      <c r="R97" s="11"/>
      <c r="S97" s="11"/>
      <c r="T97" s="11"/>
      <c r="U97" s="11">
        <v>30</v>
      </c>
      <c r="V97" s="56" t="s">
        <v>1155</v>
      </c>
      <c r="W97" s="35" t="str">
        <f t="shared" si="2"/>
        <v>OK</v>
      </c>
      <c r="X97" s="38" t="str">
        <f t="shared" si="4"/>
        <v/>
      </c>
      <c r="Y97" s="3"/>
      <c r="Z97" s="3"/>
    </row>
    <row r="98" spans="1:26" ht="15.75" hidden="1" customHeight="1" outlineLevel="1" x14ac:dyDescent="0.3">
      <c r="A98" s="3"/>
      <c r="B98" s="9" t="s">
        <v>527</v>
      </c>
      <c r="C98" s="53"/>
      <c r="D98" s="53" t="s">
        <v>105</v>
      </c>
      <c r="E98" s="11">
        <f t="shared" si="26"/>
        <v>95</v>
      </c>
      <c r="F98" s="92"/>
      <c r="G98" s="119"/>
      <c r="H98" s="54"/>
      <c r="I98" s="54"/>
      <c r="J98" s="55"/>
      <c r="K98" s="53"/>
      <c r="L98" s="53" t="str">
        <f t="shared" si="3"/>
        <v/>
      </c>
      <c r="M98" s="11">
        <v>26.43</v>
      </c>
      <c r="N98" s="11">
        <v>24.57</v>
      </c>
      <c r="O98" s="11">
        <v>12</v>
      </c>
      <c r="P98" s="11">
        <v>2</v>
      </c>
      <c r="Q98" s="11"/>
      <c r="R98" s="11"/>
      <c r="S98" s="11"/>
      <c r="T98" s="11"/>
      <c r="U98" s="11">
        <v>30</v>
      </c>
      <c r="V98" s="56" t="s">
        <v>1155</v>
      </c>
      <c r="W98" s="35" t="str">
        <f t="shared" si="2"/>
        <v>Diferente</v>
      </c>
      <c r="X98" s="38">
        <f t="shared" si="4"/>
        <v>-95</v>
      </c>
      <c r="Y98" s="3"/>
      <c r="Z98" s="3"/>
    </row>
    <row r="99" spans="1:26" ht="15.75" hidden="1" customHeight="1" outlineLevel="1" x14ac:dyDescent="0.3">
      <c r="A99" s="3"/>
      <c r="B99" s="52" t="s">
        <v>528</v>
      </c>
      <c r="C99" s="53">
        <v>5</v>
      </c>
      <c r="D99" s="53" t="s">
        <v>95</v>
      </c>
      <c r="E99" s="11">
        <f t="shared" si="26"/>
        <v>169</v>
      </c>
      <c r="F99" s="92">
        <f t="shared" ref="F99:F103" si="27">E99</f>
        <v>169</v>
      </c>
      <c r="G99" s="58"/>
      <c r="H99" s="54" t="s">
        <v>37</v>
      </c>
      <c r="I99" s="54"/>
      <c r="J99" s="55"/>
      <c r="K99" s="53"/>
      <c r="L99" s="53" t="str">
        <f t="shared" si="3"/>
        <v/>
      </c>
      <c r="M99" s="11">
        <v>100.43</v>
      </c>
      <c r="N99" s="11">
        <v>24.57</v>
      </c>
      <c r="O99" s="11">
        <v>12</v>
      </c>
      <c r="P99" s="11">
        <v>2</v>
      </c>
      <c r="Q99" s="11"/>
      <c r="R99" s="11"/>
      <c r="S99" s="11"/>
      <c r="T99" s="11"/>
      <c r="U99" s="11">
        <v>30</v>
      </c>
      <c r="V99" s="56" t="s">
        <v>1155</v>
      </c>
      <c r="W99" s="35" t="str">
        <f t="shared" si="2"/>
        <v>OK</v>
      </c>
      <c r="X99" s="38" t="str">
        <f t="shared" si="4"/>
        <v/>
      </c>
      <c r="Y99" s="3"/>
      <c r="Z99" s="3"/>
    </row>
    <row r="100" spans="1:26" ht="15.75" hidden="1" customHeight="1" outlineLevel="1" x14ac:dyDescent="0.3">
      <c r="A100" s="3"/>
      <c r="B100" s="9" t="s">
        <v>713</v>
      </c>
      <c r="C100" s="53">
        <v>9</v>
      </c>
      <c r="D100" s="53" t="s">
        <v>95</v>
      </c>
      <c r="E100" s="11">
        <f t="shared" si="26"/>
        <v>100</v>
      </c>
      <c r="F100" s="11">
        <f t="shared" si="27"/>
        <v>100</v>
      </c>
      <c r="G100" s="58"/>
      <c r="H100" s="54" t="s">
        <v>37</v>
      </c>
      <c r="I100" s="54"/>
      <c r="J100" s="55"/>
      <c r="K100" s="53"/>
      <c r="L100" s="53" t="str">
        <f t="shared" si="3"/>
        <v/>
      </c>
      <c r="M100" s="11">
        <v>31.43</v>
      </c>
      <c r="N100" s="11">
        <v>24.57</v>
      </c>
      <c r="O100" s="11">
        <v>12</v>
      </c>
      <c r="P100" s="11">
        <v>2</v>
      </c>
      <c r="Q100" s="11"/>
      <c r="R100" s="11"/>
      <c r="S100" s="11"/>
      <c r="T100" s="11"/>
      <c r="U100" s="11">
        <v>30</v>
      </c>
      <c r="V100" s="56" t="s">
        <v>1155</v>
      </c>
      <c r="W100" s="35" t="str">
        <f t="shared" si="2"/>
        <v>OK</v>
      </c>
      <c r="X100" s="38" t="str">
        <f t="shared" si="4"/>
        <v/>
      </c>
      <c r="Y100" s="3"/>
      <c r="Z100" s="3"/>
    </row>
    <row r="101" spans="1:26" ht="15.75" hidden="1" customHeight="1" outlineLevel="1" x14ac:dyDescent="0.3">
      <c r="A101" s="3"/>
      <c r="B101" s="52" t="s">
        <v>896</v>
      </c>
      <c r="C101" s="53">
        <v>10</v>
      </c>
      <c r="D101" s="53" t="s">
        <v>95</v>
      </c>
      <c r="E101" s="11">
        <f t="shared" si="26"/>
        <v>160.57</v>
      </c>
      <c r="F101" s="11">
        <f t="shared" si="27"/>
        <v>160.57</v>
      </c>
      <c r="G101" s="58"/>
      <c r="H101" s="54" t="s">
        <v>37</v>
      </c>
      <c r="I101" s="54"/>
      <c r="J101" s="55"/>
      <c r="K101" s="53"/>
      <c r="L101" s="53" t="str">
        <f t="shared" si="3"/>
        <v/>
      </c>
      <c r="M101" s="11">
        <v>94</v>
      </c>
      <c r="N101" s="11">
        <v>24.57</v>
      </c>
      <c r="O101" s="11">
        <v>12</v>
      </c>
      <c r="P101" s="11">
        <v>0</v>
      </c>
      <c r="Q101" s="11"/>
      <c r="R101" s="11"/>
      <c r="S101" s="11"/>
      <c r="T101" s="11"/>
      <c r="U101" s="11">
        <v>30</v>
      </c>
      <c r="V101" s="56" t="s">
        <v>1155</v>
      </c>
      <c r="W101" s="35" t="str">
        <f t="shared" si="2"/>
        <v>OK</v>
      </c>
      <c r="X101" s="38" t="str">
        <f t="shared" si="4"/>
        <v/>
      </c>
      <c r="Y101" s="3"/>
      <c r="Z101" s="3"/>
    </row>
    <row r="102" spans="1:26" ht="15.75" hidden="1" customHeight="1" outlineLevel="1" x14ac:dyDescent="0.3">
      <c r="A102" s="3"/>
      <c r="B102" s="52" t="s">
        <v>897</v>
      </c>
      <c r="C102" s="53">
        <v>10</v>
      </c>
      <c r="D102" s="53" t="s">
        <v>95</v>
      </c>
      <c r="E102" s="11">
        <f t="shared" si="26"/>
        <v>160.57</v>
      </c>
      <c r="F102" s="11">
        <f t="shared" si="27"/>
        <v>160.57</v>
      </c>
      <c r="G102" s="58"/>
      <c r="H102" s="54" t="s">
        <v>37</v>
      </c>
      <c r="I102" s="54"/>
      <c r="J102" s="55"/>
      <c r="K102" s="53"/>
      <c r="L102" s="53" t="str">
        <f t="shared" si="3"/>
        <v/>
      </c>
      <c r="M102" s="11">
        <v>94</v>
      </c>
      <c r="N102" s="11">
        <v>24.57</v>
      </c>
      <c r="O102" s="11">
        <v>12</v>
      </c>
      <c r="P102" s="11">
        <v>0</v>
      </c>
      <c r="Q102" s="11"/>
      <c r="R102" s="11"/>
      <c r="S102" s="11"/>
      <c r="T102" s="11"/>
      <c r="U102" s="11">
        <v>30</v>
      </c>
      <c r="V102" s="53" t="s">
        <v>1155</v>
      </c>
      <c r="W102" s="35" t="str">
        <f t="shared" si="2"/>
        <v>OK</v>
      </c>
      <c r="X102" s="38" t="str">
        <f t="shared" si="4"/>
        <v/>
      </c>
      <c r="Y102" s="3"/>
      <c r="Z102" s="3"/>
    </row>
    <row r="103" spans="1:26" ht="15.75" hidden="1" customHeight="1" outlineLevel="1" x14ac:dyDescent="0.3">
      <c r="A103" s="3"/>
      <c r="B103" s="9" t="s">
        <v>1035</v>
      </c>
      <c r="C103" s="53">
        <v>4</v>
      </c>
      <c r="D103" s="53" t="s">
        <v>95</v>
      </c>
      <c r="E103" s="11">
        <f t="shared" si="26"/>
        <v>151.80000000000001</v>
      </c>
      <c r="F103" s="11">
        <f t="shared" si="27"/>
        <v>151.80000000000001</v>
      </c>
      <c r="G103" s="58"/>
      <c r="H103" s="54" t="s">
        <v>37</v>
      </c>
      <c r="I103" s="54"/>
      <c r="J103" s="55"/>
      <c r="K103" s="53"/>
      <c r="L103" s="53" t="str">
        <f t="shared" si="3"/>
        <v/>
      </c>
      <c r="M103" s="11">
        <v>113.23000000000002</v>
      </c>
      <c r="N103" s="11">
        <v>24.57</v>
      </c>
      <c r="O103" s="11">
        <v>12</v>
      </c>
      <c r="P103" s="11">
        <v>2</v>
      </c>
      <c r="Q103" s="11"/>
      <c r="R103" s="11"/>
      <c r="S103" s="11"/>
      <c r="T103" s="11"/>
      <c r="U103" s="11"/>
      <c r="V103" s="53"/>
      <c r="W103" s="35" t="str">
        <f t="shared" si="2"/>
        <v>OK</v>
      </c>
      <c r="X103" s="38" t="str">
        <f t="shared" si="4"/>
        <v/>
      </c>
      <c r="Y103" s="3"/>
      <c r="Z103" s="3"/>
    </row>
    <row r="104" spans="1:26" ht="15.75" hidden="1" customHeight="1" outlineLevel="1" x14ac:dyDescent="0.3">
      <c r="A104" s="3"/>
      <c r="B104" s="9" t="s">
        <v>1160</v>
      </c>
      <c r="C104" s="53"/>
      <c r="D104" s="53" t="s">
        <v>105</v>
      </c>
      <c r="E104" s="11">
        <f t="shared" si="26"/>
        <v>0</v>
      </c>
      <c r="F104" s="11"/>
      <c r="G104" s="58"/>
      <c r="H104" s="54"/>
      <c r="I104" s="54"/>
      <c r="J104" s="55"/>
      <c r="K104" s="53"/>
      <c r="L104" s="53" t="str">
        <f t="shared" si="3"/>
        <v/>
      </c>
      <c r="M104" s="11"/>
      <c r="N104" s="11"/>
      <c r="O104" s="11"/>
      <c r="P104" s="11"/>
      <c r="Q104" s="11"/>
      <c r="R104" s="11"/>
      <c r="S104" s="11"/>
      <c r="T104" s="11"/>
      <c r="U104" s="11"/>
      <c r="V104" s="53"/>
      <c r="W104" s="35" t="str">
        <f t="shared" si="2"/>
        <v>OK</v>
      </c>
      <c r="X104" s="38" t="str">
        <f t="shared" si="4"/>
        <v/>
      </c>
      <c r="Y104" s="3"/>
      <c r="Z104" s="3"/>
    </row>
    <row r="105" spans="1:26" ht="15.75" hidden="1" customHeight="1" outlineLevel="1" x14ac:dyDescent="0.3">
      <c r="A105" s="3"/>
      <c r="B105" s="9" t="s">
        <v>1161</v>
      </c>
      <c r="C105" s="53">
        <v>20</v>
      </c>
      <c r="D105" s="53" t="s">
        <v>95</v>
      </c>
      <c r="E105" s="11">
        <f t="shared" si="26"/>
        <v>40</v>
      </c>
      <c r="F105" s="11">
        <f>E105</f>
        <v>40</v>
      </c>
      <c r="G105" s="58"/>
      <c r="H105" s="54" t="s">
        <v>37</v>
      </c>
      <c r="I105" s="54"/>
      <c r="J105" s="55" t="s">
        <v>97</v>
      </c>
      <c r="K105" s="53"/>
      <c r="L105" s="53">
        <f t="shared" si="3"/>
        <v>1</v>
      </c>
      <c r="M105" s="11">
        <f>40-N105-O105</f>
        <v>3.4299999999999997</v>
      </c>
      <c r="N105" s="11">
        <v>24.57</v>
      </c>
      <c r="O105" s="11">
        <v>12</v>
      </c>
      <c r="P105" s="11"/>
      <c r="Q105" s="11"/>
      <c r="R105" s="11"/>
      <c r="S105" s="11"/>
      <c r="T105" s="11"/>
      <c r="U105" s="11"/>
      <c r="V105" s="53"/>
      <c r="W105" s="35" t="str">
        <f t="shared" si="2"/>
        <v>OK</v>
      </c>
      <c r="X105" s="38" t="str">
        <f t="shared" si="4"/>
        <v/>
      </c>
      <c r="Y105" s="3"/>
      <c r="Z105" s="3"/>
    </row>
    <row r="106" spans="1:26" ht="15.75" hidden="1" customHeight="1" outlineLevel="1" x14ac:dyDescent="0.3">
      <c r="A106" s="3"/>
      <c r="B106" s="9"/>
      <c r="C106" s="53"/>
      <c r="D106" s="53"/>
      <c r="E106" s="11"/>
      <c r="F106" s="11"/>
      <c r="G106" s="58"/>
      <c r="H106" s="54"/>
      <c r="I106" s="54"/>
      <c r="J106" s="55" t="s">
        <v>97</v>
      </c>
      <c r="K106" s="53"/>
      <c r="L106" s="53" t="str">
        <f t="shared" si="3"/>
        <v/>
      </c>
      <c r="M106" s="11"/>
      <c r="N106" s="11"/>
      <c r="O106" s="11"/>
      <c r="P106" s="11"/>
      <c r="Q106" s="11"/>
      <c r="R106" s="11"/>
      <c r="S106" s="11"/>
      <c r="T106" s="11"/>
      <c r="U106" s="11"/>
      <c r="V106" s="53"/>
      <c r="W106" s="35" t="str">
        <f t="shared" si="2"/>
        <v>OK</v>
      </c>
      <c r="X106" s="38" t="str">
        <f t="shared" si="4"/>
        <v/>
      </c>
      <c r="Y106" s="3"/>
      <c r="Z106" s="3"/>
    </row>
    <row r="107" spans="1:26" ht="15.75" hidden="1" customHeight="1" outlineLevel="1" x14ac:dyDescent="0.3">
      <c r="A107" s="3"/>
      <c r="B107" s="9"/>
      <c r="C107" s="53"/>
      <c r="D107" s="53"/>
      <c r="E107" s="11"/>
      <c r="F107" s="11"/>
      <c r="G107" s="58"/>
      <c r="H107" s="54"/>
      <c r="I107" s="54"/>
      <c r="J107" s="55" t="s">
        <v>97</v>
      </c>
      <c r="K107" s="53"/>
      <c r="L107" s="53" t="str">
        <f t="shared" si="3"/>
        <v/>
      </c>
      <c r="M107" s="11"/>
      <c r="N107" s="11"/>
      <c r="O107" s="11"/>
      <c r="P107" s="11"/>
      <c r="Q107" s="11"/>
      <c r="R107" s="11"/>
      <c r="S107" s="11"/>
      <c r="T107" s="11"/>
      <c r="U107" s="11"/>
      <c r="V107" s="53"/>
      <c r="W107" s="35" t="str">
        <f t="shared" si="2"/>
        <v>OK</v>
      </c>
      <c r="X107" s="38" t="str">
        <f t="shared" si="4"/>
        <v/>
      </c>
      <c r="Y107" s="3"/>
      <c r="Z107" s="3"/>
    </row>
    <row r="108" spans="1:26" ht="15.75" hidden="1" customHeight="1" outlineLevel="1" x14ac:dyDescent="0.3">
      <c r="A108" s="3"/>
      <c r="B108" s="9"/>
      <c r="C108" s="53"/>
      <c r="D108" s="53"/>
      <c r="E108" s="11"/>
      <c r="F108" s="11"/>
      <c r="G108" s="58"/>
      <c r="H108" s="54"/>
      <c r="I108" s="54"/>
      <c r="J108" s="55" t="s">
        <v>97</v>
      </c>
      <c r="K108" s="53"/>
      <c r="L108" s="53" t="str">
        <f t="shared" si="3"/>
        <v/>
      </c>
      <c r="M108" s="11"/>
      <c r="N108" s="11"/>
      <c r="O108" s="11"/>
      <c r="P108" s="11"/>
      <c r="Q108" s="11"/>
      <c r="R108" s="11"/>
      <c r="S108" s="11"/>
      <c r="T108" s="11"/>
      <c r="U108" s="11"/>
      <c r="V108" s="53"/>
      <c r="W108" s="35" t="str">
        <f t="shared" si="2"/>
        <v>OK</v>
      </c>
      <c r="X108" s="38" t="str">
        <f t="shared" si="4"/>
        <v/>
      </c>
      <c r="Y108" s="3"/>
      <c r="Z108" s="3"/>
    </row>
    <row r="109" spans="1:26" ht="15.75" hidden="1" customHeight="1" outlineLevel="1" x14ac:dyDescent="0.3">
      <c r="A109" s="3"/>
      <c r="B109" s="9"/>
      <c r="C109" s="53"/>
      <c r="D109" s="53"/>
      <c r="E109" s="11"/>
      <c r="F109" s="11"/>
      <c r="G109" s="58"/>
      <c r="H109" s="54"/>
      <c r="I109" s="54"/>
      <c r="J109" s="55" t="s">
        <v>97</v>
      </c>
      <c r="K109" s="53"/>
      <c r="L109" s="53" t="str">
        <f t="shared" si="3"/>
        <v/>
      </c>
      <c r="M109" s="11"/>
      <c r="N109" s="11"/>
      <c r="O109" s="11"/>
      <c r="P109" s="11"/>
      <c r="Q109" s="11"/>
      <c r="R109" s="11"/>
      <c r="S109" s="11"/>
      <c r="T109" s="11"/>
      <c r="U109" s="11"/>
      <c r="V109" s="53"/>
      <c r="W109" s="35" t="str">
        <f t="shared" si="2"/>
        <v>OK</v>
      </c>
      <c r="X109" s="38" t="str">
        <f t="shared" si="4"/>
        <v/>
      </c>
      <c r="Y109" s="3"/>
      <c r="Z109" s="3"/>
    </row>
    <row r="110" spans="1:26" ht="15.75" hidden="1" customHeight="1" outlineLevel="1" x14ac:dyDescent="0.3">
      <c r="A110" s="3"/>
      <c r="B110" s="9"/>
      <c r="C110" s="53"/>
      <c r="D110" s="53"/>
      <c r="E110" s="11"/>
      <c r="F110" s="11"/>
      <c r="G110" s="58"/>
      <c r="H110" s="54"/>
      <c r="I110" s="54"/>
      <c r="J110" s="55" t="s">
        <v>97</v>
      </c>
      <c r="K110" s="53"/>
      <c r="L110" s="53" t="str">
        <f t="shared" si="3"/>
        <v/>
      </c>
      <c r="M110" s="11"/>
      <c r="N110" s="11"/>
      <c r="O110" s="11"/>
      <c r="P110" s="11"/>
      <c r="Q110" s="11"/>
      <c r="R110" s="11"/>
      <c r="S110" s="11"/>
      <c r="T110" s="11"/>
      <c r="U110" s="11"/>
      <c r="V110" s="53"/>
      <c r="W110" s="35" t="str">
        <f t="shared" si="2"/>
        <v>OK</v>
      </c>
      <c r="X110" s="38" t="str">
        <f t="shared" si="4"/>
        <v/>
      </c>
      <c r="Y110" s="3"/>
      <c r="Z110" s="3"/>
    </row>
    <row r="111" spans="1:26" ht="15.75" hidden="1" customHeight="1" outlineLevel="1" x14ac:dyDescent="0.3">
      <c r="A111" s="3"/>
      <c r="B111" s="9"/>
      <c r="C111" s="53"/>
      <c r="D111" s="53"/>
      <c r="E111" s="11"/>
      <c r="F111" s="11"/>
      <c r="G111" s="58"/>
      <c r="H111" s="54"/>
      <c r="I111" s="54"/>
      <c r="J111" s="55" t="s">
        <v>97</v>
      </c>
      <c r="K111" s="53"/>
      <c r="L111" s="53" t="str">
        <f t="shared" si="3"/>
        <v/>
      </c>
      <c r="M111" s="11"/>
      <c r="N111" s="11"/>
      <c r="O111" s="11"/>
      <c r="P111" s="11"/>
      <c r="Q111" s="11"/>
      <c r="R111" s="11"/>
      <c r="S111" s="11"/>
      <c r="T111" s="11"/>
      <c r="U111" s="11"/>
      <c r="V111" s="53"/>
      <c r="W111" s="35" t="str">
        <f t="shared" si="2"/>
        <v>OK</v>
      </c>
      <c r="X111" s="38" t="str">
        <f t="shared" si="4"/>
        <v/>
      </c>
      <c r="Y111" s="3"/>
      <c r="Z111" s="3"/>
    </row>
    <row r="112" spans="1:26" ht="15.75" hidden="1" customHeight="1" outlineLevel="1" x14ac:dyDescent="0.3">
      <c r="A112" s="3"/>
      <c r="B112" s="9"/>
      <c r="C112" s="53"/>
      <c r="D112" s="53"/>
      <c r="E112" s="11"/>
      <c r="F112" s="11"/>
      <c r="G112" s="58"/>
      <c r="H112" s="54"/>
      <c r="I112" s="54"/>
      <c r="J112" s="55" t="s">
        <v>97</v>
      </c>
      <c r="K112" s="53"/>
      <c r="L112" s="53" t="str">
        <f t="shared" si="3"/>
        <v/>
      </c>
      <c r="M112" s="11"/>
      <c r="N112" s="11"/>
      <c r="O112" s="11"/>
      <c r="P112" s="11"/>
      <c r="Q112" s="11"/>
      <c r="R112" s="11"/>
      <c r="S112" s="11"/>
      <c r="T112" s="11"/>
      <c r="U112" s="11"/>
      <c r="V112" s="53"/>
      <c r="W112" s="35" t="str">
        <f t="shared" si="2"/>
        <v>OK</v>
      </c>
      <c r="X112" s="38" t="str">
        <f t="shared" si="4"/>
        <v/>
      </c>
      <c r="Y112" s="3"/>
      <c r="Z112" s="3"/>
    </row>
    <row r="113" spans="1:26" ht="15.75" hidden="1" customHeight="1" outlineLevel="1" x14ac:dyDescent="0.3">
      <c r="A113" s="3"/>
      <c r="B113" s="9"/>
      <c r="C113" s="53"/>
      <c r="D113" s="53"/>
      <c r="E113" s="11"/>
      <c r="F113" s="11"/>
      <c r="G113" s="58"/>
      <c r="H113" s="54"/>
      <c r="I113" s="54"/>
      <c r="J113" s="55" t="s">
        <v>97</v>
      </c>
      <c r="K113" s="53"/>
      <c r="L113" s="53" t="str">
        <f t="shared" si="3"/>
        <v/>
      </c>
      <c r="M113" s="11"/>
      <c r="N113" s="11"/>
      <c r="O113" s="11"/>
      <c r="P113" s="11"/>
      <c r="Q113" s="11"/>
      <c r="R113" s="11"/>
      <c r="S113" s="11"/>
      <c r="T113" s="11"/>
      <c r="U113" s="11"/>
      <c r="V113" s="53"/>
      <c r="W113" s="35" t="str">
        <f t="shared" si="2"/>
        <v>OK</v>
      </c>
      <c r="X113" s="38" t="str">
        <f t="shared" si="4"/>
        <v/>
      </c>
      <c r="Y113" s="3"/>
      <c r="Z113" s="3"/>
    </row>
    <row r="114" spans="1:26" ht="15.75" hidden="1" customHeight="1" outlineLevel="1" x14ac:dyDescent="0.3">
      <c r="A114" s="3"/>
      <c r="B114" s="9"/>
      <c r="C114" s="53"/>
      <c r="D114" s="53"/>
      <c r="E114" s="11"/>
      <c r="F114" s="11"/>
      <c r="G114" s="58"/>
      <c r="H114" s="54"/>
      <c r="I114" s="54"/>
      <c r="J114" s="55" t="s">
        <v>97</v>
      </c>
      <c r="K114" s="53"/>
      <c r="L114" s="53" t="str">
        <f t="shared" si="3"/>
        <v/>
      </c>
      <c r="M114" s="11"/>
      <c r="N114" s="11"/>
      <c r="O114" s="11"/>
      <c r="P114" s="11"/>
      <c r="Q114" s="11"/>
      <c r="R114" s="11"/>
      <c r="S114" s="11"/>
      <c r="T114" s="11"/>
      <c r="U114" s="11"/>
      <c r="V114" s="53"/>
      <c r="W114" s="35" t="str">
        <f t="shared" si="2"/>
        <v>OK</v>
      </c>
      <c r="X114" s="38" t="str">
        <f t="shared" si="4"/>
        <v/>
      </c>
      <c r="Y114" s="3"/>
      <c r="Z114" s="3"/>
    </row>
    <row r="115" spans="1:26" ht="15.75" hidden="1" customHeight="1" outlineLevel="1" x14ac:dyDescent="0.3">
      <c r="A115" s="3"/>
      <c r="B115" s="9"/>
      <c r="C115" s="53"/>
      <c r="D115" s="53"/>
      <c r="E115" s="11"/>
      <c r="F115" s="11"/>
      <c r="G115" s="58"/>
      <c r="H115" s="54"/>
      <c r="I115" s="54"/>
      <c r="J115" s="55" t="s">
        <v>97</v>
      </c>
      <c r="K115" s="53"/>
      <c r="L115" s="53" t="str">
        <f t="shared" si="3"/>
        <v/>
      </c>
      <c r="M115" s="11"/>
      <c r="N115" s="11"/>
      <c r="O115" s="11"/>
      <c r="P115" s="11"/>
      <c r="Q115" s="11"/>
      <c r="R115" s="11"/>
      <c r="S115" s="11"/>
      <c r="T115" s="11"/>
      <c r="U115" s="11"/>
      <c r="V115" s="53"/>
      <c r="W115" s="35" t="str">
        <f t="shared" si="2"/>
        <v>OK</v>
      </c>
      <c r="X115" s="38" t="str">
        <f t="shared" si="4"/>
        <v/>
      </c>
      <c r="Y115" s="3"/>
      <c r="Z115" s="3"/>
    </row>
    <row r="116" spans="1:26" ht="15.75" hidden="1" customHeight="1" outlineLevel="1" x14ac:dyDescent="0.3">
      <c r="A116" s="3"/>
      <c r="B116" s="9"/>
      <c r="C116" s="53"/>
      <c r="D116" s="53"/>
      <c r="E116" s="11"/>
      <c r="F116" s="11"/>
      <c r="G116" s="58"/>
      <c r="H116" s="54"/>
      <c r="I116" s="54"/>
      <c r="J116" s="55" t="s">
        <v>97</v>
      </c>
      <c r="K116" s="53"/>
      <c r="L116" s="53" t="str">
        <f t="shared" si="3"/>
        <v/>
      </c>
      <c r="M116" s="11"/>
      <c r="N116" s="11"/>
      <c r="O116" s="11"/>
      <c r="P116" s="11"/>
      <c r="Q116" s="11"/>
      <c r="R116" s="11"/>
      <c r="S116" s="11"/>
      <c r="T116" s="11"/>
      <c r="U116" s="11"/>
      <c r="V116" s="53"/>
      <c r="W116" s="35" t="str">
        <f t="shared" si="2"/>
        <v>OK</v>
      </c>
      <c r="X116" s="38" t="str">
        <f t="shared" si="4"/>
        <v/>
      </c>
      <c r="Y116" s="3"/>
      <c r="Z116" s="3"/>
    </row>
    <row r="117" spans="1:26" ht="15.75" hidden="1" customHeight="1" outlineLevel="1" x14ac:dyDescent="0.3">
      <c r="A117" s="3"/>
      <c r="B117" s="9"/>
      <c r="C117" s="53"/>
      <c r="D117" s="53"/>
      <c r="E117" s="11"/>
      <c r="F117" s="11"/>
      <c r="G117" s="58"/>
      <c r="H117" s="54"/>
      <c r="I117" s="54"/>
      <c r="J117" s="55"/>
      <c r="K117" s="53"/>
      <c r="L117" s="53" t="str">
        <f t="shared" si="3"/>
        <v/>
      </c>
      <c r="M117" s="11"/>
      <c r="N117" s="11"/>
      <c r="O117" s="11"/>
      <c r="P117" s="11"/>
      <c r="Q117" s="11"/>
      <c r="R117" s="11"/>
      <c r="S117" s="11"/>
      <c r="T117" s="11"/>
      <c r="U117" s="11"/>
      <c r="V117" s="53"/>
      <c r="W117" s="35" t="str">
        <f t="shared" si="2"/>
        <v>OK</v>
      </c>
      <c r="X117" s="38" t="str">
        <f t="shared" si="4"/>
        <v/>
      </c>
      <c r="Y117" s="3"/>
      <c r="Z117" s="3"/>
    </row>
    <row r="118" spans="1:26" ht="15.75" hidden="1" customHeight="1" outlineLevel="1" x14ac:dyDescent="0.3">
      <c r="A118" s="3"/>
      <c r="B118" s="9"/>
      <c r="C118" s="53"/>
      <c r="D118" s="53"/>
      <c r="E118" s="11"/>
      <c r="F118" s="11"/>
      <c r="G118" s="58"/>
      <c r="H118" s="54"/>
      <c r="I118" s="54"/>
      <c r="J118" s="55"/>
      <c r="K118" s="53"/>
      <c r="L118" s="53" t="str">
        <f t="shared" si="3"/>
        <v/>
      </c>
      <c r="M118" s="11"/>
      <c r="N118" s="11"/>
      <c r="O118" s="11"/>
      <c r="P118" s="11"/>
      <c r="Q118" s="11"/>
      <c r="R118" s="11"/>
      <c r="S118" s="11"/>
      <c r="T118" s="11"/>
      <c r="U118" s="11"/>
      <c r="V118" s="53"/>
      <c r="W118" s="35" t="str">
        <f t="shared" si="2"/>
        <v>OK</v>
      </c>
      <c r="X118" s="38" t="str">
        <f t="shared" si="4"/>
        <v/>
      </c>
      <c r="Y118" s="3"/>
      <c r="Z118" s="3"/>
    </row>
    <row r="119" spans="1:26" ht="15.75" hidden="1" customHeight="1" outlineLevel="1" x14ac:dyDescent="0.3">
      <c r="A119" s="3"/>
      <c r="B119" s="9"/>
      <c r="C119" s="53"/>
      <c r="D119" s="53"/>
      <c r="E119" s="11"/>
      <c r="F119" s="11"/>
      <c r="G119" s="58"/>
      <c r="H119" s="54"/>
      <c r="I119" s="54"/>
      <c r="J119" s="55"/>
      <c r="K119" s="53"/>
      <c r="L119" s="53" t="str">
        <f t="shared" si="3"/>
        <v/>
      </c>
      <c r="M119" s="11"/>
      <c r="N119" s="11"/>
      <c r="O119" s="11"/>
      <c r="P119" s="11"/>
      <c r="Q119" s="11"/>
      <c r="R119" s="11"/>
      <c r="S119" s="11"/>
      <c r="T119" s="11"/>
      <c r="U119" s="11"/>
      <c r="V119" s="53"/>
      <c r="W119" s="35" t="str">
        <f t="shared" si="2"/>
        <v>OK</v>
      </c>
      <c r="X119" s="38" t="str">
        <f t="shared" si="4"/>
        <v/>
      </c>
      <c r="Y119" s="3"/>
      <c r="Z119" s="3"/>
    </row>
    <row r="120" spans="1:26" ht="15.75" hidden="1" customHeight="1" outlineLevel="1" x14ac:dyDescent="0.3">
      <c r="A120" s="3"/>
      <c r="B120" s="9"/>
      <c r="C120" s="53"/>
      <c r="D120" s="53"/>
      <c r="E120" s="11"/>
      <c r="F120" s="11"/>
      <c r="G120" s="58"/>
      <c r="H120" s="54"/>
      <c r="I120" s="54"/>
      <c r="J120" s="55"/>
      <c r="K120" s="53"/>
      <c r="L120" s="53" t="str">
        <f t="shared" si="3"/>
        <v/>
      </c>
      <c r="M120" s="11"/>
      <c r="N120" s="11"/>
      <c r="O120" s="11"/>
      <c r="P120" s="11"/>
      <c r="Q120" s="11"/>
      <c r="R120" s="11"/>
      <c r="S120" s="11"/>
      <c r="T120" s="11"/>
      <c r="U120" s="11"/>
      <c r="V120" s="53"/>
      <c r="W120" s="35" t="str">
        <f t="shared" si="2"/>
        <v>OK</v>
      </c>
      <c r="X120" s="38" t="str">
        <f t="shared" si="4"/>
        <v/>
      </c>
      <c r="Y120" s="3"/>
      <c r="Z120" s="3"/>
    </row>
    <row r="121" spans="1:26" ht="15.75" hidden="1" customHeight="1" outlineLevel="1" x14ac:dyDescent="0.3">
      <c r="A121" s="3"/>
      <c r="B121" s="9"/>
      <c r="C121" s="53"/>
      <c r="D121" s="53"/>
      <c r="E121" s="11"/>
      <c r="F121" s="11"/>
      <c r="G121" s="58"/>
      <c r="H121" s="54"/>
      <c r="I121" s="54"/>
      <c r="J121" s="55"/>
      <c r="K121" s="53"/>
      <c r="L121" s="53" t="str">
        <f t="shared" si="3"/>
        <v/>
      </c>
      <c r="M121" s="11"/>
      <c r="N121" s="11"/>
      <c r="O121" s="11"/>
      <c r="P121" s="11"/>
      <c r="Q121" s="11"/>
      <c r="R121" s="11"/>
      <c r="S121" s="11"/>
      <c r="T121" s="11"/>
      <c r="U121" s="11"/>
      <c r="V121" s="53"/>
      <c r="W121" s="35" t="str">
        <f t="shared" si="2"/>
        <v>OK</v>
      </c>
      <c r="X121" s="38" t="str">
        <f t="shared" si="4"/>
        <v/>
      </c>
      <c r="Y121" s="3"/>
      <c r="Z121" s="3"/>
    </row>
    <row r="122" spans="1:26" ht="15.75" hidden="1" customHeight="1" outlineLevel="1" x14ac:dyDescent="0.3">
      <c r="A122" s="3"/>
      <c r="B122" s="9"/>
      <c r="C122" s="53"/>
      <c r="D122" s="53"/>
      <c r="E122" s="11"/>
      <c r="F122" s="11"/>
      <c r="G122" s="58"/>
      <c r="H122" s="54"/>
      <c r="I122" s="54"/>
      <c r="J122" s="55"/>
      <c r="K122" s="53"/>
      <c r="L122" s="53" t="str">
        <f t="shared" si="3"/>
        <v/>
      </c>
      <c r="M122" s="11"/>
      <c r="N122" s="11"/>
      <c r="O122" s="11"/>
      <c r="P122" s="11"/>
      <c r="Q122" s="11"/>
      <c r="R122" s="11"/>
      <c r="S122" s="11"/>
      <c r="T122" s="11"/>
      <c r="U122" s="11"/>
      <c r="V122" s="53"/>
      <c r="W122" s="35" t="str">
        <f t="shared" si="2"/>
        <v>OK</v>
      </c>
      <c r="X122" s="38" t="str">
        <f t="shared" si="4"/>
        <v/>
      </c>
      <c r="Y122" s="3"/>
      <c r="Z122" s="3"/>
    </row>
    <row r="123" spans="1:26" ht="15.75" hidden="1" customHeight="1" outlineLevel="1" x14ac:dyDescent="0.3">
      <c r="A123" s="3"/>
      <c r="B123" s="9"/>
      <c r="C123" s="53"/>
      <c r="D123" s="53"/>
      <c r="E123" s="11"/>
      <c r="F123" s="11"/>
      <c r="G123" s="58"/>
      <c r="H123" s="54"/>
      <c r="I123" s="54"/>
      <c r="J123" s="55"/>
      <c r="K123" s="53"/>
      <c r="L123" s="53" t="str">
        <f t="shared" si="3"/>
        <v/>
      </c>
      <c r="M123" s="11"/>
      <c r="N123" s="11"/>
      <c r="O123" s="11"/>
      <c r="P123" s="11"/>
      <c r="Q123" s="11"/>
      <c r="R123" s="11"/>
      <c r="S123" s="11"/>
      <c r="T123" s="11"/>
      <c r="U123" s="11"/>
      <c r="V123" s="53"/>
      <c r="W123" s="35" t="str">
        <f t="shared" si="2"/>
        <v>OK</v>
      </c>
      <c r="X123" s="38" t="str">
        <f t="shared" si="4"/>
        <v/>
      </c>
      <c r="Y123" s="3"/>
      <c r="Z123" s="3"/>
    </row>
    <row r="124" spans="1:26" ht="19.5" customHeight="1" collapsed="1" x14ac:dyDescent="0.3">
      <c r="A124" s="3"/>
      <c r="B124" s="64" t="s">
        <v>63</v>
      </c>
      <c r="C124" s="47" t="s">
        <v>44</v>
      </c>
      <c r="D124" s="47" t="s">
        <v>44</v>
      </c>
      <c r="E124" s="48">
        <f t="shared" ref="E124:F124" si="28">SUM(E125,E128,,E132,E137,E144)</f>
        <v>0</v>
      </c>
      <c r="F124" s="48">
        <f t="shared" si="28"/>
        <v>3418.04</v>
      </c>
      <c r="G124" s="49" t="s">
        <v>44</v>
      </c>
      <c r="H124" s="65"/>
      <c r="I124" s="65"/>
      <c r="J124" s="3"/>
      <c r="K124" s="3"/>
      <c r="L124" s="3"/>
      <c r="M124" s="3"/>
      <c r="N124" s="3"/>
      <c r="O124" s="3"/>
      <c r="P124" s="3"/>
      <c r="Q124" s="3"/>
      <c r="R124" s="3"/>
      <c r="S124" s="3"/>
      <c r="T124" s="3"/>
      <c r="U124" s="3"/>
      <c r="V124" s="3"/>
      <c r="W124" s="35"/>
      <c r="X124" s="32"/>
      <c r="Y124" s="3"/>
      <c r="Z124" s="3"/>
    </row>
    <row r="125" spans="1:26" ht="15.75" hidden="1" customHeight="1" outlineLevel="1" x14ac:dyDescent="0.3">
      <c r="A125" s="3"/>
      <c r="B125" s="66" t="s">
        <v>231</v>
      </c>
      <c r="C125" s="67" t="s">
        <v>44</v>
      </c>
      <c r="D125" s="67" t="s">
        <v>44</v>
      </c>
      <c r="E125" s="68">
        <f>SUM(E126:E127)</f>
        <v>0</v>
      </c>
      <c r="F125" s="68">
        <f>SUMIF(D126:D127,"OK",F126:F127)</f>
        <v>359.58</v>
      </c>
      <c r="G125" s="69" t="s">
        <v>44</v>
      </c>
      <c r="H125" s="70"/>
      <c r="I125" s="70"/>
      <c r="J125" s="3"/>
      <c r="K125" s="3"/>
      <c r="L125" s="3"/>
      <c r="M125" s="3"/>
      <c r="N125" s="3"/>
      <c r="O125" s="3"/>
      <c r="P125" s="3"/>
      <c r="Q125" s="3"/>
      <c r="R125" s="3"/>
      <c r="S125" s="3"/>
      <c r="T125" s="3"/>
      <c r="U125" s="3"/>
      <c r="V125" s="3"/>
      <c r="W125" s="35"/>
      <c r="X125" s="32"/>
      <c r="Y125" s="3"/>
      <c r="Z125" s="3"/>
    </row>
    <row r="126" spans="1:26" ht="15.75" hidden="1" customHeight="1" outlineLevel="1" x14ac:dyDescent="0.3">
      <c r="A126" s="3"/>
      <c r="B126" s="9" t="s">
        <v>232</v>
      </c>
      <c r="C126" s="53">
        <v>16</v>
      </c>
      <c r="D126" s="53" t="s">
        <v>95</v>
      </c>
      <c r="E126" s="11">
        <v>0</v>
      </c>
      <c r="F126" s="11">
        <v>359.58</v>
      </c>
      <c r="G126" s="58"/>
      <c r="H126" s="54" t="s">
        <v>37</v>
      </c>
      <c r="I126" s="54"/>
      <c r="J126" s="3"/>
      <c r="K126" s="3"/>
      <c r="L126" s="3"/>
      <c r="M126" s="3"/>
      <c r="N126" s="3"/>
      <c r="O126" s="3"/>
      <c r="P126" s="3"/>
      <c r="Q126" s="3"/>
      <c r="R126" s="3"/>
      <c r="S126" s="3"/>
      <c r="T126" s="3"/>
      <c r="U126" s="3"/>
      <c r="V126" s="3"/>
      <c r="W126" s="35"/>
      <c r="X126" s="32"/>
      <c r="Y126" s="3"/>
      <c r="Z126" s="3"/>
    </row>
    <row r="127" spans="1:26" ht="15.75" hidden="1" customHeight="1" outlineLevel="1" x14ac:dyDescent="0.3">
      <c r="A127" s="3"/>
      <c r="B127" s="9" t="s">
        <v>62</v>
      </c>
      <c r="C127" s="53"/>
      <c r="D127" s="53"/>
      <c r="E127" s="11">
        <v>0</v>
      </c>
      <c r="F127" s="11">
        <v>0</v>
      </c>
      <c r="G127" s="58"/>
      <c r="H127" s="54"/>
      <c r="I127" s="54"/>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66" t="s">
        <v>233</v>
      </c>
      <c r="C128" s="67" t="s">
        <v>44</v>
      </c>
      <c r="D128" s="67" t="s">
        <v>44</v>
      </c>
      <c r="E128" s="68">
        <f>SUM(E129:E131)</f>
        <v>0</v>
      </c>
      <c r="F128" s="68">
        <f>SUMIF(D129:D131,"OK",F129:F131)</f>
        <v>2079</v>
      </c>
      <c r="G128" s="69" t="s">
        <v>44</v>
      </c>
      <c r="H128" s="70"/>
      <c r="I128" s="70"/>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9" t="s">
        <v>1162</v>
      </c>
      <c r="C129" s="53">
        <v>4</v>
      </c>
      <c r="D129" s="53" t="s">
        <v>95</v>
      </c>
      <c r="E129" s="11">
        <v>0</v>
      </c>
      <c r="F129" s="11">
        <f>10+20+32</f>
        <v>62</v>
      </c>
      <c r="G129" s="60"/>
      <c r="H129" s="54" t="s">
        <v>37</v>
      </c>
      <c r="I129" s="54"/>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9" t="s">
        <v>530</v>
      </c>
      <c r="C130" s="53" t="s">
        <v>642</v>
      </c>
      <c r="D130" s="53" t="s">
        <v>95</v>
      </c>
      <c r="E130" s="11">
        <v>0</v>
      </c>
      <c r="F130" s="11">
        <f>2017</f>
        <v>2017</v>
      </c>
      <c r="G130" s="61"/>
      <c r="H130" s="54" t="s">
        <v>39</v>
      </c>
      <c r="I130" s="54"/>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9" t="s">
        <v>533</v>
      </c>
      <c r="C131" s="53"/>
      <c r="D131" s="53"/>
      <c r="E131" s="11">
        <v>0</v>
      </c>
      <c r="F131" s="11">
        <v>0</v>
      </c>
      <c r="G131" s="60"/>
      <c r="H131" s="54" t="s">
        <v>38</v>
      </c>
      <c r="I131" s="54"/>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66" t="s">
        <v>652</v>
      </c>
      <c r="C132" s="67" t="s">
        <v>44</v>
      </c>
      <c r="D132" s="67" t="s">
        <v>44</v>
      </c>
      <c r="E132" s="68">
        <f>SUM(E133:E135)</f>
        <v>0</v>
      </c>
      <c r="F132" s="68">
        <f>SUMIF(D133:D136,"OK",F133:F136)</f>
        <v>0</v>
      </c>
      <c r="G132" s="69" t="s">
        <v>44</v>
      </c>
      <c r="H132" s="70"/>
      <c r="I132" s="70"/>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9" t="s">
        <v>716</v>
      </c>
      <c r="C133" s="53"/>
      <c r="D133" s="53"/>
      <c r="E133" s="11">
        <v>0</v>
      </c>
      <c r="F133" s="11">
        <v>0</v>
      </c>
      <c r="G133" s="60"/>
      <c r="H133" s="54"/>
      <c r="I133" s="54"/>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9" t="s">
        <v>532</v>
      </c>
      <c r="C134" s="53"/>
      <c r="D134" s="53"/>
      <c r="E134" s="11">
        <v>0</v>
      </c>
      <c r="F134" s="11">
        <v>0</v>
      </c>
      <c r="G134" s="61"/>
      <c r="H134" s="54"/>
      <c r="I134" s="54"/>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9" t="s">
        <v>533</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530</v>
      </c>
      <c r="C136" s="53"/>
      <c r="D136" s="53"/>
      <c r="E136" s="11">
        <v>0</v>
      </c>
      <c r="F136" s="11">
        <v>0</v>
      </c>
      <c r="G136" s="60"/>
      <c r="H136" s="54"/>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66" t="s">
        <v>902</v>
      </c>
      <c r="C137" s="67" t="s">
        <v>44</v>
      </c>
      <c r="D137" s="67" t="s">
        <v>44</v>
      </c>
      <c r="E137" s="68">
        <f>SUM(E138:E143)</f>
        <v>0</v>
      </c>
      <c r="F137" s="68">
        <f>SUMIF(D138:D143,"OK",F138:F143)</f>
        <v>0</v>
      </c>
      <c r="G137" s="69" t="s">
        <v>44</v>
      </c>
      <c r="H137" s="70"/>
      <c r="I137" s="70"/>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9" t="s">
        <v>1037</v>
      </c>
      <c r="C138" s="53"/>
      <c r="D138" s="53"/>
      <c r="E138" s="11">
        <v>0</v>
      </c>
      <c r="F138" s="11">
        <v>0</v>
      </c>
      <c r="G138" s="58"/>
      <c r="H138" s="54"/>
      <c r="I138" s="54"/>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9" t="s">
        <v>905</v>
      </c>
      <c r="C139" s="53"/>
      <c r="D139" s="53"/>
      <c r="E139" s="11">
        <v>0</v>
      </c>
      <c r="F139" s="11">
        <v>0</v>
      </c>
      <c r="G139" s="58"/>
      <c r="H139" s="54"/>
      <c r="I139" s="54"/>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9" t="s">
        <v>906</v>
      </c>
      <c r="C140" s="53"/>
      <c r="D140" s="53"/>
      <c r="E140" s="11">
        <v>0</v>
      </c>
      <c r="F140" s="11">
        <v>0</v>
      </c>
      <c r="G140" s="58"/>
      <c r="H140" s="54"/>
      <c r="I140" s="54"/>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1041</v>
      </c>
      <c r="C141" s="53"/>
      <c r="D141" s="53"/>
      <c r="E141" s="11">
        <v>0</v>
      </c>
      <c r="F141" s="11">
        <v>0</v>
      </c>
      <c r="G141" s="58"/>
      <c r="H141" s="54"/>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908</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909</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66" t="s">
        <v>690</v>
      </c>
      <c r="C144" s="67" t="s">
        <v>44</v>
      </c>
      <c r="D144" s="67" t="s">
        <v>44</v>
      </c>
      <c r="E144" s="68">
        <f>SUM(E145:E148)</f>
        <v>0</v>
      </c>
      <c r="F144" s="68">
        <f>SUMIF(D145:D148,"OK",F145:F148)</f>
        <v>979.46000000000015</v>
      </c>
      <c r="G144" s="69" t="s">
        <v>44</v>
      </c>
      <c r="H144" s="70"/>
      <c r="I144" s="70"/>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9" t="s">
        <v>1163</v>
      </c>
      <c r="C145" s="53">
        <v>1</v>
      </c>
      <c r="D145" s="53" t="s">
        <v>95</v>
      </c>
      <c r="E145" s="11">
        <v>0</v>
      </c>
      <c r="F145" s="11">
        <f>10+25+75+30+150+20+130+65+10+19+15+60+15+13.5+4+12+5.5+15+7.5+5.87+5.87+10+10+15+6.71+13.71+3.83+13.26+13.71</f>
        <v>779.46000000000015</v>
      </c>
      <c r="G145" s="60"/>
      <c r="H145" s="54" t="s">
        <v>38</v>
      </c>
      <c r="I145" s="54"/>
      <c r="J145" s="3"/>
      <c r="K145" s="3"/>
      <c r="L145" s="3"/>
      <c r="M145" s="3"/>
      <c r="N145" s="3"/>
      <c r="O145" s="3"/>
      <c r="P145" s="3"/>
      <c r="Q145" s="3"/>
      <c r="R145" s="3"/>
      <c r="S145" s="3"/>
      <c r="T145" s="3"/>
      <c r="U145" s="3"/>
      <c r="V145" s="3"/>
      <c r="W145" s="35"/>
      <c r="X145" s="32"/>
      <c r="Y145" s="3"/>
      <c r="Z145" s="3"/>
    </row>
    <row r="146" spans="1:26" ht="15.75" hidden="1" customHeight="1" outlineLevel="1" x14ac:dyDescent="0.3">
      <c r="A146" s="3"/>
      <c r="B146" s="9" t="s">
        <v>1164</v>
      </c>
      <c r="C146" s="53">
        <v>10</v>
      </c>
      <c r="D146" s="53" t="s">
        <v>95</v>
      </c>
      <c r="E146" s="11">
        <v>0</v>
      </c>
      <c r="F146" s="11">
        <v>200</v>
      </c>
      <c r="G146" s="60" t="s">
        <v>1165</v>
      </c>
      <c r="H146" s="54" t="s">
        <v>38</v>
      </c>
      <c r="I146" s="54"/>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63</v>
      </c>
      <c r="C147" s="53"/>
      <c r="D147" s="53"/>
      <c r="E147" s="11">
        <v>0</v>
      </c>
      <c r="F147" s="11">
        <v>0</v>
      </c>
      <c r="G147" s="60"/>
      <c r="H147" s="54"/>
      <c r="I147" s="54"/>
      <c r="J147" s="3"/>
      <c r="K147" s="3"/>
      <c r="L147" s="3"/>
      <c r="M147" s="3"/>
      <c r="N147" s="3"/>
      <c r="O147" s="3"/>
      <c r="P147" s="3"/>
      <c r="Q147" s="3"/>
      <c r="R147" s="3"/>
      <c r="S147" s="3"/>
      <c r="T147" s="3"/>
      <c r="U147" s="3"/>
      <c r="V147" s="3"/>
      <c r="W147" s="35"/>
      <c r="X147" s="32"/>
      <c r="Y147" s="3"/>
      <c r="Z147" s="3"/>
    </row>
    <row r="148" spans="1:26" ht="15.75" hidden="1" customHeight="1" outlineLevel="1" x14ac:dyDescent="0.3">
      <c r="A148" s="3"/>
      <c r="B148" s="9" t="s">
        <v>63</v>
      </c>
      <c r="C148" s="53"/>
      <c r="D148" s="53"/>
      <c r="E148" s="11">
        <v>0</v>
      </c>
      <c r="F148" s="11">
        <v>0</v>
      </c>
      <c r="G148" s="58"/>
      <c r="H148" s="54"/>
      <c r="I148" s="54"/>
      <c r="J148" s="3"/>
      <c r="K148" s="3"/>
      <c r="L148" s="3"/>
      <c r="M148" s="3"/>
      <c r="N148" s="3"/>
      <c r="O148" s="3"/>
      <c r="P148" s="3"/>
      <c r="Q148" s="3"/>
      <c r="R148" s="3"/>
      <c r="S148" s="3"/>
      <c r="T148" s="3"/>
      <c r="U148" s="3"/>
      <c r="V148" s="3"/>
      <c r="W148" s="35"/>
      <c r="X148" s="32"/>
      <c r="Y148" s="3"/>
      <c r="Z148" s="3"/>
    </row>
    <row r="149" spans="1:26" ht="19.5" customHeight="1" collapsed="1" x14ac:dyDescent="0.3">
      <c r="A149" s="3"/>
      <c r="B149" s="64" t="s">
        <v>240</v>
      </c>
      <c r="C149" s="47" t="s">
        <v>44</v>
      </c>
      <c r="D149" s="47" t="s">
        <v>44</v>
      </c>
      <c r="E149" s="48">
        <f t="shared" ref="E149:F149" si="29">SUM(E150,E155,E160,E164)</f>
        <v>0</v>
      </c>
      <c r="F149" s="48">
        <f t="shared" si="29"/>
        <v>3206.6</v>
      </c>
      <c r="G149" s="49" t="s">
        <v>44</v>
      </c>
      <c r="H149" s="65"/>
      <c r="I149" s="65"/>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66" t="s">
        <v>241</v>
      </c>
      <c r="C150" s="67" t="s">
        <v>44</v>
      </c>
      <c r="D150" s="67" t="s">
        <v>44</v>
      </c>
      <c r="E150" s="68">
        <f>SUM(E151:E154)</f>
        <v>0</v>
      </c>
      <c r="F150" s="68">
        <f>SUMIF(D151:D154,"OK",F151:F154)</f>
        <v>637</v>
      </c>
      <c r="G150" s="69" t="s">
        <v>44</v>
      </c>
      <c r="H150" s="70"/>
      <c r="I150" s="70"/>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242</v>
      </c>
      <c r="C151" s="53">
        <v>3</v>
      </c>
      <c r="D151" s="53" t="s">
        <v>95</v>
      </c>
      <c r="E151" s="11">
        <v>0</v>
      </c>
      <c r="F151" s="11">
        <f>10+5+10+10+10+10+10+10+50+20+10+30+10+20+30</f>
        <v>245</v>
      </c>
      <c r="G151" s="58"/>
      <c r="H151" s="54" t="s">
        <v>37</v>
      </c>
      <c r="I151" s="54"/>
      <c r="J151" s="3"/>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243</v>
      </c>
      <c r="C152" s="53"/>
      <c r="D152" s="53"/>
      <c r="E152" s="11">
        <v>0</v>
      </c>
      <c r="F152" s="11">
        <v>0</v>
      </c>
      <c r="G152" s="58"/>
      <c r="H152" s="54" t="s">
        <v>36</v>
      </c>
      <c r="I152" s="54"/>
      <c r="J152" s="3"/>
      <c r="K152" s="3"/>
      <c r="L152" s="3"/>
      <c r="M152" s="3"/>
      <c r="N152" s="3"/>
      <c r="O152" s="3"/>
      <c r="P152" s="3"/>
      <c r="Q152" s="3"/>
      <c r="R152" s="3"/>
      <c r="S152" s="3"/>
      <c r="T152" s="3"/>
      <c r="U152" s="3"/>
      <c r="V152" s="3"/>
      <c r="W152" s="35"/>
      <c r="X152" s="32"/>
      <c r="Y152" s="3"/>
      <c r="Z152" s="3"/>
    </row>
    <row r="153" spans="1:26" ht="15.75" hidden="1" customHeight="1" outlineLevel="1" x14ac:dyDescent="0.3">
      <c r="A153" s="3"/>
      <c r="B153" s="9" t="s">
        <v>244</v>
      </c>
      <c r="C153" s="53">
        <v>17</v>
      </c>
      <c r="D153" s="53" t="s">
        <v>95</v>
      </c>
      <c r="E153" s="11">
        <v>0</v>
      </c>
      <c r="F153" s="11">
        <f>50+20+50+10+50+20+10+5+10+10+5+20+10+20</f>
        <v>290</v>
      </c>
      <c r="G153" s="58"/>
      <c r="H153" s="54" t="s">
        <v>37</v>
      </c>
      <c r="I153" s="54"/>
      <c r="J153" s="3"/>
      <c r="K153" s="3"/>
      <c r="L153" s="3"/>
      <c r="M153" s="3"/>
      <c r="N153" s="3"/>
      <c r="O153" s="3"/>
      <c r="P153" s="3"/>
      <c r="Q153" s="3"/>
      <c r="R153" s="3"/>
      <c r="S153" s="3"/>
      <c r="T153" s="3"/>
      <c r="U153" s="3"/>
      <c r="V153" s="3"/>
      <c r="W153" s="35"/>
      <c r="X153" s="32"/>
      <c r="Y153" s="3"/>
      <c r="Z153" s="3"/>
    </row>
    <row r="154" spans="1:26" ht="15.75" hidden="1" customHeight="1" outlineLevel="1" x14ac:dyDescent="0.3">
      <c r="A154" s="3"/>
      <c r="B154" s="9" t="s">
        <v>245</v>
      </c>
      <c r="C154" s="53">
        <v>17</v>
      </c>
      <c r="D154" s="53" t="s">
        <v>95</v>
      </c>
      <c r="E154" s="11">
        <v>0</v>
      </c>
      <c r="F154" s="11">
        <v>102</v>
      </c>
      <c r="G154" s="120"/>
      <c r="H154" s="54" t="s">
        <v>36</v>
      </c>
      <c r="I154" s="54"/>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66" t="s">
        <v>246</v>
      </c>
      <c r="C155" s="67" t="s">
        <v>44</v>
      </c>
      <c r="D155" s="67" t="s">
        <v>44</v>
      </c>
      <c r="E155" s="68">
        <f>SUM(E156:E159)</f>
        <v>0</v>
      </c>
      <c r="F155" s="68">
        <f>SUMIF(D156:D159,"OK",F156:F159)</f>
        <v>489</v>
      </c>
      <c r="G155" s="69" t="s">
        <v>44</v>
      </c>
      <c r="H155" s="70"/>
      <c r="I155" s="70"/>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242</v>
      </c>
      <c r="C156" s="53"/>
      <c r="D156" s="53"/>
      <c r="E156" s="11">
        <v>0</v>
      </c>
      <c r="F156" s="11">
        <v>0</v>
      </c>
      <c r="G156" s="60"/>
      <c r="H156" s="54" t="s">
        <v>37</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243</v>
      </c>
      <c r="C157" s="53"/>
      <c r="D157" s="53"/>
      <c r="E157" s="11">
        <v>0</v>
      </c>
      <c r="F157" s="11">
        <v>0</v>
      </c>
      <c r="G157" s="58"/>
      <c r="H157" s="54" t="s">
        <v>36</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244</v>
      </c>
      <c r="C158" s="53" t="s">
        <v>1166</v>
      </c>
      <c r="D158" s="53" t="s">
        <v>95</v>
      </c>
      <c r="E158" s="11">
        <v>0</v>
      </c>
      <c r="F158" s="11">
        <f>9+20+10+10+10+10+10+40+30+10+40+20+30+20+20+10+30+20+10+20+10+10+20+10+20+30</f>
        <v>479</v>
      </c>
      <c r="G158" s="58"/>
      <c r="H158" s="54" t="s">
        <v>37</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9" t="s">
        <v>245</v>
      </c>
      <c r="C159" s="53">
        <v>17</v>
      </c>
      <c r="D159" s="53" t="s">
        <v>95</v>
      </c>
      <c r="E159" s="11">
        <v>0</v>
      </c>
      <c r="F159" s="11">
        <v>10</v>
      </c>
      <c r="G159" s="58"/>
      <c r="H159" s="54" t="s">
        <v>36</v>
      </c>
      <c r="I159" s="54"/>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66" t="s">
        <v>247</v>
      </c>
      <c r="C160" s="67" t="s">
        <v>44</v>
      </c>
      <c r="D160" s="67" t="s">
        <v>44</v>
      </c>
      <c r="E160" s="68">
        <f>SUM(E161:E163)</f>
        <v>0</v>
      </c>
      <c r="F160" s="68">
        <f>SUMIF(D161:D163,"OK",F161:F163)</f>
        <v>0</v>
      </c>
      <c r="G160" s="69" t="s">
        <v>44</v>
      </c>
      <c r="H160" s="70"/>
      <c r="I160" s="70"/>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43</v>
      </c>
      <c r="C161" s="71"/>
      <c r="D161" s="53"/>
      <c r="E161" s="11">
        <v>0</v>
      </c>
      <c r="F161" s="11">
        <v>0</v>
      </c>
      <c r="G161" s="60"/>
      <c r="H161" s="54"/>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43</v>
      </c>
      <c r="C162" s="71"/>
      <c r="D162" s="53"/>
      <c r="E162" s="11">
        <v>0</v>
      </c>
      <c r="F162" s="11">
        <v>0</v>
      </c>
      <c r="G162" s="60"/>
      <c r="H162" s="54"/>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9" t="s">
        <v>43</v>
      </c>
      <c r="C163" s="53"/>
      <c r="D163" s="53"/>
      <c r="E163" s="11">
        <v>0</v>
      </c>
      <c r="F163" s="11">
        <v>0</v>
      </c>
      <c r="G163" s="60"/>
      <c r="H163" s="54"/>
      <c r="I163" s="54"/>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66" t="s">
        <v>62</v>
      </c>
      <c r="C164" s="67" t="s">
        <v>44</v>
      </c>
      <c r="D164" s="67" t="s">
        <v>44</v>
      </c>
      <c r="E164" s="68">
        <f>SUM(E165:E172)</f>
        <v>0</v>
      </c>
      <c r="F164" s="68">
        <f>SUMIF(D165:D178,"OK",F165:F178)</f>
        <v>2080.6</v>
      </c>
      <c r="G164" s="69" t="s">
        <v>44</v>
      </c>
      <c r="H164" s="70"/>
      <c r="I164" s="70"/>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9" t="s">
        <v>1167</v>
      </c>
      <c r="C165" s="71">
        <v>8</v>
      </c>
      <c r="D165" s="53" t="s">
        <v>95</v>
      </c>
      <c r="E165" s="11">
        <v>0</v>
      </c>
      <c r="F165" s="11">
        <v>2020.6</v>
      </c>
      <c r="G165" s="61"/>
      <c r="H165" s="54" t="s">
        <v>37</v>
      </c>
      <c r="I165" s="54"/>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1168</v>
      </c>
      <c r="C166" s="71">
        <v>19</v>
      </c>
      <c r="D166" s="53" t="s">
        <v>95</v>
      </c>
      <c r="E166" s="11">
        <v>0</v>
      </c>
      <c r="F166" s="11">
        <v>60</v>
      </c>
      <c r="G166" s="61" t="s">
        <v>1169</v>
      </c>
      <c r="H166" s="54" t="s">
        <v>37</v>
      </c>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62</v>
      </c>
      <c r="C167" s="53"/>
      <c r="D167" s="53"/>
      <c r="E167" s="11">
        <v>0</v>
      </c>
      <c r="F167" s="11">
        <v>0</v>
      </c>
      <c r="G167" s="60"/>
      <c r="H167" s="54"/>
      <c r="I167" s="54"/>
      <c r="J167" s="3"/>
      <c r="K167" s="3"/>
      <c r="L167" s="3"/>
      <c r="M167" s="3"/>
      <c r="N167" s="3"/>
      <c r="O167" s="3"/>
      <c r="P167" s="3"/>
      <c r="Q167" s="3"/>
      <c r="R167" s="3"/>
      <c r="S167" s="3"/>
      <c r="T167" s="3"/>
      <c r="U167" s="3"/>
      <c r="V167" s="3"/>
      <c r="W167" s="35"/>
      <c r="X167" s="32"/>
      <c r="Y167" s="3"/>
      <c r="Z167" s="3"/>
    </row>
    <row r="168" spans="1:26" ht="15.75" hidden="1" customHeight="1" outlineLevel="1" x14ac:dyDescent="0.3">
      <c r="A168" s="3"/>
      <c r="B168" s="9" t="s">
        <v>62</v>
      </c>
      <c r="C168" s="53"/>
      <c r="D168" s="53"/>
      <c r="E168" s="11">
        <v>0</v>
      </c>
      <c r="F168" s="11">
        <v>0</v>
      </c>
      <c r="G168" s="61"/>
      <c r="H168" s="54"/>
      <c r="I168" s="54"/>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9" t="s">
        <v>62</v>
      </c>
      <c r="C169" s="53"/>
      <c r="D169" s="53"/>
      <c r="E169" s="11">
        <v>0</v>
      </c>
      <c r="F169" s="11">
        <v>0</v>
      </c>
      <c r="G169" s="60"/>
      <c r="H169" s="54"/>
      <c r="I169" s="54"/>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62</v>
      </c>
      <c r="C170" s="53"/>
      <c r="D170" s="53"/>
      <c r="E170" s="11">
        <v>0</v>
      </c>
      <c r="F170" s="11">
        <v>0</v>
      </c>
      <c r="G170" s="60"/>
      <c r="H170" s="54"/>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62</v>
      </c>
      <c r="C171" s="53"/>
      <c r="D171" s="53"/>
      <c r="E171" s="11">
        <v>0</v>
      </c>
      <c r="F171" s="11">
        <v>0</v>
      </c>
      <c r="G171" s="60"/>
      <c r="H171" s="54"/>
      <c r="I171" s="54"/>
      <c r="J171" s="3"/>
      <c r="K171" s="3"/>
      <c r="L171" s="3"/>
      <c r="M171" s="3"/>
      <c r="N171" s="3"/>
      <c r="O171" s="3"/>
      <c r="P171" s="3"/>
      <c r="Q171" s="3"/>
      <c r="R171" s="3"/>
      <c r="S171" s="3"/>
      <c r="T171" s="3"/>
      <c r="U171" s="3"/>
      <c r="V171" s="3"/>
      <c r="W171" s="35"/>
      <c r="X171" s="32"/>
      <c r="Y171" s="3"/>
      <c r="Z171" s="3"/>
    </row>
    <row r="172" spans="1:26" ht="15.75" hidden="1" customHeight="1" outlineLevel="1" x14ac:dyDescent="0.3">
      <c r="A172" s="3"/>
      <c r="B172" s="9" t="s">
        <v>62</v>
      </c>
      <c r="C172" s="53"/>
      <c r="D172" s="53"/>
      <c r="E172" s="11">
        <v>0</v>
      </c>
      <c r="F172" s="11">
        <v>0</v>
      </c>
      <c r="G172" s="60"/>
      <c r="H172" s="54"/>
      <c r="I172" s="54"/>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62</v>
      </c>
      <c r="C173" s="53"/>
      <c r="D173" s="53"/>
      <c r="E173" s="11">
        <v>0</v>
      </c>
      <c r="F173" s="11">
        <v>0</v>
      </c>
      <c r="G173" s="60"/>
      <c r="H173" s="54"/>
      <c r="I173" s="54"/>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9.5" customHeight="1" collapsed="1" x14ac:dyDescent="0.3">
      <c r="A179" s="3"/>
      <c r="B179" s="64" t="s">
        <v>64</v>
      </c>
      <c r="C179" s="47" t="s">
        <v>44</v>
      </c>
      <c r="D179" s="47" t="s">
        <v>44</v>
      </c>
      <c r="E179" s="48">
        <f>SUM(E180:E182)</f>
        <v>0</v>
      </c>
      <c r="F179" s="48">
        <f>SUMIF(D180:D182,"OK",F180:F182)</f>
        <v>400</v>
      </c>
      <c r="G179" s="49" t="s">
        <v>44</v>
      </c>
      <c r="H179" s="65"/>
      <c r="I179" s="65"/>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1170</v>
      </c>
      <c r="C180" s="53">
        <v>13</v>
      </c>
      <c r="D180" s="53" t="s">
        <v>95</v>
      </c>
      <c r="E180" s="11">
        <v>0</v>
      </c>
      <c r="F180" s="11">
        <v>400</v>
      </c>
      <c r="G180" s="60" t="s">
        <v>1171</v>
      </c>
      <c r="H180" s="54" t="s">
        <v>37</v>
      </c>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64</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64</v>
      </c>
      <c r="C182" s="53"/>
      <c r="D182" s="53"/>
      <c r="E182" s="11">
        <v>0</v>
      </c>
      <c r="F182" s="11">
        <v>0</v>
      </c>
      <c r="G182" s="58"/>
      <c r="H182" s="54"/>
      <c r="I182" s="54"/>
      <c r="J182" s="3"/>
      <c r="K182" s="3"/>
      <c r="L182" s="3"/>
      <c r="M182" s="3"/>
      <c r="N182" s="3"/>
      <c r="O182" s="3"/>
      <c r="P182" s="3"/>
      <c r="Q182" s="3"/>
      <c r="R182" s="3"/>
      <c r="S182" s="3"/>
      <c r="T182" s="3"/>
      <c r="U182" s="3"/>
      <c r="V182" s="3"/>
      <c r="W182" s="35"/>
      <c r="X182" s="32"/>
      <c r="Y182" s="3"/>
      <c r="Z182" s="3"/>
    </row>
    <row r="183" spans="1:26" ht="19.5" customHeight="1" collapsed="1" x14ac:dyDescent="0.3">
      <c r="A183" s="3"/>
      <c r="B183" s="64" t="s">
        <v>260</v>
      </c>
      <c r="C183" s="47" t="s">
        <v>44</v>
      </c>
      <c r="D183" s="47" t="s">
        <v>44</v>
      </c>
      <c r="E183" s="48">
        <f>SUM(E184:E190)</f>
        <v>0</v>
      </c>
      <c r="F183" s="48">
        <f>SUMIF(D184:D190,"OK",F184:F190)</f>
        <v>4.41</v>
      </c>
      <c r="G183" s="49" t="s">
        <v>44</v>
      </c>
      <c r="H183" s="65"/>
      <c r="I183" s="65"/>
      <c r="J183" s="3"/>
      <c r="K183" s="3"/>
      <c r="L183" s="3"/>
      <c r="M183" s="3"/>
      <c r="N183" s="3"/>
      <c r="O183" s="3"/>
      <c r="P183" s="3"/>
      <c r="Q183" s="3"/>
      <c r="R183" s="3"/>
      <c r="S183" s="3"/>
      <c r="T183" s="3"/>
      <c r="U183" s="3"/>
      <c r="V183" s="3"/>
      <c r="W183" s="35"/>
      <c r="X183" s="32"/>
      <c r="Y183" s="3"/>
      <c r="Z183" s="3"/>
    </row>
    <row r="184" spans="1:26" ht="15.75" hidden="1" customHeight="1" outlineLevel="1" x14ac:dyDescent="0.3">
      <c r="A184" s="3"/>
      <c r="B184" s="9" t="s">
        <v>261</v>
      </c>
      <c r="C184" s="53"/>
      <c r="D184" s="53"/>
      <c r="E184" s="11">
        <v>0</v>
      </c>
      <c r="F184" s="11">
        <v>0</v>
      </c>
      <c r="G184" s="58"/>
      <c r="H184" s="54" t="s">
        <v>37</v>
      </c>
      <c r="I184" s="54"/>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262</v>
      </c>
      <c r="C185" s="53" t="s">
        <v>642</v>
      </c>
      <c r="D185" s="53" t="s">
        <v>95</v>
      </c>
      <c r="E185" s="11">
        <v>0</v>
      </c>
      <c r="F185" s="11">
        <f>0.61+3.79+0.01</f>
        <v>4.41</v>
      </c>
      <c r="G185" s="60"/>
      <c r="H185" s="54" t="s">
        <v>38</v>
      </c>
      <c r="I185" s="54"/>
      <c r="J185" s="3"/>
      <c r="K185" s="3"/>
      <c r="L185" s="3"/>
      <c r="M185" s="3"/>
      <c r="N185" s="3"/>
      <c r="O185" s="3"/>
      <c r="P185" s="3"/>
      <c r="Q185" s="3"/>
      <c r="R185" s="3"/>
      <c r="S185" s="3"/>
      <c r="T185" s="3"/>
      <c r="U185" s="3"/>
      <c r="V185" s="3"/>
      <c r="W185" s="35"/>
      <c r="X185" s="32"/>
      <c r="Y185" s="3"/>
      <c r="Z185" s="3"/>
    </row>
    <row r="186" spans="1:26" ht="15.75" hidden="1" customHeight="1" outlineLevel="1" x14ac:dyDescent="0.3">
      <c r="A186" s="3"/>
      <c r="B186" s="9" t="s">
        <v>264</v>
      </c>
      <c r="C186" s="53"/>
      <c r="D186" s="53"/>
      <c r="E186" s="11">
        <v>0</v>
      </c>
      <c r="F186" s="11">
        <v>0</v>
      </c>
      <c r="G186" s="58"/>
      <c r="H186" s="54" t="s">
        <v>235</v>
      </c>
      <c r="I186" s="54"/>
      <c r="J186" s="3"/>
      <c r="K186" s="3"/>
      <c r="L186" s="3"/>
      <c r="M186" s="3"/>
      <c r="N186" s="3"/>
      <c r="O186" s="3"/>
      <c r="P186" s="3"/>
      <c r="Q186" s="3"/>
      <c r="R186" s="3"/>
      <c r="S186" s="3"/>
      <c r="T186" s="3"/>
      <c r="U186" s="3"/>
      <c r="V186" s="3"/>
      <c r="W186" s="35"/>
      <c r="X186" s="32"/>
      <c r="Y186" s="3"/>
      <c r="Z186" s="3"/>
    </row>
    <row r="187" spans="1:26" ht="15.75" hidden="1" customHeight="1" outlineLevel="1" x14ac:dyDescent="0.3">
      <c r="A187" s="3"/>
      <c r="B187" s="9" t="s">
        <v>265</v>
      </c>
      <c r="C187" s="53"/>
      <c r="D187" s="53"/>
      <c r="E187" s="11">
        <v>0</v>
      </c>
      <c r="F187" s="11">
        <v>0</v>
      </c>
      <c r="G187" s="58"/>
      <c r="H187" s="54" t="s">
        <v>266</v>
      </c>
      <c r="I187" s="54"/>
      <c r="J187" s="3"/>
      <c r="K187" s="3"/>
      <c r="L187" s="3"/>
      <c r="M187" s="3"/>
      <c r="N187" s="3"/>
      <c r="O187" s="3"/>
      <c r="P187" s="3"/>
      <c r="Q187" s="3"/>
      <c r="R187" s="3"/>
      <c r="S187" s="3"/>
      <c r="T187" s="3"/>
      <c r="U187" s="3"/>
      <c r="V187" s="3"/>
      <c r="W187" s="35"/>
      <c r="X187" s="32"/>
      <c r="Y187" s="3"/>
      <c r="Z187" s="3"/>
    </row>
    <row r="188" spans="1:26" ht="15.75" hidden="1" customHeight="1" outlineLevel="1" x14ac:dyDescent="0.3">
      <c r="A188" s="3"/>
      <c r="B188" s="9" t="s">
        <v>552</v>
      </c>
      <c r="C188" s="53"/>
      <c r="D188" s="53"/>
      <c r="E188" s="11">
        <v>0</v>
      </c>
      <c r="F188" s="11">
        <v>0</v>
      </c>
      <c r="G188" s="58"/>
      <c r="H188" s="54" t="s">
        <v>39</v>
      </c>
      <c r="I188" s="54"/>
      <c r="J188" s="3"/>
      <c r="K188" s="3"/>
      <c r="L188" s="3"/>
      <c r="M188" s="3"/>
      <c r="N188" s="3"/>
      <c r="O188" s="3"/>
      <c r="P188" s="3"/>
      <c r="Q188" s="3"/>
      <c r="R188" s="3"/>
      <c r="S188" s="3"/>
      <c r="T188" s="3"/>
      <c r="U188" s="3"/>
      <c r="V188" s="3"/>
      <c r="W188" s="35"/>
      <c r="X188" s="32"/>
      <c r="Y188" s="3"/>
      <c r="Z188" s="3"/>
    </row>
    <row r="189" spans="1:26" ht="15.75" hidden="1" customHeight="1" outlineLevel="1" x14ac:dyDescent="0.3">
      <c r="A189" s="3"/>
      <c r="B189" s="9" t="s">
        <v>917</v>
      </c>
      <c r="C189" s="53"/>
      <c r="D189" s="53"/>
      <c r="E189" s="11">
        <v>0</v>
      </c>
      <c r="F189" s="11">
        <v>0</v>
      </c>
      <c r="G189" s="58"/>
      <c r="H189" s="54"/>
      <c r="I189" s="54"/>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917</v>
      </c>
      <c r="C190" s="53"/>
      <c r="D190" s="53"/>
      <c r="E190" s="11">
        <v>0</v>
      </c>
      <c r="F190" s="11">
        <v>0</v>
      </c>
      <c r="G190" s="58"/>
      <c r="H190" s="54"/>
      <c r="I190" s="54"/>
      <c r="J190" s="3"/>
      <c r="K190" s="3"/>
      <c r="L190" s="3"/>
      <c r="M190" s="3"/>
      <c r="N190" s="3"/>
      <c r="O190" s="3"/>
      <c r="P190" s="3"/>
      <c r="Q190" s="3"/>
      <c r="R190" s="3"/>
      <c r="S190" s="3"/>
      <c r="T190" s="3"/>
      <c r="U190" s="3"/>
      <c r="V190" s="3"/>
      <c r="W190" s="35"/>
      <c r="X190" s="32"/>
      <c r="Y190" s="3"/>
      <c r="Z190" s="3"/>
    </row>
    <row r="191" spans="1:26" ht="15.75" customHeight="1" collapsed="1" x14ac:dyDescent="0.3">
      <c r="A191" s="3"/>
      <c r="B191" s="3"/>
      <c r="C191" s="28"/>
      <c r="D191" s="28"/>
      <c r="E191" s="28"/>
      <c r="F191" s="28"/>
      <c r="G191" s="112"/>
      <c r="H191" s="28"/>
      <c r="I191" s="28"/>
      <c r="J191" s="28"/>
      <c r="K191" s="28"/>
      <c r="L191" s="28"/>
      <c r="M191" s="28"/>
      <c r="N191" s="28"/>
      <c r="O191" s="28"/>
      <c r="P191" s="28"/>
      <c r="Q191" s="28"/>
      <c r="R191" s="28"/>
      <c r="S191" s="28"/>
      <c r="T191" s="28"/>
      <c r="U191" s="28"/>
      <c r="V191" s="28"/>
      <c r="W191" s="35"/>
      <c r="X191" s="32"/>
    </row>
    <row r="192" spans="1:26" ht="15.75" customHeight="1" x14ac:dyDescent="0.3">
      <c r="A192" s="3"/>
      <c r="B192" s="3"/>
      <c r="C192" s="28"/>
      <c r="D192" s="28"/>
      <c r="E192" s="28"/>
      <c r="F192" s="101"/>
      <c r="G192" s="112"/>
      <c r="H192" s="28"/>
      <c r="I192" s="28"/>
      <c r="J192" s="28"/>
      <c r="K192" s="28"/>
      <c r="L192" s="28"/>
      <c r="M192" s="28"/>
      <c r="N192" s="28"/>
      <c r="O192" s="28"/>
      <c r="P192" s="28"/>
      <c r="Q192" s="28"/>
      <c r="R192" s="28"/>
      <c r="S192" s="28"/>
      <c r="T192" s="28"/>
      <c r="U192" s="28"/>
      <c r="V192" s="28"/>
      <c r="W192" s="35"/>
      <c r="X192" s="32"/>
    </row>
    <row r="193" spans="1:24" ht="15.75" customHeight="1" x14ac:dyDescent="0.3">
      <c r="A193" s="3"/>
      <c r="B193" s="3"/>
      <c r="C193" s="28"/>
      <c r="D193" s="28"/>
      <c r="E193" s="28"/>
      <c r="F193" s="28"/>
      <c r="G193" s="112"/>
      <c r="H193" s="28"/>
      <c r="I193" s="28"/>
      <c r="J193" s="28"/>
      <c r="K193" s="28"/>
      <c r="L193" s="28"/>
      <c r="M193" s="28"/>
      <c r="N193" s="28"/>
      <c r="O193" s="28"/>
      <c r="P193" s="28"/>
      <c r="Q193" s="28"/>
      <c r="R193" s="28"/>
      <c r="S193" s="28"/>
      <c r="T193" s="28"/>
      <c r="U193" s="28"/>
      <c r="V193" s="28"/>
      <c r="W193" s="35"/>
      <c r="X193" s="32"/>
    </row>
    <row r="194" spans="1:24" ht="15.75" customHeight="1" x14ac:dyDescent="0.3">
      <c r="A194" s="3"/>
      <c r="B194" s="3"/>
      <c r="C194" s="28"/>
      <c r="D194" s="28"/>
      <c r="E194" s="28"/>
      <c r="F194" s="28"/>
      <c r="G194" s="112"/>
      <c r="H194" s="28"/>
      <c r="I194" s="28"/>
      <c r="J194" s="28"/>
      <c r="K194" s="28"/>
      <c r="L194" s="28"/>
      <c r="M194" s="28"/>
      <c r="N194" s="28"/>
      <c r="O194" s="28"/>
      <c r="P194" s="28"/>
      <c r="Q194" s="28"/>
      <c r="R194" s="28"/>
      <c r="S194" s="28"/>
      <c r="T194" s="28"/>
      <c r="U194" s="28"/>
      <c r="V194" s="28"/>
      <c r="W194" s="35"/>
      <c r="X194" s="32"/>
    </row>
    <row r="195" spans="1:24" ht="15.75" customHeight="1" x14ac:dyDescent="0.3">
      <c r="A195" s="3"/>
      <c r="B195" s="3"/>
      <c r="C195" s="28"/>
      <c r="D195" s="28"/>
      <c r="E195" s="28"/>
      <c r="F195" s="28"/>
      <c r="G195" s="112"/>
      <c r="H195" s="28"/>
      <c r="I195" s="28"/>
      <c r="J195" s="28"/>
      <c r="K195" s="28"/>
      <c r="L195" s="28"/>
      <c r="M195" s="28"/>
      <c r="N195" s="28"/>
      <c r="O195" s="28"/>
      <c r="P195" s="28"/>
      <c r="Q195" s="28"/>
      <c r="R195" s="28"/>
      <c r="S195" s="28"/>
      <c r="T195" s="28"/>
      <c r="U195" s="28"/>
      <c r="V195" s="28"/>
      <c r="W195" s="35"/>
      <c r="X195" s="32"/>
    </row>
    <row r="196" spans="1:24" ht="15.75" customHeight="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4" ht="15.75" customHeight="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4"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4"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4"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4"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4"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4"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4"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4"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4"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4"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4"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row r="392" spans="1:24" ht="15.75" customHeight="1" x14ac:dyDescent="0.3"/>
    <row r="393" spans="1:24" ht="15.75" customHeight="1" x14ac:dyDescent="0.3"/>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autoFilter ref="C5:F190" xr:uid="{00000000-0009-0000-0000-00000F000000}"/>
  <mergeCells count="30">
    <mergeCell ref="G48:G49"/>
    <mergeCell ref="G89:G90"/>
    <mergeCell ref="G92:G93"/>
    <mergeCell ref="G50:G51"/>
    <mergeCell ref="G53:G54"/>
    <mergeCell ref="G56:G57"/>
    <mergeCell ref="G60:G61"/>
    <mergeCell ref="G66:G67"/>
    <mergeCell ref="G71:G72"/>
    <mergeCell ref="G85:G86"/>
    <mergeCell ref="G35:G36"/>
    <mergeCell ref="G37:G40"/>
    <mergeCell ref="G42:G43"/>
    <mergeCell ref="G44:G45"/>
    <mergeCell ref="G46:G47"/>
    <mergeCell ref="G21:G22"/>
    <mergeCell ref="G25:G26"/>
    <mergeCell ref="G27:G28"/>
    <mergeCell ref="G29:G30"/>
    <mergeCell ref="G31:G32"/>
    <mergeCell ref="G11:G12"/>
    <mergeCell ref="G13:G14"/>
    <mergeCell ref="G15:G16"/>
    <mergeCell ref="G17:G18"/>
    <mergeCell ref="G19:G20"/>
    <mergeCell ref="B2:B3"/>
    <mergeCell ref="B4:B5"/>
    <mergeCell ref="H4:H5"/>
    <mergeCell ref="I4:I5"/>
    <mergeCell ref="G7:G10"/>
  </mergeCells>
  <conditionalFormatting sqref="W6:W123">
    <cfRule type="cellIs" dxfId="23" priority="1" operator="equal">
      <formula>"Diferente"</formula>
    </cfRule>
    <cfRule type="cellIs" dxfId="22" priority="2" operator="equal">
      <formula>"OK"</formula>
    </cfRule>
  </conditionalFormatting>
  <dataValidations count="1">
    <dataValidation type="list" allowBlank="1" showErrorMessage="1" sqref="D7:D123 D126:D127 D129:D131 D133:D136 D138:D143 D145:D148 D151:D154 D156:D159 D161:D163 D165:D178 D180:D182 D184:D190" xr:uid="{00000000-0002-0000-0F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F00-000000000000}">
          <x14:formula1>
            <xm:f>'Plano de contas DG'!$C$5:$C$38</xm:f>
          </x14:formula1>
          <xm:sqref>I6:I190</xm:sqref>
        </x14:dataValidation>
        <x14:dataValidation type="list" allowBlank="1" showErrorMessage="1" xr:uid="{00000000-0002-0000-0F00-000001000000}">
          <x14:formula1>
            <xm:f>Caixa!$B$5:$B$8</xm:f>
          </x14:formula1>
          <xm:sqref>H7:H123 H126:H127 H129:H131 H133:H136 H138:H143 H145:H148 H151:H154 H156:H159 H161:H163 H165:H178 H180:H182 H184:H190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sheetPr>
  <dimension ref="A1:Z101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hidden="1"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SUBTOTAL(9,E16,E63,E38,E158,E183,E189,E87,E6,E34,E268,E319,E218,E228,E238,E248,E258,E113)</f>
        <v>0</v>
      </c>
      <c r="F4" s="18">
        <f>SUBTOTAL(9,F16,F63,F38,F148,F158,F183,F189,F87,F6,F34,F268,F319,F218,F228,F238,F248,F258,F113)</f>
        <v>19129.049999999996</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1266.6399999999999</v>
      </c>
      <c r="G6" s="78"/>
      <c r="H6" s="78"/>
      <c r="I6" s="79"/>
      <c r="J6" s="78"/>
      <c r="K6" s="28"/>
      <c r="L6" s="28"/>
      <c r="M6" s="28"/>
      <c r="N6" s="28"/>
      <c r="O6" s="28"/>
      <c r="P6" s="28"/>
      <c r="Q6" s="28"/>
      <c r="R6" s="28"/>
      <c r="S6" s="28"/>
      <c r="T6" s="28"/>
      <c r="U6" s="3"/>
      <c r="W6" s="3"/>
      <c r="X6" s="3"/>
      <c r="Y6" s="3"/>
      <c r="Z6" s="3"/>
    </row>
    <row r="7" spans="1:26" ht="14.4" hidden="1" outlineLevel="1" x14ac:dyDescent="0.3">
      <c r="A7" s="3"/>
      <c r="B7" s="9" t="s">
        <v>274</v>
      </c>
      <c r="C7" s="53">
        <v>1</v>
      </c>
      <c r="D7" s="53" t="s">
        <v>95</v>
      </c>
      <c r="E7" s="11">
        <v>0</v>
      </c>
      <c r="F7" s="11">
        <v>562.30999999999995</v>
      </c>
      <c r="G7" s="80"/>
      <c r="H7" s="56" t="s">
        <v>37</v>
      </c>
      <c r="I7" s="102" t="s">
        <v>1172</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80"/>
      <c r="H8" s="56"/>
      <c r="I8" s="102"/>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80"/>
      <c r="H9" s="56"/>
      <c r="I9" s="102"/>
      <c r="J9" s="56"/>
      <c r="K9" s="28"/>
      <c r="L9" s="28"/>
      <c r="M9" s="28"/>
      <c r="N9" s="28"/>
      <c r="O9" s="28"/>
      <c r="P9" s="28"/>
      <c r="Q9" s="28"/>
      <c r="R9" s="28"/>
      <c r="S9" s="28"/>
      <c r="T9" s="28"/>
      <c r="U9" s="3"/>
      <c r="W9" s="3"/>
      <c r="X9" s="3"/>
      <c r="Y9" s="3"/>
      <c r="Z9" s="3"/>
    </row>
    <row r="10" spans="1:26" ht="14.4" hidden="1" outlineLevel="1" x14ac:dyDescent="0.3">
      <c r="A10" s="3"/>
      <c r="B10" s="9" t="s">
        <v>282</v>
      </c>
      <c r="C10" s="53">
        <v>7</v>
      </c>
      <c r="D10" s="53" t="s">
        <v>95</v>
      </c>
      <c r="E10" s="11">
        <v>0</v>
      </c>
      <c r="F10" s="11">
        <v>306.18</v>
      </c>
      <c r="G10" s="80" t="s">
        <v>1173</v>
      </c>
      <c r="H10" s="56" t="s">
        <v>37</v>
      </c>
      <c r="I10" s="102" t="s">
        <v>1174</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53">
        <v>7</v>
      </c>
      <c r="D11" s="53" t="s">
        <v>95</v>
      </c>
      <c r="E11" s="11">
        <v>0</v>
      </c>
      <c r="F11" s="11">
        <v>69.39</v>
      </c>
      <c r="G11" s="80" t="s">
        <v>738</v>
      </c>
      <c r="H11" s="56" t="s">
        <v>37</v>
      </c>
      <c r="I11" s="102" t="s">
        <v>1175</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53">
        <v>7</v>
      </c>
      <c r="D12" s="53" t="s">
        <v>95</v>
      </c>
      <c r="E12" s="11">
        <v>0</v>
      </c>
      <c r="F12" s="11">
        <v>48.78</v>
      </c>
      <c r="G12" s="80" t="s">
        <v>920</v>
      </c>
      <c r="H12" s="56" t="s">
        <v>37</v>
      </c>
      <c r="I12" s="102" t="s">
        <v>1176</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v>17</v>
      </c>
      <c r="D14" s="53" t="s">
        <v>95</v>
      </c>
      <c r="E14" s="11">
        <v>0</v>
      </c>
      <c r="F14" s="11">
        <v>129.97999999999999</v>
      </c>
      <c r="G14" s="80" t="s">
        <v>1177</v>
      </c>
      <c r="H14" s="56" t="s">
        <v>37</v>
      </c>
      <c r="I14" s="102" t="s">
        <v>1178</v>
      </c>
      <c r="J14" s="80"/>
      <c r="K14" s="28"/>
      <c r="L14" s="28"/>
      <c r="M14" s="28"/>
      <c r="N14" s="28"/>
      <c r="O14" s="28"/>
      <c r="P14" s="28"/>
      <c r="Q14" s="28"/>
      <c r="R14" s="28"/>
      <c r="S14" s="28"/>
      <c r="T14" s="28"/>
      <c r="U14" s="3"/>
      <c r="W14" s="3"/>
      <c r="X14" s="3"/>
      <c r="Y14" s="3"/>
      <c r="Z14" s="3"/>
    </row>
    <row r="15" spans="1:26" ht="14.4" hidden="1" outlineLevel="1" x14ac:dyDescent="0.3">
      <c r="A15" s="3"/>
      <c r="B15" s="9" t="s">
        <v>66</v>
      </c>
      <c r="C15" s="53">
        <v>28</v>
      </c>
      <c r="D15" s="53" t="s">
        <v>95</v>
      </c>
      <c r="E15" s="11">
        <v>0</v>
      </c>
      <c r="F15" s="11">
        <v>150</v>
      </c>
      <c r="G15" s="80" t="s">
        <v>1179</v>
      </c>
      <c r="H15" s="56" t="s">
        <v>37</v>
      </c>
      <c r="I15" s="102" t="s">
        <v>1180</v>
      </c>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6708.57</v>
      </c>
      <c r="G16" s="78"/>
      <c r="H16" s="78"/>
      <c r="I16" s="79"/>
      <c r="J16" s="78"/>
      <c r="K16" s="28"/>
      <c r="L16" s="28"/>
      <c r="M16" s="28"/>
      <c r="N16" s="28"/>
      <c r="O16" s="28"/>
      <c r="P16" s="28"/>
      <c r="Q16" s="28"/>
      <c r="R16" s="28"/>
      <c r="S16" s="28"/>
      <c r="T16" s="28"/>
      <c r="U16" s="3"/>
    </row>
    <row r="17" spans="1:22" ht="14.4" hidden="1" outlineLevel="1" x14ac:dyDescent="0.3">
      <c r="A17" s="3"/>
      <c r="B17" s="9" t="s">
        <v>562</v>
      </c>
      <c r="C17" s="53">
        <v>26</v>
      </c>
      <c r="D17" s="53" t="s">
        <v>95</v>
      </c>
      <c r="E17" s="11">
        <v>0</v>
      </c>
      <c r="F17" s="11">
        <v>1438</v>
      </c>
      <c r="G17" s="242" t="s">
        <v>1181</v>
      </c>
      <c r="H17" s="56" t="s">
        <v>37</v>
      </c>
      <c r="I17" s="239" t="s">
        <v>1182</v>
      </c>
      <c r="J17" s="56"/>
      <c r="K17" s="28"/>
      <c r="L17" s="28"/>
      <c r="M17" s="28"/>
      <c r="N17" s="28"/>
      <c r="O17" s="28"/>
      <c r="P17" s="28"/>
      <c r="Q17" s="28"/>
      <c r="R17" s="28"/>
      <c r="S17" s="28"/>
      <c r="T17" s="28"/>
      <c r="U17" s="3"/>
    </row>
    <row r="18" spans="1:22" ht="14.4" hidden="1" outlineLevel="1" x14ac:dyDescent="0.3">
      <c r="A18" s="3"/>
      <c r="B18" s="9" t="s">
        <v>564</v>
      </c>
      <c r="C18" s="53">
        <v>26</v>
      </c>
      <c r="D18" s="53" t="s">
        <v>95</v>
      </c>
      <c r="E18" s="11">
        <v>0</v>
      </c>
      <c r="F18" s="11">
        <v>819</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26</v>
      </c>
      <c r="D19" s="53" t="s">
        <v>95</v>
      </c>
      <c r="E19" s="11">
        <v>0</v>
      </c>
      <c r="F19" s="11">
        <v>100</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26</v>
      </c>
      <c r="D20" s="53" t="s">
        <v>95</v>
      </c>
      <c r="E20" s="11">
        <v>0</v>
      </c>
      <c r="F20" s="11">
        <v>100</v>
      </c>
      <c r="G20" s="213"/>
      <c r="H20" s="56" t="s">
        <v>37</v>
      </c>
      <c r="I20" s="213"/>
      <c r="J20" s="56"/>
      <c r="K20" s="28"/>
      <c r="L20" s="28"/>
      <c r="M20" s="28"/>
      <c r="N20" s="28"/>
      <c r="O20" s="28"/>
      <c r="P20" s="28"/>
      <c r="Q20" s="28"/>
      <c r="R20" s="28"/>
      <c r="S20" s="28"/>
      <c r="T20" s="28"/>
      <c r="U20" s="3"/>
    </row>
    <row r="21" spans="1:22" ht="14.4" hidden="1" outlineLevel="1" x14ac:dyDescent="0.3">
      <c r="A21" s="3"/>
      <c r="B21" s="9" t="s">
        <v>567</v>
      </c>
      <c r="C21" s="53">
        <v>26</v>
      </c>
      <c r="D21" s="53" t="s">
        <v>95</v>
      </c>
      <c r="E21" s="11">
        <v>0</v>
      </c>
      <c r="F21" s="11">
        <v>400</v>
      </c>
      <c r="G21" s="214"/>
      <c r="H21" s="56" t="s">
        <v>37</v>
      </c>
      <c r="I21" s="214"/>
      <c r="J21" s="56"/>
      <c r="K21" s="28"/>
      <c r="L21" s="28"/>
      <c r="M21" s="28"/>
      <c r="N21" s="28"/>
      <c r="O21" s="28"/>
      <c r="P21" s="28"/>
      <c r="Q21" s="28"/>
      <c r="R21" s="28"/>
      <c r="S21" s="28"/>
      <c r="T21" s="28"/>
      <c r="U21" s="3"/>
    </row>
    <row r="22" spans="1:22" ht="14.4" hidden="1" outlineLevel="1" x14ac:dyDescent="0.3">
      <c r="A22" s="3"/>
      <c r="B22" s="9" t="s">
        <v>568</v>
      </c>
      <c r="C22" s="53">
        <v>16</v>
      </c>
      <c r="D22" s="53" t="s">
        <v>95</v>
      </c>
      <c r="E22" s="11">
        <v>0</v>
      </c>
      <c r="F22" s="11">
        <v>160</v>
      </c>
      <c r="G22" s="242" t="s">
        <v>1183</v>
      </c>
      <c r="H22" s="56" t="s">
        <v>37</v>
      </c>
      <c r="I22" s="239" t="s">
        <v>1184</v>
      </c>
      <c r="J22" s="56"/>
      <c r="K22" s="28"/>
      <c r="L22" s="28"/>
      <c r="M22" s="28"/>
      <c r="N22" s="28"/>
      <c r="O22" s="28"/>
      <c r="P22" s="28"/>
      <c r="Q22" s="28"/>
      <c r="R22" s="28"/>
      <c r="S22" s="28"/>
      <c r="T22" s="28"/>
      <c r="U22" s="3"/>
      <c r="V22" s="14"/>
    </row>
    <row r="23" spans="1:22" ht="14.4" hidden="1" outlineLevel="1" x14ac:dyDescent="0.3">
      <c r="A23" s="3"/>
      <c r="B23" s="9" t="s">
        <v>571</v>
      </c>
      <c r="C23" s="53">
        <v>16</v>
      </c>
      <c r="D23" s="53" t="s">
        <v>95</v>
      </c>
      <c r="E23" s="11">
        <v>0</v>
      </c>
      <c r="F23" s="11">
        <v>480</v>
      </c>
      <c r="G23" s="213"/>
      <c r="H23" s="56" t="s">
        <v>37</v>
      </c>
      <c r="I23" s="213"/>
      <c r="J23" s="56"/>
      <c r="K23" s="28"/>
      <c r="L23" s="28"/>
      <c r="M23" s="28"/>
      <c r="N23" s="28"/>
      <c r="O23" s="28"/>
      <c r="P23" s="28"/>
      <c r="Q23" s="28"/>
      <c r="R23" s="28"/>
      <c r="S23" s="28"/>
      <c r="T23" s="28"/>
      <c r="U23" s="3"/>
      <c r="V23" s="14"/>
    </row>
    <row r="24" spans="1:22" ht="14.4" hidden="1" outlineLevel="1" x14ac:dyDescent="0.3">
      <c r="A24" s="3"/>
      <c r="B24" s="9" t="s">
        <v>572</v>
      </c>
      <c r="C24" s="53">
        <v>16</v>
      </c>
      <c r="D24" s="53" t="s">
        <v>95</v>
      </c>
      <c r="E24" s="11">
        <v>0</v>
      </c>
      <c r="F24" s="11">
        <v>530</v>
      </c>
      <c r="G24" s="213"/>
      <c r="H24" s="56" t="s">
        <v>37</v>
      </c>
      <c r="I24" s="213"/>
      <c r="J24" s="56"/>
      <c r="K24" s="28"/>
      <c r="L24" s="28"/>
      <c r="M24" s="28"/>
      <c r="N24" s="28"/>
      <c r="O24" s="28"/>
      <c r="P24" s="28"/>
      <c r="Q24" s="28"/>
      <c r="R24" s="28"/>
      <c r="S24" s="28"/>
      <c r="T24" s="28"/>
      <c r="U24" s="3"/>
      <c r="V24" s="14"/>
    </row>
    <row r="25" spans="1:22" ht="14.4" hidden="1" outlineLevel="1" x14ac:dyDescent="0.3">
      <c r="A25" s="3"/>
      <c r="B25" s="9" t="s">
        <v>573</v>
      </c>
      <c r="C25" s="53">
        <v>16</v>
      </c>
      <c r="D25" s="53" t="s">
        <v>95</v>
      </c>
      <c r="E25" s="11">
        <v>0</v>
      </c>
      <c r="F25" s="11">
        <v>30</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1185</v>
      </c>
      <c r="C28" s="53">
        <v>16</v>
      </c>
      <c r="D28" s="53" t="s">
        <v>95</v>
      </c>
      <c r="E28" s="11">
        <v>0</v>
      </c>
      <c r="F28" s="11">
        <v>100</v>
      </c>
      <c r="G28" s="214"/>
      <c r="H28" s="56" t="s">
        <v>37</v>
      </c>
      <c r="I28" s="214"/>
      <c r="J28" s="56"/>
      <c r="K28" s="28"/>
      <c r="L28" s="28"/>
      <c r="M28" s="28"/>
      <c r="N28" s="28"/>
      <c r="O28" s="28"/>
      <c r="P28" s="28"/>
      <c r="Q28" s="28"/>
      <c r="R28" s="28"/>
      <c r="S28" s="28"/>
      <c r="T28" s="28"/>
      <c r="U28" s="3"/>
      <c r="V28" s="14"/>
    </row>
    <row r="29" spans="1:22" ht="14.4" hidden="1" outlineLevel="1" x14ac:dyDescent="0.3">
      <c r="A29" s="3"/>
      <c r="B29" s="9" t="s">
        <v>293</v>
      </c>
      <c r="C29" s="53">
        <v>16</v>
      </c>
      <c r="D29" s="53" t="s">
        <v>95</v>
      </c>
      <c r="E29" s="11">
        <v>0</v>
      </c>
      <c r="F29" s="11">
        <v>108</v>
      </c>
      <c r="G29" s="56"/>
      <c r="H29" s="56" t="s">
        <v>37</v>
      </c>
      <c r="I29" s="102" t="s">
        <v>1186</v>
      </c>
      <c r="J29" s="56"/>
      <c r="K29" s="28"/>
      <c r="L29" s="28"/>
      <c r="M29" s="28"/>
      <c r="N29" s="28"/>
      <c r="O29" s="28"/>
      <c r="P29" s="28"/>
      <c r="Q29" s="28"/>
      <c r="R29" s="28"/>
      <c r="S29" s="28"/>
      <c r="T29" s="28"/>
      <c r="U29" s="3"/>
      <c r="V29" s="14"/>
    </row>
    <row r="30" spans="1:22" ht="14.4" hidden="1" outlineLevel="1" x14ac:dyDescent="0.3">
      <c r="A30" s="3"/>
      <c r="B30" s="9" t="s">
        <v>295</v>
      </c>
      <c r="C30" s="53">
        <v>30</v>
      </c>
      <c r="D30" s="53" t="s">
        <v>95</v>
      </c>
      <c r="E30" s="11">
        <v>0</v>
      </c>
      <c r="F30" s="11">
        <v>2289.3200000000002</v>
      </c>
      <c r="G30" s="80"/>
      <c r="H30" s="56" t="s">
        <v>37</v>
      </c>
      <c r="I30" s="102" t="s">
        <v>1187</v>
      </c>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02"/>
      <c r="J31" s="56"/>
      <c r="K31" s="28"/>
      <c r="L31" s="28"/>
      <c r="M31" s="28"/>
      <c r="N31" s="28"/>
      <c r="O31" s="28"/>
      <c r="P31" s="28"/>
      <c r="Q31" s="28"/>
      <c r="R31" s="28"/>
      <c r="S31" s="28"/>
      <c r="T31" s="28"/>
      <c r="U31" s="3"/>
    </row>
    <row r="32" spans="1:22" ht="14.4" hidden="1" outlineLevel="1" x14ac:dyDescent="0.3">
      <c r="A32" s="3"/>
      <c r="B32" s="9" t="s">
        <v>750</v>
      </c>
      <c r="C32" s="53">
        <v>16</v>
      </c>
      <c r="D32" s="53" t="s">
        <v>95</v>
      </c>
      <c r="E32" s="11">
        <v>0</v>
      </c>
      <c r="F32" s="11">
        <v>154.25</v>
      </c>
      <c r="G32" s="80" t="s">
        <v>1188</v>
      </c>
      <c r="H32" s="56" t="s">
        <v>37</v>
      </c>
      <c r="I32" s="102" t="s">
        <v>1189</v>
      </c>
      <c r="J32" s="56"/>
      <c r="K32" s="28"/>
      <c r="L32" s="28"/>
      <c r="M32" s="28"/>
      <c r="N32" s="28"/>
      <c r="O32" s="28"/>
      <c r="P32" s="28"/>
      <c r="Q32" s="28"/>
      <c r="R32" s="28"/>
      <c r="S32" s="28"/>
      <c r="T32" s="28"/>
      <c r="U32" s="3"/>
    </row>
    <row r="33" spans="1:26" ht="14.4" hidden="1"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20.399999999999999" collapsed="1" x14ac:dyDescent="0.3">
      <c r="A34" s="3"/>
      <c r="B34" s="75" t="s">
        <v>301</v>
      </c>
      <c r="C34" s="76" t="s">
        <v>44</v>
      </c>
      <c r="D34" s="76" t="s">
        <v>44</v>
      </c>
      <c r="E34" s="77">
        <f>SUM(E35:E37)</f>
        <v>0</v>
      </c>
      <c r="F34" s="77">
        <f>SUMIF(D35:D37,"OK",F35:F37)</f>
        <v>0.99</v>
      </c>
      <c r="G34" s="78"/>
      <c r="H34" s="78"/>
      <c r="I34" s="79"/>
      <c r="J34" s="78"/>
      <c r="K34" s="28"/>
      <c r="L34" s="28"/>
      <c r="M34" s="28"/>
      <c r="N34" s="28"/>
      <c r="O34" s="28"/>
      <c r="P34" s="28"/>
      <c r="Q34" s="28"/>
      <c r="R34" s="28"/>
      <c r="S34" s="28"/>
      <c r="T34" s="28"/>
      <c r="U34" s="3"/>
      <c r="W34" s="3"/>
      <c r="X34" s="3"/>
      <c r="Y34" s="3"/>
      <c r="Z34" s="3"/>
    </row>
    <row r="35" spans="1:26" ht="14.4" hidden="1" outlineLevel="1" x14ac:dyDescent="0.3">
      <c r="A35" s="3"/>
      <c r="B35" s="9" t="s">
        <v>584</v>
      </c>
      <c r="C35" s="53" t="s">
        <v>642</v>
      </c>
      <c r="D35" s="53" t="s">
        <v>95</v>
      </c>
      <c r="E35" s="11">
        <v>0</v>
      </c>
      <c r="F35" s="11">
        <f>0.14+0.85</f>
        <v>0.99</v>
      </c>
      <c r="G35" s="56"/>
      <c r="H35" s="56" t="s">
        <v>38</v>
      </c>
      <c r="I35" s="102" t="s">
        <v>1190</v>
      </c>
      <c r="J35" s="56"/>
      <c r="K35" s="28"/>
      <c r="L35" s="28"/>
      <c r="M35" s="28"/>
      <c r="N35" s="28"/>
      <c r="O35" s="28"/>
      <c r="P35" s="28"/>
      <c r="Q35" s="28"/>
      <c r="R35" s="28"/>
      <c r="S35" s="28"/>
      <c r="T35" s="28"/>
      <c r="U35" s="3"/>
      <c r="W35" s="3"/>
      <c r="X35" s="3"/>
      <c r="Y35" s="3"/>
      <c r="Z35" s="3"/>
    </row>
    <row r="36" spans="1:26" ht="14.4" hidden="1" outlineLevel="1" x14ac:dyDescent="0.3">
      <c r="A36" s="3"/>
      <c r="B36" s="9" t="s">
        <v>754</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4.4" hidden="1" outlineLevel="1" x14ac:dyDescent="0.3">
      <c r="A37" s="3"/>
      <c r="B37" s="9" t="s">
        <v>306</v>
      </c>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collapsed="1" x14ac:dyDescent="0.3">
      <c r="A38" s="3"/>
      <c r="B38" s="75" t="s">
        <v>307</v>
      </c>
      <c r="C38" s="76" t="s">
        <v>44</v>
      </c>
      <c r="D38" s="76" t="s">
        <v>44</v>
      </c>
      <c r="E38" s="77">
        <f>SUM(E39:E62)</f>
        <v>0</v>
      </c>
      <c r="F38" s="77">
        <f>SUMIF(D39:D62,"OK",F39:F62)</f>
        <v>1660.1499999999999</v>
      </c>
      <c r="G38" s="78"/>
      <c r="H38" s="78"/>
      <c r="I38" s="79"/>
      <c r="J38" s="78"/>
      <c r="K38" s="28"/>
      <c r="L38" s="28"/>
      <c r="M38" s="28"/>
      <c r="N38" s="28"/>
      <c r="O38" s="28"/>
      <c r="P38" s="28"/>
      <c r="Q38" s="28"/>
      <c r="R38" s="28"/>
      <c r="S38" s="28"/>
      <c r="T38" s="28"/>
      <c r="U38" s="3"/>
      <c r="W38" s="3"/>
      <c r="X38" s="3"/>
      <c r="Y38" s="3"/>
      <c r="Z38" s="3"/>
    </row>
    <row r="39" spans="1:26" ht="14.4" hidden="1" outlineLevel="1" x14ac:dyDescent="0.3">
      <c r="A39" s="3"/>
      <c r="B39" s="9" t="s">
        <v>308</v>
      </c>
      <c r="C39" s="53"/>
      <c r="D39" s="53"/>
      <c r="E39" s="11">
        <v>0</v>
      </c>
      <c r="F39" s="11">
        <v>0</v>
      </c>
      <c r="G39" s="56"/>
      <c r="H39" s="56"/>
      <c r="I39" s="102"/>
      <c r="J39" s="56"/>
      <c r="K39" s="28"/>
      <c r="L39" s="28"/>
      <c r="M39" s="28"/>
      <c r="N39" s="28"/>
      <c r="O39" s="28"/>
      <c r="P39" s="28"/>
      <c r="Q39" s="28"/>
      <c r="R39" s="28"/>
      <c r="S39" s="28"/>
      <c r="T39" s="28"/>
      <c r="U39" s="3"/>
      <c r="W39" s="3"/>
      <c r="X39" s="3"/>
      <c r="Y39" s="3"/>
      <c r="Z39" s="3"/>
    </row>
    <row r="40" spans="1:26" ht="14.4" hidden="1" outlineLevel="1" x14ac:dyDescent="0.3">
      <c r="A40" s="3"/>
      <c r="B40" s="9" t="s">
        <v>590</v>
      </c>
      <c r="C40" s="53">
        <v>18</v>
      </c>
      <c r="D40" s="53" t="s">
        <v>95</v>
      </c>
      <c r="E40" s="11">
        <v>0</v>
      </c>
      <c r="F40" s="11">
        <v>650</v>
      </c>
      <c r="G40" s="56"/>
      <c r="H40" s="56" t="s">
        <v>37</v>
      </c>
      <c r="I40" s="102" t="s">
        <v>1191</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hidden="1" outlineLevel="1" x14ac:dyDescent="0.3">
      <c r="A43" s="3"/>
      <c r="B43" s="9" t="s">
        <v>315</v>
      </c>
      <c r="C43" s="53">
        <v>15</v>
      </c>
      <c r="D43" s="53" t="s">
        <v>95</v>
      </c>
      <c r="E43" s="11">
        <v>0</v>
      </c>
      <c r="F43" s="11">
        <v>84.9</v>
      </c>
      <c r="G43" s="56"/>
      <c r="H43" s="56" t="s">
        <v>37</v>
      </c>
      <c r="I43" s="102" t="s">
        <v>1192</v>
      </c>
      <c r="J43" s="56"/>
      <c r="K43" s="28"/>
      <c r="L43" s="28"/>
      <c r="M43" s="28"/>
      <c r="N43" s="28"/>
      <c r="O43" s="28"/>
      <c r="P43" s="28"/>
      <c r="Q43" s="28"/>
      <c r="R43" s="28"/>
      <c r="S43" s="28"/>
      <c r="T43" s="28"/>
      <c r="U43" s="3"/>
      <c r="W43" s="3"/>
      <c r="X43" s="3"/>
      <c r="Y43" s="3"/>
      <c r="Z43" s="3"/>
    </row>
    <row r="44" spans="1:26" ht="14.4" hidden="1" outlineLevel="1" x14ac:dyDescent="0.3">
      <c r="A44" s="3"/>
      <c r="B44" s="9" t="s">
        <v>596</v>
      </c>
      <c r="C44" s="53">
        <v>26</v>
      </c>
      <c r="D44" s="53" t="s">
        <v>95</v>
      </c>
      <c r="E44" s="11">
        <v>0</v>
      </c>
      <c r="F44" s="11">
        <v>212.9</v>
      </c>
      <c r="G44" s="80" t="s">
        <v>1072</v>
      </c>
      <c r="H44" s="56" t="s">
        <v>37</v>
      </c>
      <c r="I44" s="102" t="s">
        <v>1193</v>
      </c>
      <c r="J44" s="56"/>
      <c r="K44" s="28"/>
      <c r="L44" s="28"/>
      <c r="M44" s="28"/>
      <c r="N44" s="28"/>
      <c r="O44" s="28"/>
      <c r="P44" s="28"/>
      <c r="Q44" s="28"/>
      <c r="R44" s="28"/>
      <c r="S44" s="28"/>
      <c r="T44" s="28"/>
      <c r="U44" s="3"/>
      <c r="W44" s="3"/>
      <c r="X44" s="3"/>
      <c r="Y44" s="3"/>
      <c r="Z44" s="3"/>
    </row>
    <row r="45" spans="1:26" ht="14.4" hidden="1" outlineLevel="1" x14ac:dyDescent="0.3">
      <c r="A45" s="3"/>
      <c r="B45" s="9" t="s">
        <v>1194</v>
      </c>
      <c r="C45" s="53">
        <v>8</v>
      </c>
      <c r="D45" s="53" t="s">
        <v>95</v>
      </c>
      <c r="E45" s="11">
        <v>0</v>
      </c>
      <c r="F45" s="11">
        <v>264.02</v>
      </c>
      <c r="G45" s="56" t="s">
        <v>1195</v>
      </c>
      <c r="H45" s="56" t="s">
        <v>37</v>
      </c>
      <c r="I45" s="102" t="s">
        <v>1196</v>
      </c>
      <c r="J45" s="56"/>
      <c r="K45" s="28"/>
      <c r="L45" s="28"/>
      <c r="M45" s="28"/>
      <c r="N45" s="28"/>
      <c r="O45" s="28"/>
      <c r="P45" s="28"/>
      <c r="Q45" s="28"/>
      <c r="R45" s="28"/>
      <c r="S45" s="28"/>
      <c r="T45" s="28"/>
      <c r="U45" s="3"/>
      <c r="W45" s="3"/>
      <c r="X45" s="3"/>
      <c r="Y45" s="3"/>
      <c r="Z45" s="3"/>
    </row>
    <row r="46" spans="1:26" ht="14.4" hidden="1" outlineLevel="1" x14ac:dyDescent="0.3">
      <c r="A46" s="3"/>
      <c r="B46" s="9" t="s">
        <v>1197</v>
      </c>
      <c r="C46" s="53">
        <v>4</v>
      </c>
      <c r="D46" s="53" t="s">
        <v>95</v>
      </c>
      <c r="E46" s="11">
        <v>0</v>
      </c>
      <c r="F46" s="11">
        <v>448.33</v>
      </c>
      <c r="G46" s="56" t="s">
        <v>1198</v>
      </c>
      <c r="H46" s="56" t="s">
        <v>37</v>
      </c>
      <c r="I46" s="102" t="s">
        <v>1199</v>
      </c>
      <c r="J46" s="56"/>
      <c r="K46" s="28"/>
      <c r="L46" s="28"/>
      <c r="M46" s="28"/>
      <c r="N46" s="28"/>
      <c r="O46" s="28"/>
      <c r="P46" s="28"/>
      <c r="Q46" s="28"/>
      <c r="R46" s="28"/>
      <c r="S46" s="28"/>
      <c r="T46" s="28"/>
      <c r="U46" s="3"/>
      <c r="W46" s="3"/>
      <c r="X46" s="3"/>
      <c r="Y46" s="3"/>
      <c r="Z46" s="3"/>
    </row>
    <row r="47" spans="1:26" ht="14.4" hidden="1" outlineLevel="1" x14ac:dyDescent="0.3">
      <c r="A47" s="3"/>
      <c r="B47" s="9" t="s">
        <v>51</v>
      </c>
      <c r="C47" s="53"/>
      <c r="D47" s="53"/>
      <c r="E47" s="11">
        <v>0</v>
      </c>
      <c r="F47" s="11">
        <v>0</v>
      </c>
      <c r="G47" s="56"/>
      <c r="H47" s="56"/>
      <c r="I47" s="102"/>
      <c r="J47" s="56"/>
      <c r="K47" s="28"/>
      <c r="L47" s="28"/>
      <c r="M47" s="28"/>
      <c r="N47" s="28"/>
      <c r="O47" s="28"/>
      <c r="P47" s="28"/>
      <c r="Q47" s="28"/>
      <c r="R47" s="28"/>
      <c r="S47" s="28"/>
      <c r="T47" s="28"/>
      <c r="U47" s="3"/>
      <c r="W47" s="3"/>
      <c r="X47" s="3"/>
      <c r="Y47" s="3"/>
      <c r="Z47" s="3"/>
    </row>
    <row r="48" spans="1:26" ht="14.4" hidden="1" outlineLevel="1" x14ac:dyDescent="0.3">
      <c r="A48" s="3"/>
      <c r="B48" s="9" t="s">
        <v>51</v>
      </c>
      <c r="C48" s="53"/>
      <c r="D48" s="53"/>
      <c r="E48" s="11">
        <v>0</v>
      </c>
      <c r="F48" s="11">
        <v>0</v>
      </c>
      <c r="G48" s="56"/>
      <c r="H48" s="56"/>
      <c r="I48" s="102"/>
      <c r="J48" s="56"/>
      <c r="K48" s="28"/>
      <c r="L48" s="28"/>
      <c r="M48" s="28"/>
      <c r="N48" s="28"/>
      <c r="O48" s="28"/>
      <c r="P48" s="28"/>
      <c r="Q48" s="28"/>
      <c r="R48" s="28"/>
      <c r="S48" s="28"/>
      <c r="T48" s="28"/>
      <c r="U48" s="3"/>
      <c r="W48" s="3"/>
      <c r="X48" s="3"/>
      <c r="Y48" s="3"/>
      <c r="Z48" s="3"/>
    </row>
    <row r="49" spans="1:26" ht="14.4" hidden="1" outlineLevel="1" x14ac:dyDescent="0.3">
      <c r="A49" s="3"/>
      <c r="B49" s="9" t="s">
        <v>51</v>
      </c>
      <c r="C49" s="53"/>
      <c r="D49" s="53"/>
      <c r="E49" s="11">
        <v>0</v>
      </c>
      <c r="F49" s="11">
        <v>0</v>
      </c>
      <c r="G49" s="56"/>
      <c r="H49" s="56"/>
      <c r="I49" s="102"/>
      <c r="J49" s="56"/>
      <c r="K49" s="28"/>
      <c r="L49" s="28"/>
      <c r="M49" s="28"/>
      <c r="N49" s="28"/>
      <c r="O49" s="28"/>
      <c r="P49" s="28"/>
      <c r="Q49" s="28"/>
      <c r="R49" s="28"/>
      <c r="S49" s="28"/>
      <c r="T49" s="28"/>
      <c r="U49" s="3"/>
      <c r="W49" s="3"/>
      <c r="X49" s="3"/>
      <c r="Y49" s="3"/>
      <c r="Z49" s="3"/>
    </row>
    <row r="50" spans="1:26" ht="14.4" hidden="1" outlineLevel="1" x14ac:dyDescent="0.3">
      <c r="A50" s="3"/>
      <c r="B50" s="9" t="s">
        <v>51</v>
      </c>
      <c r="C50" s="53"/>
      <c r="D50" s="53"/>
      <c r="E50" s="11">
        <v>0</v>
      </c>
      <c r="F50" s="11">
        <v>0</v>
      </c>
      <c r="G50" s="56"/>
      <c r="H50" s="56"/>
      <c r="I50" s="102"/>
      <c r="J50" s="56"/>
      <c r="K50" s="28"/>
      <c r="L50" s="28"/>
      <c r="M50" s="28"/>
      <c r="N50" s="28"/>
      <c r="O50" s="28"/>
      <c r="P50" s="28"/>
      <c r="Q50" s="28"/>
      <c r="R50" s="28"/>
      <c r="S50" s="28"/>
      <c r="T50" s="28"/>
      <c r="U50" s="3"/>
      <c r="W50" s="3"/>
      <c r="X50" s="3"/>
      <c r="Y50" s="3"/>
      <c r="Z50" s="3"/>
    </row>
    <row r="51" spans="1:26" ht="14.4" hidden="1" outlineLevel="1" x14ac:dyDescent="0.3">
      <c r="A51" s="3"/>
      <c r="B51" s="9" t="s">
        <v>51</v>
      </c>
      <c r="C51" s="53"/>
      <c r="D51" s="53"/>
      <c r="E51" s="11">
        <v>0</v>
      </c>
      <c r="F51" s="11">
        <v>0</v>
      </c>
      <c r="G51" s="56"/>
      <c r="H51" s="56"/>
      <c r="I51" s="102"/>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56"/>
      <c r="H52" s="56"/>
      <c r="I52" s="80"/>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collapsed="1" x14ac:dyDescent="0.3">
      <c r="A63" s="3"/>
      <c r="B63" s="75" t="s">
        <v>330</v>
      </c>
      <c r="C63" s="76" t="s">
        <v>44</v>
      </c>
      <c r="D63" s="76" t="s">
        <v>44</v>
      </c>
      <c r="E63" s="77">
        <f>SUM(E64:E86)</f>
        <v>0</v>
      </c>
      <c r="F63" s="77">
        <f>SUMIF(D64:D86,"OK",F64:F86)</f>
        <v>1023.5500000000001</v>
      </c>
      <c r="G63" s="78"/>
      <c r="H63" s="78"/>
      <c r="I63" s="79"/>
      <c r="J63" s="78"/>
      <c r="K63" s="28"/>
      <c r="L63" s="28"/>
      <c r="M63" s="28"/>
      <c r="N63" s="28"/>
      <c r="O63" s="28"/>
      <c r="P63" s="28"/>
      <c r="Q63" s="28"/>
      <c r="R63" s="28"/>
      <c r="S63" s="28"/>
      <c r="T63" s="28"/>
      <c r="U63" s="3"/>
    </row>
    <row r="64" spans="1:26" ht="14.4" hidden="1" outlineLevel="1" x14ac:dyDescent="0.3">
      <c r="A64" s="3"/>
      <c r="B64" s="9" t="s">
        <v>1200</v>
      </c>
      <c r="C64" s="71"/>
      <c r="D64" s="53"/>
      <c r="E64" s="11">
        <v>0</v>
      </c>
      <c r="F64" s="11">
        <v>0</v>
      </c>
      <c r="G64" s="56"/>
      <c r="H64" s="56"/>
      <c r="I64" s="102"/>
      <c r="J64" s="80"/>
      <c r="K64" s="28"/>
      <c r="L64" s="28"/>
      <c r="M64" s="28"/>
      <c r="N64" s="28"/>
      <c r="O64" s="28"/>
      <c r="P64" s="28"/>
      <c r="Q64" s="28"/>
      <c r="R64" s="28"/>
      <c r="S64" s="28"/>
      <c r="T64" s="28"/>
      <c r="U64" s="3"/>
      <c r="V64" s="14"/>
    </row>
    <row r="65" spans="1:22" ht="14.4" hidden="1" outlineLevel="1" x14ac:dyDescent="0.3">
      <c r="A65" s="3"/>
      <c r="B65" s="9" t="s">
        <v>1200</v>
      </c>
      <c r="C65" s="71"/>
      <c r="D65" s="53"/>
      <c r="E65" s="11">
        <v>0</v>
      </c>
      <c r="F65" s="11">
        <v>0</v>
      </c>
      <c r="G65" s="56"/>
      <c r="H65" s="56"/>
      <c r="I65" s="102"/>
      <c r="J65" s="80"/>
      <c r="K65" s="28"/>
      <c r="L65" s="28"/>
      <c r="M65" s="28"/>
      <c r="N65" s="28"/>
      <c r="O65" s="28"/>
      <c r="P65" s="28"/>
      <c r="Q65" s="28"/>
      <c r="R65" s="28"/>
      <c r="S65" s="28"/>
      <c r="T65" s="28"/>
      <c r="U65" s="3"/>
      <c r="V65" s="14"/>
    </row>
    <row r="66" spans="1:22" ht="14.4" hidden="1" outlineLevel="1" x14ac:dyDescent="0.3">
      <c r="A66" s="3"/>
      <c r="B66" s="9" t="s">
        <v>1200</v>
      </c>
      <c r="C66" s="71"/>
      <c r="D66" s="53"/>
      <c r="E66" s="11">
        <v>0</v>
      </c>
      <c r="F66" s="11">
        <v>0</v>
      </c>
      <c r="G66" s="56"/>
      <c r="H66" s="56"/>
      <c r="I66" s="102"/>
      <c r="J66" s="80"/>
      <c r="K66" s="28"/>
      <c r="L66" s="28"/>
      <c r="M66" s="28"/>
      <c r="N66" s="28"/>
      <c r="O66" s="28"/>
      <c r="P66" s="28"/>
      <c r="Q66" s="28"/>
      <c r="R66" s="28"/>
      <c r="S66" s="28"/>
      <c r="T66" s="28"/>
      <c r="U66" s="3"/>
      <c r="V66" s="14"/>
    </row>
    <row r="67" spans="1:22" ht="14.4" hidden="1" outlineLevel="1" x14ac:dyDescent="0.3">
      <c r="A67" s="3"/>
      <c r="B67" s="9" t="s">
        <v>1200</v>
      </c>
      <c r="C67" s="71"/>
      <c r="D67" s="53"/>
      <c r="E67" s="11">
        <v>0</v>
      </c>
      <c r="F67" s="11">
        <v>0</v>
      </c>
      <c r="G67" s="56"/>
      <c r="H67" s="56"/>
      <c r="I67" s="102"/>
      <c r="J67" s="80"/>
      <c r="K67" s="28"/>
      <c r="L67" s="28"/>
      <c r="M67" s="28"/>
      <c r="N67" s="28"/>
      <c r="O67" s="28"/>
      <c r="P67" s="28"/>
      <c r="Q67" s="28"/>
      <c r="R67" s="28"/>
      <c r="S67" s="28"/>
      <c r="T67" s="28"/>
      <c r="U67" s="3"/>
      <c r="V67" s="14"/>
    </row>
    <row r="68" spans="1:22" ht="14.4" hidden="1" outlineLevel="1" x14ac:dyDescent="0.3">
      <c r="A68" s="3"/>
      <c r="B68" s="9" t="s">
        <v>1200</v>
      </c>
      <c r="C68" s="71"/>
      <c r="D68" s="53"/>
      <c r="E68" s="11">
        <v>0</v>
      </c>
      <c r="F68" s="11">
        <v>0</v>
      </c>
      <c r="G68" s="56"/>
      <c r="H68" s="56"/>
      <c r="I68" s="102"/>
      <c r="J68" s="80"/>
      <c r="K68" s="28"/>
      <c r="L68" s="28"/>
      <c r="M68" s="28"/>
      <c r="N68" s="28"/>
      <c r="O68" s="28"/>
      <c r="P68" s="28"/>
      <c r="Q68" s="28"/>
      <c r="R68" s="28"/>
      <c r="S68" s="28"/>
      <c r="T68" s="28"/>
      <c r="U68" s="3"/>
      <c r="V68" s="14"/>
    </row>
    <row r="69" spans="1:22" ht="14.4" hidden="1" outlineLevel="1" x14ac:dyDescent="0.3">
      <c r="A69" s="3"/>
      <c r="B69" s="9" t="s">
        <v>1201</v>
      </c>
      <c r="C69" s="71">
        <v>17</v>
      </c>
      <c r="D69" s="53" t="s">
        <v>95</v>
      </c>
      <c r="E69" s="11">
        <v>0</v>
      </c>
      <c r="F69" s="11">
        <v>497.19</v>
      </c>
      <c r="G69" s="56"/>
      <c r="H69" s="56" t="s">
        <v>37</v>
      </c>
      <c r="I69" s="102" t="s">
        <v>1202</v>
      </c>
      <c r="J69" s="80"/>
      <c r="K69" s="28"/>
      <c r="L69" s="28"/>
      <c r="M69" s="28"/>
      <c r="N69" s="28"/>
      <c r="O69" s="28"/>
      <c r="P69" s="28"/>
      <c r="Q69" s="28"/>
      <c r="R69" s="28"/>
      <c r="S69" s="28"/>
      <c r="T69" s="28"/>
      <c r="U69" s="3"/>
      <c r="V69" s="14"/>
    </row>
    <row r="70" spans="1:22" ht="14.4" hidden="1" outlineLevel="1" x14ac:dyDescent="0.3">
      <c r="A70" s="3"/>
      <c r="B70" s="9" t="s">
        <v>1203</v>
      </c>
      <c r="C70" s="71">
        <v>21</v>
      </c>
      <c r="D70" s="53" t="s">
        <v>95</v>
      </c>
      <c r="E70" s="11">
        <v>0</v>
      </c>
      <c r="F70" s="11">
        <v>80</v>
      </c>
      <c r="G70" s="56" t="s">
        <v>614</v>
      </c>
      <c r="H70" s="56" t="s">
        <v>37</v>
      </c>
      <c r="I70" s="102" t="s">
        <v>1204</v>
      </c>
      <c r="J70" s="80"/>
      <c r="K70" s="28"/>
      <c r="L70" s="28"/>
      <c r="M70" s="28"/>
      <c r="N70" s="28"/>
      <c r="O70" s="28"/>
      <c r="P70" s="28"/>
      <c r="Q70" s="28"/>
      <c r="R70" s="28"/>
      <c r="S70" s="28"/>
      <c r="T70" s="28"/>
      <c r="U70" s="3"/>
      <c r="V70" s="14"/>
    </row>
    <row r="71" spans="1:22" ht="14.4" hidden="1" outlineLevel="1" x14ac:dyDescent="0.3">
      <c r="A71" s="3"/>
      <c r="B71" s="9" t="s">
        <v>1203</v>
      </c>
      <c r="C71" s="71"/>
      <c r="D71" s="53"/>
      <c r="E71" s="11">
        <v>0</v>
      </c>
      <c r="F71" s="11">
        <v>0</v>
      </c>
      <c r="G71" s="56"/>
      <c r="H71" s="56"/>
      <c r="I71" s="102"/>
      <c r="J71" s="80"/>
      <c r="K71" s="28"/>
      <c r="L71" s="28"/>
      <c r="M71" s="28"/>
      <c r="N71" s="28"/>
      <c r="O71" s="28"/>
      <c r="P71" s="28"/>
      <c r="Q71" s="28"/>
      <c r="R71" s="28"/>
      <c r="S71" s="28"/>
      <c r="T71" s="28"/>
      <c r="U71" s="3"/>
      <c r="V71" s="14"/>
    </row>
    <row r="72" spans="1:22" ht="14.4" hidden="1" outlineLevel="1" x14ac:dyDescent="0.3">
      <c r="A72" s="3"/>
      <c r="B72" s="9" t="s">
        <v>1203</v>
      </c>
      <c r="C72" s="71"/>
      <c r="D72" s="53"/>
      <c r="E72" s="11">
        <v>0</v>
      </c>
      <c r="F72" s="11">
        <v>0</v>
      </c>
      <c r="G72" s="56"/>
      <c r="H72" s="56"/>
      <c r="I72" s="80"/>
      <c r="J72" s="80"/>
      <c r="K72" s="28"/>
      <c r="L72" s="28"/>
      <c r="M72" s="28"/>
      <c r="N72" s="28"/>
      <c r="O72" s="28"/>
      <c r="P72" s="28"/>
      <c r="Q72" s="28"/>
      <c r="R72" s="28"/>
      <c r="S72" s="28"/>
      <c r="T72" s="28"/>
      <c r="U72" s="3"/>
      <c r="V72" s="14"/>
    </row>
    <row r="73" spans="1:22" ht="14.4" hidden="1" outlineLevel="1" x14ac:dyDescent="0.3">
      <c r="A73" s="3"/>
      <c r="B73" s="9" t="s">
        <v>1205</v>
      </c>
      <c r="C73" s="71"/>
      <c r="D73" s="53"/>
      <c r="E73" s="11">
        <v>0</v>
      </c>
      <c r="F73" s="11">
        <v>0</v>
      </c>
      <c r="G73" s="56"/>
      <c r="H73" s="56"/>
      <c r="I73" s="102"/>
      <c r="J73" s="80"/>
      <c r="K73" s="28"/>
      <c r="L73" s="28"/>
      <c r="M73" s="28"/>
      <c r="N73" s="28"/>
      <c r="O73" s="28"/>
      <c r="P73" s="28"/>
      <c r="Q73" s="28"/>
      <c r="R73" s="28"/>
      <c r="S73" s="28"/>
      <c r="T73" s="28"/>
      <c r="U73" s="3"/>
      <c r="V73" s="14"/>
    </row>
    <row r="74" spans="1:22" ht="14.4" hidden="1" outlineLevel="1" x14ac:dyDescent="0.3">
      <c r="A74" s="3"/>
      <c r="B74" s="9" t="s">
        <v>1205</v>
      </c>
      <c r="C74" s="71"/>
      <c r="D74" s="53"/>
      <c r="E74" s="11">
        <v>0</v>
      </c>
      <c r="F74" s="11">
        <v>0</v>
      </c>
      <c r="G74" s="56"/>
      <c r="H74" s="56"/>
      <c r="I74" s="102"/>
      <c r="J74" s="80"/>
      <c r="K74" s="28"/>
      <c r="L74" s="28"/>
      <c r="M74" s="28"/>
      <c r="N74" s="28"/>
      <c r="O74" s="28"/>
      <c r="P74" s="28"/>
      <c r="Q74" s="28"/>
      <c r="R74" s="28"/>
      <c r="S74" s="28"/>
      <c r="T74" s="28"/>
      <c r="U74" s="3"/>
      <c r="V74" s="14"/>
    </row>
    <row r="75" spans="1:22" ht="14.4" hidden="1" outlineLevel="1" x14ac:dyDescent="0.3">
      <c r="A75" s="3"/>
      <c r="B75" s="9" t="s">
        <v>331</v>
      </c>
      <c r="C75" s="71"/>
      <c r="D75" s="53"/>
      <c r="E75" s="11">
        <v>0</v>
      </c>
      <c r="F75" s="11">
        <v>0</v>
      </c>
      <c r="G75" s="56"/>
      <c r="H75" s="56"/>
      <c r="I75" s="80"/>
      <c r="J75" s="80"/>
      <c r="K75" s="28"/>
      <c r="L75" s="28"/>
      <c r="M75" s="28"/>
      <c r="N75" s="28"/>
      <c r="O75" s="28"/>
      <c r="P75" s="28"/>
      <c r="Q75" s="28"/>
      <c r="R75" s="28"/>
      <c r="S75" s="28"/>
      <c r="T75" s="28"/>
      <c r="U75" s="3"/>
      <c r="V75" s="14"/>
    </row>
    <row r="76" spans="1:22" ht="14.4" hidden="1" outlineLevel="1" x14ac:dyDescent="0.3">
      <c r="A76" s="3"/>
      <c r="B76" s="9" t="s">
        <v>331</v>
      </c>
      <c r="C76" s="71"/>
      <c r="D76" s="53"/>
      <c r="E76" s="11">
        <v>0</v>
      </c>
      <c r="F76" s="11">
        <v>0</v>
      </c>
      <c r="G76" s="56"/>
      <c r="H76" s="56"/>
      <c r="I76" s="80"/>
      <c r="J76" s="80"/>
      <c r="K76" s="28"/>
      <c r="L76" s="28"/>
      <c r="M76" s="28"/>
      <c r="N76" s="28"/>
      <c r="O76" s="28"/>
      <c r="P76" s="28"/>
      <c r="Q76" s="28"/>
      <c r="R76" s="28"/>
      <c r="S76" s="28"/>
      <c r="T76" s="28"/>
      <c r="U76" s="3"/>
      <c r="V76" s="14"/>
    </row>
    <row r="77" spans="1:22" ht="14.4" hidden="1" outlineLevel="1" x14ac:dyDescent="0.3">
      <c r="A77" s="3"/>
      <c r="B77" s="9" t="s">
        <v>335</v>
      </c>
      <c r="C77" s="53">
        <v>16</v>
      </c>
      <c r="D77" s="53" t="s">
        <v>95</v>
      </c>
      <c r="E77" s="11">
        <v>0</v>
      </c>
      <c r="F77" s="11">
        <v>152</v>
      </c>
      <c r="G77" s="56"/>
      <c r="H77" s="56" t="s">
        <v>37</v>
      </c>
      <c r="I77" s="102" t="s">
        <v>1206</v>
      </c>
      <c r="J77" s="56"/>
      <c r="K77" s="28"/>
      <c r="L77" s="28"/>
      <c r="M77" s="28"/>
      <c r="N77" s="28"/>
      <c r="O77" s="28"/>
      <c r="P77" s="28"/>
      <c r="Q77" s="28"/>
      <c r="R77" s="28"/>
      <c r="S77" s="28"/>
      <c r="T77" s="28"/>
      <c r="U77" s="3"/>
    </row>
    <row r="78" spans="1:22" ht="14.4" hidden="1" outlineLevel="1" x14ac:dyDescent="0.3">
      <c r="A78" s="3"/>
      <c r="B78" s="9" t="s">
        <v>335</v>
      </c>
      <c r="C78" s="53"/>
      <c r="D78" s="53"/>
      <c r="E78" s="11">
        <v>0</v>
      </c>
      <c r="F78" s="11">
        <v>0</v>
      </c>
      <c r="G78" s="56"/>
      <c r="H78" s="56"/>
      <c r="I78" s="80"/>
      <c r="J78" s="56"/>
      <c r="K78" s="28"/>
      <c r="L78" s="28"/>
      <c r="M78" s="28"/>
      <c r="N78" s="28"/>
      <c r="O78" s="28"/>
      <c r="P78" s="28"/>
      <c r="Q78" s="28"/>
      <c r="R78" s="28"/>
      <c r="S78" s="28"/>
      <c r="T78" s="28"/>
      <c r="U78" s="3"/>
    </row>
    <row r="79" spans="1:22" ht="14.4" hidden="1" outlineLevel="1" x14ac:dyDescent="0.3">
      <c r="A79" s="3"/>
      <c r="B79" s="9" t="s">
        <v>628</v>
      </c>
      <c r="C79" s="71"/>
      <c r="D79" s="53"/>
      <c r="E79" s="11">
        <v>0</v>
      </c>
      <c r="F79" s="11">
        <v>0</v>
      </c>
      <c r="G79" s="56"/>
      <c r="H79" s="56"/>
      <c r="I79" s="102"/>
      <c r="J79" s="80"/>
      <c r="K79" s="28"/>
      <c r="L79" s="28"/>
      <c r="M79" s="28"/>
      <c r="N79" s="28"/>
      <c r="O79" s="28"/>
      <c r="P79" s="28"/>
      <c r="Q79" s="28"/>
      <c r="R79" s="28"/>
      <c r="S79" s="28"/>
      <c r="T79" s="28"/>
      <c r="U79" s="3"/>
    </row>
    <row r="80" spans="1:22" ht="14.4" hidden="1" outlineLevel="1" x14ac:dyDescent="0.3">
      <c r="A80" s="3"/>
      <c r="B80" s="9" t="s">
        <v>628</v>
      </c>
      <c r="C80" s="71"/>
      <c r="D80" s="53"/>
      <c r="E80" s="11">
        <v>0</v>
      </c>
      <c r="F80" s="11">
        <v>0</v>
      </c>
      <c r="G80" s="56"/>
      <c r="H80" s="56"/>
      <c r="I80" s="102"/>
      <c r="J80" s="80"/>
      <c r="K80" s="28"/>
      <c r="L80" s="28"/>
      <c r="M80" s="28"/>
      <c r="N80" s="28"/>
      <c r="O80" s="28"/>
      <c r="P80" s="28"/>
      <c r="Q80" s="28"/>
      <c r="R80" s="28"/>
      <c r="S80" s="28"/>
      <c r="T80" s="28"/>
      <c r="U80" s="3"/>
    </row>
    <row r="81" spans="1:26" ht="14.4" hidden="1" outlineLevel="1" x14ac:dyDescent="0.3">
      <c r="A81" s="3"/>
      <c r="B81" s="9" t="s">
        <v>628</v>
      </c>
      <c r="C81" s="71"/>
      <c r="D81" s="53"/>
      <c r="E81" s="11">
        <v>0</v>
      </c>
      <c r="F81" s="11">
        <v>0</v>
      </c>
      <c r="G81" s="56"/>
      <c r="H81" s="56"/>
      <c r="I81" s="102"/>
      <c r="J81" s="80"/>
      <c r="K81" s="28"/>
      <c r="L81" s="28"/>
      <c r="M81" s="28"/>
      <c r="N81" s="28"/>
      <c r="O81" s="28"/>
      <c r="P81" s="28"/>
      <c r="Q81" s="28"/>
      <c r="R81" s="28"/>
      <c r="S81" s="28"/>
      <c r="T81" s="28"/>
      <c r="U81" s="3"/>
    </row>
    <row r="82" spans="1:26" ht="14.4" hidden="1" outlineLevel="1" x14ac:dyDescent="0.3">
      <c r="A82" s="3"/>
      <c r="B82" s="9" t="s">
        <v>630</v>
      </c>
      <c r="C82" s="71">
        <v>18</v>
      </c>
      <c r="D82" s="53" t="s">
        <v>95</v>
      </c>
      <c r="E82" s="11">
        <v>0</v>
      </c>
      <c r="F82" s="11">
        <v>134.38</v>
      </c>
      <c r="G82" s="56"/>
      <c r="H82" s="56" t="s">
        <v>37</v>
      </c>
      <c r="I82" s="102" t="s">
        <v>1207</v>
      </c>
      <c r="J82" s="80"/>
      <c r="K82" s="28"/>
      <c r="L82" s="28"/>
      <c r="M82" s="28"/>
      <c r="N82" s="28"/>
      <c r="O82" s="28"/>
      <c r="P82" s="28"/>
      <c r="Q82" s="28"/>
      <c r="R82" s="28"/>
      <c r="S82" s="28"/>
      <c r="T82" s="28"/>
      <c r="U82" s="3"/>
    </row>
    <row r="83" spans="1:26" ht="14.4" hidden="1" outlineLevel="1" x14ac:dyDescent="0.3">
      <c r="A83" s="3"/>
      <c r="B83" s="9" t="s">
        <v>630</v>
      </c>
      <c r="C83" s="71">
        <v>18</v>
      </c>
      <c r="D83" s="53" t="s">
        <v>95</v>
      </c>
      <c r="E83" s="11">
        <v>0</v>
      </c>
      <c r="F83" s="11">
        <v>159.97999999999999</v>
      </c>
      <c r="G83" s="56"/>
      <c r="H83" s="56" t="s">
        <v>37</v>
      </c>
      <c r="I83" s="102" t="s">
        <v>1208</v>
      </c>
      <c r="J83" s="80"/>
      <c r="K83" s="28"/>
      <c r="L83" s="28"/>
      <c r="M83" s="28"/>
      <c r="N83" s="28"/>
      <c r="O83" s="28"/>
      <c r="P83" s="28"/>
      <c r="Q83" s="28"/>
      <c r="R83" s="28"/>
      <c r="S83" s="28"/>
      <c r="T83" s="28"/>
      <c r="U83" s="3"/>
    </row>
    <row r="84" spans="1:26" ht="14.4" hidden="1" outlineLevel="1" x14ac:dyDescent="0.3">
      <c r="A84" s="3"/>
      <c r="B84" s="9" t="s">
        <v>342</v>
      </c>
      <c r="C84" s="71"/>
      <c r="D84" s="53"/>
      <c r="E84" s="11">
        <v>0</v>
      </c>
      <c r="F84" s="11">
        <v>0</v>
      </c>
      <c r="G84" s="56"/>
      <c r="H84" s="56"/>
      <c r="I84" s="80"/>
      <c r="J84" s="56"/>
      <c r="K84" s="28"/>
      <c r="L84" s="28"/>
      <c r="M84" s="28"/>
      <c r="N84" s="28"/>
      <c r="O84" s="28"/>
      <c r="P84" s="28"/>
      <c r="Q84" s="28"/>
      <c r="R84" s="28"/>
      <c r="S84" s="28"/>
      <c r="T84" s="28"/>
      <c r="U84" s="3"/>
      <c r="W84" s="3"/>
      <c r="X84" s="3"/>
      <c r="Y84" s="3"/>
      <c r="Z84" s="3"/>
    </row>
    <row r="85" spans="1:26" ht="14.4" hidden="1" outlineLevel="1" x14ac:dyDescent="0.3">
      <c r="A85" s="3"/>
      <c r="B85" s="9" t="s">
        <v>1209</v>
      </c>
      <c r="C85" s="53"/>
      <c r="D85" s="53"/>
      <c r="E85" s="11">
        <v>0</v>
      </c>
      <c r="F85" s="11">
        <v>0</v>
      </c>
      <c r="G85" s="56"/>
      <c r="H85" s="56"/>
      <c r="I85" s="102"/>
      <c r="J85" s="56"/>
      <c r="K85" s="28"/>
      <c r="L85" s="28"/>
      <c r="M85" s="28"/>
      <c r="N85" s="28"/>
      <c r="O85" s="28"/>
      <c r="P85" s="28"/>
      <c r="Q85" s="28"/>
      <c r="R85" s="28"/>
      <c r="S85" s="28"/>
      <c r="T85" s="28"/>
      <c r="U85" s="3"/>
      <c r="W85" s="3"/>
      <c r="X85" s="3"/>
      <c r="Y85" s="3"/>
      <c r="Z85" s="3"/>
    </row>
    <row r="86" spans="1:26" ht="14.4" hidden="1" outlineLevel="1" x14ac:dyDescent="0.3">
      <c r="A86" s="3"/>
      <c r="B86" s="9" t="s">
        <v>812</v>
      </c>
      <c r="C86" s="53"/>
      <c r="D86" s="53"/>
      <c r="E86" s="11">
        <v>0</v>
      </c>
      <c r="F86" s="11">
        <v>0</v>
      </c>
      <c r="G86" s="80"/>
      <c r="H86" s="56"/>
      <c r="I86" s="102"/>
      <c r="J86" s="56"/>
      <c r="K86" s="28"/>
      <c r="L86" s="28"/>
      <c r="M86" s="28"/>
      <c r="N86" s="28"/>
      <c r="O86" s="28"/>
      <c r="P86" s="28"/>
      <c r="Q86" s="28"/>
      <c r="R86" s="28"/>
      <c r="S86" s="28"/>
      <c r="T86" s="28"/>
      <c r="U86" s="3"/>
      <c r="W86" s="3"/>
      <c r="X86" s="3"/>
      <c r="Y86" s="3"/>
      <c r="Z86" s="3"/>
    </row>
    <row r="87" spans="1:26" ht="20.399999999999999" collapsed="1" x14ac:dyDescent="0.3">
      <c r="A87" s="3"/>
      <c r="B87" s="75" t="s">
        <v>349</v>
      </c>
      <c r="C87" s="76" t="s">
        <v>44</v>
      </c>
      <c r="D87" s="76" t="s">
        <v>44</v>
      </c>
      <c r="E87" s="77">
        <f t="shared" ref="E87:F87" si="0">SUM(E88,E104,E109)</f>
        <v>0</v>
      </c>
      <c r="F87" s="77">
        <f t="shared" si="0"/>
        <v>0</v>
      </c>
      <c r="G87" s="78"/>
      <c r="H87" s="78"/>
      <c r="I87" s="79"/>
      <c r="J87" s="78"/>
      <c r="K87" s="28"/>
      <c r="L87" s="28"/>
      <c r="M87" s="28"/>
      <c r="N87" s="28"/>
      <c r="O87" s="28"/>
      <c r="P87" s="28"/>
      <c r="Q87" s="28"/>
      <c r="R87" s="28"/>
      <c r="S87" s="28"/>
      <c r="T87" s="28"/>
      <c r="U87" s="3"/>
      <c r="W87" s="3"/>
      <c r="X87" s="3"/>
      <c r="Y87" s="3"/>
      <c r="Z87" s="3"/>
    </row>
    <row r="88" spans="1:26" hidden="1" outlineLevel="1" x14ac:dyDescent="0.3">
      <c r="A88" s="3"/>
      <c r="B88" s="82" t="s">
        <v>350</v>
      </c>
      <c r="C88" s="83"/>
      <c r="D88" s="83"/>
      <c r="E88" s="84">
        <f>SUM(E89:E103)</f>
        <v>0</v>
      </c>
      <c r="F88" s="84">
        <f>SUMIF(D89:D103,"OK",F89:F103)</f>
        <v>0</v>
      </c>
      <c r="G88" s="85"/>
      <c r="H88" s="85"/>
      <c r="I88" s="86"/>
      <c r="J88" s="85"/>
      <c r="K88" s="28"/>
      <c r="L88" s="28"/>
      <c r="M88" s="28"/>
      <c r="N88" s="28"/>
      <c r="O88" s="28"/>
      <c r="P88" s="28"/>
      <c r="Q88" s="28"/>
      <c r="R88" s="28"/>
      <c r="S88" s="28"/>
      <c r="T88" s="28"/>
      <c r="U88" s="3"/>
      <c r="W88" s="3"/>
      <c r="X88" s="3"/>
      <c r="Y88" s="3"/>
      <c r="Z88" s="3"/>
    </row>
    <row r="89" spans="1:26" ht="14.4" hidden="1" outlineLevel="1" x14ac:dyDescent="0.3">
      <c r="A89" s="3"/>
      <c r="B89" s="9" t="s">
        <v>331</v>
      </c>
      <c r="C89" s="53"/>
      <c r="D89" s="53"/>
      <c r="E89" s="11">
        <v>0</v>
      </c>
      <c r="F89" s="11">
        <v>0</v>
      </c>
      <c r="G89" s="56"/>
      <c r="H89" s="56"/>
      <c r="I89" s="102"/>
      <c r="J89" s="56"/>
      <c r="K89" s="28"/>
      <c r="L89" s="28"/>
      <c r="M89" s="28"/>
      <c r="N89" s="28"/>
      <c r="O89" s="28"/>
      <c r="P89" s="28"/>
      <c r="Q89" s="28"/>
      <c r="R89" s="28"/>
      <c r="S89" s="28"/>
      <c r="T89" s="28"/>
      <c r="U89" s="3"/>
      <c r="W89" s="3"/>
      <c r="X89" s="3"/>
      <c r="Y89" s="3"/>
      <c r="Z89" s="3"/>
    </row>
    <row r="90" spans="1:26" ht="14.4" hidden="1" outlineLevel="1" x14ac:dyDescent="0.3">
      <c r="A90" s="3"/>
      <c r="B90" s="9" t="s">
        <v>331</v>
      </c>
      <c r="C90" s="53"/>
      <c r="D90" s="53"/>
      <c r="E90" s="11">
        <v>0</v>
      </c>
      <c r="F90" s="11">
        <v>0</v>
      </c>
      <c r="G90" s="56"/>
      <c r="H90" s="56"/>
      <c r="I90" s="102"/>
      <c r="J90" s="56"/>
      <c r="K90" s="28"/>
      <c r="L90" s="28"/>
      <c r="M90" s="28"/>
      <c r="N90" s="28"/>
      <c r="O90" s="28"/>
      <c r="P90" s="28"/>
      <c r="Q90" s="28"/>
      <c r="R90" s="28"/>
      <c r="S90" s="28"/>
      <c r="T90" s="28"/>
      <c r="U90" s="3"/>
      <c r="W90" s="3"/>
      <c r="X90" s="3"/>
      <c r="Y90" s="3"/>
      <c r="Z90" s="3"/>
    </row>
    <row r="91" spans="1:26" ht="14.4" hidden="1" outlineLevel="1" x14ac:dyDescent="0.3">
      <c r="A91" s="3"/>
      <c r="B91" s="9" t="s">
        <v>331</v>
      </c>
      <c r="C91" s="53"/>
      <c r="D91" s="53"/>
      <c r="E91" s="11">
        <v>0</v>
      </c>
      <c r="F91" s="11">
        <v>0</v>
      </c>
      <c r="G91" s="56"/>
      <c r="H91" s="56"/>
      <c r="I91" s="102"/>
      <c r="J91" s="56"/>
      <c r="K91" s="28"/>
      <c r="L91" s="28"/>
      <c r="M91" s="28"/>
      <c r="N91" s="28"/>
      <c r="O91" s="28"/>
      <c r="P91" s="28"/>
      <c r="Q91" s="28"/>
      <c r="R91" s="28"/>
      <c r="S91" s="28"/>
      <c r="T91" s="28"/>
      <c r="U91" s="3"/>
      <c r="W91" s="3"/>
      <c r="X91" s="3"/>
      <c r="Y91" s="3"/>
      <c r="Z91" s="3"/>
    </row>
    <row r="92" spans="1:26" ht="14.4" hidden="1" outlineLevel="1" x14ac:dyDescent="0.3">
      <c r="A92" s="3"/>
      <c r="B92" s="9" t="s">
        <v>331</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4.4" hidden="1" outlineLevel="1" x14ac:dyDescent="0.3">
      <c r="A93" s="3"/>
      <c r="B93" s="9" t="s">
        <v>331</v>
      </c>
      <c r="C93" s="53"/>
      <c r="D93" s="53"/>
      <c r="E93" s="11">
        <v>0</v>
      </c>
      <c r="F93" s="11">
        <v>0</v>
      </c>
      <c r="G93" s="56"/>
      <c r="H93" s="56"/>
      <c r="I93" s="102"/>
      <c r="J93" s="56"/>
      <c r="K93" s="28"/>
      <c r="L93" s="28"/>
      <c r="M93" s="28"/>
      <c r="N93" s="28"/>
      <c r="O93" s="28"/>
      <c r="P93" s="28"/>
      <c r="Q93" s="28"/>
      <c r="R93" s="28"/>
      <c r="S93" s="28"/>
      <c r="T93" s="28"/>
      <c r="U93" s="3"/>
      <c r="W93" s="3"/>
      <c r="X93" s="3"/>
      <c r="Y93" s="3"/>
      <c r="Z93" s="3"/>
    </row>
    <row r="94" spans="1:26" ht="14.4" hidden="1" outlineLevel="1" x14ac:dyDescent="0.3">
      <c r="A94" s="3"/>
      <c r="B94" s="9" t="s">
        <v>331</v>
      </c>
      <c r="C94" s="53"/>
      <c r="D94" s="53"/>
      <c r="E94" s="11">
        <v>0</v>
      </c>
      <c r="F94" s="11">
        <v>0</v>
      </c>
      <c r="G94" s="56"/>
      <c r="H94" s="56"/>
      <c r="I94" s="102"/>
      <c r="J94" s="56"/>
      <c r="K94" s="28"/>
      <c r="L94" s="28"/>
      <c r="M94" s="28"/>
      <c r="N94" s="28"/>
      <c r="O94" s="28"/>
      <c r="P94" s="28"/>
      <c r="Q94" s="28"/>
      <c r="R94" s="28"/>
      <c r="S94" s="28"/>
      <c r="T94" s="28"/>
      <c r="U94" s="3"/>
      <c r="W94" s="3"/>
      <c r="X94" s="3"/>
      <c r="Y94" s="3"/>
      <c r="Z94" s="3"/>
    </row>
    <row r="95" spans="1:26" ht="14.4" hidden="1" outlineLevel="1" x14ac:dyDescent="0.3">
      <c r="A95" s="3"/>
      <c r="B95" s="9" t="s">
        <v>331</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hidden="1" outlineLevel="1" x14ac:dyDescent="0.3">
      <c r="A96" s="3"/>
      <c r="B96" s="9" t="s">
        <v>331</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hidden="1" outlineLevel="1" x14ac:dyDescent="0.3">
      <c r="A97" s="3"/>
      <c r="B97" s="9" t="s">
        <v>331</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hidden="1" outlineLevel="1" x14ac:dyDescent="0.3">
      <c r="A98" s="3"/>
      <c r="B98" s="9" t="s">
        <v>331</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hidden="1" outlineLevel="1" x14ac:dyDescent="0.3">
      <c r="A99" s="3"/>
      <c r="B99" s="9" t="s">
        <v>331</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hidden="1" outlineLevel="1" x14ac:dyDescent="0.3">
      <c r="A100" s="3"/>
      <c r="B100" s="9" t="s">
        <v>331</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335</v>
      </c>
      <c r="C101" s="53"/>
      <c r="D101" s="53"/>
      <c r="E101" s="11">
        <v>0</v>
      </c>
      <c r="F101" s="11">
        <v>0</v>
      </c>
      <c r="G101" s="56"/>
      <c r="H101" s="56"/>
      <c r="I101" s="102"/>
      <c r="J101" s="56"/>
      <c r="K101" s="28"/>
      <c r="L101" s="28"/>
      <c r="M101" s="28"/>
      <c r="N101" s="28"/>
      <c r="O101" s="28"/>
      <c r="P101" s="28"/>
      <c r="Q101" s="28"/>
      <c r="R101" s="28"/>
      <c r="S101" s="28"/>
      <c r="T101" s="28"/>
      <c r="U101" s="3"/>
      <c r="W101" s="3"/>
      <c r="X101" s="3"/>
      <c r="Y101" s="3"/>
      <c r="Z101" s="3"/>
    </row>
    <row r="102" spans="1:26" ht="14.4" hidden="1" outlineLevel="1" x14ac:dyDescent="0.3">
      <c r="A102" s="3"/>
      <c r="B102" s="9" t="s">
        <v>342</v>
      </c>
      <c r="C102" s="53"/>
      <c r="D102" s="53"/>
      <c r="E102" s="11">
        <v>0</v>
      </c>
      <c r="F102" s="11">
        <v>0</v>
      </c>
      <c r="G102" s="56"/>
      <c r="H102" s="56"/>
      <c r="I102" s="102"/>
      <c r="J102" s="56"/>
      <c r="K102" s="28"/>
      <c r="L102" s="28"/>
      <c r="M102" s="28"/>
      <c r="N102" s="28"/>
      <c r="O102" s="28"/>
      <c r="P102" s="28"/>
      <c r="Q102" s="28"/>
      <c r="R102" s="28"/>
      <c r="S102" s="28"/>
      <c r="T102" s="28"/>
      <c r="U102" s="3"/>
      <c r="W102" s="3"/>
      <c r="X102" s="3"/>
      <c r="Y102" s="3"/>
      <c r="Z102" s="3"/>
    </row>
    <row r="103" spans="1:26" ht="14.4" hidden="1" outlineLevel="1" x14ac:dyDescent="0.3">
      <c r="A103" s="3"/>
      <c r="B103" s="9" t="s">
        <v>812</v>
      </c>
      <c r="C103" s="53"/>
      <c r="D103" s="53"/>
      <c r="E103" s="11">
        <v>0</v>
      </c>
      <c r="F103" s="11">
        <v>0</v>
      </c>
      <c r="G103" s="56"/>
      <c r="H103" s="56"/>
      <c r="I103" s="102"/>
      <c r="J103" s="56"/>
      <c r="K103" s="28"/>
      <c r="L103" s="28"/>
      <c r="M103" s="28"/>
      <c r="N103" s="28"/>
      <c r="O103" s="28"/>
      <c r="P103" s="28"/>
      <c r="Q103" s="28"/>
      <c r="R103" s="28"/>
      <c r="S103" s="28"/>
      <c r="T103" s="28"/>
      <c r="U103" s="3"/>
      <c r="W103" s="3"/>
      <c r="X103" s="3"/>
      <c r="Y103" s="3"/>
      <c r="Z103" s="3"/>
    </row>
    <row r="104" spans="1:26" hidden="1" outlineLevel="1" x14ac:dyDescent="0.3">
      <c r="A104" s="3"/>
      <c r="B104" s="82" t="s">
        <v>353</v>
      </c>
      <c r="C104" s="83"/>
      <c r="D104" s="83"/>
      <c r="E104" s="84">
        <f>SUM(E105:E108)</f>
        <v>0</v>
      </c>
      <c r="F104" s="84">
        <f>SUMIF(D105:D108,"OK",F105:F108)</f>
        <v>0</v>
      </c>
      <c r="G104" s="85"/>
      <c r="H104" s="85"/>
      <c r="I104" s="86"/>
      <c r="J104" s="85"/>
      <c r="K104" s="28"/>
      <c r="L104" s="28"/>
      <c r="M104" s="28"/>
      <c r="N104" s="28"/>
      <c r="O104" s="28"/>
      <c r="P104" s="28"/>
      <c r="Q104" s="28"/>
      <c r="R104" s="28"/>
      <c r="S104" s="28"/>
      <c r="T104" s="28"/>
      <c r="U104" s="3"/>
      <c r="W104" s="3"/>
      <c r="X104" s="3"/>
      <c r="Y104" s="3"/>
      <c r="Z104" s="3"/>
    </row>
    <row r="105" spans="1:26" ht="14.4" hidden="1" outlineLevel="1" x14ac:dyDescent="0.3">
      <c r="A105" s="3"/>
      <c r="B105" s="9" t="s">
        <v>51</v>
      </c>
      <c r="C105" s="53"/>
      <c r="D105" s="53"/>
      <c r="E105" s="11">
        <v>0</v>
      </c>
      <c r="F105" s="11">
        <v>0</v>
      </c>
      <c r="G105" s="56"/>
      <c r="H105" s="56"/>
      <c r="I105" s="102"/>
      <c r="J105" s="56"/>
      <c r="K105" s="28"/>
      <c r="L105" s="28"/>
      <c r="M105" s="28"/>
      <c r="N105" s="28"/>
      <c r="O105" s="28"/>
      <c r="P105" s="28"/>
      <c r="Q105" s="28"/>
      <c r="R105" s="28"/>
      <c r="S105" s="28"/>
      <c r="T105" s="28"/>
      <c r="U105" s="3"/>
      <c r="W105" s="3"/>
      <c r="X105" s="3"/>
      <c r="Y105" s="3"/>
      <c r="Z105" s="3"/>
    </row>
    <row r="106" spans="1:26" ht="14.4" hidden="1" outlineLevel="1" x14ac:dyDescent="0.3">
      <c r="A106" s="3"/>
      <c r="B106" s="9" t="s">
        <v>51</v>
      </c>
      <c r="C106" s="53"/>
      <c r="D106" s="53"/>
      <c r="E106" s="11">
        <v>0</v>
      </c>
      <c r="F106" s="11">
        <v>0</v>
      </c>
      <c r="G106" s="56"/>
      <c r="H106" s="56"/>
      <c r="I106" s="102"/>
      <c r="J106" s="56"/>
      <c r="K106" s="28"/>
      <c r="L106" s="28"/>
      <c r="M106" s="28"/>
      <c r="N106" s="28"/>
      <c r="O106" s="28"/>
      <c r="P106" s="28"/>
      <c r="Q106" s="28"/>
      <c r="R106" s="28"/>
      <c r="S106" s="28"/>
      <c r="T106" s="28"/>
      <c r="U106" s="3"/>
      <c r="W106" s="3"/>
      <c r="X106" s="3"/>
      <c r="Y106" s="3"/>
      <c r="Z106" s="3"/>
    </row>
    <row r="107" spans="1:26" ht="14.4" hidden="1" outlineLevel="1" x14ac:dyDescent="0.3">
      <c r="A107" s="3"/>
      <c r="B107" s="9" t="s">
        <v>51</v>
      </c>
      <c r="C107" s="53"/>
      <c r="D107" s="53"/>
      <c r="E107" s="11">
        <v>0</v>
      </c>
      <c r="F107" s="11">
        <v>0</v>
      </c>
      <c r="G107" s="56"/>
      <c r="H107" s="56"/>
      <c r="I107" s="102"/>
      <c r="J107" s="56"/>
      <c r="K107" s="28"/>
      <c r="L107" s="28"/>
      <c r="M107" s="28"/>
      <c r="N107" s="28"/>
      <c r="O107" s="28"/>
      <c r="P107" s="28"/>
      <c r="Q107" s="28"/>
      <c r="R107" s="28"/>
      <c r="S107" s="28"/>
      <c r="T107" s="28"/>
      <c r="U107" s="3"/>
      <c r="W107" s="3"/>
      <c r="X107" s="3"/>
      <c r="Y107" s="3"/>
      <c r="Z107" s="3"/>
    </row>
    <row r="108" spans="1:26" ht="14.4" hidden="1" outlineLevel="1" x14ac:dyDescent="0.3">
      <c r="A108" s="3"/>
      <c r="B108" s="9" t="s">
        <v>51</v>
      </c>
      <c r="C108" s="53"/>
      <c r="D108" s="53"/>
      <c r="E108" s="11">
        <v>0</v>
      </c>
      <c r="F108" s="11">
        <v>0</v>
      </c>
      <c r="G108" s="80"/>
      <c r="H108" s="56"/>
      <c r="I108" s="102"/>
      <c r="J108" s="56"/>
      <c r="K108" s="28"/>
      <c r="L108" s="28"/>
      <c r="M108" s="28"/>
      <c r="N108" s="28"/>
      <c r="O108" s="28"/>
      <c r="P108" s="28"/>
      <c r="Q108" s="28"/>
      <c r="R108" s="28"/>
      <c r="S108" s="28"/>
      <c r="T108" s="28"/>
      <c r="U108" s="3"/>
      <c r="W108" s="3"/>
      <c r="X108" s="3"/>
      <c r="Y108" s="3"/>
      <c r="Z108" s="3"/>
    </row>
    <row r="109" spans="1:26" hidden="1" outlineLevel="1" x14ac:dyDescent="0.3">
      <c r="A109" s="3"/>
      <c r="B109" s="82" t="s">
        <v>357</v>
      </c>
      <c r="C109" s="83"/>
      <c r="D109" s="83"/>
      <c r="E109" s="84">
        <f>SUM(E110:E112)</f>
        <v>0</v>
      </c>
      <c r="F109" s="84">
        <f>SUMIF(D110:D112,"OK",F110:F112)</f>
        <v>0</v>
      </c>
      <c r="G109" s="85"/>
      <c r="H109" s="85"/>
      <c r="I109" s="86"/>
      <c r="J109" s="85"/>
      <c r="K109" s="28"/>
      <c r="L109" s="28"/>
      <c r="M109" s="28"/>
      <c r="N109" s="28"/>
      <c r="O109" s="28"/>
      <c r="P109" s="28"/>
      <c r="Q109" s="28"/>
      <c r="R109" s="28"/>
      <c r="S109" s="28"/>
      <c r="T109" s="28"/>
      <c r="U109" s="3"/>
      <c r="W109" s="3"/>
      <c r="X109" s="3"/>
      <c r="Y109" s="3"/>
      <c r="Z109" s="3"/>
    </row>
    <row r="110" spans="1:26" ht="14.4" hidden="1" outlineLevel="1" x14ac:dyDescent="0.3">
      <c r="A110" s="3"/>
      <c r="B110" s="9" t="s">
        <v>51</v>
      </c>
      <c r="C110" s="53"/>
      <c r="D110" s="53"/>
      <c r="E110" s="11">
        <v>0</v>
      </c>
      <c r="F110" s="11">
        <v>0</v>
      </c>
      <c r="G110" s="56"/>
      <c r="H110" s="56"/>
      <c r="I110" s="80"/>
      <c r="J110" s="56"/>
      <c r="K110" s="28"/>
      <c r="L110" s="28"/>
      <c r="M110" s="28"/>
      <c r="N110" s="28"/>
      <c r="O110" s="28"/>
      <c r="P110" s="28"/>
      <c r="Q110" s="28"/>
      <c r="R110" s="28"/>
      <c r="S110" s="28"/>
      <c r="T110" s="28"/>
      <c r="U110" s="3"/>
      <c r="W110" s="3"/>
      <c r="X110" s="3"/>
      <c r="Y110" s="3"/>
      <c r="Z110" s="3"/>
    </row>
    <row r="111" spans="1:26" ht="14.4" hidden="1" outlineLevel="1" x14ac:dyDescent="0.3">
      <c r="A111" s="3"/>
      <c r="B111" s="9" t="s">
        <v>51</v>
      </c>
      <c r="C111" s="53"/>
      <c r="D111" s="53"/>
      <c r="E111" s="11">
        <v>0</v>
      </c>
      <c r="F111" s="11">
        <v>0</v>
      </c>
      <c r="G111" s="56"/>
      <c r="H111" s="56"/>
      <c r="I111" s="80"/>
      <c r="J111" s="56"/>
      <c r="K111" s="28"/>
      <c r="L111" s="28"/>
      <c r="M111" s="28"/>
      <c r="N111" s="28"/>
      <c r="O111" s="28"/>
      <c r="P111" s="28"/>
      <c r="Q111" s="28"/>
      <c r="R111" s="28"/>
      <c r="S111" s="28"/>
      <c r="T111" s="28"/>
      <c r="U111" s="3"/>
      <c r="W111" s="3"/>
      <c r="X111" s="3"/>
      <c r="Y111" s="3"/>
      <c r="Z111" s="3"/>
    </row>
    <row r="112" spans="1:26" ht="14.4" hidden="1" outlineLevel="1" x14ac:dyDescent="0.3">
      <c r="A112" s="3"/>
      <c r="B112" s="9" t="s">
        <v>51</v>
      </c>
      <c r="C112" s="53"/>
      <c r="D112" s="53"/>
      <c r="E112" s="11">
        <v>0</v>
      </c>
      <c r="F112" s="11">
        <v>0</v>
      </c>
      <c r="G112" s="56"/>
      <c r="H112" s="56"/>
      <c r="I112" s="80"/>
      <c r="J112" s="56"/>
      <c r="K112" s="28"/>
      <c r="L112" s="28"/>
      <c r="M112" s="28"/>
      <c r="N112" s="28"/>
      <c r="O112" s="28"/>
      <c r="P112" s="28"/>
      <c r="Q112" s="28"/>
      <c r="R112" s="28"/>
      <c r="S112" s="28"/>
      <c r="T112" s="28"/>
      <c r="U112" s="3"/>
      <c r="W112" s="3"/>
      <c r="X112" s="3"/>
      <c r="Y112" s="3"/>
      <c r="Z112" s="3"/>
    </row>
    <row r="113" spans="1:26" ht="20.399999999999999" collapsed="1" x14ac:dyDescent="0.3">
      <c r="A113" s="3"/>
      <c r="B113" s="75" t="s">
        <v>358</v>
      </c>
      <c r="C113" s="76" t="s">
        <v>44</v>
      </c>
      <c r="D113" s="76" t="s">
        <v>44</v>
      </c>
      <c r="E113" s="77">
        <f t="shared" ref="E113:F113" si="1">SUM(E114,E121)</f>
        <v>0</v>
      </c>
      <c r="F113" s="77">
        <f t="shared" si="1"/>
        <v>6245.8499999999985</v>
      </c>
      <c r="G113" s="78"/>
      <c r="H113" s="78"/>
      <c r="I113" s="79"/>
      <c r="J113" s="78"/>
      <c r="K113" s="28"/>
      <c r="L113" s="28"/>
      <c r="M113" s="28"/>
      <c r="N113" s="28"/>
      <c r="O113" s="28"/>
      <c r="P113" s="28"/>
      <c r="Q113" s="28"/>
      <c r="R113" s="28"/>
      <c r="S113" s="28"/>
      <c r="T113" s="28"/>
      <c r="U113" s="3"/>
      <c r="W113" s="3"/>
      <c r="X113" s="3"/>
      <c r="Y113" s="3"/>
      <c r="Z113" s="3"/>
    </row>
    <row r="114" spans="1:26" hidden="1" outlineLevel="1" x14ac:dyDescent="0.3">
      <c r="A114" s="3"/>
      <c r="B114" s="82" t="s">
        <v>359</v>
      </c>
      <c r="C114" s="83"/>
      <c r="D114" s="83"/>
      <c r="E114" s="84">
        <f>SUM(E115:E120)</f>
        <v>0</v>
      </c>
      <c r="F114" s="84">
        <f>SUMIF(D115:D120,"OK",F115:F120)</f>
        <v>855.18999999999994</v>
      </c>
      <c r="G114" s="85"/>
      <c r="H114" s="85"/>
      <c r="I114" s="86"/>
      <c r="J114" s="85"/>
      <c r="K114" s="28"/>
      <c r="L114" s="28"/>
      <c r="M114" s="28"/>
      <c r="N114" s="28"/>
      <c r="O114" s="28"/>
      <c r="P114" s="28"/>
      <c r="Q114" s="28"/>
      <c r="R114" s="28"/>
      <c r="S114" s="28"/>
      <c r="T114" s="28"/>
      <c r="U114" s="3"/>
      <c r="W114" s="3"/>
      <c r="X114" s="3"/>
      <c r="Y114" s="3"/>
      <c r="Z114" s="3"/>
    </row>
    <row r="115" spans="1:26" ht="14.4" hidden="1" outlineLevel="1" x14ac:dyDescent="0.3">
      <c r="A115" s="3"/>
      <c r="B115" s="9" t="s">
        <v>987</v>
      </c>
      <c r="C115" s="53">
        <v>29</v>
      </c>
      <c r="D115" s="53" t="s">
        <v>95</v>
      </c>
      <c r="E115" s="11">
        <v>0</v>
      </c>
      <c r="F115" s="11">
        <v>60</v>
      </c>
      <c r="G115" s="80" t="s">
        <v>614</v>
      </c>
      <c r="H115" s="56" t="s">
        <v>37</v>
      </c>
      <c r="I115" s="102" t="s">
        <v>1210</v>
      </c>
      <c r="J115" s="56"/>
      <c r="K115" s="28"/>
      <c r="L115" s="28"/>
      <c r="M115" s="28"/>
      <c r="N115" s="28"/>
      <c r="O115" s="28"/>
      <c r="P115" s="28"/>
      <c r="Q115" s="28"/>
      <c r="R115" s="28"/>
      <c r="S115" s="28"/>
      <c r="T115" s="28"/>
      <c r="U115" s="3"/>
      <c r="W115" s="3"/>
      <c r="X115" s="3"/>
      <c r="Y115" s="3"/>
      <c r="Z115" s="3"/>
    </row>
    <row r="116" spans="1:26" ht="14.4" hidden="1" outlineLevel="1" x14ac:dyDescent="0.3">
      <c r="A116" s="3"/>
      <c r="B116" s="9" t="s">
        <v>987</v>
      </c>
      <c r="C116" s="53">
        <v>30</v>
      </c>
      <c r="D116" s="53" t="s">
        <v>95</v>
      </c>
      <c r="E116" s="11">
        <v>0</v>
      </c>
      <c r="F116" s="11">
        <v>226.72</v>
      </c>
      <c r="G116" s="56"/>
      <c r="H116" s="56" t="s">
        <v>37</v>
      </c>
      <c r="I116" s="102" t="s">
        <v>1211</v>
      </c>
      <c r="J116" s="56"/>
      <c r="K116" s="28"/>
      <c r="L116" s="28"/>
      <c r="M116" s="28"/>
      <c r="N116" s="28"/>
      <c r="O116" s="28"/>
      <c r="P116" s="28"/>
      <c r="Q116" s="28"/>
      <c r="R116" s="28"/>
      <c r="S116" s="28"/>
      <c r="T116" s="28"/>
      <c r="U116" s="3"/>
      <c r="W116" s="3"/>
      <c r="X116" s="3"/>
      <c r="Y116" s="3"/>
      <c r="Z116" s="3"/>
    </row>
    <row r="117" spans="1:26" ht="14.4" hidden="1" outlineLevel="1" x14ac:dyDescent="0.3">
      <c r="A117" s="3"/>
      <c r="B117" s="9" t="s">
        <v>987</v>
      </c>
      <c r="C117" s="53">
        <v>30</v>
      </c>
      <c r="D117" s="53" t="s">
        <v>95</v>
      </c>
      <c r="E117" s="11">
        <v>0</v>
      </c>
      <c r="F117" s="11">
        <v>384.8</v>
      </c>
      <c r="G117" s="56" t="s">
        <v>1212</v>
      </c>
      <c r="H117" s="56" t="s">
        <v>37</v>
      </c>
      <c r="I117" s="102" t="s">
        <v>1213</v>
      </c>
      <c r="J117" s="56"/>
      <c r="K117" s="28"/>
      <c r="L117" s="28"/>
      <c r="M117" s="28"/>
      <c r="N117" s="28"/>
      <c r="O117" s="28"/>
      <c r="P117" s="28"/>
      <c r="Q117" s="28"/>
      <c r="R117" s="28"/>
      <c r="S117" s="28"/>
      <c r="T117" s="28"/>
      <c r="U117" s="3"/>
      <c r="W117" s="3"/>
      <c r="X117" s="3"/>
      <c r="Y117" s="3"/>
      <c r="Z117" s="3"/>
    </row>
    <row r="118" spans="1:26" ht="14.4" hidden="1" outlineLevel="1" x14ac:dyDescent="0.3">
      <c r="A118" s="3"/>
      <c r="B118" s="9" t="s">
        <v>987</v>
      </c>
      <c r="C118" s="53">
        <v>30</v>
      </c>
      <c r="D118" s="53" t="s">
        <v>95</v>
      </c>
      <c r="E118" s="11">
        <v>0</v>
      </c>
      <c r="F118" s="11">
        <v>141</v>
      </c>
      <c r="G118" s="56" t="s">
        <v>1212</v>
      </c>
      <c r="H118" s="56" t="s">
        <v>37</v>
      </c>
      <c r="I118" s="102" t="s">
        <v>1214</v>
      </c>
      <c r="J118" s="56"/>
      <c r="K118" s="28"/>
      <c r="L118" s="28"/>
      <c r="M118" s="28"/>
      <c r="N118" s="28"/>
      <c r="O118" s="28"/>
      <c r="P118" s="28"/>
      <c r="Q118" s="28"/>
      <c r="R118" s="28"/>
      <c r="S118" s="28"/>
      <c r="T118" s="28"/>
      <c r="U118" s="3"/>
      <c r="W118" s="3"/>
      <c r="X118" s="3"/>
      <c r="Y118" s="3"/>
      <c r="Z118" s="3"/>
    </row>
    <row r="119" spans="1:26" ht="14.4" hidden="1" outlineLevel="1" x14ac:dyDescent="0.3">
      <c r="A119" s="3"/>
      <c r="B119" s="9" t="s">
        <v>987</v>
      </c>
      <c r="C119" s="53">
        <v>30</v>
      </c>
      <c r="D119" s="53" t="s">
        <v>95</v>
      </c>
      <c r="E119" s="11">
        <v>0</v>
      </c>
      <c r="F119" s="11">
        <v>18.670000000000002</v>
      </c>
      <c r="G119" s="56"/>
      <c r="H119" s="56" t="s">
        <v>37</v>
      </c>
      <c r="I119" s="102" t="s">
        <v>1215</v>
      </c>
      <c r="J119" s="56"/>
      <c r="K119" s="28"/>
      <c r="L119" s="28"/>
      <c r="M119" s="28"/>
      <c r="N119" s="28"/>
      <c r="O119" s="28"/>
      <c r="P119" s="28"/>
      <c r="Q119" s="28"/>
      <c r="R119" s="28"/>
      <c r="S119" s="28"/>
      <c r="T119" s="28"/>
      <c r="U119" s="3"/>
      <c r="W119" s="3"/>
      <c r="X119" s="3"/>
      <c r="Y119" s="3"/>
      <c r="Z119" s="3"/>
    </row>
    <row r="120" spans="1:26" ht="14.4" hidden="1" outlineLevel="1" x14ac:dyDescent="0.3">
      <c r="A120" s="3"/>
      <c r="B120" s="9" t="s">
        <v>1216</v>
      </c>
      <c r="C120" s="53">
        <v>30</v>
      </c>
      <c r="D120" s="53" t="s">
        <v>95</v>
      </c>
      <c r="E120" s="11">
        <v>0</v>
      </c>
      <c r="F120" s="11">
        <v>24</v>
      </c>
      <c r="G120" s="56"/>
      <c r="H120" s="56" t="s">
        <v>37</v>
      </c>
      <c r="I120" s="102" t="s">
        <v>1217</v>
      </c>
      <c r="J120" s="56"/>
      <c r="K120" s="28"/>
      <c r="L120" s="28"/>
      <c r="M120" s="28"/>
      <c r="N120" s="28"/>
      <c r="O120" s="28"/>
      <c r="P120" s="28"/>
      <c r="Q120" s="28"/>
      <c r="R120" s="28"/>
      <c r="S120" s="28"/>
      <c r="T120" s="28"/>
      <c r="U120" s="3"/>
      <c r="W120" s="3"/>
      <c r="X120" s="3"/>
      <c r="Y120" s="3"/>
      <c r="Z120" s="3"/>
    </row>
    <row r="121" spans="1:26" hidden="1" outlineLevel="1" x14ac:dyDescent="0.3">
      <c r="A121" s="3"/>
      <c r="B121" s="82" t="s">
        <v>633</v>
      </c>
      <c r="C121" s="83"/>
      <c r="D121" s="83"/>
      <c r="E121" s="84">
        <f>SUM(E122:E147)</f>
        <v>0</v>
      </c>
      <c r="F121" s="84">
        <f>SUMIF(D122:D147,"OK",F122:F147)</f>
        <v>5390.6599999999989</v>
      </c>
      <c r="G121" s="85"/>
      <c r="H121" s="85"/>
      <c r="I121" s="86"/>
      <c r="J121" s="85"/>
      <c r="K121" s="28"/>
      <c r="L121" s="28"/>
      <c r="M121" s="28"/>
      <c r="N121" s="28"/>
      <c r="O121" s="28"/>
      <c r="P121" s="28"/>
      <c r="Q121" s="28"/>
      <c r="R121" s="28"/>
      <c r="S121" s="28"/>
      <c r="T121" s="28"/>
      <c r="U121" s="3"/>
      <c r="W121" s="3"/>
      <c r="X121" s="3"/>
      <c r="Y121" s="3"/>
      <c r="Z121" s="3"/>
    </row>
    <row r="122" spans="1:26" ht="14.4" hidden="1" outlineLevel="1" x14ac:dyDescent="0.3">
      <c r="A122" s="3"/>
      <c r="B122" s="9" t="s">
        <v>1218</v>
      </c>
      <c r="C122" s="53">
        <v>1</v>
      </c>
      <c r="D122" s="53" t="s">
        <v>95</v>
      </c>
      <c r="E122" s="11">
        <v>0</v>
      </c>
      <c r="F122" s="11">
        <v>500</v>
      </c>
      <c r="G122" s="56"/>
      <c r="H122" s="56" t="s">
        <v>37</v>
      </c>
      <c r="I122" s="102" t="s">
        <v>1219</v>
      </c>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1220</v>
      </c>
      <c r="C123" s="53">
        <v>1</v>
      </c>
      <c r="D123" s="53" t="s">
        <v>95</v>
      </c>
      <c r="E123" s="11">
        <v>0</v>
      </c>
      <c r="F123" s="11">
        <v>1347.54</v>
      </c>
      <c r="G123" s="80" t="s">
        <v>1221</v>
      </c>
      <c r="H123" s="56" t="s">
        <v>37</v>
      </c>
      <c r="I123" s="102" t="s">
        <v>1222</v>
      </c>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1220</v>
      </c>
      <c r="C124" s="53">
        <v>1</v>
      </c>
      <c r="D124" s="53" t="s">
        <v>95</v>
      </c>
      <c r="E124" s="11">
        <v>0</v>
      </c>
      <c r="F124" s="11">
        <v>200</v>
      </c>
      <c r="G124" s="80" t="s">
        <v>367</v>
      </c>
      <c r="H124" s="56" t="s">
        <v>37</v>
      </c>
      <c r="I124" s="102" t="s">
        <v>1223</v>
      </c>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1220</v>
      </c>
      <c r="C125" s="53">
        <v>2</v>
      </c>
      <c r="D125" s="53" t="s">
        <v>95</v>
      </c>
      <c r="E125" s="11">
        <v>0</v>
      </c>
      <c r="F125" s="11">
        <v>409.76</v>
      </c>
      <c r="G125" s="80"/>
      <c r="H125" s="56" t="s">
        <v>37</v>
      </c>
      <c r="I125" s="102" t="s">
        <v>1224</v>
      </c>
      <c r="J125" s="56"/>
      <c r="K125" s="28"/>
      <c r="L125" s="28"/>
      <c r="M125" s="28"/>
      <c r="N125" s="28"/>
      <c r="O125" s="28"/>
      <c r="P125" s="28"/>
      <c r="Q125" s="28"/>
      <c r="R125" s="28"/>
      <c r="S125" s="28"/>
      <c r="T125" s="28"/>
      <c r="U125" s="3"/>
      <c r="W125" s="3"/>
      <c r="X125" s="3"/>
      <c r="Y125" s="3"/>
      <c r="Z125" s="3"/>
    </row>
    <row r="126" spans="1:26" ht="14.4" hidden="1" outlineLevel="1" x14ac:dyDescent="0.3">
      <c r="A126" s="3"/>
      <c r="B126" s="9" t="s">
        <v>1220</v>
      </c>
      <c r="C126" s="53">
        <v>2</v>
      </c>
      <c r="D126" s="53" t="s">
        <v>95</v>
      </c>
      <c r="E126" s="11">
        <v>0</v>
      </c>
      <c r="F126" s="11">
        <v>34.35</v>
      </c>
      <c r="G126" s="56"/>
      <c r="H126" s="56" t="s">
        <v>37</v>
      </c>
      <c r="I126" s="102" t="s">
        <v>1225</v>
      </c>
      <c r="J126" s="56"/>
      <c r="K126" s="28"/>
      <c r="L126" s="28"/>
      <c r="M126" s="28"/>
      <c r="N126" s="28"/>
      <c r="O126" s="28"/>
      <c r="P126" s="28"/>
      <c r="Q126" s="28"/>
      <c r="R126" s="28"/>
      <c r="S126" s="28"/>
      <c r="T126" s="28"/>
      <c r="U126" s="3"/>
      <c r="W126" s="3"/>
      <c r="X126" s="3"/>
      <c r="Y126" s="3"/>
      <c r="Z126" s="3"/>
    </row>
    <row r="127" spans="1:26" ht="14.4" hidden="1" outlineLevel="1" x14ac:dyDescent="0.3">
      <c r="A127" s="3"/>
      <c r="B127" s="9" t="s">
        <v>1220</v>
      </c>
      <c r="C127" s="53">
        <v>3</v>
      </c>
      <c r="D127" s="53" t="s">
        <v>95</v>
      </c>
      <c r="E127" s="11">
        <v>0</v>
      </c>
      <c r="F127" s="11">
        <v>75</v>
      </c>
      <c r="G127" s="56" t="s">
        <v>606</v>
      </c>
      <c r="H127" s="56" t="s">
        <v>37</v>
      </c>
      <c r="I127" s="102" t="s">
        <v>1226</v>
      </c>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1220</v>
      </c>
      <c r="C128" s="53"/>
      <c r="D128" s="53"/>
      <c r="E128" s="11">
        <v>0</v>
      </c>
      <c r="F128" s="11">
        <v>0</v>
      </c>
      <c r="G128" s="56"/>
      <c r="H128" s="56"/>
      <c r="I128" s="102"/>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1220</v>
      </c>
      <c r="C129" s="53"/>
      <c r="D129" s="53"/>
      <c r="E129" s="11">
        <v>0</v>
      </c>
      <c r="F129" s="11">
        <v>0</v>
      </c>
      <c r="G129" s="56"/>
      <c r="H129" s="56"/>
      <c r="I129" s="102"/>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1227</v>
      </c>
      <c r="C130" s="53">
        <v>2</v>
      </c>
      <c r="D130" s="53" t="s">
        <v>95</v>
      </c>
      <c r="E130" s="11">
        <v>0</v>
      </c>
      <c r="F130" s="11">
        <v>300</v>
      </c>
      <c r="G130" s="56" t="s">
        <v>1228</v>
      </c>
      <c r="H130" s="56" t="s">
        <v>37</v>
      </c>
      <c r="I130" s="102" t="s">
        <v>1229</v>
      </c>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1230</v>
      </c>
      <c r="C131" s="53">
        <v>2</v>
      </c>
      <c r="D131" s="53" t="s">
        <v>95</v>
      </c>
      <c r="E131" s="11">
        <v>0</v>
      </c>
      <c r="F131" s="11">
        <v>15</v>
      </c>
      <c r="G131" s="56"/>
      <c r="H131" s="56" t="s">
        <v>37</v>
      </c>
      <c r="I131" s="102" t="s">
        <v>1231</v>
      </c>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1230</v>
      </c>
      <c r="C132" s="53">
        <v>2</v>
      </c>
      <c r="D132" s="53" t="s">
        <v>95</v>
      </c>
      <c r="E132" s="11">
        <v>0</v>
      </c>
      <c r="F132" s="11">
        <v>170</v>
      </c>
      <c r="G132" s="56"/>
      <c r="H132" s="56" t="s">
        <v>37</v>
      </c>
      <c r="I132" s="102" t="s">
        <v>1232</v>
      </c>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1230</v>
      </c>
      <c r="C133" s="53">
        <v>7</v>
      </c>
      <c r="D133" s="53" t="s">
        <v>95</v>
      </c>
      <c r="E133" s="11">
        <v>0</v>
      </c>
      <c r="F133" s="11">
        <v>147.19999999999999</v>
      </c>
      <c r="G133" s="56"/>
      <c r="H133" s="56" t="s">
        <v>37</v>
      </c>
      <c r="I133" s="102" t="s">
        <v>1233</v>
      </c>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1234</v>
      </c>
      <c r="C134" s="53">
        <v>8</v>
      </c>
      <c r="D134" s="53" t="s">
        <v>95</v>
      </c>
      <c r="E134" s="11">
        <v>0</v>
      </c>
      <c r="F134" s="11">
        <v>364.24</v>
      </c>
      <c r="G134" s="56" t="s">
        <v>1221</v>
      </c>
      <c r="H134" s="56" t="s">
        <v>37</v>
      </c>
      <c r="I134" s="102" t="s">
        <v>1235</v>
      </c>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1234</v>
      </c>
      <c r="C135" s="53">
        <v>9</v>
      </c>
      <c r="D135" s="53" t="s">
        <v>95</v>
      </c>
      <c r="E135" s="11">
        <v>0</v>
      </c>
      <c r="F135" s="11">
        <v>97</v>
      </c>
      <c r="G135" s="56" t="s">
        <v>614</v>
      </c>
      <c r="H135" s="56" t="s">
        <v>37</v>
      </c>
      <c r="I135" s="102" t="s">
        <v>1236</v>
      </c>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1237</v>
      </c>
      <c r="C136" s="53">
        <v>9</v>
      </c>
      <c r="D136" s="53" t="s">
        <v>95</v>
      </c>
      <c r="E136" s="11">
        <v>0</v>
      </c>
      <c r="F136" s="11">
        <v>30</v>
      </c>
      <c r="G136" s="56" t="s">
        <v>1238</v>
      </c>
      <c r="H136" s="56" t="s">
        <v>37</v>
      </c>
      <c r="I136" s="102" t="s">
        <v>1239</v>
      </c>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1234</v>
      </c>
      <c r="C137" s="53">
        <v>13</v>
      </c>
      <c r="D137" s="53" t="s">
        <v>95</v>
      </c>
      <c r="E137" s="11">
        <v>0</v>
      </c>
      <c r="F137" s="11">
        <v>135.84</v>
      </c>
      <c r="G137" s="56"/>
      <c r="H137" s="56" t="s">
        <v>37</v>
      </c>
      <c r="I137" s="102" t="s">
        <v>1240</v>
      </c>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1234</v>
      </c>
      <c r="C138" s="53">
        <v>8</v>
      </c>
      <c r="D138" s="53" t="s">
        <v>95</v>
      </c>
      <c r="E138" s="11">
        <v>0</v>
      </c>
      <c r="F138" s="11">
        <v>190</v>
      </c>
      <c r="G138" s="56" t="s">
        <v>367</v>
      </c>
      <c r="H138" s="56" t="s">
        <v>37</v>
      </c>
      <c r="I138" s="102" t="s">
        <v>1241</v>
      </c>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1242</v>
      </c>
      <c r="C139" s="53">
        <v>8</v>
      </c>
      <c r="D139" s="53" t="s">
        <v>95</v>
      </c>
      <c r="E139" s="11">
        <v>0</v>
      </c>
      <c r="F139" s="11">
        <v>17.64</v>
      </c>
      <c r="G139" s="56"/>
      <c r="H139" s="56" t="s">
        <v>37</v>
      </c>
      <c r="I139" s="102" t="s">
        <v>1243</v>
      </c>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1242</v>
      </c>
      <c r="C140" s="53">
        <v>8</v>
      </c>
      <c r="D140" s="53" t="s">
        <v>95</v>
      </c>
      <c r="E140" s="11">
        <v>0</v>
      </c>
      <c r="F140" s="11">
        <v>67</v>
      </c>
      <c r="G140" s="56"/>
      <c r="H140" s="56" t="s">
        <v>37</v>
      </c>
      <c r="I140" s="102" t="s">
        <v>1244</v>
      </c>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1242</v>
      </c>
      <c r="C141" s="53">
        <v>8</v>
      </c>
      <c r="D141" s="53" t="s">
        <v>95</v>
      </c>
      <c r="E141" s="11">
        <v>0</v>
      </c>
      <c r="F141" s="11">
        <v>602.70000000000005</v>
      </c>
      <c r="G141" s="56"/>
      <c r="H141" s="56" t="s">
        <v>37</v>
      </c>
      <c r="I141" s="102" t="s">
        <v>1245</v>
      </c>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1242</v>
      </c>
      <c r="C142" s="53">
        <v>8</v>
      </c>
      <c r="D142" s="53" t="s">
        <v>95</v>
      </c>
      <c r="E142" s="11">
        <v>0</v>
      </c>
      <c r="F142" s="11">
        <v>111.82</v>
      </c>
      <c r="G142" s="56"/>
      <c r="H142" s="56" t="s">
        <v>37</v>
      </c>
      <c r="I142" s="102" t="s">
        <v>1246</v>
      </c>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1242</v>
      </c>
      <c r="C143" s="53">
        <v>8</v>
      </c>
      <c r="D143" s="53" t="s">
        <v>95</v>
      </c>
      <c r="E143" s="11">
        <v>0</v>
      </c>
      <c r="F143" s="11">
        <v>177.99</v>
      </c>
      <c r="G143" s="56"/>
      <c r="H143" s="56" t="s">
        <v>37</v>
      </c>
      <c r="I143" s="102" t="s">
        <v>1247</v>
      </c>
      <c r="J143" s="56"/>
      <c r="K143" s="28"/>
      <c r="L143" s="28"/>
      <c r="M143" s="28"/>
      <c r="N143" s="28"/>
      <c r="O143" s="28"/>
      <c r="P143" s="28"/>
      <c r="Q143" s="28"/>
      <c r="R143" s="28"/>
      <c r="S143" s="28"/>
      <c r="T143" s="28"/>
      <c r="U143" s="3"/>
      <c r="W143" s="3"/>
      <c r="X143" s="3"/>
      <c r="Y143" s="3"/>
      <c r="Z143" s="3"/>
    </row>
    <row r="144" spans="1:26" ht="14.4" hidden="1" outlineLevel="1" x14ac:dyDescent="0.3">
      <c r="A144" s="3"/>
      <c r="B144" s="9" t="s">
        <v>1242</v>
      </c>
      <c r="C144" s="53">
        <v>8</v>
      </c>
      <c r="D144" s="53" t="s">
        <v>95</v>
      </c>
      <c r="E144" s="11">
        <v>0</v>
      </c>
      <c r="F144" s="11">
        <v>134</v>
      </c>
      <c r="G144" s="56"/>
      <c r="H144" s="56" t="s">
        <v>37</v>
      </c>
      <c r="I144" s="102" t="s">
        <v>1248</v>
      </c>
      <c r="J144" s="56"/>
      <c r="K144" s="28"/>
      <c r="L144" s="28"/>
      <c r="M144" s="28"/>
      <c r="N144" s="28"/>
      <c r="O144" s="28"/>
      <c r="P144" s="28"/>
      <c r="Q144" s="28"/>
      <c r="R144" s="28"/>
      <c r="S144" s="28"/>
      <c r="T144" s="28"/>
      <c r="U144" s="3"/>
      <c r="W144" s="3"/>
      <c r="X144" s="3"/>
      <c r="Y144" s="3"/>
      <c r="Z144" s="3"/>
    </row>
    <row r="145" spans="1:26" ht="14.4" hidden="1" outlineLevel="1" x14ac:dyDescent="0.3">
      <c r="A145" s="3"/>
      <c r="B145" s="9" t="s">
        <v>1242</v>
      </c>
      <c r="C145" s="53">
        <v>8</v>
      </c>
      <c r="D145" s="53" t="s">
        <v>95</v>
      </c>
      <c r="E145" s="11">
        <v>0</v>
      </c>
      <c r="F145" s="11">
        <v>141.58000000000001</v>
      </c>
      <c r="G145" s="56"/>
      <c r="H145" s="56" t="s">
        <v>37</v>
      </c>
      <c r="I145" s="102" t="s">
        <v>1249</v>
      </c>
      <c r="J145" s="56"/>
      <c r="K145" s="28"/>
      <c r="L145" s="28"/>
      <c r="M145" s="28"/>
      <c r="N145" s="28"/>
      <c r="O145" s="28"/>
      <c r="P145" s="28"/>
      <c r="Q145" s="28"/>
      <c r="R145" s="28"/>
      <c r="S145" s="28"/>
      <c r="T145" s="28"/>
      <c r="U145" s="3"/>
      <c r="W145" s="3"/>
      <c r="X145" s="3"/>
      <c r="Y145" s="3"/>
      <c r="Z145" s="3"/>
    </row>
    <row r="146" spans="1:26" ht="14.4" hidden="1" outlineLevel="1" x14ac:dyDescent="0.3">
      <c r="A146" s="3"/>
      <c r="B146" s="9" t="s">
        <v>1242</v>
      </c>
      <c r="C146" s="53">
        <v>8</v>
      </c>
      <c r="D146" s="53" t="s">
        <v>95</v>
      </c>
      <c r="E146" s="11">
        <v>0</v>
      </c>
      <c r="F146" s="11">
        <v>32</v>
      </c>
      <c r="G146" s="56"/>
      <c r="H146" s="56" t="s">
        <v>37</v>
      </c>
      <c r="I146" s="102" t="s">
        <v>1250</v>
      </c>
      <c r="J146" s="56"/>
      <c r="K146" s="28"/>
      <c r="L146" s="28"/>
      <c r="M146" s="28"/>
      <c r="N146" s="28"/>
      <c r="O146" s="28"/>
      <c r="P146" s="28"/>
      <c r="Q146" s="28"/>
      <c r="R146" s="28"/>
      <c r="S146" s="28"/>
      <c r="T146" s="28"/>
      <c r="U146" s="3"/>
      <c r="W146" s="3"/>
      <c r="X146" s="3"/>
      <c r="Y146" s="3"/>
      <c r="Z146" s="3"/>
    </row>
    <row r="147" spans="1:26" ht="14.4" hidden="1" outlineLevel="1" x14ac:dyDescent="0.3">
      <c r="A147" s="3"/>
      <c r="B147" s="9" t="s">
        <v>1242</v>
      </c>
      <c r="C147" s="53">
        <v>8</v>
      </c>
      <c r="D147" s="53" t="s">
        <v>95</v>
      </c>
      <c r="E147" s="11">
        <v>0</v>
      </c>
      <c r="F147" s="11">
        <v>90</v>
      </c>
      <c r="G147" s="56"/>
      <c r="H147" s="56" t="s">
        <v>37</v>
      </c>
      <c r="I147" s="102" t="s">
        <v>1251</v>
      </c>
      <c r="J147" s="56"/>
      <c r="K147" s="28"/>
      <c r="L147" s="28"/>
      <c r="M147" s="28"/>
      <c r="N147" s="28"/>
      <c r="O147" s="28"/>
      <c r="P147" s="28"/>
      <c r="Q147" s="28"/>
      <c r="R147" s="28"/>
      <c r="S147" s="28"/>
      <c r="T147" s="28"/>
      <c r="U147" s="3"/>
      <c r="W147" s="3"/>
      <c r="X147" s="3"/>
      <c r="Y147" s="3"/>
      <c r="Z147" s="3"/>
    </row>
    <row r="148" spans="1:26" ht="20.399999999999999" collapsed="1" x14ac:dyDescent="0.3">
      <c r="A148" s="3"/>
      <c r="B148" s="75" t="s">
        <v>88</v>
      </c>
      <c r="C148" s="76" t="s">
        <v>44</v>
      </c>
      <c r="D148" s="76" t="s">
        <v>44</v>
      </c>
      <c r="E148" s="77">
        <f>SUM(E149:E157)</f>
        <v>0</v>
      </c>
      <c r="F148" s="77">
        <f>SUMIF(D149:D157,"OK",F149:F157)</f>
        <v>513.21</v>
      </c>
      <c r="G148" s="78"/>
      <c r="H148" s="78"/>
      <c r="I148" s="79"/>
      <c r="J148" s="78"/>
      <c r="K148" s="28"/>
      <c r="L148" s="28"/>
      <c r="M148" s="28"/>
      <c r="N148" s="28"/>
      <c r="O148" s="28"/>
      <c r="P148" s="28"/>
      <c r="Q148" s="28"/>
      <c r="R148" s="28"/>
      <c r="S148" s="28"/>
      <c r="T148" s="28"/>
      <c r="U148" s="3"/>
      <c r="W148" s="3"/>
      <c r="X148" s="3"/>
      <c r="Y148" s="3"/>
      <c r="Z148" s="3"/>
    </row>
    <row r="149" spans="1:26" ht="14.4" hidden="1" outlineLevel="1" x14ac:dyDescent="0.3">
      <c r="A149" s="3"/>
      <c r="B149" s="9" t="s">
        <v>1252</v>
      </c>
      <c r="C149" s="71">
        <v>8</v>
      </c>
      <c r="D149" s="53" t="s">
        <v>95</v>
      </c>
      <c r="E149" s="11">
        <v>0</v>
      </c>
      <c r="F149" s="11">
        <v>513.21</v>
      </c>
      <c r="G149" s="56" t="s">
        <v>1253</v>
      </c>
      <c r="H149" s="56" t="s">
        <v>37</v>
      </c>
      <c r="I149" s="102" t="s">
        <v>1254</v>
      </c>
      <c r="J149" s="80"/>
      <c r="K149" s="28"/>
      <c r="L149" s="28"/>
      <c r="M149" s="28"/>
      <c r="N149" s="28"/>
      <c r="O149" s="28"/>
      <c r="P149" s="28"/>
      <c r="Q149" s="28"/>
      <c r="R149" s="28"/>
      <c r="S149" s="28"/>
      <c r="T149" s="28"/>
      <c r="U149" s="3"/>
      <c r="W149" s="3"/>
      <c r="X149" s="3"/>
      <c r="Y149" s="3"/>
      <c r="Z149" s="3"/>
    </row>
    <row r="150" spans="1:26" ht="14.4" hidden="1" outlineLevel="1" x14ac:dyDescent="0.3">
      <c r="A150" s="3"/>
      <c r="B150" s="9" t="s">
        <v>355</v>
      </c>
      <c r="C150" s="53"/>
      <c r="D150" s="53"/>
      <c r="E150" s="11">
        <v>0</v>
      </c>
      <c r="F150" s="11">
        <v>0</v>
      </c>
      <c r="G150" s="80"/>
      <c r="H150" s="56"/>
      <c r="I150" s="102"/>
      <c r="J150" s="56"/>
      <c r="K150" s="28"/>
      <c r="L150" s="28"/>
      <c r="M150" s="28"/>
      <c r="N150" s="28"/>
      <c r="O150" s="28"/>
      <c r="P150" s="28"/>
      <c r="Q150" s="28"/>
      <c r="R150" s="28"/>
      <c r="S150" s="28"/>
      <c r="T150" s="28"/>
      <c r="U150" s="3"/>
      <c r="W150" s="3"/>
      <c r="X150" s="3"/>
      <c r="Y150" s="3"/>
      <c r="Z150" s="3"/>
    </row>
    <row r="151" spans="1:26" ht="14.4" hidden="1" outlineLevel="1" x14ac:dyDescent="0.3">
      <c r="A151" s="3"/>
      <c r="B151" s="9" t="s">
        <v>356</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14.4" hidden="1" outlineLevel="1" x14ac:dyDescent="0.3">
      <c r="A152" s="3"/>
      <c r="B152" s="9" t="s">
        <v>370</v>
      </c>
      <c r="C152" s="53"/>
      <c r="D152" s="53"/>
      <c r="E152" s="11">
        <v>0</v>
      </c>
      <c r="F152" s="11">
        <v>0</v>
      </c>
      <c r="G152" s="56"/>
      <c r="H152" s="56"/>
      <c r="I152" s="80"/>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328</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329</v>
      </c>
      <c r="C154" s="53"/>
      <c r="D154" s="53"/>
      <c r="E154" s="11">
        <v>0</v>
      </c>
      <c r="F154" s="11">
        <v>0</v>
      </c>
      <c r="G154" s="56"/>
      <c r="H154" s="56"/>
      <c r="I154" s="80"/>
      <c r="J154" s="56"/>
      <c r="K154" s="28"/>
      <c r="L154" s="28"/>
      <c r="M154" s="28"/>
      <c r="N154" s="28"/>
      <c r="O154" s="28"/>
      <c r="P154" s="28"/>
      <c r="Q154" s="28"/>
      <c r="R154" s="28"/>
      <c r="S154" s="28"/>
      <c r="T154" s="28"/>
      <c r="U154" s="3"/>
      <c r="W154" s="3"/>
      <c r="X154" s="3"/>
      <c r="Y154" s="3"/>
      <c r="Z154" s="3"/>
    </row>
    <row r="155" spans="1:26" ht="14.4" hidden="1" outlineLevel="1" x14ac:dyDescent="0.3">
      <c r="A155" s="3"/>
      <c r="B155" s="9" t="s">
        <v>371</v>
      </c>
      <c r="C155" s="53"/>
      <c r="D155" s="53"/>
      <c r="E155" s="11">
        <v>0</v>
      </c>
      <c r="F155" s="11">
        <v>0</v>
      </c>
      <c r="G155" s="56"/>
      <c r="H155" s="56"/>
      <c r="I155" s="80"/>
      <c r="J155" s="56"/>
      <c r="K155" s="28"/>
      <c r="L155" s="28"/>
      <c r="M155" s="28"/>
      <c r="N155" s="28"/>
      <c r="O155" s="28"/>
      <c r="P155" s="28"/>
      <c r="Q155" s="28"/>
      <c r="R155" s="28"/>
      <c r="S155" s="28"/>
      <c r="T155" s="28"/>
      <c r="U155" s="3"/>
      <c r="W155" s="3"/>
      <c r="X155" s="3"/>
      <c r="Y155" s="3"/>
      <c r="Z155" s="3"/>
    </row>
    <row r="156" spans="1:26" ht="14.4" hidden="1" outlineLevel="1" x14ac:dyDescent="0.3">
      <c r="A156" s="3"/>
      <c r="B156" s="9" t="s">
        <v>372</v>
      </c>
      <c r="C156" s="53"/>
      <c r="D156" s="53"/>
      <c r="E156" s="11">
        <v>0</v>
      </c>
      <c r="F156" s="11">
        <v>0</v>
      </c>
      <c r="G156" s="56"/>
      <c r="H156" s="56"/>
      <c r="I156" s="80"/>
      <c r="J156" s="56"/>
      <c r="K156" s="28"/>
      <c r="L156" s="28"/>
      <c r="M156" s="28"/>
      <c r="N156" s="28"/>
      <c r="O156" s="28"/>
      <c r="P156" s="28"/>
      <c r="Q156" s="28"/>
      <c r="R156" s="28"/>
      <c r="S156" s="28"/>
      <c r="T156" s="28"/>
      <c r="U156" s="3"/>
      <c r="W156" s="3"/>
      <c r="X156" s="3"/>
      <c r="Y156" s="3"/>
      <c r="Z156" s="3"/>
    </row>
    <row r="157" spans="1:26" ht="14.4" hidden="1" outlineLevel="1" x14ac:dyDescent="0.3">
      <c r="A157" s="3"/>
      <c r="B157" s="9" t="s">
        <v>373</v>
      </c>
      <c r="C157" s="53"/>
      <c r="D157" s="53"/>
      <c r="E157" s="11">
        <v>0</v>
      </c>
      <c r="F157" s="11">
        <v>0</v>
      </c>
      <c r="G157" s="56"/>
      <c r="H157" s="56"/>
      <c r="I157" s="80"/>
      <c r="J157" s="56"/>
      <c r="K157" s="28"/>
      <c r="L157" s="28"/>
      <c r="M157" s="28"/>
      <c r="N157" s="28"/>
      <c r="O157" s="28"/>
      <c r="P157" s="28"/>
      <c r="Q157" s="28"/>
      <c r="R157" s="28"/>
      <c r="S157" s="28"/>
      <c r="T157" s="28"/>
      <c r="U157" s="3"/>
      <c r="W157" s="3"/>
      <c r="X157" s="3"/>
      <c r="Y157" s="3"/>
      <c r="Z157" s="3"/>
    </row>
    <row r="158" spans="1:26" ht="20.399999999999999" collapsed="1" x14ac:dyDescent="0.3">
      <c r="A158" s="3"/>
      <c r="B158" s="75" t="s">
        <v>89</v>
      </c>
      <c r="C158" s="76" t="s">
        <v>44</v>
      </c>
      <c r="D158" s="76" t="s">
        <v>44</v>
      </c>
      <c r="E158" s="77">
        <f t="shared" ref="E158:F158" si="2">SUM(E159,E165,E171,E177)</f>
        <v>0</v>
      </c>
      <c r="F158" s="77">
        <f t="shared" si="2"/>
        <v>1202.08</v>
      </c>
      <c r="G158" s="78"/>
      <c r="H158" s="78"/>
      <c r="I158" s="79"/>
      <c r="J158" s="78"/>
      <c r="K158" s="28"/>
      <c r="L158" s="28"/>
      <c r="M158" s="28"/>
      <c r="N158" s="28"/>
      <c r="O158" s="28"/>
      <c r="P158" s="28"/>
      <c r="Q158" s="28"/>
      <c r="R158" s="28"/>
      <c r="S158" s="28"/>
      <c r="T158" s="28"/>
      <c r="U158" s="3"/>
      <c r="W158" s="3"/>
      <c r="X158" s="3"/>
      <c r="Y158" s="3"/>
      <c r="Z158" s="3"/>
    </row>
    <row r="159" spans="1:26" hidden="1" outlineLevel="1" x14ac:dyDescent="0.3">
      <c r="A159" s="3"/>
      <c r="B159" s="82" t="s">
        <v>381</v>
      </c>
      <c r="C159" s="83"/>
      <c r="D159" s="83"/>
      <c r="E159" s="84">
        <f>SUM(E160:E164)</f>
        <v>0</v>
      </c>
      <c r="F159" s="84">
        <f>SUMIF(D160:D164,"OK",F160:F164)</f>
        <v>1202.08</v>
      </c>
      <c r="G159" s="85"/>
      <c r="H159" s="85"/>
      <c r="I159" s="86"/>
      <c r="J159" s="85"/>
      <c r="K159" s="28"/>
      <c r="L159" s="28"/>
      <c r="M159" s="28"/>
      <c r="N159" s="28"/>
      <c r="O159" s="28"/>
      <c r="P159" s="28"/>
      <c r="Q159" s="28"/>
      <c r="R159" s="28"/>
      <c r="S159" s="28"/>
      <c r="T159" s="28"/>
      <c r="U159" s="3"/>
      <c r="W159" s="3"/>
      <c r="X159" s="3"/>
      <c r="Y159" s="3"/>
      <c r="Z159" s="3"/>
    </row>
    <row r="160" spans="1:26" ht="14.4" hidden="1" outlineLevel="1" x14ac:dyDescent="0.3">
      <c r="A160" s="3"/>
      <c r="B160" s="9" t="s">
        <v>845</v>
      </c>
      <c r="C160" s="53">
        <v>15</v>
      </c>
      <c r="D160" s="53" t="s">
        <v>95</v>
      </c>
      <c r="E160" s="11">
        <v>0</v>
      </c>
      <c r="F160" s="11">
        <v>537</v>
      </c>
      <c r="G160" s="56" t="s">
        <v>1255</v>
      </c>
      <c r="H160" s="56" t="s">
        <v>37</v>
      </c>
      <c r="I160" s="102" t="s">
        <v>1256</v>
      </c>
      <c r="J160" s="56"/>
      <c r="K160" s="28"/>
      <c r="L160" s="28"/>
      <c r="M160" s="28"/>
      <c r="N160" s="28"/>
      <c r="O160" s="28"/>
      <c r="P160" s="28"/>
      <c r="Q160" s="28"/>
      <c r="R160" s="28"/>
      <c r="S160" s="28"/>
      <c r="T160" s="28"/>
      <c r="U160" s="3"/>
      <c r="W160" s="3"/>
      <c r="X160" s="3"/>
      <c r="Y160" s="3"/>
      <c r="Z160" s="3"/>
    </row>
    <row r="161" spans="1:26" ht="14.4" hidden="1" outlineLevel="1" x14ac:dyDescent="0.3">
      <c r="A161" s="3"/>
      <c r="B161" s="9" t="s">
        <v>851</v>
      </c>
      <c r="C161" s="53">
        <v>8</v>
      </c>
      <c r="D161" s="53" t="s">
        <v>95</v>
      </c>
      <c r="E161" s="11">
        <v>0</v>
      </c>
      <c r="F161" s="11">
        <v>665.08</v>
      </c>
      <c r="G161" s="56" t="s">
        <v>1257</v>
      </c>
      <c r="H161" s="56" t="s">
        <v>37</v>
      </c>
      <c r="I161" s="102" t="s">
        <v>1258</v>
      </c>
      <c r="J161" s="56"/>
      <c r="K161" s="28"/>
      <c r="L161" s="28"/>
      <c r="M161" s="28"/>
      <c r="N161" s="28"/>
      <c r="O161" s="28"/>
      <c r="P161" s="28"/>
      <c r="Q161" s="28"/>
      <c r="R161" s="28"/>
      <c r="S161" s="28"/>
      <c r="T161" s="28"/>
      <c r="U161" s="3"/>
      <c r="W161" s="3"/>
      <c r="X161" s="3"/>
      <c r="Y161" s="3"/>
      <c r="Z161" s="3"/>
    </row>
    <row r="162" spans="1:26" ht="14.4" hidden="1" outlineLevel="1" x14ac:dyDescent="0.3">
      <c r="A162" s="3"/>
      <c r="B162" s="9" t="s">
        <v>356</v>
      </c>
      <c r="C162" s="53"/>
      <c r="D162" s="53"/>
      <c r="E162" s="11">
        <v>0</v>
      </c>
      <c r="F162" s="11">
        <v>0</v>
      </c>
      <c r="G162" s="56"/>
      <c r="H162" s="56"/>
      <c r="I162" s="80"/>
      <c r="J162" s="56"/>
      <c r="K162" s="28"/>
      <c r="L162" s="28"/>
      <c r="M162" s="28"/>
      <c r="N162" s="28"/>
      <c r="O162" s="28"/>
      <c r="P162" s="28"/>
      <c r="Q162" s="28"/>
      <c r="R162" s="28"/>
      <c r="S162" s="28"/>
      <c r="T162" s="28"/>
      <c r="U162" s="3"/>
      <c r="W162" s="3"/>
      <c r="X162" s="3"/>
      <c r="Y162" s="3"/>
      <c r="Z162" s="3"/>
    </row>
    <row r="163" spans="1:26" ht="14.4" hidden="1" outlineLevel="1" x14ac:dyDescent="0.3">
      <c r="A163" s="3"/>
      <c r="B163" s="9" t="s">
        <v>370</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4.4" hidden="1" outlineLevel="1" x14ac:dyDescent="0.3">
      <c r="A164" s="3"/>
      <c r="B164" s="9" t="s">
        <v>328</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idden="1" outlineLevel="1" x14ac:dyDescent="0.3">
      <c r="A165" s="3"/>
      <c r="B165" s="82" t="s">
        <v>644</v>
      </c>
      <c r="C165" s="83"/>
      <c r="D165" s="83"/>
      <c r="E165" s="84">
        <f>SUM(E166:E170)</f>
        <v>0</v>
      </c>
      <c r="F165" s="84">
        <f>SUMIF(D166:D170,"OK",F166:F170)</f>
        <v>0</v>
      </c>
      <c r="G165" s="85"/>
      <c r="H165" s="85"/>
      <c r="I165" s="86"/>
      <c r="J165" s="85"/>
      <c r="K165" s="28"/>
      <c r="L165" s="28"/>
      <c r="M165" s="28"/>
      <c r="N165" s="28"/>
      <c r="O165" s="28"/>
      <c r="P165" s="28"/>
      <c r="Q165" s="28"/>
      <c r="R165" s="28"/>
      <c r="S165" s="28"/>
      <c r="T165" s="28"/>
      <c r="U165" s="3"/>
      <c r="W165" s="3"/>
      <c r="X165" s="3"/>
      <c r="Y165" s="3"/>
      <c r="Z165" s="3"/>
    </row>
    <row r="166" spans="1:26" ht="14.4" hidden="1" outlineLevel="1" x14ac:dyDescent="0.3">
      <c r="A166" s="3"/>
      <c r="B166" s="9" t="s">
        <v>354</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355</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t="14.4" hidden="1" outlineLevel="1" x14ac:dyDescent="0.3">
      <c r="A168" s="3"/>
      <c r="B168" s="9" t="s">
        <v>356</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t="14.4" hidden="1" outlineLevel="1" x14ac:dyDescent="0.3">
      <c r="A169" s="3"/>
      <c r="B169" s="9" t="s">
        <v>370</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hidden="1" outlineLevel="1" x14ac:dyDescent="0.3">
      <c r="A170" s="3"/>
      <c r="B170" s="9" t="s">
        <v>328</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idden="1" outlineLevel="1" x14ac:dyDescent="0.3">
      <c r="A171" s="3"/>
      <c r="B171" s="82" t="s">
        <v>382</v>
      </c>
      <c r="C171" s="83"/>
      <c r="D171" s="83"/>
      <c r="E171" s="84">
        <f>SUM(E172:E176)</f>
        <v>0</v>
      </c>
      <c r="F171" s="84">
        <f>SUMIF(D172:D176,"OK",F172:F176)</f>
        <v>0</v>
      </c>
      <c r="G171" s="85"/>
      <c r="H171" s="85"/>
      <c r="I171" s="86"/>
      <c r="J171" s="85"/>
      <c r="K171" s="28"/>
      <c r="L171" s="28"/>
      <c r="M171" s="28"/>
      <c r="N171" s="28"/>
      <c r="O171" s="28"/>
      <c r="P171" s="28"/>
      <c r="Q171" s="28"/>
      <c r="R171" s="28"/>
      <c r="S171" s="28"/>
      <c r="T171" s="28"/>
      <c r="U171" s="3"/>
      <c r="W171" s="3"/>
      <c r="X171" s="3"/>
      <c r="Y171" s="3"/>
      <c r="Z171" s="3"/>
    </row>
    <row r="172" spans="1:26" ht="14.4" hidden="1" outlineLevel="1" x14ac:dyDescent="0.3">
      <c r="A172" s="3"/>
      <c r="B172" s="9" t="s">
        <v>354</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355</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14.4" hidden="1" outlineLevel="1" x14ac:dyDescent="0.3">
      <c r="A174" s="3"/>
      <c r="B174" s="9" t="s">
        <v>356</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14.4" hidden="1" outlineLevel="1" x14ac:dyDescent="0.3">
      <c r="A175" s="3"/>
      <c r="B175" s="9" t="s">
        <v>370</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4.4" hidden="1" outlineLevel="1" x14ac:dyDescent="0.3">
      <c r="A176" s="3"/>
      <c r="B176" s="9" t="s">
        <v>328</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idden="1" outlineLevel="1" x14ac:dyDescent="0.3">
      <c r="A177" s="3"/>
      <c r="B177" s="82" t="s">
        <v>383</v>
      </c>
      <c r="C177" s="83"/>
      <c r="D177" s="83"/>
      <c r="E177" s="84">
        <f>SUM(E178:E182)</f>
        <v>0</v>
      </c>
      <c r="F177" s="84">
        <f>SUMIF(D178:D182,"OK",F178:F182)</f>
        <v>0</v>
      </c>
      <c r="G177" s="85"/>
      <c r="H177" s="85"/>
      <c r="I177" s="86"/>
      <c r="J177" s="85"/>
      <c r="K177" s="28"/>
      <c r="L177" s="28"/>
      <c r="M177" s="28"/>
      <c r="N177" s="28"/>
      <c r="O177" s="28"/>
      <c r="P177" s="28"/>
      <c r="Q177" s="28"/>
      <c r="R177" s="28"/>
      <c r="S177" s="28"/>
      <c r="T177" s="28"/>
      <c r="U177" s="3"/>
      <c r="W177" s="3"/>
      <c r="X177" s="3"/>
      <c r="Y177" s="3"/>
      <c r="Z177" s="3"/>
    </row>
    <row r="178" spans="1:26" ht="14.4" hidden="1" outlineLevel="1" x14ac:dyDescent="0.3">
      <c r="A178" s="3"/>
      <c r="B178" s="9" t="s">
        <v>354</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355</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4.4" hidden="1" outlineLevel="1" x14ac:dyDescent="0.3">
      <c r="A180" s="3"/>
      <c r="B180" s="9" t="s">
        <v>356</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14.4" hidden="1" outlineLevel="1" x14ac:dyDescent="0.3">
      <c r="A181" s="3"/>
      <c r="B181" s="9" t="s">
        <v>370</v>
      </c>
      <c r="C181" s="53"/>
      <c r="D181" s="53"/>
      <c r="E181" s="11">
        <v>0</v>
      </c>
      <c r="F181" s="11">
        <v>0</v>
      </c>
      <c r="G181" s="56"/>
      <c r="H181" s="56"/>
      <c r="I181" s="80"/>
      <c r="J181" s="56"/>
      <c r="K181" s="28"/>
      <c r="L181" s="28"/>
      <c r="M181" s="28"/>
      <c r="N181" s="28"/>
      <c r="O181" s="28"/>
      <c r="P181" s="28"/>
      <c r="Q181" s="28"/>
      <c r="R181" s="28"/>
      <c r="S181" s="28"/>
      <c r="T181" s="28"/>
      <c r="U181" s="3"/>
      <c r="W181" s="3"/>
      <c r="X181" s="3"/>
      <c r="Y181" s="3"/>
      <c r="Z181" s="3"/>
    </row>
    <row r="182" spans="1:26" ht="14.4" hidden="1" outlineLevel="1" x14ac:dyDescent="0.3">
      <c r="A182" s="3"/>
      <c r="B182" s="9" t="s">
        <v>328</v>
      </c>
      <c r="C182" s="53"/>
      <c r="D182" s="53"/>
      <c r="E182" s="11">
        <v>0</v>
      </c>
      <c r="F182" s="11">
        <v>0</v>
      </c>
      <c r="G182" s="56"/>
      <c r="H182" s="56"/>
      <c r="I182" s="80"/>
      <c r="J182" s="56"/>
      <c r="K182" s="28"/>
      <c r="L182" s="28"/>
      <c r="M182" s="28"/>
      <c r="N182" s="28"/>
      <c r="O182" s="28"/>
      <c r="P182" s="28"/>
      <c r="Q182" s="28"/>
      <c r="R182" s="28"/>
      <c r="S182" s="28"/>
      <c r="T182" s="28"/>
      <c r="U182" s="3"/>
      <c r="W182" s="3"/>
      <c r="X182" s="3"/>
      <c r="Y182" s="3"/>
      <c r="Z182" s="3"/>
    </row>
    <row r="183" spans="1:26" ht="20.399999999999999" collapsed="1" x14ac:dyDescent="0.3">
      <c r="A183" s="3"/>
      <c r="B183" s="75" t="s">
        <v>384</v>
      </c>
      <c r="C183" s="76" t="s">
        <v>44</v>
      </c>
      <c r="D183" s="76" t="s">
        <v>44</v>
      </c>
      <c r="E183" s="77">
        <f>SUM(E184:E188)</f>
        <v>0</v>
      </c>
      <c r="F183" s="77">
        <f>SUMIF(D184:D188,"OK",F184:F188)</f>
        <v>0</v>
      </c>
      <c r="G183" s="78"/>
      <c r="H183" s="78"/>
      <c r="I183" s="79"/>
      <c r="J183" s="78"/>
      <c r="K183" s="28"/>
      <c r="L183" s="28"/>
      <c r="M183" s="28"/>
      <c r="N183" s="28"/>
      <c r="O183" s="28"/>
      <c r="P183" s="28"/>
      <c r="Q183" s="28"/>
      <c r="R183" s="28"/>
      <c r="S183" s="28"/>
      <c r="T183" s="28"/>
      <c r="U183" s="3"/>
      <c r="W183" s="3"/>
      <c r="X183" s="3"/>
      <c r="Y183" s="3"/>
      <c r="Z183" s="3"/>
    </row>
    <row r="184" spans="1:26" ht="14.4" hidden="1" outlineLevel="1" x14ac:dyDescent="0.3">
      <c r="A184" s="3"/>
      <c r="B184" s="9" t="s">
        <v>354</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355</v>
      </c>
      <c r="C185" s="53"/>
      <c r="D185" s="53"/>
      <c r="E185" s="11">
        <v>0</v>
      </c>
      <c r="F185" s="11">
        <v>0</v>
      </c>
      <c r="G185" s="56"/>
      <c r="H185" s="56"/>
      <c r="I185" s="80"/>
      <c r="J185" s="56"/>
      <c r="K185" s="28"/>
      <c r="L185" s="28"/>
      <c r="M185" s="28"/>
      <c r="N185" s="28"/>
      <c r="O185" s="28"/>
      <c r="P185" s="28"/>
      <c r="Q185" s="28"/>
      <c r="R185" s="28"/>
      <c r="S185" s="28"/>
      <c r="T185" s="28"/>
      <c r="U185" s="3"/>
      <c r="W185" s="3"/>
      <c r="X185" s="3"/>
      <c r="Y185" s="3"/>
      <c r="Z185" s="3"/>
    </row>
    <row r="186" spans="1:26" ht="14.4" hidden="1" outlineLevel="1" x14ac:dyDescent="0.3">
      <c r="A186" s="3"/>
      <c r="B186" s="9" t="s">
        <v>356</v>
      </c>
      <c r="C186" s="53"/>
      <c r="D186" s="53"/>
      <c r="E186" s="11">
        <v>0</v>
      </c>
      <c r="F186" s="11">
        <v>0</v>
      </c>
      <c r="G186" s="56"/>
      <c r="H186" s="56"/>
      <c r="I186" s="80"/>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370</v>
      </c>
      <c r="C187" s="53"/>
      <c r="D187" s="53"/>
      <c r="E187" s="11">
        <v>0</v>
      </c>
      <c r="F187" s="11">
        <v>0</v>
      </c>
      <c r="G187" s="56"/>
      <c r="H187" s="56"/>
      <c r="I187" s="80"/>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328</v>
      </c>
      <c r="C188" s="53"/>
      <c r="D188" s="53"/>
      <c r="E188" s="11">
        <v>0</v>
      </c>
      <c r="F188" s="11">
        <v>0</v>
      </c>
      <c r="G188" s="56"/>
      <c r="H188" s="56"/>
      <c r="I188" s="80"/>
      <c r="J188" s="56"/>
      <c r="K188" s="28"/>
      <c r="L188" s="28"/>
      <c r="M188" s="28"/>
      <c r="N188" s="28"/>
      <c r="O188" s="28"/>
      <c r="P188" s="28"/>
      <c r="Q188" s="28"/>
      <c r="R188" s="28"/>
      <c r="S188" s="28"/>
      <c r="T188" s="28"/>
      <c r="U188" s="3"/>
      <c r="W188" s="3"/>
      <c r="X188" s="3"/>
      <c r="Y188" s="3"/>
      <c r="Z188" s="3"/>
    </row>
    <row r="189" spans="1:26" ht="20.399999999999999" collapsed="1" x14ac:dyDescent="0.3">
      <c r="A189" s="3"/>
      <c r="B189" s="75" t="s">
        <v>385</v>
      </c>
      <c r="C189" s="76" t="s">
        <v>44</v>
      </c>
      <c r="D189" s="76" t="s">
        <v>44</v>
      </c>
      <c r="E189" s="77">
        <f>SUM(E190:E217)</f>
        <v>0</v>
      </c>
      <c r="F189" s="77">
        <f>SUMIF(D190:D217,"OK",F190:F217)</f>
        <v>129.13999999999999</v>
      </c>
      <c r="G189" s="78"/>
      <c r="H189" s="78"/>
      <c r="I189" s="79"/>
      <c r="J189" s="78"/>
      <c r="K189" s="28"/>
      <c r="L189" s="28"/>
      <c r="M189" s="28"/>
      <c r="N189" s="28"/>
      <c r="O189" s="28"/>
      <c r="P189" s="28"/>
      <c r="Q189" s="28"/>
      <c r="R189" s="28"/>
      <c r="S189" s="28"/>
      <c r="T189" s="28"/>
      <c r="U189" s="3"/>
      <c r="W189" s="3"/>
      <c r="X189" s="3"/>
      <c r="Y189" s="3"/>
      <c r="Z189" s="3"/>
    </row>
    <row r="190" spans="1:26" ht="14.4" hidden="1" outlineLevel="1" x14ac:dyDescent="0.3">
      <c r="A190" s="3"/>
      <c r="B190" s="9" t="s">
        <v>1259</v>
      </c>
      <c r="C190" s="71">
        <v>1</v>
      </c>
      <c r="D190" s="53" t="s">
        <v>95</v>
      </c>
      <c r="E190" s="11">
        <v>0</v>
      </c>
      <c r="F190" s="11">
        <v>129.13999999999999</v>
      </c>
      <c r="G190" s="80"/>
      <c r="H190" s="56" t="s">
        <v>37</v>
      </c>
      <c r="I190" s="102" t="s">
        <v>1260</v>
      </c>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51</v>
      </c>
      <c r="C191" s="53"/>
      <c r="D191" s="53"/>
      <c r="E191" s="11">
        <v>0</v>
      </c>
      <c r="F191" s="11">
        <v>0</v>
      </c>
      <c r="G191" s="80"/>
      <c r="H191" s="56"/>
      <c r="I191" s="102"/>
      <c r="J191" s="80"/>
      <c r="K191" s="28"/>
      <c r="L191" s="28"/>
      <c r="M191" s="28"/>
      <c r="N191" s="28"/>
      <c r="O191" s="28"/>
      <c r="P191" s="28"/>
      <c r="Q191" s="28"/>
      <c r="R191" s="28"/>
      <c r="S191" s="28"/>
      <c r="T191" s="28"/>
      <c r="U191" s="3"/>
      <c r="W191" s="3"/>
      <c r="X191" s="3"/>
      <c r="Y191" s="3"/>
      <c r="Z191" s="3"/>
    </row>
    <row r="192" spans="1:26" ht="14.4" hidden="1" outlineLevel="1" x14ac:dyDescent="0.3">
      <c r="A192" s="3"/>
      <c r="B192" s="9" t="s">
        <v>51</v>
      </c>
      <c r="C192" s="53"/>
      <c r="D192" s="53"/>
      <c r="E192" s="11">
        <v>0</v>
      </c>
      <c r="F192" s="11">
        <v>0</v>
      </c>
      <c r="G192" s="56"/>
      <c r="H192" s="56"/>
      <c r="I192" s="102"/>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51</v>
      </c>
      <c r="C193" s="53"/>
      <c r="D193" s="53"/>
      <c r="E193" s="11">
        <v>0</v>
      </c>
      <c r="F193" s="11">
        <v>0</v>
      </c>
      <c r="G193" s="80"/>
      <c r="H193" s="56"/>
      <c r="I193" s="102"/>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51</v>
      </c>
      <c r="C194" s="53"/>
      <c r="D194" s="53"/>
      <c r="E194" s="11">
        <v>0</v>
      </c>
      <c r="F194" s="11">
        <v>0</v>
      </c>
      <c r="G194" s="56"/>
      <c r="H194" s="56"/>
      <c r="I194" s="102"/>
      <c r="J194" s="56"/>
      <c r="K194" s="28"/>
      <c r="L194" s="28"/>
      <c r="M194" s="28"/>
      <c r="N194" s="28"/>
      <c r="O194" s="28"/>
      <c r="P194" s="28"/>
      <c r="Q194" s="28"/>
      <c r="R194" s="28"/>
      <c r="S194" s="28"/>
      <c r="T194" s="28"/>
      <c r="U194" s="3"/>
      <c r="W194" s="3"/>
      <c r="X194" s="3"/>
      <c r="Y194" s="3"/>
      <c r="Z194" s="3"/>
    </row>
    <row r="195" spans="1:26" ht="14.4" hidden="1" outlineLevel="1" x14ac:dyDescent="0.3">
      <c r="A195" s="3"/>
      <c r="B195" s="9" t="s">
        <v>51</v>
      </c>
      <c r="C195" s="53"/>
      <c r="D195" s="53"/>
      <c r="E195" s="11">
        <v>0</v>
      </c>
      <c r="F195" s="11">
        <v>0</v>
      </c>
      <c r="G195" s="56"/>
      <c r="H195" s="56"/>
      <c r="I195" s="102"/>
      <c r="J195" s="56"/>
      <c r="K195" s="28"/>
      <c r="L195" s="28"/>
      <c r="M195" s="28"/>
      <c r="N195" s="28"/>
      <c r="O195" s="28"/>
      <c r="P195" s="28"/>
      <c r="Q195" s="28"/>
      <c r="R195" s="28"/>
      <c r="S195" s="28"/>
      <c r="T195" s="28"/>
      <c r="U195" s="3"/>
      <c r="W195" s="3"/>
      <c r="X195" s="3"/>
      <c r="Y195" s="3"/>
      <c r="Z195" s="3"/>
    </row>
    <row r="196" spans="1:26" ht="14.4" hidden="1" outlineLevel="1" x14ac:dyDescent="0.3">
      <c r="A196" s="3"/>
      <c r="B196" s="9" t="s">
        <v>51</v>
      </c>
      <c r="C196" s="53"/>
      <c r="D196" s="53"/>
      <c r="E196" s="11">
        <v>0</v>
      </c>
      <c r="F196" s="11">
        <v>0</v>
      </c>
      <c r="G196" s="56"/>
      <c r="H196" s="56"/>
      <c r="I196" s="102"/>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51</v>
      </c>
      <c r="C197" s="53"/>
      <c r="D197" s="53"/>
      <c r="E197" s="11">
        <v>0</v>
      </c>
      <c r="F197" s="11">
        <v>0</v>
      </c>
      <c r="G197" s="56"/>
      <c r="H197" s="56"/>
      <c r="I197" s="102"/>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51</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51</v>
      </c>
      <c r="C199" s="53"/>
      <c r="D199" s="53"/>
      <c r="E199" s="11">
        <v>0</v>
      </c>
      <c r="F199" s="11">
        <v>0</v>
      </c>
      <c r="G199" s="56"/>
      <c r="H199" s="56"/>
      <c r="I199" s="102"/>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51</v>
      </c>
      <c r="C200" s="53"/>
      <c r="D200" s="53"/>
      <c r="E200" s="11">
        <v>0</v>
      </c>
      <c r="F200" s="11">
        <v>0</v>
      </c>
      <c r="G200" s="56"/>
      <c r="H200" s="56"/>
      <c r="I200" s="102"/>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51</v>
      </c>
      <c r="C201" s="53"/>
      <c r="D201" s="53"/>
      <c r="E201" s="11">
        <v>0</v>
      </c>
      <c r="F201" s="11">
        <v>0</v>
      </c>
      <c r="G201" s="56"/>
      <c r="H201" s="56"/>
      <c r="I201" s="102"/>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117"/>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117"/>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51</v>
      </c>
      <c r="C204" s="53"/>
      <c r="D204" s="53"/>
      <c r="E204" s="11">
        <v>0</v>
      </c>
      <c r="F204" s="11">
        <v>0</v>
      </c>
      <c r="G204" s="56"/>
      <c r="H204" s="56"/>
      <c r="I204" s="102"/>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56"/>
      <c r="H205" s="56"/>
      <c r="I205" s="102"/>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51</v>
      </c>
      <c r="C206" s="53"/>
      <c r="D206" s="53"/>
      <c r="E206" s="11">
        <v>0</v>
      </c>
      <c r="F206" s="11">
        <v>0</v>
      </c>
      <c r="G206" s="56"/>
      <c r="H206" s="56"/>
      <c r="I206" s="102"/>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51</v>
      </c>
      <c r="C207" s="53"/>
      <c r="D207" s="53"/>
      <c r="E207" s="11">
        <v>0</v>
      </c>
      <c r="F207" s="11">
        <v>0</v>
      </c>
      <c r="G207" s="56"/>
      <c r="H207" s="56"/>
      <c r="I207" s="102"/>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51</v>
      </c>
      <c r="C208" s="53"/>
      <c r="D208" s="53"/>
      <c r="E208" s="11">
        <v>0</v>
      </c>
      <c r="F208" s="11">
        <v>0</v>
      </c>
      <c r="G208" s="56"/>
      <c r="H208" s="56"/>
      <c r="I208" s="102"/>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51</v>
      </c>
      <c r="C209" s="53"/>
      <c r="D209" s="53"/>
      <c r="E209" s="11">
        <v>0</v>
      </c>
      <c r="F209" s="11">
        <v>0</v>
      </c>
      <c r="G209" s="56"/>
      <c r="H209" s="56"/>
      <c r="I209" s="117"/>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51</v>
      </c>
      <c r="C210" s="53"/>
      <c r="D210" s="53"/>
      <c r="E210" s="11">
        <v>0</v>
      </c>
      <c r="F210" s="11">
        <v>0</v>
      </c>
      <c r="G210" s="56"/>
      <c r="H210" s="56"/>
      <c r="I210" s="102"/>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51</v>
      </c>
      <c r="C211" s="53"/>
      <c r="D211" s="53"/>
      <c r="E211" s="11">
        <v>0</v>
      </c>
      <c r="F211" s="11">
        <v>0</v>
      </c>
      <c r="G211" s="56"/>
      <c r="H211" s="56"/>
      <c r="I211" s="117"/>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51</v>
      </c>
      <c r="C212" s="53"/>
      <c r="D212" s="53"/>
      <c r="E212" s="11">
        <v>0</v>
      </c>
      <c r="F212" s="11">
        <v>0</v>
      </c>
      <c r="G212" s="56"/>
      <c r="H212" s="56"/>
      <c r="I212" s="117"/>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51</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51</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4.4" hidden="1" outlineLevel="1" x14ac:dyDescent="0.3">
      <c r="A215" s="3"/>
      <c r="B215" s="9" t="s">
        <v>51</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4.4" hidden="1" outlineLevel="1" x14ac:dyDescent="0.3">
      <c r="A216" s="3"/>
      <c r="B216" s="9" t="s">
        <v>51</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14.4" hidden="1" outlineLevel="1" x14ac:dyDescent="0.3">
      <c r="A217" s="3"/>
      <c r="B217" s="9" t="s">
        <v>51</v>
      </c>
      <c r="C217" s="53"/>
      <c r="D217" s="53"/>
      <c r="E217" s="11">
        <v>0</v>
      </c>
      <c r="F217" s="11">
        <v>0</v>
      </c>
      <c r="G217" s="56"/>
      <c r="H217" s="56"/>
      <c r="I217" s="80"/>
      <c r="J217" s="56"/>
      <c r="K217" s="28"/>
      <c r="L217" s="28"/>
      <c r="M217" s="28"/>
      <c r="N217" s="28"/>
      <c r="O217" s="28"/>
      <c r="P217" s="28"/>
      <c r="Q217" s="28"/>
      <c r="R217" s="28"/>
      <c r="S217" s="28"/>
      <c r="T217" s="28"/>
      <c r="U217" s="3"/>
      <c r="W217" s="3"/>
      <c r="X217" s="3"/>
      <c r="Y217" s="3"/>
      <c r="Z217" s="3"/>
    </row>
    <row r="218" spans="1:26" ht="20.399999999999999" collapsed="1" x14ac:dyDescent="0.3">
      <c r="A218" s="3"/>
      <c r="B218" s="75" t="s">
        <v>395</v>
      </c>
      <c r="C218" s="76" t="s">
        <v>44</v>
      </c>
      <c r="D218" s="76" t="s">
        <v>44</v>
      </c>
      <c r="E218" s="77">
        <f>SUM(E219:E227)</f>
        <v>0</v>
      </c>
      <c r="F218" s="77">
        <f>SUMIF(D219:D227,"OK",F219:F227)</f>
        <v>100</v>
      </c>
      <c r="G218" s="78"/>
      <c r="H218" s="78"/>
      <c r="I218" s="79"/>
      <c r="J218" s="78"/>
      <c r="K218" s="28"/>
      <c r="L218" s="28"/>
      <c r="M218" s="28"/>
      <c r="N218" s="28"/>
      <c r="O218" s="28"/>
      <c r="P218" s="28"/>
      <c r="Q218" s="28"/>
      <c r="R218" s="28"/>
      <c r="S218" s="28"/>
      <c r="T218" s="28"/>
      <c r="U218" s="3"/>
      <c r="W218" s="3"/>
      <c r="X218" s="3"/>
      <c r="Y218" s="3"/>
      <c r="Z218" s="3"/>
    </row>
    <row r="219" spans="1:26" ht="14.4" hidden="1" outlineLevel="1" x14ac:dyDescent="0.3">
      <c r="A219" s="3"/>
      <c r="B219" s="9" t="s">
        <v>1261</v>
      </c>
      <c r="C219" s="53">
        <v>11</v>
      </c>
      <c r="D219" s="53" t="s">
        <v>95</v>
      </c>
      <c r="E219" s="11">
        <v>0</v>
      </c>
      <c r="F219" s="11">
        <v>100</v>
      </c>
      <c r="G219" s="56"/>
      <c r="H219" s="56" t="s">
        <v>37</v>
      </c>
      <c r="I219" s="102" t="s">
        <v>1262</v>
      </c>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355</v>
      </c>
      <c r="C220" s="53"/>
      <c r="D220" s="53"/>
      <c r="E220" s="11">
        <v>0</v>
      </c>
      <c r="F220" s="11">
        <v>0</v>
      </c>
      <c r="G220" s="56"/>
      <c r="H220" s="56"/>
      <c r="I220" s="102"/>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356</v>
      </c>
      <c r="C221" s="53"/>
      <c r="D221" s="53"/>
      <c r="E221" s="11">
        <v>0</v>
      </c>
      <c r="F221" s="11">
        <v>0</v>
      </c>
      <c r="G221" s="56"/>
      <c r="H221" s="56"/>
      <c r="I221" s="102"/>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370</v>
      </c>
      <c r="C222" s="53"/>
      <c r="D222" s="53"/>
      <c r="E222" s="11">
        <v>0</v>
      </c>
      <c r="F222" s="11">
        <v>0</v>
      </c>
      <c r="G222" s="56"/>
      <c r="H222" s="56"/>
      <c r="I222" s="102"/>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328</v>
      </c>
      <c r="C223" s="53"/>
      <c r="D223" s="53"/>
      <c r="E223" s="11">
        <v>0</v>
      </c>
      <c r="F223" s="11">
        <v>0</v>
      </c>
      <c r="G223" s="56"/>
      <c r="H223" s="56"/>
      <c r="I223" s="80"/>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329</v>
      </c>
      <c r="C224" s="53"/>
      <c r="D224" s="53"/>
      <c r="E224" s="11">
        <v>0</v>
      </c>
      <c r="F224" s="11">
        <v>0</v>
      </c>
      <c r="G224" s="56"/>
      <c r="H224" s="56"/>
      <c r="I224" s="80"/>
      <c r="J224" s="56"/>
      <c r="K224" s="28"/>
      <c r="L224" s="28"/>
      <c r="M224" s="28"/>
      <c r="N224" s="28"/>
      <c r="O224" s="28"/>
      <c r="P224" s="28"/>
      <c r="Q224" s="28"/>
      <c r="R224" s="28"/>
      <c r="S224" s="28"/>
      <c r="T224" s="28"/>
      <c r="U224" s="3"/>
      <c r="W224" s="3"/>
      <c r="X224" s="3"/>
      <c r="Y224" s="3"/>
      <c r="Z224" s="3"/>
    </row>
    <row r="225" spans="1:26" ht="14.4" hidden="1" outlineLevel="1" x14ac:dyDescent="0.3">
      <c r="A225" s="3"/>
      <c r="B225" s="9" t="s">
        <v>371</v>
      </c>
      <c r="C225" s="53"/>
      <c r="D225" s="53"/>
      <c r="E225" s="11">
        <v>0</v>
      </c>
      <c r="F225" s="11">
        <v>0</v>
      </c>
      <c r="G225" s="56"/>
      <c r="H225" s="56"/>
      <c r="I225" s="80"/>
      <c r="J225" s="56"/>
      <c r="K225" s="28"/>
      <c r="L225" s="28"/>
      <c r="M225" s="28"/>
      <c r="N225" s="28"/>
      <c r="O225" s="28"/>
      <c r="P225" s="28"/>
      <c r="Q225" s="28"/>
      <c r="R225" s="28"/>
      <c r="S225" s="28"/>
      <c r="T225" s="28"/>
      <c r="U225" s="3"/>
      <c r="W225" s="3"/>
      <c r="X225" s="3"/>
      <c r="Y225" s="3"/>
      <c r="Z225" s="3"/>
    </row>
    <row r="226" spans="1:26" ht="14.4" hidden="1" outlineLevel="1" x14ac:dyDescent="0.3">
      <c r="A226" s="3"/>
      <c r="B226" s="9" t="s">
        <v>372</v>
      </c>
      <c r="C226" s="53"/>
      <c r="D226" s="53"/>
      <c r="E226" s="11">
        <v>0</v>
      </c>
      <c r="F226" s="11">
        <v>0</v>
      </c>
      <c r="G226" s="56"/>
      <c r="H226" s="56"/>
      <c r="I226" s="80"/>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373</v>
      </c>
      <c r="C227" s="53"/>
      <c r="D227" s="53"/>
      <c r="E227" s="11">
        <v>0</v>
      </c>
      <c r="F227" s="11">
        <v>0</v>
      </c>
      <c r="G227" s="56"/>
      <c r="H227" s="56"/>
      <c r="I227" s="80"/>
      <c r="J227" s="56"/>
      <c r="K227" s="28"/>
      <c r="L227" s="28"/>
      <c r="M227" s="28"/>
      <c r="N227" s="28"/>
      <c r="O227" s="28"/>
      <c r="P227" s="28"/>
      <c r="Q227" s="28"/>
      <c r="R227" s="28"/>
      <c r="S227" s="28"/>
      <c r="T227" s="28"/>
      <c r="U227" s="3"/>
      <c r="W227" s="3"/>
      <c r="X227" s="3"/>
      <c r="Y227" s="3"/>
      <c r="Z227" s="3"/>
    </row>
    <row r="228" spans="1:26" ht="20.399999999999999" collapsed="1" x14ac:dyDescent="0.3">
      <c r="A228" s="3"/>
      <c r="B228" s="75" t="s">
        <v>402</v>
      </c>
      <c r="C228" s="76" t="s">
        <v>44</v>
      </c>
      <c r="D228" s="76" t="s">
        <v>44</v>
      </c>
      <c r="E228" s="77">
        <f>SUM(E229:E237)</f>
        <v>0</v>
      </c>
      <c r="F228" s="77">
        <f>SUMIF(D229:D237,"OK",F229:F237)</f>
        <v>0</v>
      </c>
      <c r="G228" s="78"/>
      <c r="H228" s="78"/>
      <c r="I228" s="79"/>
      <c r="J228" s="78"/>
      <c r="K228" s="28"/>
      <c r="L228" s="28"/>
      <c r="M228" s="28"/>
      <c r="N228" s="28"/>
      <c r="O228" s="28"/>
      <c r="P228" s="28"/>
      <c r="Q228" s="28"/>
      <c r="R228" s="28"/>
      <c r="S228" s="28"/>
      <c r="T228" s="28"/>
      <c r="U228" s="3"/>
      <c r="W228" s="3"/>
      <c r="X228" s="3"/>
      <c r="Y228" s="3"/>
      <c r="Z228" s="3"/>
    </row>
    <row r="229" spans="1:26" ht="14.4" hidden="1" outlineLevel="1" x14ac:dyDescent="0.3">
      <c r="A229" s="3"/>
      <c r="B229" s="9" t="s">
        <v>1263</v>
      </c>
      <c r="C229" s="53"/>
      <c r="D229" s="53"/>
      <c r="E229" s="11">
        <v>0</v>
      </c>
      <c r="F229" s="11">
        <v>0</v>
      </c>
      <c r="G229" s="56"/>
      <c r="H229" s="56"/>
      <c r="I229" s="102"/>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355</v>
      </c>
      <c r="C230" s="53"/>
      <c r="D230" s="53"/>
      <c r="E230" s="11">
        <v>0</v>
      </c>
      <c r="F230" s="11">
        <v>0</v>
      </c>
      <c r="G230" s="56"/>
      <c r="H230" s="56"/>
      <c r="I230" s="102"/>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356</v>
      </c>
      <c r="C231" s="53"/>
      <c r="D231" s="53"/>
      <c r="E231" s="11">
        <v>0</v>
      </c>
      <c r="F231" s="11">
        <v>0</v>
      </c>
      <c r="G231" s="56"/>
      <c r="H231" s="56"/>
      <c r="I231" s="102"/>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370</v>
      </c>
      <c r="C232" s="53"/>
      <c r="D232" s="53"/>
      <c r="E232" s="11">
        <v>0</v>
      </c>
      <c r="F232" s="11">
        <v>0</v>
      </c>
      <c r="G232" s="56"/>
      <c r="H232" s="56"/>
      <c r="I232" s="102"/>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328</v>
      </c>
      <c r="C233" s="53"/>
      <c r="D233" s="53"/>
      <c r="E233" s="11">
        <v>0</v>
      </c>
      <c r="F233" s="11">
        <v>0</v>
      </c>
      <c r="G233" s="56"/>
      <c r="H233" s="56"/>
      <c r="I233" s="102"/>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329</v>
      </c>
      <c r="C234" s="53"/>
      <c r="D234" s="53"/>
      <c r="E234" s="11">
        <v>0</v>
      </c>
      <c r="F234" s="11">
        <v>0</v>
      </c>
      <c r="G234" s="56"/>
      <c r="H234" s="56"/>
      <c r="I234" s="102"/>
      <c r="J234" s="56"/>
      <c r="K234" s="28"/>
      <c r="L234" s="28"/>
      <c r="M234" s="28"/>
      <c r="N234" s="28"/>
      <c r="O234" s="28"/>
      <c r="P234" s="28"/>
      <c r="Q234" s="28"/>
      <c r="R234" s="28"/>
      <c r="S234" s="28"/>
      <c r="T234" s="28"/>
      <c r="U234" s="3"/>
      <c r="W234" s="3"/>
      <c r="X234" s="3"/>
      <c r="Y234" s="3"/>
      <c r="Z234" s="3"/>
    </row>
    <row r="235" spans="1:26" ht="14.4" hidden="1" outlineLevel="1" x14ac:dyDescent="0.3">
      <c r="A235" s="3"/>
      <c r="B235" s="9" t="s">
        <v>371</v>
      </c>
      <c r="C235" s="53"/>
      <c r="D235" s="53"/>
      <c r="E235" s="11">
        <v>0</v>
      </c>
      <c r="F235" s="11">
        <v>0</v>
      </c>
      <c r="G235" s="56"/>
      <c r="H235" s="56"/>
      <c r="I235" s="102"/>
      <c r="J235" s="56"/>
      <c r="K235" s="28"/>
      <c r="L235" s="28"/>
      <c r="M235" s="28"/>
      <c r="N235" s="28"/>
      <c r="O235" s="28"/>
      <c r="P235" s="28"/>
      <c r="Q235" s="28"/>
      <c r="R235" s="28"/>
      <c r="S235" s="28"/>
      <c r="T235" s="28"/>
      <c r="U235" s="3"/>
      <c r="W235" s="3"/>
      <c r="X235" s="3"/>
      <c r="Y235" s="3"/>
      <c r="Z235" s="3"/>
    </row>
    <row r="236" spans="1:26" ht="14.4" hidden="1" outlineLevel="1" x14ac:dyDescent="0.3">
      <c r="A236" s="3"/>
      <c r="B236" s="9" t="s">
        <v>372</v>
      </c>
      <c r="C236" s="53"/>
      <c r="D236" s="53"/>
      <c r="E236" s="11">
        <v>0</v>
      </c>
      <c r="F236" s="11">
        <v>0</v>
      </c>
      <c r="G236" s="80"/>
      <c r="H236" s="56"/>
      <c r="I236" s="102"/>
      <c r="J236" s="56"/>
      <c r="K236" s="28"/>
      <c r="L236" s="28"/>
      <c r="M236" s="28"/>
      <c r="N236" s="28"/>
      <c r="O236" s="28"/>
      <c r="P236" s="28"/>
      <c r="Q236" s="28"/>
      <c r="R236" s="28"/>
      <c r="S236" s="28"/>
      <c r="T236" s="28"/>
      <c r="U236" s="3"/>
      <c r="W236" s="3"/>
      <c r="X236" s="3"/>
      <c r="Y236" s="3"/>
      <c r="Z236" s="3"/>
    </row>
    <row r="237" spans="1:26" ht="14.4" hidden="1" outlineLevel="1" x14ac:dyDescent="0.3">
      <c r="A237" s="3"/>
      <c r="B237" s="9" t="s">
        <v>373</v>
      </c>
      <c r="C237" s="53"/>
      <c r="D237" s="53"/>
      <c r="E237" s="11">
        <v>0</v>
      </c>
      <c r="F237" s="11">
        <v>0</v>
      </c>
      <c r="G237" s="80"/>
      <c r="H237" s="56"/>
      <c r="I237" s="102"/>
      <c r="J237" s="56"/>
      <c r="K237" s="28"/>
      <c r="L237" s="28"/>
      <c r="M237" s="28"/>
      <c r="N237" s="28"/>
      <c r="O237" s="28"/>
      <c r="P237" s="28"/>
      <c r="Q237" s="28"/>
      <c r="R237" s="28"/>
      <c r="S237" s="28"/>
      <c r="T237" s="28"/>
      <c r="U237" s="3"/>
      <c r="W237" s="3"/>
      <c r="X237" s="3"/>
      <c r="Y237" s="3"/>
      <c r="Z237" s="3"/>
    </row>
    <row r="238" spans="1:26" ht="20.399999999999999" collapsed="1" x14ac:dyDescent="0.3">
      <c r="A238" s="3"/>
      <c r="B238" s="75" t="s">
        <v>403</v>
      </c>
      <c r="C238" s="76" t="s">
        <v>44</v>
      </c>
      <c r="D238" s="76" t="s">
        <v>44</v>
      </c>
      <c r="E238" s="77">
        <f>SUM(E239:E247)</f>
        <v>0</v>
      </c>
      <c r="F238" s="77">
        <f>SUMIF(D239:D247,"OK",F239:F247)</f>
        <v>0</v>
      </c>
      <c r="G238" s="78"/>
      <c r="H238" s="78"/>
      <c r="I238" s="79"/>
      <c r="J238" s="78"/>
      <c r="K238" s="28"/>
      <c r="L238" s="28"/>
      <c r="M238" s="28"/>
      <c r="N238" s="28"/>
      <c r="O238" s="28"/>
      <c r="P238" s="28"/>
      <c r="Q238" s="28"/>
      <c r="R238" s="28"/>
      <c r="S238" s="28"/>
      <c r="T238" s="28"/>
      <c r="U238" s="3"/>
      <c r="W238" s="3"/>
      <c r="X238" s="3"/>
      <c r="Y238" s="3"/>
      <c r="Z238" s="3"/>
    </row>
    <row r="239" spans="1:26" ht="14.4" hidden="1" outlineLevel="1" x14ac:dyDescent="0.3">
      <c r="A239" s="3"/>
      <c r="B239" s="9" t="s">
        <v>354</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355</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356</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370</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328</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329</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371</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372</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14.4" hidden="1" outlineLevel="1" x14ac:dyDescent="0.3">
      <c r="A247" s="3"/>
      <c r="B247" s="9" t="s">
        <v>373</v>
      </c>
      <c r="C247" s="53"/>
      <c r="D247" s="53"/>
      <c r="E247" s="11">
        <v>0</v>
      </c>
      <c r="F247" s="11">
        <v>0</v>
      </c>
      <c r="G247" s="56"/>
      <c r="H247" s="56"/>
      <c r="I247" s="80"/>
      <c r="J247" s="56"/>
      <c r="K247" s="28"/>
      <c r="L247" s="28"/>
      <c r="M247" s="28"/>
      <c r="N247" s="28"/>
      <c r="O247" s="28"/>
      <c r="P247" s="28"/>
      <c r="Q247" s="28"/>
      <c r="R247" s="28"/>
      <c r="S247" s="28"/>
      <c r="T247" s="28"/>
      <c r="U247" s="3"/>
      <c r="W247" s="3"/>
      <c r="X247" s="3"/>
      <c r="Y247" s="3"/>
      <c r="Z247" s="3"/>
    </row>
    <row r="248" spans="1:26" ht="20.399999999999999" collapsed="1" x14ac:dyDescent="0.3">
      <c r="A248" s="3"/>
      <c r="B248" s="75" t="s">
        <v>404</v>
      </c>
      <c r="C248" s="76" t="s">
        <v>44</v>
      </c>
      <c r="D248" s="76" t="s">
        <v>44</v>
      </c>
      <c r="E248" s="77">
        <f>SUM(E249:E257)</f>
        <v>0</v>
      </c>
      <c r="F248" s="77">
        <f>SUMIF(D249:D257,"OK",F249:F257)</f>
        <v>80</v>
      </c>
      <c r="G248" s="78"/>
      <c r="H248" s="78"/>
      <c r="I248" s="79"/>
      <c r="J248" s="78"/>
      <c r="K248" s="28"/>
      <c r="L248" s="28"/>
      <c r="M248" s="28"/>
      <c r="N248" s="28"/>
      <c r="O248" s="28"/>
      <c r="P248" s="28"/>
      <c r="Q248" s="28"/>
      <c r="R248" s="28"/>
      <c r="S248" s="28"/>
      <c r="T248" s="28"/>
      <c r="U248" s="3"/>
      <c r="W248" s="3"/>
      <c r="X248" s="3"/>
      <c r="Y248" s="3"/>
      <c r="Z248" s="3"/>
    </row>
    <row r="249" spans="1:26" ht="14.4" hidden="1" outlineLevel="1" x14ac:dyDescent="0.3">
      <c r="A249" s="3"/>
      <c r="B249" s="9" t="s">
        <v>1149</v>
      </c>
      <c r="C249" s="53">
        <v>30</v>
      </c>
      <c r="D249" s="53" t="s">
        <v>95</v>
      </c>
      <c r="E249" s="11">
        <v>0</v>
      </c>
      <c r="F249" s="11">
        <v>80</v>
      </c>
      <c r="G249" s="80"/>
      <c r="H249" s="56" t="s">
        <v>37</v>
      </c>
      <c r="I249" s="102" t="s">
        <v>1187</v>
      </c>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355</v>
      </c>
      <c r="C250" s="53"/>
      <c r="D250" s="53"/>
      <c r="E250" s="11">
        <v>0</v>
      </c>
      <c r="F250" s="11">
        <v>0</v>
      </c>
      <c r="G250" s="56"/>
      <c r="H250" s="56"/>
      <c r="I250" s="80"/>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356</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370</v>
      </c>
      <c r="C252" s="53"/>
      <c r="D252" s="53"/>
      <c r="E252" s="11">
        <v>0</v>
      </c>
      <c r="F252" s="11">
        <v>0</v>
      </c>
      <c r="G252" s="56"/>
      <c r="H252" s="56"/>
      <c r="I252" s="80"/>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328</v>
      </c>
      <c r="C253" s="53"/>
      <c r="D253" s="53"/>
      <c r="E253" s="11">
        <v>0</v>
      </c>
      <c r="F253" s="11">
        <v>0</v>
      </c>
      <c r="G253" s="56"/>
      <c r="H253" s="56"/>
      <c r="I253" s="80"/>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329</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371</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t="14.4" hidden="1" outlineLevel="1" x14ac:dyDescent="0.3">
      <c r="A256" s="3"/>
      <c r="B256" s="9" t="s">
        <v>372</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t="14.4" hidden="1" outlineLevel="1" x14ac:dyDescent="0.3">
      <c r="A257" s="3"/>
      <c r="B257" s="9" t="s">
        <v>373</v>
      </c>
      <c r="C257" s="53"/>
      <c r="D257" s="53"/>
      <c r="E257" s="11">
        <v>0</v>
      </c>
      <c r="F257" s="11">
        <v>0</v>
      </c>
      <c r="G257" s="56"/>
      <c r="H257" s="56"/>
      <c r="I257" s="80"/>
      <c r="J257" s="56"/>
      <c r="K257" s="28"/>
      <c r="L257" s="28"/>
      <c r="M257" s="28"/>
      <c r="N257" s="28"/>
      <c r="O257" s="28"/>
      <c r="P257" s="28"/>
      <c r="Q257" s="28"/>
      <c r="R257" s="28"/>
      <c r="S257" s="28"/>
      <c r="T257" s="28"/>
      <c r="U257" s="3"/>
      <c r="W257" s="3"/>
      <c r="X257" s="3"/>
      <c r="Y257" s="3"/>
      <c r="Z257" s="3"/>
    </row>
    <row r="258" spans="1:26" ht="20.399999999999999" collapsed="1" x14ac:dyDescent="0.3">
      <c r="A258" s="3"/>
      <c r="B258" s="75" t="s">
        <v>406</v>
      </c>
      <c r="C258" s="76" t="s">
        <v>44</v>
      </c>
      <c r="D258" s="76" t="s">
        <v>44</v>
      </c>
      <c r="E258" s="77">
        <f>SUM(E259:E267)</f>
        <v>0</v>
      </c>
      <c r="F258" s="77">
        <f>SUMIF(D259:D267,"OK",F259:F267)</f>
        <v>0</v>
      </c>
      <c r="G258" s="78"/>
      <c r="H258" s="78"/>
      <c r="I258" s="79"/>
      <c r="J258" s="78"/>
      <c r="K258" s="28"/>
      <c r="L258" s="28"/>
      <c r="M258" s="28"/>
      <c r="N258" s="28"/>
      <c r="O258" s="28"/>
      <c r="P258" s="28"/>
      <c r="Q258" s="28"/>
      <c r="R258" s="28"/>
      <c r="S258" s="28"/>
      <c r="T258" s="28"/>
      <c r="U258" s="3"/>
      <c r="W258" s="3"/>
      <c r="X258" s="3"/>
      <c r="Y258" s="3"/>
      <c r="Z258" s="3"/>
    </row>
    <row r="259" spans="1:26" ht="14.4" hidden="1" outlineLevel="1" x14ac:dyDescent="0.3">
      <c r="A259" s="3"/>
      <c r="B259" s="9" t="s">
        <v>1264</v>
      </c>
      <c r="C259" s="53"/>
      <c r="D259" s="53"/>
      <c r="E259" s="11">
        <v>0</v>
      </c>
      <c r="F259" s="11">
        <v>0</v>
      </c>
      <c r="G259" s="56"/>
      <c r="H259" s="56"/>
      <c r="I259" s="102"/>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355</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356</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370</v>
      </c>
      <c r="C262" s="53"/>
      <c r="D262" s="53"/>
      <c r="E262" s="11">
        <v>0</v>
      </c>
      <c r="F262" s="11">
        <v>0</v>
      </c>
      <c r="G262" s="56"/>
      <c r="H262" s="56"/>
      <c r="I262" s="80"/>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328</v>
      </c>
      <c r="C263" s="53"/>
      <c r="D263" s="53"/>
      <c r="E263" s="11">
        <v>0</v>
      </c>
      <c r="F263" s="11">
        <v>0</v>
      </c>
      <c r="G263" s="56"/>
      <c r="H263" s="56"/>
      <c r="I263" s="80"/>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329</v>
      </c>
      <c r="C264" s="53"/>
      <c r="D264" s="53"/>
      <c r="E264" s="11">
        <v>0</v>
      </c>
      <c r="F264" s="11">
        <v>0</v>
      </c>
      <c r="G264" s="56"/>
      <c r="H264" s="56"/>
      <c r="I264" s="80"/>
      <c r="J264" s="56"/>
      <c r="K264" s="28"/>
      <c r="L264" s="28"/>
      <c r="M264" s="28"/>
      <c r="N264" s="28"/>
      <c r="O264" s="28"/>
      <c r="P264" s="28"/>
      <c r="Q264" s="28"/>
      <c r="R264" s="28"/>
      <c r="S264" s="28"/>
      <c r="T264" s="28"/>
      <c r="U264" s="3"/>
      <c r="W264" s="3"/>
      <c r="X264" s="3"/>
      <c r="Y264" s="3"/>
      <c r="Z264" s="3"/>
    </row>
    <row r="265" spans="1:26" ht="14.4" hidden="1" outlineLevel="1" x14ac:dyDescent="0.3">
      <c r="A265" s="3"/>
      <c r="B265" s="9" t="s">
        <v>371</v>
      </c>
      <c r="C265" s="53"/>
      <c r="D265" s="53"/>
      <c r="E265" s="11">
        <v>0</v>
      </c>
      <c r="F265" s="11">
        <v>0</v>
      </c>
      <c r="G265" s="56"/>
      <c r="H265" s="56"/>
      <c r="I265" s="80"/>
      <c r="J265" s="56"/>
      <c r="K265" s="28"/>
      <c r="L265" s="28"/>
      <c r="M265" s="28"/>
      <c r="N265" s="28"/>
      <c r="O265" s="28"/>
      <c r="P265" s="28"/>
      <c r="Q265" s="28"/>
      <c r="R265" s="28"/>
      <c r="S265" s="28"/>
      <c r="T265" s="28"/>
      <c r="U265" s="3"/>
      <c r="W265" s="3"/>
      <c r="X265" s="3"/>
      <c r="Y265" s="3"/>
      <c r="Z265" s="3"/>
    </row>
    <row r="266" spans="1:26" ht="14.4" hidden="1" outlineLevel="1" x14ac:dyDescent="0.3">
      <c r="A266" s="3"/>
      <c r="B266" s="9" t="s">
        <v>372</v>
      </c>
      <c r="C266" s="53"/>
      <c r="D266" s="53"/>
      <c r="E266" s="11">
        <v>0</v>
      </c>
      <c r="F266" s="11">
        <v>0</v>
      </c>
      <c r="G266" s="56"/>
      <c r="H266" s="56"/>
      <c r="I266" s="80"/>
      <c r="J266" s="56"/>
      <c r="K266" s="28"/>
      <c r="L266" s="28"/>
      <c r="M266" s="28"/>
      <c r="N266" s="28"/>
      <c r="O266" s="28"/>
      <c r="P266" s="28"/>
      <c r="Q266" s="28"/>
      <c r="R266" s="28"/>
      <c r="S266" s="28"/>
      <c r="T266" s="28"/>
      <c r="U266" s="3"/>
      <c r="W266" s="3"/>
      <c r="X266" s="3"/>
      <c r="Y266" s="3"/>
      <c r="Z266" s="3"/>
    </row>
    <row r="267" spans="1:26" ht="14.4" hidden="1" outlineLevel="1" x14ac:dyDescent="0.3">
      <c r="A267" s="3"/>
      <c r="B267" s="9" t="s">
        <v>373</v>
      </c>
      <c r="C267" s="53"/>
      <c r="D267" s="53"/>
      <c r="E267" s="11">
        <v>0</v>
      </c>
      <c r="F267" s="11">
        <v>0</v>
      </c>
      <c r="G267" s="56"/>
      <c r="H267" s="56"/>
      <c r="I267" s="80"/>
      <c r="J267" s="56"/>
      <c r="K267" s="28"/>
      <c r="L267" s="28"/>
      <c r="M267" s="28"/>
      <c r="N267" s="28"/>
      <c r="O267" s="28"/>
      <c r="P267" s="28"/>
      <c r="Q267" s="28"/>
      <c r="R267" s="28"/>
      <c r="S267" s="28"/>
      <c r="T267" s="28"/>
      <c r="U267" s="3"/>
      <c r="W267" s="3"/>
      <c r="X267" s="3"/>
      <c r="Y267" s="3"/>
      <c r="Z267" s="3"/>
    </row>
    <row r="268" spans="1:26" ht="20.399999999999999" collapsed="1" x14ac:dyDescent="0.3">
      <c r="A268" s="3"/>
      <c r="B268" s="75" t="s">
        <v>409</v>
      </c>
      <c r="C268" s="76" t="s">
        <v>44</v>
      </c>
      <c r="D268" s="76" t="s">
        <v>44</v>
      </c>
      <c r="E268" s="77">
        <f>SUM(E269,E279,E289,E299)</f>
        <v>0</v>
      </c>
      <c r="F268" s="77">
        <f>SUM(F269,F279,F289,F299,F309)</f>
        <v>94.87</v>
      </c>
      <c r="G268" s="78"/>
      <c r="H268" s="78"/>
      <c r="I268" s="79"/>
      <c r="J268" s="78"/>
      <c r="K268" s="28"/>
      <c r="L268" s="28"/>
      <c r="M268" s="28"/>
      <c r="N268" s="28"/>
      <c r="O268" s="28"/>
      <c r="P268" s="28"/>
      <c r="Q268" s="28"/>
      <c r="R268" s="28"/>
      <c r="S268" s="28"/>
      <c r="T268" s="28"/>
      <c r="U268" s="3"/>
      <c r="W268" s="3"/>
      <c r="X268" s="3"/>
      <c r="Y268" s="3"/>
      <c r="Z268" s="3"/>
    </row>
    <row r="269" spans="1:26" hidden="1" outlineLevel="1" x14ac:dyDescent="0.3">
      <c r="A269" s="3"/>
      <c r="B269" s="82" t="s">
        <v>233</v>
      </c>
      <c r="C269" s="83"/>
      <c r="D269" s="83"/>
      <c r="E269" s="84">
        <f>SUM(E270:E278)</f>
        <v>0</v>
      </c>
      <c r="F269" s="84">
        <f>SUMIF(D270:D278,"OK",F270:F278)</f>
        <v>94.87</v>
      </c>
      <c r="G269" s="85"/>
      <c r="H269" s="85"/>
      <c r="I269" s="86"/>
      <c r="J269" s="85"/>
      <c r="K269" s="28"/>
      <c r="L269" s="28"/>
      <c r="M269" s="28"/>
      <c r="N269" s="28"/>
      <c r="O269" s="28"/>
      <c r="P269" s="28"/>
      <c r="Q269" s="28"/>
      <c r="R269" s="28"/>
      <c r="S269" s="28"/>
      <c r="T269" s="28"/>
      <c r="U269" s="3"/>
      <c r="W269" s="3"/>
      <c r="X269" s="3"/>
      <c r="Y269" s="3"/>
      <c r="Z269" s="3"/>
    </row>
    <row r="270" spans="1:26" ht="14.4" hidden="1" outlineLevel="1" x14ac:dyDescent="0.3">
      <c r="A270" s="3"/>
      <c r="B270" s="9" t="s">
        <v>1265</v>
      </c>
      <c r="C270" s="53">
        <v>4</v>
      </c>
      <c r="D270" s="53" t="s">
        <v>95</v>
      </c>
      <c r="E270" s="11">
        <v>0</v>
      </c>
      <c r="F270" s="11">
        <v>94.87</v>
      </c>
      <c r="G270" s="56"/>
      <c r="H270" s="56" t="s">
        <v>37</v>
      </c>
      <c r="I270" s="102" t="s">
        <v>1266</v>
      </c>
      <c r="J270" s="56"/>
      <c r="K270" s="28"/>
      <c r="L270" s="28"/>
      <c r="M270" s="28"/>
      <c r="N270" s="28"/>
      <c r="O270" s="28"/>
      <c r="P270" s="28"/>
      <c r="Q270" s="28"/>
      <c r="R270" s="28"/>
      <c r="S270" s="28"/>
      <c r="T270" s="28"/>
      <c r="U270" s="3"/>
      <c r="W270" s="3"/>
      <c r="X270" s="3"/>
      <c r="Y270" s="3"/>
      <c r="Z270" s="3"/>
    </row>
    <row r="271" spans="1:26" ht="14.4" hidden="1" outlineLevel="1" x14ac:dyDescent="0.3">
      <c r="A271" s="3"/>
      <c r="B271" s="9" t="s">
        <v>355</v>
      </c>
      <c r="C271" s="53"/>
      <c r="D271" s="53"/>
      <c r="E271" s="11">
        <v>0</v>
      </c>
      <c r="F271" s="11">
        <v>0</v>
      </c>
      <c r="G271" s="56"/>
      <c r="H271" s="56"/>
      <c r="I271" s="115"/>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356</v>
      </c>
      <c r="C272" s="53"/>
      <c r="D272" s="53"/>
      <c r="E272" s="11">
        <v>0</v>
      </c>
      <c r="F272" s="11">
        <v>0</v>
      </c>
      <c r="G272" s="56"/>
      <c r="H272" s="56"/>
      <c r="I272" s="115"/>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370</v>
      </c>
      <c r="C273" s="53"/>
      <c r="D273" s="53"/>
      <c r="E273" s="11">
        <v>0</v>
      </c>
      <c r="F273" s="11">
        <v>0</v>
      </c>
      <c r="G273" s="56"/>
      <c r="H273" s="56"/>
      <c r="I273" s="102"/>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328</v>
      </c>
      <c r="C274" s="53"/>
      <c r="D274" s="53"/>
      <c r="E274" s="11">
        <v>0</v>
      </c>
      <c r="F274" s="11">
        <v>0</v>
      </c>
      <c r="G274" s="56"/>
      <c r="H274" s="56"/>
      <c r="I274" s="102"/>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329</v>
      </c>
      <c r="C275" s="53"/>
      <c r="D275" s="53"/>
      <c r="E275" s="11">
        <v>0</v>
      </c>
      <c r="F275" s="11">
        <v>0</v>
      </c>
      <c r="G275" s="56"/>
      <c r="H275" s="56"/>
      <c r="I275" s="80"/>
      <c r="J275" s="56"/>
      <c r="K275" s="28"/>
      <c r="L275" s="28"/>
      <c r="M275" s="28"/>
      <c r="N275" s="28"/>
      <c r="O275" s="28"/>
      <c r="P275" s="28"/>
      <c r="Q275" s="28"/>
      <c r="R275" s="28"/>
      <c r="S275" s="28"/>
      <c r="T275" s="28"/>
      <c r="U275" s="3"/>
      <c r="W275" s="3"/>
      <c r="X275" s="3"/>
      <c r="Y275" s="3"/>
      <c r="Z275" s="3"/>
    </row>
    <row r="276" spans="1:26" ht="14.4" hidden="1" outlineLevel="1" x14ac:dyDescent="0.3">
      <c r="A276" s="3"/>
      <c r="B276" s="9" t="s">
        <v>371</v>
      </c>
      <c r="C276" s="53"/>
      <c r="D276" s="53"/>
      <c r="E276" s="11">
        <v>0</v>
      </c>
      <c r="F276" s="11">
        <v>0</v>
      </c>
      <c r="G276" s="56"/>
      <c r="H276" s="56"/>
      <c r="I276" s="80"/>
      <c r="J276" s="56"/>
      <c r="K276" s="28"/>
      <c r="L276" s="28"/>
      <c r="M276" s="28"/>
      <c r="N276" s="28"/>
      <c r="O276" s="28"/>
      <c r="P276" s="28"/>
      <c r="Q276" s="28"/>
      <c r="R276" s="28"/>
      <c r="S276" s="28"/>
      <c r="T276" s="28"/>
      <c r="U276" s="3"/>
      <c r="W276" s="3"/>
      <c r="X276" s="3"/>
      <c r="Y276" s="3"/>
      <c r="Z276" s="3"/>
    </row>
    <row r="277" spans="1:26" ht="14.4" hidden="1" outlineLevel="1" x14ac:dyDescent="0.3">
      <c r="A277" s="3"/>
      <c r="B277" s="9" t="s">
        <v>372</v>
      </c>
      <c r="C277" s="53"/>
      <c r="D277" s="53"/>
      <c r="E277" s="11">
        <v>0</v>
      </c>
      <c r="F277" s="11">
        <v>0</v>
      </c>
      <c r="G277" s="56"/>
      <c r="H277" s="56"/>
      <c r="I277" s="80"/>
      <c r="J277" s="56"/>
      <c r="K277" s="28"/>
      <c r="L277" s="28"/>
      <c r="M277" s="28"/>
      <c r="N277" s="28"/>
      <c r="O277" s="28"/>
      <c r="P277" s="28"/>
      <c r="Q277" s="28"/>
      <c r="R277" s="28"/>
      <c r="S277" s="28"/>
      <c r="T277" s="28"/>
      <c r="U277" s="3"/>
      <c r="W277" s="3"/>
      <c r="X277" s="3"/>
      <c r="Y277" s="3"/>
      <c r="Z277" s="3"/>
    </row>
    <row r="278" spans="1:26" ht="14.4" hidden="1" outlineLevel="1" x14ac:dyDescent="0.3">
      <c r="A278" s="3"/>
      <c r="B278" s="9" t="s">
        <v>373</v>
      </c>
      <c r="C278" s="53"/>
      <c r="D278" s="53"/>
      <c r="E278" s="11">
        <v>0</v>
      </c>
      <c r="F278" s="11">
        <v>0</v>
      </c>
      <c r="G278" s="56"/>
      <c r="H278" s="56"/>
      <c r="I278" s="80"/>
      <c r="J278" s="56"/>
      <c r="K278" s="28"/>
      <c r="L278" s="28"/>
      <c r="M278" s="28"/>
      <c r="N278" s="28"/>
      <c r="O278" s="28"/>
      <c r="P278" s="28"/>
      <c r="Q278" s="28"/>
      <c r="R278" s="28"/>
      <c r="S278" s="28"/>
      <c r="T278" s="28"/>
      <c r="U278" s="3"/>
      <c r="W278" s="3"/>
      <c r="X278" s="3"/>
      <c r="Y278" s="3"/>
      <c r="Z278" s="3"/>
    </row>
    <row r="279" spans="1:26" hidden="1" outlineLevel="1" x14ac:dyDescent="0.3">
      <c r="A279" s="3"/>
      <c r="B279" s="82" t="s">
        <v>652</v>
      </c>
      <c r="C279" s="83"/>
      <c r="D279" s="83"/>
      <c r="E279" s="84">
        <f>SUM(E280:E288)</f>
        <v>0</v>
      </c>
      <c r="F279" s="84">
        <f>SUMIF(D280:D288,"OK",F280:F288)</f>
        <v>0</v>
      </c>
      <c r="G279" s="85"/>
      <c r="H279" s="85"/>
      <c r="I279" s="86"/>
      <c r="J279" s="85"/>
      <c r="K279" s="28"/>
      <c r="L279" s="28"/>
      <c r="M279" s="28"/>
      <c r="N279" s="28"/>
      <c r="O279" s="28"/>
      <c r="P279" s="28"/>
      <c r="Q279" s="28"/>
      <c r="R279" s="28"/>
      <c r="S279" s="28"/>
      <c r="T279" s="28"/>
      <c r="U279" s="3"/>
      <c r="W279" s="3"/>
      <c r="X279" s="3"/>
      <c r="Y279" s="3"/>
      <c r="Z279" s="3"/>
    </row>
    <row r="280" spans="1:26" ht="14.4" hidden="1" outlineLevel="1" x14ac:dyDescent="0.3">
      <c r="A280" s="3"/>
      <c r="B280" s="9" t="s">
        <v>354</v>
      </c>
      <c r="C280" s="53"/>
      <c r="D280" s="53"/>
      <c r="E280" s="11">
        <v>0</v>
      </c>
      <c r="F280" s="11">
        <v>0</v>
      </c>
      <c r="G280" s="56"/>
      <c r="H280" s="56"/>
      <c r="I280" s="102"/>
      <c r="J280" s="56"/>
      <c r="K280" s="28"/>
      <c r="L280" s="28"/>
      <c r="M280" s="28"/>
      <c r="N280" s="28"/>
      <c r="O280" s="28"/>
      <c r="P280" s="28"/>
      <c r="Q280" s="28"/>
      <c r="R280" s="28"/>
      <c r="S280" s="28"/>
      <c r="T280" s="28"/>
      <c r="U280" s="3"/>
      <c r="W280" s="3"/>
      <c r="X280" s="3"/>
      <c r="Y280" s="3"/>
      <c r="Z280" s="3"/>
    </row>
    <row r="281" spans="1:26" ht="14.4" hidden="1" outlineLevel="1" x14ac:dyDescent="0.3">
      <c r="A281" s="3"/>
      <c r="B281" s="9" t="s">
        <v>355</v>
      </c>
      <c r="C281" s="53"/>
      <c r="D281" s="53"/>
      <c r="E281" s="11">
        <v>0</v>
      </c>
      <c r="F281" s="11">
        <v>0</v>
      </c>
      <c r="G281" s="56"/>
      <c r="H281" s="56"/>
      <c r="I281" s="102"/>
      <c r="J281" s="56"/>
      <c r="K281" s="28"/>
      <c r="L281" s="28"/>
      <c r="M281" s="28"/>
      <c r="N281" s="28"/>
      <c r="O281" s="28"/>
      <c r="P281" s="28"/>
      <c r="Q281" s="28"/>
      <c r="R281" s="28"/>
      <c r="S281" s="28"/>
      <c r="T281" s="28"/>
      <c r="U281" s="3"/>
      <c r="W281" s="3"/>
      <c r="X281" s="3"/>
      <c r="Y281" s="3"/>
      <c r="Z281" s="3"/>
    </row>
    <row r="282" spans="1:26" ht="14.4" hidden="1" outlineLevel="1" x14ac:dyDescent="0.3">
      <c r="A282" s="3"/>
      <c r="B282" s="9" t="s">
        <v>356</v>
      </c>
      <c r="C282" s="53"/>
      <c r="D282" s="53"/>
      <c r="E282" s="11">
        <v>0</v>
      </c>
      <c r="F282" s="11">
        <v>0</v>
      </c>
      <c r="G282" s="56"/>
      <c r="H282" s="56"/>
      <c r="I282" s="102"/>
      <c r="J282" s="56"/>
      <c r="K282" s="28"/>
      <c r="L282" s="28"/>
      <c r="M282" s="28"/>
      <c r="N282" s="28"/>
      <c r="O282" s="28"/>
      <c r="P282" s="28"/>
      <c r="Q282" s="28"/>
      <c r="R282" s="28"/>
      <c r="S282" s="28"/>
      <c r="T282" s="28"/>
      <c r="U282" s="3"/>
      <c r="W282" s="3"/>
      <c r="X282" s="3"/>
      <c r="Y282" s="3"/>
      <c r="Z282" s="3"/>
    </row>
    <row r="283" spans="1:26" ht="14.4" hidden="1" outlineLevel="1" x14ac:dyDescent="0.3">
      <c r="A283" s="3"/>
      <c r="B283" s="9" t="s">
        <v>370</v>
      </c>
      <c r="C283" s="53"/>
      <c r="D283" s="53"/>
      <c r="E283" s="11">
        <v>0</v>
      </c>
      <c r="F283" s="11">
        <v>0</v>
      </c>
      <c r="G283" s="56"/>
      <c r="H283" s="56"/>
      <c r="I283" s="102"/>
      <c r="J283" s="56"/>
      <c r="K283" s="28"/>
      <c r="L283" s="28"/>
      <c r="M283" s="28"/>
      <c r="N283" s="28"/>
      <c r="O283" s="28"/>
      <c r="P283" s="28"/>
      <c r="Q283" s="28"/>
      <c r="R283" s="28"/>
      <c r="S283" s="28"/>
      <c r="T283" s="28"/>
      <c r="U283" s="3"/>
      <c r="W283" s="3"/>
      <c r="X283" s="3"/>
      <c r="Y283" s="3"/>
      <c r="Z283" s="3"/>
    </row>
    <row r="284" spans="1:26" ht="14.4" hidden="1" outlineLevel="1" x14ac:dyDescent="0.3">
      <c r="A284" s="3"/>
      <c r="B284" s="9" t="s">
        <v>328</v>
      </c>
      <c r="C284" s="53"/>
      <c r="D284" s="53"/>
      <c r="E284" s="11">
        <v>0</v>
      </c>
      <c r="F284" s="11">
        <v>0</v>
      </c>
      <c r="G284" s="56"/>
      <c r="H284" s="56"/>
      <c r="I284" s="102"/>
      <c r="J284" s="56"/>
      <c r="K284" s="28"/>
      <c r="L284" s="28"/>
      <c r="M284" s="28"/>
      <c r="N284" s="28"/>
      <c r="O284" s="28"/>
      <c r="P284" s="28"/>
      <c r="Q284" s="28"/>
      <c r="R284" s="28"/>
      <c r="S284" s="28"/>
      <c r="T284" s="28"/>
      <c r="U284" s="3"/>
      <c r="W284" s="3"/>
      <c r="X284" s="3"/>
      <c r="Y284" s="3"/>
      <c r="Z284" s="3"/>
    </row>
    <row r="285" spans="1:26" ht="14.4" hidden="1" outlineLevel="1" x14ac:dyDescent="0.3">
      <c r="A285" s="3"/>
      <c r="B285" s="9" t="s">
        <v>329</v>
      </c>
      <c r="C285" s="53"/>
      <c r="D285" s="53"/>
      <c r="E285" s="11">
        <v>0</v>
      </c>
      <c r="F285" s="11">
        <v>0</v>
      </c>
      <c r="G285" s="56"/>
      <c r="H285" s="56"/>
      <c r="I285" s="102"/>
      <c r="J285" s="56"/>
      <c r="K285" s="28"/>
      <c r="L285" s="28"/>
      <c r="M285" s="28"/>
      <c r="N285" s="28"/>
      <c r="O285" s="28"/>
      <c r="P285" s="28"/>
      <c r="Q285" s="28"/>
      <c r="R285" s="28"/>
      <c r="S285" s="28"/>
      <c r="T285" s="28"/>
      <c r="U285" s="3"/>
      <c r="W285" s="3"/>
      <c r="X285" s="3"/>
      <c r="Y285" s="3"/>
      <c r="Z285" s="3"/>
    </row>
    <row r="286" spans="1:26" ht="14.4" hidden="1" outlineLevel="1" x14ac:dyDescent="0.3">
      <c r="A286" s="3"/>
      <c r="B286" s="9" t="s">
        <v>371</v>
      </c>
      <c r="C286" s="53"/>
      <c r="D286" s="53"/>
      <c r="E286" s="11">
        <v>0</v>
      </c>
      <c r="F286" s="11">
        <v>0</v>
      </c>
      <c r="G286" s="56"/>
      <c r="H286" s="56"/>
      <c r="I286" s="102"/>
      <c r="J286" s="56"/>
      <c r="K286" s="28"/>
      <c r="L286" s="28"/>
      <c r="M286" s="28"/>
      <c r="N286" s="28"/>
      <c r="O286" s="28"/>
      <c r="P286" s="28"/>
      <c r="Q286" s="28"/>
      <c r="R286" s="28"/>
      <c r="S286" s="28"/>
      <c r="T286" s="28"/>
      <c r="U286" s="3"/>
      <c r="W286" s="3"/>
      <c r="X286" s="3"/>
      <c r="Y286" s="3"/>
      <c r="Z286" s="3"/>
    </row>
    <row r="287" spans="1:26" ht="14.4" hidden="1" outlineLevel="1" x14ac:dyDescent="0.3">
      <c r="A287" s="3"/>
      <c r="B287" s="9" t="s">
        <v>372</v>
      </c>
      <c r="C287" s="53"/>
      <c r="D287" s="53"/>
      <c r="E287" s="11">
        <v>0</v>
      </c>
      <c r="F287" s="11">
        <v>0</v>
      </c>
      <c r="G287" s="56"/>
      <c r="H287" s="56"/>
      <c r="I287" s="102"/>
      <c r="J287" s="56"/>
      <c r="K287" s="28"/>
      <c r="L287" s="28"/>
      <c r="M287" s="28"/>
      <c r="N287" s="28"/>
      <c r="O287" s="28"/>
      <c r="P287" s="28"/>
      <c r="Q287" s="28"/>
      <c r="R287" s="28"/>
      <c r="S287" s="28"/>
      <c r="T287" s="28"/>
      <c r="U287" s="3"/>
      <c r="W287" s="3"/>
      <c r="X287" s="3"/>
      <c r="Y287" s="3"/>
      <c r="Z287" s="3"/>
    </row>
    <row r="288" spans="1:26" ht="14.4" hidden="1" outlineLevel="1" x14ac:dyDescent="0.3">
      <c r="A288" s="3"/>
      <c r="B288" s="9" t="s">
        <v>373</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idden="1" outlineLevel="1" x14ac:dyDescent="0.3">
      <c r="A289" s="3"/>
      <c r="B289" s="82" t="s">
        <v>1025</v>
      </c>
      <c r="C289" s="83"/>
      <c r="D289" s="83"/>
      <c r="E289" s="84">
        <f>SUM(E290:E298)</f>
        <v>0</v>
      </c>
      <c r="F289" s="84">
        <f>SUMIF(D290:D298,"OK",F290:F298)</f>
        <v>0</v>
      </c>
      <c r="G289" s="85"/>
      <c r="H289" s="85"/>
      <c r="I289" s="86"/>
      <c r="J289" s="85"/>
      <c r="K289" s="28"/>
      <c r="L289" s="28"/>
      <c r="M289" s="28"/>
      <c r="N289" s="28"/>
      <c r="O289" s="28"/>
      <c r="P289" s="28"/>
      <c r="Q289" s="28"/>
      <c r="R289" s="28"/>
      <c r="S289" s="28"/>
      <c r="T289" s="28"/>
      <c r="U289" s="3"/>
      <c r="W289" s="3"/>
      <c r="X289" s="3"/>
      <c r="Y289" s="3"/>
      <c r="Z289" s="3"/>
    </row>
    <row r="290" spans="1:26" ht="14.4" hidden="1" outlineLevel="1" x14ac:dyDescent="0.3">
      <c r="A290" s="3"/>
      <c r="B290" s="9" t="s">
        <v>1026</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t="14.4" hidden="1" outlineLevel="1" x14ac:dyDescent="0.3">
      <c r="A291" s="3"/>
      <c r="B291" s="9" t="s">
        <v>355</v>
      </c>
      <c r="C291" s="53"/>
      <c r="D291" s="53"/>
      <c r="E291" s="11">
        <v>0</v>
      </c>
      <c r="F291" s="11">
        <v>0</v>
      </c>
      <c r="G291" s="56"/>
      <c r="H291" s="56"/>
      <c r="I291" s="80"/>
      <c r="J291" s="56"/>
      <c r="K291" s="28"/>
      <c r="L291" s="28"/>
      <c r="M291" s="28"/>
      <c r="N291" s="28"/>
      <c r="O291" s="28"/>
      <c r="P291" s="28"/>
      <c r="Q291" s="28"/>
      <c r="R291" s="28"/>
      <c r="S291" s="28"/>
      <c r="T291" s="28"/>
      <c r="U291" s="3"/>
      <c r="W291" s="3"/>
      <c r="X291" s="3"/>
      <c r="Y291" s="3"/>
      <c r="Z291" s="3"/>
    </row>
    <row r="292" spans="1:26" ht="14.4" hidden="1" outlineLevel="1" x14ac:dyDescent="0.3">
      <c r="A292" s="3"/>
      <c r="B292" s="9" t="s">
        <v>356</v>
      </c>
      <c r="C292" s="53"/>
      <c r="D292" s="53"/>
      <c r="E292" s="11">
        <v>0</v>
      </c>
      <c r="F292" s="11">
        <v>0</v>
      </c>
      <c r="G292" s="56"/>
      <c r="H292" s="56"/>
      <c r="I292" s="80"/>
      <c r="J292" s="56"/>
      <c r="K292" s="28"/>
      <c r="L292" s="28"/>
      <c r="M292" s="28"/>
      <c r="N292" s="28"/>
      <c r="O292" s="28"/>
      <c r="P292" s="28"/>
      <c r="Q292" s="28"/>
      <c r="R292" s="28"/>
      <c r="S292" s="28"/>
      <c r="T292" s="28"/>
      <c r="U292" s="3"/>
      <c r="W292" s="3"/>
      <c r="X292" s="3"/>
      <c r="Y292" s="3"/>
      <c r="Z292" s="3"/>
    </row>
    <row r="293" spans="1:26" ht="14.4" hidden="1" outlineLevel="1" x14ac:dyDescent="0.3">
      <c r="A293" s="3"/>
      <c r="B293" s="9" t="s">
        <v>370</v>
      </c>
      <c r="C293" s="53"/>
      <c r="D293" s="53"/>
      <c r="E293" s="11">
        <v>0</v>
      </c>
      <c r="F293" s="11">
        <v>0</v>
      </c>
      <c r="G293" s="56"/>
      <c r="H293" s="56"/>
      <c r="I293" s="80"/>
      <c r="J293" s="56"/>
      <c r="K293" s="28"/>
      <c r="L293" s="28"/>
      <c r="M293" s="28"/>
      <c r="N293" s="28"/>
      <c r="O293" s="28"/>
      <c r="P293" s="28"/>
      <c r="Q293" s="28"/>
      <c r="R293" s="28"/>
      <c r="S293" s="28"/>
      <c r="T293" s="28"/>
      <c r="U293" s="3"/>
      <c r="W293" s="3"/>
      <c r="X293" s="3"/>
      <c r="Y293" s="3"/>
      <c r="Z293" s="3"/>
    </row>
    <row r="294" spans="1:26" ht="14.4" hidden="1" outlineLevel="1" x14ac:dyDescent="0.3">
      <c r="A294" s="3"/>
      <c r="B294" s="9" t="s">
        <v>328</v>
      </c>
      <c r="C294" s="53"/>
      <c r="D294" s="53"/>
      <c r="E294" s="11">
        <v>0</v>
      </c>
      <c r="F294" s="11">
        <v>0</v>
      </c>
      <c r="G294" s="56"/>
      <c r="H294" s="56"/>
      <c r="I294" s="80"/>
      <c r="J294" s="56"/>
      <c r="K294" s="28"/>
      <c r="L294" s="28"/>
      <c r="M294" s="28"/>
      <c r="N294" s="28"/>
      <c r="O294" s="28"/>
      <c r="P294" s="28"/>
      <c r="Q294" s="28"/>
      <c r="R294" s="28"/>
      <c r="S294" s="28"/>
      <c r="T294" s="28"/>
      <c r="U294" s="3"/>
      <c r="W294" s="3"/>
      <c r="X294" s="3"/>
      <c r="Y294" s="3"/>
      <c r="Z294" s="3"/>
    </row>
    <row r="295" spans="1:26" ht="14.4" hidden="1" outlineLevel="1" x14ac:dyDescent="0.3">
      <c r="A295" s="3"/>
      <c r="B295" s="9" t="s">
        <v>329</v>
      </c>
      <c r="C295" s="53"/>
      <c r="D295" s="53"/>
      <c r="E295" s="11">
        <v>0</v>
      </c>
      <c r="F295" s="11">
        <v>0</v>
      </c>
      <c r="G295" s="56"/>
      <c r="H295" s="56"/>
      <c r="I295" s="80"/>
      <c r="J295" s="56"/>
      <c r="K295" s="28"/>
      <c r="L295" s="28"/>
      <c r="M295" s="28"/>
      <c r="N295" s="28"/>
      <c r="O295" s="28"/>
      <c r="P295" s="28"/>
      <c r="Q295" s="28"/>
      <c r="R295" s="28"/>
      <c r="S295" s="28"/>
      <c r="T295" s="28"/>
      <c r="U295" s="3"/>
      <c r="W295" s="3"/>
      <c r="X295" s="3"/>
      <c r="Y295" s="3"/>
      <c r="Z295" s="3"/>
    </row>
    <row r="296" spans="1:26" ht="14.4" hidden="1" outlineLevel="1" x14ac:dyDescent="0.3">
      <c r="A296" s="3"/>
      <c r="B296" s="9" t="s">
        <v>371</v>
      </c>
      <c r="C296" s="53"/>
      <c r="D296" s="53"/>
      <c r="E296" s="11">
        <v>0</v>
      </c>
      <c r="F296" s="11">
        <v>0</v>
      </c>
      <c r="G296" s="56"/>
      <c r="H296" s="56"/>
      <c r="I296" s="80"/>
      <c r="J296" s="56"/>
      <c r="K296" s="28"/>
      <c r="L296" s="28"/>
      <c r="M296" s="28"/>
      <c r="N296" s="28"/>
      <c r="O296" s="28"/>
      <c r="P296" s="28"/>
      <c r="Q296" s="28"/>
      <c r="R296" s="28"/>
      <c r="S296" s="28"/>
      <c r="T296" s="28"/>
      <c r="U296" s="3"/>
      <c r="W296" s="3"/>
      <c r="X296" s="3"/>
      <c r="Y296" s="3"/>
      <c r="Z296" s="3"/>
    </row>
    <row r="297" spans="1:26" ht="14.4" hidden="1" outlineLevel="1" x14ac:dyDescent="0.3">
      <c r="A297" s="3"/>
      <c r="B297" s="9" t="s">
        <v>372</v>
      </c>
      <c r="C297" s="53"/>
      <c r="D297" s="53"/>
      <c r="E297" s="11">
        <v>0</v>
      </c>
      <c r="F297" s="11">
        <v>0</v>
      </c>
      <c r="G297" s="56"/>
      <c r="H297" s="56"/>
      <c r="I297" s="80"/>
      <c r="J297" s="56"/>
      <c r="K297" s="28"/>
      <c r="L297" s="28"/>
      <c r="M297" s="28"/>
      <c r="N297" s="28"/>
      <c r="O297" s="28"/>
      <c r="P297" s="28"/>
      <c r="Q297" s="28"/>
      <c r="R297" s="28"/>
      <c r="S297" s="28"/>
      <c r="T297" s="28"/>
      <c r="U297" s="3"/>
      <c r="W297" s="3"/>
      <c r="X297" s="3"/>
      <c r="Y297" s="3"/>
      <c r="Z297" s="3"/>
    </row>
    <row r="298" spans="1:26" ht="14.4" hidden="1" outlineLevel="1" x14ac:dyDescent="0.3">
      <c r="A298" s="3"/>
      <c r="B298" s="9" t="s">
        <v>373</v>
      </c>
      <c r="C298" s="53"/>
      <c r="D298" s="53"/>
      <c r="E298" s="11">
        <v>0</v>
      </c>
      <c r="F298" s="11">
        <v>0</v>
      </c>
      <c r="G298" s="56"/>
      <c r="H298" s="56"/>
      <c r="I298" s="80"/>
      <c r="J298" s="56"/>
      <c r="K298" s="28"/>
      <c r="L298" s="28"/>
      <c r="M298" s="28"/>
      <c r="N298" s="28"/>
      <c r="O298" s="28"/>
      <c r="P298" s="28"/>
      <c r="Q298" s="28"/>
      <c r="R298" s="28"/>
      <c r="S298" s="28"/>
      <c r="T298" s="28"/>
      <c r="U298" s="3"/>
      <c r="W298" s="3"/>
      <c r="X298" s="3"/>
      <c r="Y298" s="3"/>
      <c r="Z298" s="3"/>
    </row>
    <row r="299" spans="1:26" hidden="1" outlineLevel="1" x14ac:dyDescent="0.3">
      <c r="A299" s="3"/>
      <c r="B299" s="82" t="s">
        <v>1267</v>
      </c>
      <c r="C299" s="83"/>
      <c r="D299" s="83"/>
      <c r="E299" s="84">
        <f>SUM(E300:E308)</f>
        <v>0</v>
      </c>
      <c r="F299" s="84">
        <f>SUMIF(D300:D308,"OK",F300:F308)</f>
        <v>0</v>
      </c>
      <c r="G299" s="85"/>
      <c r="H299" s="85"/>
      <c r="I299" s="86"/>
      <c r="J299" s="85"/>
      <c r="K299" s="28"/>
      <c r="L299" s="28"/>
      <c r="M299" s="28"/>
      <c r="N299" s="28"/>
      <c r="O299" s="28"/>
      <c r="P299" s="28"/>
      <c r="Q299" s="28"/>
      <c r="R299" s="28"/>
      <c r="S299" s="28"/>
      <c r="T299" s="28"/>
      <c r="U299" s="3"/>
      <c r="W299" s="3"/>
      <c r="X299" s="3"/>
      <c r="Y299" s="3"/>
      <c r="Z299" s="3"/>
    </row>
    <row r="300" spans="1:26" ht="14.4" hidden="1" outlineLevel="1" x14ac:dyDescent="0.3">
      <c r="A300" s="3"/>
      <c r="B300" s="9" t="s">
        <v>354</v>
      </c>
      <c r="C300" s="53"/>
      <c r="D300" s="53"/>
      <c r="E300" s="11">
        <v>0</v>
      </c>
      <c r="F300" s="11">
        <v>0</v>
      </c>
      <c r="G300" s="56"/>
      <c r="H300" s="56"/>
      <c r="I300" s="102"/>
      <c r="J300" s="56"/>
      <c r="K300" s="28"/>
      <c r="L300" s="28"/>
      <c r="M300" s="28"/>
      <c r="N300" s="28"/>
      <c r="O300" s="28"/>
      <c r="P300" s="28"/>
      <c r="Q300" s="28"/>
      <c r="R300" s="28"/>
      <c r="S300" s="28"/>
      <c r="T300" s="28"/>
      <c r="U300" s="3"/>
      <c r="W300" s="3"/>
      <c r="X300" s="3"/>
      <c r="Y300" s="3"/>
      <c r="Z300" s="3"/>
    </row>
    <row r="301" spans="1:26" ht="14.4" hidden="1" outlineLevel="1" x14ac:dyDescent="0.3">
      <c r="A301" s="3"/>
      <c r="B301" s="9" t="s">
        <v>355</v>
      </c>
      <c r="C301" s="53"/>
      <c r="D301" s="53"/>
      <c r="E301" s="11">
        <v>0</v>
      </c>
      <c r="F301" s="11">
        <v>0</v>
      </c>
      <c r="G301" s="56"/>
      <c r="H301" s="56"/>
      <c r="I301" s="80"/>
      <c r="J301" s="56"/>
      <c r="K301" s="28"/>
      <c r="L301" s="28"/>
      <c r="M301" s="28"/>
      <c r="N301" s="28"/>
      <c r="O301" s="28"/>
      <c r="P301" s="28"/>
      <c r="Q301" s="28"/>
      <c r="R301" s="28"/>
      <c r="S301" s="28"/>
      <c r="T301" s="28"/>
      <c r="U301" s="3"/>
      <c r="W301" s="3"/>
      <c r="X301" s="3"/>
      <c r="Y301" s="3"/>
      <c r="Z301" s="3"/>
    </row>
    <row r="302" spans="1:26" ht="14.4" hidden="1" outlineLevel="1" x14ac:dyDescent="0.3">
      <c r="A302" s="3"/>
      <c r="B302" s="9" t="s">
        <v>356</v>
      </c>
      <c r="C302" s="53"/>
      <c r="D302" s="53"/>
      <c r="E302" s="11">
        <v>0</v>
      </c>
      <c r="F302" s="11">
        <v>0</v>
      </c>
      <c r="G302" s="56"/>
      <c r="H302" s="56"/>
      <c r="I302" s="80"/>
      <c r="J302" s="56"/>
      <c r="K302" s="28"/>
      <c r="L302" s="28"/>
      <c r="M302" s="28"/>
      <c r="N302" s="28"/>
      <c r="O302" s="28"/>
      <c r="P302" s="28"/>
      <c r="Q302" s="28"/>
      <c r="R302" s="28"/>
      <c r="S302" s="28"/>
      <c r="T302" s="28"/>
      <c r="U302" s="3"/>
      <c r="W302" s="3"/>
      <c r="X302" s="3"/>
      <c r="Y302" s="3"/>
      <c r="Z302" s="3"/>
    </row>
    <row r="303" spans="1:26" ht="14.4" hidden="1" outlineLevel="1" x14ac:dyDescent="0.3">
      <c r="A303" s="3"/>
      <c r="B303" s="9" t="s">
        <v>370</v>
      </c>
      <c r="C303" s="53"/>
      <c r="D303" s="53"/>
      <c r="E303" s="11">
        <v>0</v>
      </c>
      <c r="F303" s="11">
        <v>0</v>
      </c>
      <c r="G303" s="56"/>
      <c r="H303" s="56"/>
      <c r="I303" s="80"/>
      <c r="J303" s="56"/>
      <c r="K303" s="28"/>
      <c r="L303" s="28"/>
      <c r="M303" s="28"/>
      <c r="N303" s="28"/>
      <c r="O303" s="28"/>
      <c r="P303" s="28"/>
      <c r="Q303" s="28"/>
      <c r="R303" s="28"/>
      <c r="S303" s="28"/>
      <c r="T303" s="28"/>
      <c r="U303" s="3"/>
      <c r="W303" s="3"/>
      <c r="X303" s="3"/>
      <c r="Y303" s="3"/>
      <c r="Z303" s="3"/>
    </row>
    <row r="304" spans="1:26" ht="14.4" hidden="1" outlineLevel="1" x14ac:dyDescent="0.3">
      <c r="A304" s="3"/>
      <c r="B304" s="9" t="s">
        <v>328</v>
      </c>
      <c r="C304" s="53"/>
      <c r="D304" s="53"/>
      <c r="E304" s="11">
        <v>0</v>
      </c>
      <c r="F304" s="11">
        <v>0</v>
      </c>
      <c r="G304" s="56"/>
      <c r="H304" s="56"/>
      <c r="I304" s="80"/>
      <c r="J304" s="56"/>
      <c r="K304" s="28"/>
      <c r="L304" s="28"/>
      <c r="M304" s="28"/>
      <c r="N304" s="28"/>
      <c r="O304" s="28"/>
      <c r="P304" s="28"/>
      <c r="Q304" s="28"/>
      <c r="R304" s="28"/>
      <c r="S304" s="28"/>
      <c r="T304" s="28"/>
      <c r="U304" s="3"/>
      <c r="W304" s="3"/>
      <c r="X304" s="3"/>
      <c r="Y304" s="3"/>
      <c r="Z304" s="3"/>
    </row>
    <row r="305" spans="1:26" ht="14.4" hidden="1" outlineLevel="1" x14ac:dyDescent="0.3">
      <c r="A305" s="3"/>
      <c r="B305" s="9" t="s">
        <v>329</v>
      </c>
      <c r="C305" s="53"/>
      <c r="D305" s="53"/>
      <c r="E305" s="11">
        <v>0</v>
      </c>
      <c r="F305" s="11">
        <v>0</v>
      </c>
      <c r="G305" s="56"/>
      <c r="H305" s="56"/>
      <c r="I305" s="80"/>
      <c r="J305" s="56"/>
      <c r="K305" s="28"/>
      <c r="L305" s="28"/>
      <c r="M305" s="28"/>
      <c r="N305" s="28"/>
      <c r="O305" s="28"/>
      <c r="P305" s="28"/>
      <c r="Q305" s="28"/>
      <c r="R305" s="28"/>
      <c r="S305" s="28"/>
      <c r="T305" s="28"/>
      <c r="U305" s="3"/>
      <c r="W305" s="3"/>
      <c r="X305" s="3"/>
      <c r="Y305" s="3"/>
      <c r="Z305" s="3"/>
    </row>
    <row r="306" spans="1:26" ht="14.4" hidden="1" outlineLevel="1" x14ac:dyDescent="0.3">
      <c r="A306" s="3"/>
      <c r="B306" s="9" t="s">
        <v>371</v>
      </c>
      <c r="C306" s="53"/>
      <c r="D306" s="53"/>
      <c r="E306" s="11">
        <v>0</v>
      </c>
      <c r="F306" s="11">
        <v>0</v>
      </c>
      <c r="G306" s="56"/>
      <c r="H306" s="56"/>
      <c r="I306" s="80"/>
      <c r="J306" s="56"/>
      <c r="K306" s="28"/>
      <c r="L306" s="28"/>
      <c r="M306" s="28"/>
      <c r="N306" s="28"/>
      <c r="O306" s="28"/>
      <c r="P306" s="28"/>
      <c r="Q306" s="28"/>
      <c r="R306" s="28"/>
      <c r="S306" s="28"/>
      <c r="T306" s="28"/>
      <c r="U306" s="3"/>
      <c r="W306" s="3"/>
      <c r="X306" s="3"/>
      <c r="Y306" s="3"/>
      <c r="Z306" s="3"/>
    </row>
    <row r="307" spans="1:26" ht="14.4" hidden="1" outlineLevel="1" x14ac:dyDescent="0.3">
      <c r="A307" s="3"/>
      <c r="B307" s="9" t="s">
        <v>372</v>
      </c>
      <c r="C307" s="53"/>
      <c r="D307" s="53"/>
      <c r="E307" s="11">
        <v>0</v>
      </c>
      <c r="F307" s="11">
        <v>0</v>
      </c>
      <c r="G307" s="56"/>
      <c r="H307" s="56"/>
      <c r="I307" s="80"/>
      <c r="J307" s="56"/>
      <c r="K307" s="28"/>
      <c r="L307" s="28"/>
      <c r="M307" s="28"/>
      <c r="N307" s="28"/>
      <c r="O307" s="28"/>
      <c r="P307" s="28"/>
      <c r="Q307" s="28"/>
      <c r="R307" s="28"/>
      <c r="S307" s="28"/>
      <c r="T307" s="28"/>
      <c r="U307" s="3"/>
      <c r="W307" s="3"/>
      <c r="X307" s="3"/>
      <c r="Y307" s="3"/>
      <c r="Z307" s="3"/>
    </row>
    <row r="308" spans="1:26" ht="14.4" hidden="1" outlineLevel="1" x14ac:dyDescent="0.3">
      <c r="A308" s="3"/>
      <c r="B308" s="9" t="s">
        <v>373</v>
      </c>
      <c r="C308" s="53"/>
      <c r="D308" s="53"/>
      <c r="E308" s="11">
        <v>0</v>
      </c>
      <c r="F308" s="11">
        <v>0</v>
      </c>
      <c r="G308" s="56"/>
      <c r="H308" s="56"/>
      <c r="I308" s="80"/>
      <c r="J308" s="56"/>
      <c r="K308" s="28"/>
      <c r="L308" s="28"/>
      <c r="M308" s="28"/>
      <c r="N308" s="28"/>
      <c r="O308" s="28"/>
      <c r="P308" s="28"/>
      <c r="Q308" s="28"/>
      <c r="R308" s="28"/>
      <c r="S308" s="28"/>
      <c r="T308" s="28"/>
      <c r="U308" s="3"/>
      <c r="W308" s="3"/>
      <c r="X308" s="3"/>
      <c r="Y308" s="3"/>
      <c r="Z308" s="3"/>
    </row>
    <row r="309" spans="1:26" hidden="1" outlineLevel="1" x14ac:dyDescent="0.3">
      <c r="A309" s="3"/>
      <c r="B309" s="82" t="s">
        <v>690</v>
      </c>
      <c r="C309" s="83"/>
      <c r="D309" s="83"/>
      <c r="E309" s="84">
        <f>SUM(E310:E318)</f>
        <v>0</v>
      </c>
      <c r="F309" s="84">
        <f>SUMIF(D310:D318,"OK",F310:F318)</f>
        <v>0</v>
      </c>
      <c r="G309" s="85"/>
      <c r="H309" s="85"/>
      <c r="I309" s="86"/>
      <c r="J309" s="85"/>
      <c r="K309" s="28"/>
      <c r="L309" s="28"/>
      <c r="M309" s="28"/>
      <c r="N309" s="28"/>
      <c r="O309" s="28"/>
      <c r="P309" s="28"/>
      <c r="Q309" s="28"/>
      <c r="R309" s="28"/>
      <c r="S309" s="28"/>
      <c r="T309" s="28"/>
      <c r="U309" s="3"/>
      <c r="W309" s="3"/>
      <c r="X309" s="3"/>
      <c r="Y309" s="3"/>
      <c r="Z309" s="3"/>
    </row>
    <row r="310" spans="1:26" ht="14.4" hidden="1" outlineLevel="1" x14ac:dyDescent="0.3">
      <c r="A310" s="3"/>
      <c r="B310" s="9" t="s">
        <v>354</v>
      </c>
      <c r="C310" s="53"/>
      <c r="D310" s="53"/>
      <c r="E310" s="11">
        <v>0</v>
      </c>
      <c r="F310" s="11">
        <v>0</v>
      </c>
      <c r="G310" s="56"/>
      <c r="H310" s="56"/>
      <c r="I310" s="102"/>
      <c r="J310" s="56"/>
      <c r="K310" s="28"/>
      <c r="L310" s="28"/>
      <c r="M310" s="28"/>
      <c r="N310" s="28"/>
      <c r="O310" s="28"/>
      <c r="P310" s="28"/>
      <c r="Q310" s="28"/>
      <c r="R310" s="28"/>
      <c r="S310" s="28"/>
      <c r="T310" s="28"/>
      <c r="U310" s="3"/>
      <c r="W310" s="3"/>
      <c r="X310" s="3"/>
      <c r="Y310" s="3"/>
      <c r="Z310" s="3"/>
    </row>
    <row r="311" spans="1:26" ht="14.4" hidden="1" outlineLevel="1" x14ac:dyDescent="0.3">
      <c r="A311" s="3"/>
      <c r="B311" s="9" t="s">
        <v>355</v>
      </c>
      <c r="C311" s="53"/>
      <c r="D311" s="53"/>
      <c r="E311" s="11">
        <v>0</v>
      </c>
      <c r="F311" s="11">
        <v>0</v>
      </c>
      <c r="G311" s="56"/>
      <c r="H311" s="56"/>
      <c r="I311" s="102"/>
      <c r="J311" s="56"/>
      <c r="K311" s="28"/>
      <c r="L311" s="28"/>
      <c r="M311" s="28"/>
      <c r="N311" s="28"/>
      <c r="O311" s="28"/>
      <c r="P311" s="28"/>
      <c r="Q311" s="28"/>
      <c r="R311" s="28"/>
      <c r="S311" s="28"/>
      <c r="T311" s="28"/>
      <c r="U311" s="3"/>
      <c r="W311" s="3"/>
      <c r="X311" s="3"/>
      <c r="Y311" s="3"/>
      <c r="Z311" s="3"/>
    </row>
    <row r="312" spans="1:26" ht="14.4" hidden="1" outlineLevel="1" x14ac:dyDescent="0.3">
      <c r="A312" s="3"/>
      <c r="B312" s="9" t="s">
        <v>356</v>
      </c>
      <c r="C312" s="53"/>
      <c r="D312" s="53"/>
      <c r="E312" s="11">
        <v>0</v>
      </c>
      <c r="F312" s="11">
        <v>0</v>
      </c>
      <c r="G312" s="56"/>
      <c r="H312" s="56"/>
      <c r="I312" s="80"/>
      <c r="J312" s="56"/>
      <c r="K312" s="28"/>
      <c r="L312" s="28"/>
      <c r="M312" s="28"/>
      <c r="N312" s="28"/>
      <c r="O312" s="28"/>
      <c r="P312" s="28"/>
      <c r="Q312" s="28"/>
      <c r="R312" s="28"/>
      <c r="S312" s="28"/>
      <c r="T312" s="28"/>
      <c r="U312" s="3"/>
      <c r="W312" s="3"/>
      <c r="X312" s="3"/>
      <c r="Y312" s="3"/>
      <c r="Z312" s="3"/>
    </row>
    <row r="313" spans="1:26" ht="14.4" hidden="1" outlineLevel="1" x14ac:dyDescent="0.3">
      <c r="A313" s="3"/>
      <c r="B313" s="9" t="s">
        <v>370</v>
      </c>
      <c r="C313" s="53"/>
      <c r="D313" s="53"/>
      <c r="E313" s="11">
        <v>0</v>
      </c>
      <c r="F313" s="11">
        <v>0</v>
      </c>
      <c r="G313" s="56"/>
      <c r="H313" s="56"/>
      <c r="I313" s="80"/>
      <c r="J313" s="56"/>
      <c r="K313" s="28"/>
      <c r="L313" s="28"/>
      <c r="M313" s="28"/>
      <c r="N313" s="28"/>
      <c r="O313" s="28"/>
      <c r="P313" s="28"/>
      <c r="Q313" s="28"/>
      <c r="R313" s="28"/>
      <c r="S313" s="28"/>
      <c r="T313" s="28"/>
      <c r="U313" s="3"/>
      <c r="W313" s="3"/>
      <c r="X313" s="3"/>
      <c r="Y313" s="3"/>
      <c r="Z313" s="3"/>
    </row>
    <row r="314" spans="1:26" ht="14.4" hidden="1" outlineLevel="1" x14ac:dyDescent="0.3">
      <c r="A314" s="3"/>
      <c r="B314" s="9" t="s">
        <v>328</v>
      </c>
      <c r="C314" s="53"/>
      <c r="D314" s="53"/>
      <c r="E314" s="11">
        <v>0</v>
      </c>
      <c r="F314" s="11">
        <v>0</v>
      </c>
      <c r="G314" s="56"/>
      <c r="H314" s="56"/>
      <c r="I314" s="80"/>
      <c r="J314" s="56"/>
      <c r="K314" s="28"/>
      <c r="L314" s="28"/>
      <c r="M314" s="28"/>
      <c r="N314" s="28"/>
      <c r="O314" s="28"/>
      <c r="P314" s="28"/>
      <c r="Q314" s="28"/>
      <c r="R314" s="28"/>
      <c r="S314" s="28"/>
      <c r="T314" s="28"/>
      <c r="U314" s="3"/>
      <c r="W314" s="3"/>
      <c r="X314" s="3"/>
      <c r="Y314" s="3"/>
      <c r="Z314" s="3"/>
    </row>
    <row r="315" spans="1:26" ht="14.4" hidden="1" outlineLevel="1" x14ac:dyDescent="0.3">
      <c r="A315" s="3"/>
      <c r="B315" s="9" t="s">
        <v>329</v>
      </c>
      <c r="C315" s="53"/>
      <c r="D315" s="53"/>
      <c r="E315" s="11">
        <v>0</v>
      </c>
      <c r="F315" s="11">
        <v>0</v>
      </c>
      <c r="G315" s="56"/>
      <c r="H315" s="56"/>
      <c r="I315" s="80"/>
      <c r="J315" s="56"/>
      <c r="K315" s="28"/>
      <c r="L315" s="28"/>
      <c r="M315" s="28"/>
      <c r="N315" s="28"/>
      <c r="O315" s="28"/>
      <c r="P315" s="28"/>
      <c r="Q315" s="28"/>
      <c r="R315" s="28"/>
      <c r="S315" s="28"/>
      <c r="T315" s="28"/>
      <c r="U315" s="3"/>
      <c r="W315" s="3"/>
      <c r="X315" s="3"/>
      <c r="Y315" s="3"/>
      <c r="Z315" s="3"/>
    </row>
    <row r="316" spans="1:26" ht="14.4" hidden="1" outlineLevel="1" x14ac:dyDescent="0.3">
      <c r="A316" s="3"/>
      <c r="B316" s="9" t="s">
        <v>371</v>
      </c>
      <c r="C316" s="53"/>
      <c r="D316" s="53"/>
      <c r="E316" s="11">
        <v>0</v>
      </c>
      <c r="F316" s="11">
        <v>0</v>
      </c>
      <c r="G316" s="56"/>
      <c r="H316" s="56"/>
      <c r="I316" s="80"/>
      <c r="J316" s="56"/>
      <c r="K316" s="28"/>
      <c r="L316" s="28"/>
      <c r="M316" s="28"/>
      <c r="N316" s="28"/>
      <c r="O316" s="28"/>
      <c r="P316" s="28"/>
      <c r="Q316" s="28"/>
      <c r="R316" s="28"/>
      <c r="S316" s="28"/>
      <c r="T316" s="28"/>
      <c r="U316" s="3"/>
      <c r="W316" s="3"/>
      <c r="X316" s="3"/>
      <c r="Y316" s="3"/>
      <c r="Z316" s="3"/>
    </row>
    <row r="317" spans="1:26" ht="14.4" hidden="1" outlineLevel="1" x14ac:dyDescent="0.3">
      <c r="A317" s="3"/>
      <c r="B317" s="9" t="s">
        <v>372</v>
      </c>
      <c r="C317" s="53"/>
      <c r="D317" s="53"/>
      <c r="E317" s="11">
        <v>0</v>
      </c>
      <c r="F317" s="11">
        <v>0</v>
      </c>
      <c r="G317" s="56"/>
      <c r="H317" s="56"/>
      <c r="I317" s="80"/>
      <c r="J317" s="56"/>
      <c r="K317" s="28"/>
      <c r="L317" s="28"/>
      <c r="M317" s="28"/>
      <c r="N317" s="28"/>
      <c r="O317" s="28"/>
      <c r="P317" s="28"/>
      <c r="Q317" s="28"/>
      <c r="R317" s="28"/>
      <c r="S317" s="28"/>
      <c r="T317" s="28"/>
      <c r="U317" s="3"/>
      <c r="W317" s="3"/>
      <c r="X317" s="3"/>
      <c r="Y317" s="3"/>
      <c r="Z317" s="3"/>
    </row>
    <row r="318" spans="1:26" ht="14.4" hidden="1" outlineLevel="1" x14ac:dyDescent="0.3">
      <c r="A318" s="3"/>
      <c r="B318" s="9" t="s">
        <v>373</v>
      </c>
      <c r="C318" s="53"/>
      <c r="D318" s="53"/>
      <c r="E318" s="11">
        <v>0</v>
      </c>
      <c r="F318" s="11">
        <v>0</v>
      </c>
      <c r="G318" s="56"/>
      <c r="H318" s="56"/>
      <c r="I318" s="80"/>
      <c r="J318" s="56"/>
      <c r="K318" s="28"/>
      <c r="L318" s="28"/>
      <c r="M318" s="28"/>
      <c r="N318" s="28"/>
      <c r="O318" s="28"/>
      <c r="P318" s="28"/>
      <c r="Q318" s="28"/>
      <c r="R318" s="28"/>
      <c r="S318" s="28"/>
      <c r="T318" s="28"/>
      <c r="U318" s="3"/>
      <c r="W318" s="3"/>
      <c r="X318" s="3"/>
      <c r="Y318" s="3"/>
      <c r="Z318" s="3"/>
    </row>
    <row r="319" spans="1:26" ht="20.399999999999999" collapsed="1" x14ac:dyDescent="0.3">
      <c r="A319" s="3"/>
      <c r="B319" s="75" t="s">
        <v>412</v>
      </c>
      <c r="C319" s="76" t="s">
        <v>44</v>
      </c>
      <c r="D319" s="76" t="s">
        <v>44</v>
      </c>
      <c r="E319" s="77">
        <f>SUM(E320:E334)</f>
        <v>0</v>
      </c>
      <c r="F319" s="77">
        <f>SUMIF(D320:D334,"OK",F320:F334)</f>
        <v>104</v>
      </c>
      <c r="G319" s="78"/>
      <c r="H319" s="78"/>
      <c r="I319" s="79"/>
      <c r="J319" s="78"/>
      <c r="K319" s="28"/>
      <c r="L319" s="28"/>
      <c r="M319" s="28"/>
      <c r="N319" s="28"/>
      <c r="O319" s="28"/>
      <c r="P319" s="28"/>
      <c r="Q319" s="28"/>
      <c r="R319" s="28"/>
      <c r="S319" s="28"/>
      <c r="T319" s="28"/>
      <c r="U319" s="3"/>
      <c r="W319" s="3"/>
      <c r="X319" s="3"/>
      <c r="Y319" s="3"/>
      <c r="Z319" s="3"/>
    </row>
    <row r="320" spans="1:26" ht="14.4" hidden="1" outlineLevel="1" x14ac:dyDescent="0.3">
      <c r="A320" s="3"/>
      <c r="B320" s="9" t="s">
        <v>413</v>
      </c>
      <c r="C320" s="53"/>
      <c r="D320" s="53"/>
      <c r="E320" s="11">
        <v>0</v>
      </c>
      <c r="F320" s="11">
        <v>0</v>
      </c>
      <c r="G320" s="56"/>
      <c r="H320" s="56"/>
      <c r="I320" s="80"/>
      <c r="J320" s="56"/>
      <c r="K320" s="28"/>
      <c r="L320" s="28"/>
      <c r="M320" s="28"/>
      <c r="N320" s="28"/>
      <c r="O320" s="28"/>
      <c r="P320" s="28"/>
      <c r="Q320" s="28"/>
      <c r="R320" s="28"/>
      <c r="S320" s="28"/>
      <c r="T320" s="28"/>
      <c r="U320" s="3"/>
      <c r="W320" s="3"/>
      <c r="X320" s="3"/>
      <c r="Y320" s="3"/>
      <c r="Z320" s="3"/>
    </row>
    <row r="321" spans="1:26" ht="14.4" hidden="1" outlineLevel="1" x14ac:dyDescent="0.3">
      <c r="A321" s="3"/>
      <c r="B321" s="9" t="s">
        <v>414</v>
      </c>
      <c r="C321" s="53"/>
      <c r="D321" s="53"/>
      <c r="E321" s="11">
        <v>0</v>
      </c>
      <c r="F321" s="11">
        <v>0</v>
      </c>
      <c r="G321" s="80"/>
      <c r="H321" s="56"/>
      <c r="I321" s="102"/>
      <c r="J321" s="56"/>
      <c r="K321" s="28"/>
      <c r="L321" s="28"/>
      <c r="M321" s="28"/>
      <c r="N321" s="28"/>
      <c r="O321" s="28"/>
      <c r="P321" s="28"/>
      <c r="Q321" s="28"/>
      <c r="R321" s="28"/>
      <c r="S321" s="28"/>
      <c r="T321" s="28"/>
      <c r="U321" s="3"/>
      <c r="W321" s="3"/>
      <c r="X321" s="3"/>
      <c r="Y321" s="3"/>
      <c r="Z321" s="3"/>
    </row>
    <row r="322" spans="1:26" ht="14.4" hidden="1" outlineLevel="1" x14ac:dyDescent="0.3">
      <c r="A322" s="3"/>
      <c r="B322" s="9" t="s">
        <v>414</v>
      </c>
      <c r="C322" s="53"/>
      <c r="D322" s="53"/>
      <c r="E322" s="11">
        <v>0</v>
      </c>
      <c r="F322" s="11">
        <v>0</v>
      </c>
      <c r="G322" s="56"/>
      <c r="H322" s="56"/>
      <c r="I322" s="102"/>
      <c r="J322" s="56"/>
      <c r="K322" s="28"/>
      <c r="L322" s="28"/>
      <c r="M322" s="28"/>
      <c r="N322" s="28"/>
      <c r="O322" s="28"/>
      <c r="P322" s="28"/>
      <c r="Q322" s="28"/>
      <c r="R322" s="28"/>
      <c r="S322" s="28"/>
      <c r="T322" s="28"/>
      <c r="U322" s="3"/>
      <c r="W322" s="3"/>
      <c r="X322" s="3"/>
      <c r="Y322" s="3"/>
      <c r="Z322" s="3"/>
    </row>
    <row r="323" spans="1:26" ht="14.4" hidden="1" outlineLevel="1" x14ac:dyDescent="0.3">
      <c r="A323" s="3"/>
      <c r="B323" s="9" t="s">
        <v>415</v>
      </c>
      <c r="C323" s="53"/>
      <c r="D323" s="53"/>
      <c r="E323" s="11">
        <v>0</v>
      </c>
      <c r="F323" s="11">
        <v>0</v>
      </c>
      <c r="G323" s="56"/>
      <c r="H323" s="56"/>
      <c r="I323" s="80"/>
      <c r="J323" s="56"/>
      <c r="K323" s="28"/>
      <c r="L323" s="28"/>
      <c r="M323" s="28"/>
      <c r="N323" s="28"/>
      <c r="O323" s="28"/>
      <c r="P323" s="28"/>
      <c r="Q323" s="28"/>
      <c r="R323" s="28"/>
      <c r="S323" s="28"/>
      <c r="T323" s="28"/>
      <c r="U323" s="3"/>
      <c r="W323" s="3"/>
      <c r="X323" s="3"/>
      <c r="Y323" s="3"/>
      <c r="Z323" s="3"/>
    </row>
    <row r="324" spans="1:26" ht="14.4" hidden="1" outlineLevel="1" x14ac:dyDescent="0.3">
      <c r="A324" s="3"/>
      <c r="B324" s="9" t="s">
        <v>415</v>
      </c>
      <c r="C324" s="53"/>
      <c r="D324" s="53"/>
      <c r="E324" s="11">
        <v>0</v>
      </c>
      <c r="F324" s="11">
        <v>0</v>
      </c>
      <c r="G324" s="56"/>
      <c r="H324" s="56"/>
      <c r="I324" s="80"/>
      <c r="J324" s="56"/>
      <c r="K324" s="28"/>
      <c r="L324" s="28"/>
      <c r="M324" s="28"/>
      <c r="N324" s="28"/>
      <c r="O324" s="28"/>
      <c r="P324" s="28"/>
      <c r="Q324" s="28"/>
      <c r="R324" s="28"/>
      <c r="S324" s="28"/>
      <c r="T324" s="28"/>
      <c r="U324" s="3"/>
      <c r="W324" s="3"/>
      <c r="X324" s="3"/>
      <c r="Y324" s="3"/>
      <c r="Z324" s="3"/>
    </row>
    <row r="325" spans="1:26" ht="14.4" hidden="1" outlineLevel="1" x14ac:dyDescent="0.3">
      <c r="A325" s="3"/>
      <c r="B325" s="9" t="s">
        <v>415</v>
      </c>
      <c r="C325" s="53"/>
      <c r="D325" s="53"/>
      <c r="E325" s="11">
        <v>0</v>
      </c>
      <c r="F325" s="11">
        <v>0</v>
      </c>
      <c r="G325" s="56"/>
      <c r="H325" s="56"/>
      <c r="I325" s="80"/>
      <c r="J325" s="56"/>
      <c r="K325" s="28"/>
      <c r="L325" s="28"/>
      <c r="M325" s="28"/>
      <c r="N325" s="28"/>
      <c r="O325" s="28"/>
      <c r="P325" s="28"/>
      <c r="Q325" s="28"/>
      <c r="R325" s="28"/>
      <c r="S325" s="28"/>
      <c r="T325" s="28"/>
      <c r="U325" s="3"/>
      <c r="W325" s="3"/>
      <c r="X325" s="3"/>
      <c r="Y325" s="3"/>
      <c r="Z325" s="3"/>
    </row>
    <row r="326" spans="1:26" ht="14.4" hidden="1" outlineLevel="1" x14ac:dyDescent="0.3">
      <c r="A326" s="3"/>
      <c r="B326" s="9" t="s">
        <v>416</v>
      </c>
      <c r="C326" s="53">
        <v>1</v>
      </c>
      <c r="D326" s="53" t="s">
        <v>95</v>
      </c>
      <c r="E326" s="11">
        <v>0</v>
      </c>
      <c r="F326" s="11">
        <v>104</v>
      </c>
      <c r="G326" s="56"/>
      <c r="H326" s="56" t="s">
        <v>37</v>
      </c>
      <c r="I326" s="102" t="s">
        <v>1268</v>
      </c>
      <c r="J326" s="56"/>
      <c r="K326" s="28"/>
      <c r="L326" s="28"/>
      <c r="M326" s="28"/>
      <c r="N326" s="28"/>
      <c r="O326" s="28"/>
      <c r="P326" s="28"/>
      <c r="Q326" s="28"/>
      <c r="R326" s="28"/>
      <c r="S326" s="28"/>
      <c r="T326" s="28"/>
      <c r="U326" s="3"/>
      <c r="W326" s="3"/>
      <c r="X326" s="3"/>
      <c r="Y326" s="3"/>
      <c r="Z326" s="3"/>
    </row>
    <row r="327" spans="1:26" ht="14.4" hidden="1" outlineLevel="1" x14ac:dyDescent="0.3">
      <c r="A327" s="3"/>
      <c r="B327" s="9" t="s">
        <v>416</v>
      </c>
      <c r="C327" s="53"/>
      <c r="D327" s="53"/>
      <c r="E327" s="11">
        <v>0</v>
      </c>
      <c r="F327" s="11">
        <v>0</v>
      </c>
      <c r="G327" s="56"/>
      <c r="H327" s="56"/>
      <c r="I327" s="102"/>
      <c r="J327" s="56"/>
      <c r="K327" s="28"/>
      <c r="L327" s="28"/>
      <c r="M327" s="28"/>
      <c r="N327" s="28"/>
      <c r="O327" s="28"/>
      <c r="P327" s="28"/>
      <c r="Q327" s="28"/>
      <c r="R327" s="28"/>
      <c r="S327" s="28"/>
      <c r="T327" s="28"/>
      <c r="U327" s="3"/>
      <c r="W327" s="3"/>
      <c r="X327" s="3"/>
      <c r="Y327" s="3"/>
      <c r="Z327" s="3"/>
    </row>
    <row r="328" spans="1:26" ht="14.4" hidden="1" outlineLevel="1" x14ac:dyDescent="0.3">
      <c r="A328" s="3"/>
      <c r="B328" s="9" t="s">
        <v>416</v>
      </c>
      <c r="C328" s="53"/>
      <c r="D328" s="53"/>
      <c r="E328" s="11">
        <v>0</v>
      </c>
      <c r="F328" s="11">
        <v>0</v>
      </c>
      <c r="G328" s="56"/>
      <c r="H328" s="56"/>
      <c r="I328" s="102"/>
      <c r="J328" s="56"/>
      <c r="K328" s="28"/>
      <c r="L328" s="28"/>
      <c r="M328" s="28"/>
      <c r="N328" s="28"/>
      <c r="O328" s="28"/>
      <c r="P328" s="28"/>
      <c r="Q328" s="28"/>
      <c r="R328" s="28"/>
      <c r="S328" s="28"/>
      <c r="T328" s="28"/>
      <c r="U328" s="3"/>
      <c r="W328" s="3"/>
      <c r="X328" s="3"/>
      <c r="Y328" s="3"/>
      <c r="Z328" s="3"/>
    </row>
    <row r="329" spans="1:26" ht="14.4" hidden="1" outlineLevel="1" x14ac:dyDescent="0.3">
      <c r="A329" s="3"/>
      <c r="B329" s="9" t="s">
        <v>417</v>
      </c>
      <c r="C329" s="53"/>
      <c r="D329" s="53"/>
      <c r="E329" s="11">
        <v>0</v>
      </c>
      <c r="F329" s="11">
        <v>0</v>
      </c>
      <c r="G329" s="56"/>
      <c r="H329" s="56"/>
      <c r="I329" s="80"/>
      <c r="J329" s="56"/>
      <c r="K329" s="28"/>
      <c r="L329" s="28"/>
      <c r="M329" s="28"/>
      <c r="N329" s="28"/>
      <c r="O329" s="28"/>
      <c r="P329" s="28"/>
      <c r="Q329" s="28"/>
      <c r="R329" s="28"/>
      <c r="S329" s="28"/>
      <c r="T329" s="28"/>
      <c r="U329" s="3"/>
      <c r="W329" s="3"/>
      <c r="X329" s="3"/>
      <c r="Y329" s="3"/>
      <c r="Z329" s="3"/>
    </row>
    <row r="330" spans="1:26" ht="14.4" hidden="1" outlineLevel="1" x14ac:dyDescent="0.3">
      <c r="A330" s="3"/>
      <c r="B330" s="9" t="s">
        <v>418</v>
      </c>
      <c r="C330" s="53"/>
      <c r="D330" s="53"/>
      <c r="E330" s="11">
        <v>0</v>
      </c>
      <c r="F330" s="11">
        <v>0</v>
      </c>
      <c r="G330" s="56"/>
      <c r="H330" s="56"/>
      <c r="I330" s="80"/>
      <c r="J330" s="56"/>
      <c r="K330" s="28"/>
      <c r="L330" s="28"/>
      <c r="M330" s="28"/>
      <c r="N330" s="28"/>
      <c r="O330" s="28"/>
      <c r="P330" s="28"/>
      <c r="Q330" s="28"/>
      <c r="R330" s="28"/>
      <c r="S330" s="28"/>
      <c r="T330" s="28"/>
      <c r="U330" s="3"/>
      <c r="W330" s="3"/>
      <c r="X330" s="3"/>
      <c r="Y330" s="3"/>
      <c r="Z330" s="3"/>
    </row>
    <row r="331" spans="1:26" ht="14.4" hidden="1" outlineLevel="1" x14ac:dyDescent="0.3">
      <c r="A331" s="3"/>
      <c r="B331" s="9" t="s">
        <v>419</v>
      </c>
      <c r="C331" s="53"/>
      <c r="D331" s="53"/>
      <c r="E331" s="11">
        <v>0</v>
      </c>
      <c r="F331" s="11">
        <v>0</v>
      </c>
      <c r="G331" s="56"/>
      <c r="H331" s="56"/>
      <c r="I331" s="80"/>
      <c r="J331" s="56"/>
      <c r="K331" s="28"/>
      <c r="L331" s="28"/>
      <c r="M331" s="28"/>
      <c r="N331" s="28"/>
      <c r="O331" s="28"/>
      <c r="P331" s="28"/>
      <c r="Q331" s="28"/>
      <c r="R331" s="28"/>
      <c r="S331" s="28"/>
      <c r="T331" s="28"/>
      <c r="U331" s="3"/>
      <c r="W331" s="3"/>
      <c r="X331" s="3"/>
      <c r="Y331" s="3"/>
      <c r="Z331" s="3"/>
    </row>
    <row r="332" spans="1:26" ht="14.4" hidden="1" outlineLevel="1" x14ac:dyDescent="0.3">
      <c r="A332" s="3"/>
      <c r="B332" s="9" t="s">
        <v>420</v>
      </c>
      <c r="C332" s="53"/>
      <c r="D332" s="53"/>
      <c r="E332" s="11">
        <v>0</v>
      </c>
      <c r="F332" s="11">
        <v>0</v>
      </c>
      <c r="G332" s="56"/>
      <c r="H332" s="56"/>
      <c r="I332" s="80"/>
      <c r="J332" s="56"/>
      <c r="K332" s="28"/>
      <c r="L332" s="28"/>
      <c r="M332" s="28"/>
      <c r="N332" s="28"/>
      <c r="O332" s="28"/>
      <c r="P332" s="28"/>
      <c r="Q332" s="28"/>
      <c r="R332" s="28"/>
      <c r="S332" s="28"/>
      <c r="T332" s="28"/>
      <c r="U332" s="3"/>
      <c r="W332" s="3"/>
      <c r="X332" s="3"/>
      <c r="Y332" s="3"/>
      <c r="Z332" s="3"/>
    </row>
    <row r="333" spans="1:26" ht="14.4" hidden="1" outlineLevel="1" x14ac:dyDescent="0.3">
      <c r="A333" s="3"/>
      <c r="B333" s="9" t="s">
        <v>421</v>
      </c>
      <c r="C333" s="53"/>
      <c r="D333" s="53"/>
      <c r="E333" s="11">
        <v>0</v>
      </c>
      <c r="F333" s="11">
        <v>0</v>
      </c>
      <c r="G333" s="56"/>
      <c r="H333" s="56"/>
      <c r="I333" s="80"/>
      <c r="J333" s="56"/>
      <c r="K333" s="28"/>
      <c r="L333" s="28"/>
      <c r="M333" s="28"/>
      <c r="N333" s="28"/>
      <c r="O333" s="28"/>
      <c r="P333" s="28"/>
      <c r="Q333" s="28"/>
      <c r="R333" s="28"/>
      <c r="S333" s="28"/>
      <c r="T333" s="28"/>
      <c r="U333" s="3"/>
      <c r="W333" s="3"/>
      <c r="X333" s="3"/>
      <c r="Y333" s="3"/>
      <c r="Z333" s="3"/>
    </row>
    <row r="334" spans="1:26" ht="14.4" hidden="1" outlineLevel="1" x14ac:dyDescent="0.3">
      <c r="A334" s="3"/>
      <c r="B334" s="9" t="s">
        <v>66</v>
      </c>
      <c r="C334" s="53"/>
      <c r="D334" s="53"/>
      <c r="E334" s="11">
        <v>0</v>
      </c>
      <c r="F334" s="11">
        <v>0</v>
      </c>
      <c r="G334" s="56"/>
      <c r="H334" s="56"/>
      <c r="I334" s="80"/>
      <c r="J334" s="56"/>
      <c r="K334" s="28"/>
      <c r="L334" s="28"/>
      <c r="M334" s="28"/>
      <c r="N334" s="28"/>
      <c r="O334" s="28"/>
      <c r="P334" s="28"/>
      <c r="Q334" s="28"/>
      <c r="R334" s="28"/>
      <c r="S334" s="28"/>
      <c r="T334" s="28"/>
      <c r="U334" s="3"/>
      <c r="W334" s="3"/>
      <c r="X334" s="3"/>
      <c r="Y334" s="3"/>
      <c r="Z334" s="3"/>
    </row>
    <row r="335" spans="1:26" ht="14.4" collapsed="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6"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5.7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5.7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5.7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5.7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5.7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5.7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5.7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5.7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5.7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5.7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5.7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5.7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5.7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5.7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5.7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5.7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5.7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5.7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5.7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5.7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5.7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5.7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5.7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5.7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5.7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5.7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5.7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5.7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5.7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5.7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5.7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5.7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5.7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5.7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5.7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5.7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5.7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5.7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5.7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5.7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5.7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5.7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5.7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5.7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5.7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5.7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5.7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5.7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5.7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5.7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5.7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5.7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5.7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5.7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5.7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5.7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5.7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5.7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5.7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5.7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5.7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5.7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5.7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5.7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5.7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5.7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5.7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5.7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5.7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5.7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5.7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5.7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5.7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5.7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5.7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5.7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5.7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5.7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5.7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5.7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5.7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5.7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5.7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5.7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spans="1:21" ht="15.75" customHeight="1" x14ac:dyDescent="0.3">
      <c r="A529" s="3"/>
      <c r="B529" s="3"/>
      <c r="C529" s="28"/>
      <c r="D529" s="28"/>
      <c r="E529" s="28"/>
      <c r="F529" s="28"/>
      <c r="G529" s="89"/>
      <c r="H529" s="89"/>
      <c r="I529" s="90"/>
      <c r="J529" s="89"/>
      <c r="K529" s="28"/>
      <c r="L529" s="28"/>
      <c r="M529" s="28"/>
      <c r="N529" s="28"/>
      <c r="O529" s="28"/>
      <c r="P529" s="28"/>
      <c r="Q529" s="28"/>
      <c r="R529" s="28"/>
      <c r="S529" s="28"/>
      <c r="T529" s="28"/>
      <c r="U529" s="3"/>
    </row>
    <row r="530" spans="1:21" ht="15.75" customHeight="1" x14ac:dyDescent="0.3">
      <c r="A530" s="3"/>
      <c r="B530" s="3"/>
      <c r="C530" s="28"/>
      <c r="D530" s="28"/>
      <c r="E530" s="28"/>
      <c r="F530" s="28"/>
      <c r="G530" s="89"/>
      <c r="H530" s="89"/>
      <c r="I530" s="90"/>
      <c r="J530" s="89"/>
      <c r="K530" s="28"/>
      <c r="L530" s="28"/>
      <c r="M530" s="28"/>
      <c r="N530" s="28"/>
      <c r="O530" s="28"/>
      <c r="P530" s="28"/>
      <c r="Q530" s="28"/>
      <c r="R530" s="28"/>
      <c r="S530" s="28"/>
      <c r="T530" s="28"/>
      <c r="U530" s="3"/>
    </row>
    <row r="531" spans="1:21" ht="15.75" customHeight="1" x14ac:dyDescent="0.3">
      <c r="A531" s="3"/>
      <c r="B531" s="3"/>
      <c r="C531" s="28"/>
      <c r="D531" s="28"/>
      <c r="E531" s="28"/>
      <c r="F531" s="28"/>
      <c r="G531" s="89"/>
      <c r="H531" s="89"/>
      <c r="I531" s="90"/>
      <c r="J531" s="89"/>
      <c r="K531" s="28"/>
      <c r="L531" s="28"/>
      <c r="M531" s="28"/>
      <c r="N531" s="28"/>
      <c r="O531" s="28"/>
      <c r="P531" s="28"/>
      <c r="Q531" s="28"/>
      <c r="R531" s="28"/>
      <c r="S531" s="28"/>
      <c r="T531" s="28"/>
      <c r="U531" s="3"/>
    </row>
    <row r="532" spans="1:21" ht="15.75" customHeight="1" x14ac:dyDescent="0.3">
      <c r="A532" s="3"/>
      <c r="B532" s="3"/>
      <c r="C532" s="28"/>
      <c r="D532" s="28"/>
      <c r="E532" s="28"/>
      <c r="F532" s="28"/>
      <c r="G532" s="89"/>
      <c r="H532" s="89"/>
      <c r="I532" s="90"/>
      <c r="J532" s="89"/>
      <c r="K532" s="28"/>
      <c r="L532" s="28"/>
      <c r="M532" s="28"/>
      <c r="N532" s="28"/>
      <c r="O532" s="28"/>
      <c r="P532" s="28"/>
      <c r="Q532" s="28"/>
      <c r="R532" s="28"/>
      <c r="S532" s="28"/>
      <c r="T532" s="28"/>
      <c r="U532" s="3"/>
    </row>
    <row r="533" spans="1:21" ht="15.75" customHeight="1" x14ac:dyDescent="0.3">
      <c r="A533" s="3"/>
      <c r="B533" s="3"/>
      <c r="C533" s="28"/>
      <c r="D533" s="28"/>
      <c r="E533" s="28"/>
      <c r="F533" s="28"/>
      <c r="G533" s="89"/>
      <c r="H533" s="89"/>
      <c r="I533" s="90"/>
      <c r="J533" s="89"/>
      <c r="K533" s="28"/>
      <c r="L533" s="28"/>
      <c r="M533" s="28"/>
      <c r="N533" s="28"/>
      <c r="O533" s="28"/>
      <c r="P533" s="28"/>
      <c r="Q533" s="28"/>
      <c r="R533" s="28"/>
      <c r="S533" s="28"/>
      <c r="T533" s="28"/>
      <c r="U533" s="3"/>
    </row>
    <row r="534" spans="1:21" ht="15.75" customHeight="1" x14ac:dyDescent="0.3">
      <c r="A534" s="3"/>
      <c r="B534" s="3"/>
      <c r="C534" s="28"/>
      <c r="D534" s="28"/>
      <c r="E534" s="28"/>
      <c r="F534" s="28"/>
      <c r="G534" s="89"/>
      <c r="H534" s="89"/>
      <c r="I534" s="90"/>
      <c r="J534" s="89"/>
      <c r="K534" s="28"/>
      <c r="L534" s="28"/>
      <c r="M534" s="28"/>
      <c r="N534" s="28"/>
      <c r="O534" s="28"/>
      <c r="P534" s="28"/>
      <c r="Q534" s="28"/>
      <c r="R534" s="28"/>
      <c r="S534" s="28"/>
      <c r="T534" s="28"/>
      <c r="U534" s="3"/>
    </row>
    <row r="535" spans="1:21" ht="15.75" customHeight="1" x14ac:dyDescent="0.3"/>
    <row r="536" spans="1:21" ht="15.75" customHeight="1" x14ac:dyDescent="0.3"/>
    <row r="537" spans="1:21" ht="15.75" customHeight="1" x14ac:dyDescent="0.3"/>
    <row r="538" spans="1:21" ht="15.75" customHeight="1" x14ac:dyDescent="0.3"/>
    <row r="539" spans="1:21" ht="15.75" customHeight="1" x14ac:dyDescent="0.3"/>
    <row r="540" spans="1:21" ht="15.75" customHeight="1" x14ac:dyDescent="0.3"/>
    <row r="541" spans="1:21" ht="15.75" customHeight="1" x14ac:dyDescent="0.3"/>
    <row r="542" spans="1:21" ht="15.75" customHeight="1" x14ac:dyDescent="0.3"/>
    <row r="543" spans="1:21" ht="15.75" customHeight="1" x14ac:dyDescent="0.3"/>
    <row r="544" spans="1:21"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sheetData>
  <autoFilter ref="C5:F334" xr:uid="{00000000-0009-0000-0000-000010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47 D149:D157 D160:D164 D166:D170 D172:D176 D178:D182 D184:D188 D190:D267 D270:D278 D280:D288 D290:D298 D300:D308 D310:D318 D320:D334" xr:uid="{00000000-0002-0000-1000-000001000000}">
      <formula1>"OK,Parcial,Pendente"</formula1>
    </dataValidation>
  </dataValidations>
  <hyperlinks>
    <hyperlink ref="I7" r:id="rId1" xr:uid="{00000000-0004-0000-1000-000000000000}"/>
    <hyperlink ref="I10" r:id="rId2" xr:uid="{00000000-0004-0000-1000-000001000000}"/>
    <hyperlink ref="I11" r:id="rId3" xr:uid="{00000000-0004-0000-1000-000002000000}"/>
    <hyperlink ref="I12" r:id="rId4" xr:uid="{00000000-0004-0000-1000-000003000000}"/>
    <hyperlink ref="I14" r:id="rId5" xr:uid="{00000000-0004-0000-1000-000004000000}"/>
    <hyperlink ref="I15" r:id="rId6" xr:uid="{00000000-0004-0000-1000-000005000000}"/>
    <hyperlink ref="I17" r:id="rId7" xr:uid="{00000000-0004-0000-1000-000006000000}"/>
    <hyperlink ref="I22" r:id="rId8" xr:uid="{00000000-0004-0000-1000-000007000000}"/>
    <hyperlink ref="I29" r:id="rId9" xr:uid="{00000000-0004-0000-1000-000008000000}"/>
    <hyperlink ref="I30" r:id="rId10" xr:uid="{00000000-0004-0000-1000-000009000000}"/>
    <hyperlink ref="I32" r:id="rId11" xr:uid="{00000000-0004-0000-1000-00000A000000}"/>
    <hyperlink ref="I35" r:id="rId12" xr:uid="{00000000-0004-0000-1000-00000B000000}"/>
    <hyperlink ref="I40" r:id="rId13" xr:uid="{00000000-0004-0000-1000-00000C000000}"/>
    <hyperlink ref="I43" r:id="rId14" xr:uid="{00000000-0004-0000-1000-00000D000000}"/>
    <hyperlink ref="I44" r:id="rId15" xr:uid="{00000000-0004-0000-1000-00000E000000}"/>
    <hyperlink ref="I45" r:id="rId16" xr:uid="{00000000-0004-0000-1000-00000F000000}"/>
    <hyperlink ref="I46" r:id="rId17" xr:uid="{00000000-0004-0000-1000-000010000000}"/>
    <hyperlink ref="I69" r:id="rId18" xr:uid="{00000000-0004-0000-1000-000011000000}"/>
    <hyperlink ref="I70" r:id="rId19" xr:uid="{00000000-0004-0000-1000-000012000000}"/>
    <hyperlink ref="I77" r:id="rId20" xr:uid="{00000000-0004-0000-1000-000013000000}"/>
    <hyperlink ref="I82" r:id="rId21" xr:uid="{00000000-0004-0000-1000-000014000000}"/>
    <hyperlink ref="I83" r:id="rId22" xr:uid="{00000000-0004-0000-1000-000015000000}"/>
    <hyperlink ref="I115" r:id="rId23" xr:uid="{00000000-0004-0000-1000-000016000000}"/>
    <hyperlink ref="I116" r:id="rId24" xr:uid="{00000000-0004-0000-1000-000017000000}"/>
    <hyperlink ref="I117" r:id="rId25" xr:uid="{00000000-0004-0000-1000-000018000000}"/>
    <hyperlink ref="I118" r:id="rId26" xr:uid="{00000000-0004-0000-1000-000019000000}"/>
    <hyperlink ref="I119" r:id="rId27" xr:uid="{00000000-0004-0000-1000-00001A000000}"/>
    <hyperlink ref="I120" r:id="rId28" xr:uid="{00000000-0004-0000-1000-00001B000000}"/>
    <hyperlink ref="I122" r:id="rId29" xr:uid="{00000000-0004-0000-1000-00001C000000}"/>
    <hyperlink ref="I123" r:id="rId30" xr:uid="{00000000-0004-0000-1000-00001D000000}"/>
    <hyperlink ref="I124" r:id="rId31" xr:uid="{00000000-0004-0000-1000-00001E000000}"/>
    <hyperlink ref="I125" r:id="rId32" xr:uid="{00000000-0004-0000-1000-00001F000000}"/>
    <hyperlink ref="I126" r:id="rId33" xr:uid="{00000000-0004-0000-1000-000020000000}"/>
    <hyperlink ref="I127" r:id="rId34" xr:uid="{00000000-0004-0000-1000-000021000000}"/>
    <hyperlink ref="I130" r:id="rId35" xr:uid="{00000000-0004-0000-1000-000022000000}"/>
    <hyperlink ref="I131" r:id="rId36" xr:uid="{00000000-0004-0000-1000-000023000000}"/>
    <hyperlink ref="I132" r:id="rId37" xr:uid="{00000000-0004-0000-1000-000024000000}"/>
    <hyperlink ref="I133" r:id="rId38" xr:uid="{00000000-0004-0000-1000-000025000000}"/>
    <hyperlink ref="I134" r:id="rId39" xr:uid="{00000000-0004-0000-1000-000026000000}"/>
    <hyperlink ref="I135" r:id="rId40" xr:uid="{00000000-0004-0000-1000-000027000000}"/>
    <hyperlink ref="I136" r:id="rId41" xr:uid="{00000000-0004-0000-1000-000028000000}"/>
    <hyperlink ref="I137" r:id="rId42" xr:uid="{00000000-0004-0000-1000-000029000000}"/>
    <hyperlink ref="I138" r:id="rId43" xr:uid="{00000000-0004-0000-1000-00002A000000}"/>
    <hyperlink ref="I139" r:id="rId44" xr:uid="{00000000-0004-0000-1000-00002B000000}"/>
    <hyperlink ref="I140" r:id="rId45" xr:uid="{00000000-0004-0000-1000-00002C000000}"/>
    <hyperlink ref="I141" r:id="rId46" xr:uid="{00000000-0004-0000-1000-00002D000000}"/>
    <hyperlink ref="I142" r:id="rId47" xr:uid="{00000000-0004-0000-1000-00002E000000}"/>
    <hyperlink ref="I143" r:id="rId48" xr:uid="{00000000-0004-0000-1000-00002F000000}"/>
    <hyperlink ref="I144" r:id="rId49" xr:uid="{00000000-0004-0000-1000-000030000000}"/>
    <hyperlink ref="I145" r:id="rId50" xr:uid="{00000000-0004-0000-1000-000031000000}"/>
    <hyperlink ref="I146" r:id="rId51" xr:uid="{00000000-0004-0000-1000-000032000000}"/>
    <hyperlink ref="I147" r:id="rId52" xr:uid="{00000000-0004-0000-1000-000033000000}"/>
    <hyperlink ref="I149" r:id="rId53" xr:uid="{00000000-0004-0000-1000-000034000000}"/>
    <hyperlink ref="I160" r:id="rId54" xr:uid="{00000000-0004-0000-1000-000035000000}"/>
    <hyperlink ref="I161" r:id="rId55" xr:uid="{00000000-0004-0000-1000-000036000000}"/>
    <hyperlink ref="I190" r:id="rId56" xr:uid="{00000000-0004-0000-1000-000037000000}"/>
    <hyperlink ref="I219" r:id="rId57" xr:uid="{00000000-0004-0000-1000-000038000000}"/>
    <hyperlink ref="I249" r:id="rId58" xr:uid="{00000000-0004-0000-1000-000039000000}"/>
    <hyperlink ref="I270" r:id="rId59" xr:uid="{00000000-0004-0000-1000-00003A000000}"/>
    <hyperlink ref="I326" r:id="rId60" xr:uid="{00000000-0004-0000-1000-00003B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Caixa!$B$5:$B$8</xm:f>
          </x14:formula1>
          <xm:sqref>H7:H15 H17:H33 H35:H37 H39:H62 H64:H86 H89:H103 H105:H108 H110:H112 H115:H120 H122:H147 H149:H157 H160:H164 H166:H170 H172:H176 H178:H182 H184:H188 H190:H217 H219:H227 H229:H237 H239:H247 H249:H257 H259:H267 H270:H278 H280:H288 H290:H298 H300:H308 H310:H318 H320:H334</xm:sqref>
        </x14:dataValidation>
        <x14:dataValidation type="list" allowBlank="1" showErrorMessage="1" xr:uid="{00000000-0002-0000-1000-000002000000}">
          <x14:formula1>
            <xm:f>'Plano de contas DG'!$C$43:$C$145</xm:f>
          </x14:formula1>
          <xm:sqref>J250</xm:sqref>
        </x14:dataValidation>
        <x14:dataValidation type="list" allowBlank="1" showErrorMessage="1" xr:uid="{00000000-0002-0000-1000-000003000000}">
          <x14:formula1>
            <xm:f>'Plano de contas DG'!$C$5:$C$145</xm:f>
          </x14:formula1>
          <xm:sqref>J6:J249 J251:J334</xm:sqref>
        </x14:dataValidation>
        <x14:dataValidation type="list" allowBlank="1" showErrorMessage="1" xr:uid="{00000000-0002-0000-1000-000004000000}">
          <x14:formula1>
            <xm:f>Caixa!$B$5:$B$7</xm:f>
          </x14:formula1>
          <xm:sqref>H16 H34 H87:H88 H104 H109 H113:H114 H121 H218 H228 H238 H248 H258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A1:Z1000"/>
  <sheetViews>
    <sheetView showGridLines="0" workbookViewId="0">
      <pane xSplit="2" topLeftCell="C1" activePane="topRight" state="frozen"/>
      <selection pane="topRight" activeCell="D2" sqref="D2"/>
    </sheetView>
  </sheetViews>
  <sheetFormatPr defaultColWidth="14.44140625" defaultRowHeight="15" customHeight="1" outlineLevelRow="1" x14ac:dyDescent="0.3"/>
  <cols>
    <col min="1" max="1" width="0.44140625" customWidth="1"/>
    <col min="2" max="2" width="36.33203125" customWidth="1"/>
    <col min="3" max="3" width="15.5546875" customWidth="1"/>
    <col min="4" max="15" width="14.109375" customWidth="1"/>
    <col min="16" max="16" width="2.5546875" customWidth="1"/>
    <col min="17" max="17" width="12.6640625" customWidth="1"/>
    <col min="18" max="26" width="8.6640625" customWidth="1"/>
  </cols>
  <sheetData>
    <row r="1" spans="1:26" ht="2.25" customHeight="1" x14ac:dyDescent="0.3">
      <c r="A1" s="29"/>
      <c r="B1" s="29"/>
      <c r="C1" s="30"/>
      <c r="D1" s="30"/>
      <c r="E1" s="30"/>
      <c r="F1" s="30"/>
      <c r="G1" s="29"/>
      <c r="H1" s="29"/>
      <c r="I1" s="29"/>
      <c r="J1" s="29"/>
      <c r="K1" s="29"/>
      <c r="L1" s="29"/>
      <c r="M1" s="29"/>
      <c r="N1" s="29"/>
      <c r="O1" s="29"/>
      <c r="P1" s="29"/>
      <c r="Q1" s="29"/>
      <c r="R1" s="29"/>
      <c r="S1" s="29"/>
      <c r="T1" s="29"/>
      <c r="U1" s="29"/>
      <c r="V1" s="29"/>
      <c r="W1" s="29"/>
      <c r="X1" s="29"/>
      <c r="Y1" s="29"/>
      <c r="Z1" s="29"/>
    </row>
    <row r="2" spans="1:26" ht="14.4" x14ac:dyDescent="0.3">
      <c r="A2" s="29"/>
      <c r="B2" s="253" t="s">
        <v>1269</v>
      </c>
      <c r="C2" s="255">
        <v>2024</v>
      </c>
      <c r="D2" s="256"/>
      <c r="E2" s="256"/>
      <c r="F2" s="257"/>
      <c r="G2" s="29"/>
      <c r="H2" s="29"/>
      <c r="I2" s="121"/>
      <c r="J2" s="29"/>
      <c r="K2" s="29"/>
      <c r="L2" s="29"/>
      <c r="M2" s="29"/>
      <c r="N2" s="29"/>
      <c r="O2" s="29"/>
      <c r="P2" s="29"/>
      <c r="Q2" s="29"/>
      <c r="R2" s="29"/>
      <c r="S2" s="29"/>
      <c r="T2" s="29"/>
      <c r="U2" s="29"/>
      <c r="V2" s="29"/>
      <c r="W2" s="29"/>
      <c r="X2" s="29"/>
      <c r="Y2" s="29"/>
      <c r="Z2" s="29"/>
    </row>
    <row r="3" spans="1:26" ht="28.8" x14ac:dyDescent="0.3">
      <c r="A3" s="29"/>
      <c r="B3" s="254"/>
      <c r="C3" s="122" t="s">
        <v>1270</v>
      </c>
      <c r="D3" s="122" t="s">
        <v>1271</v>
      </c>
      <c r="E3" s="122" t="s">
        <v>1272</v>
      </c>
      <c r="F3" s="122" t="s">
        <v>1273</v>
      </c>
      <c r="G3" s="29"/>
      <c r="H3" s="29"/>
      <c r="I3" s="29"/>
      <c r="J3" s="29"/>
      <c r="K3" s="29"/>
      <c r="L3" s="29"/>
      <c r="M3" s="29"/>
      <c r="N3" s="29"/>
      <c r="O3" s="29"/>
      <c r="P3" s="29"/>
      <c r="Q3" s="29"/>
      <c r="R3" s="29"/>
      <c r="S3" s="29"/>
      <c r="T3" s="29"/>
      <c r="U3" s="29"/>
      <c r="V3" s="29"/>
      <c r="W3" s="29"/>
      <c r="X3" s="29"/>
      <c r="Y3" s="29"/>
      <c r="Z3" s="29"/>
    </row>
    <row r="4" spans="1:26" ht="14.4" x14ac:dyDescent="0.3">
      <c r="A4" s="29"/>
      <c r="B4" s="123" t="s">
        <v>1274</v>
      </c>
      <c r="C4" s="258" t="e">
        <f>Caixa!#REF!</f>
        <v>#REF!</v>
      </c>
      <c r="D4" s="259"/>
      <c r="E4" s="259"/>
      <c r="F4" s="260"/>
      <c r="G4" s="29"/>
      <c r="H4" s="29"/>
      <c r="I4" s="29"/>
      <c r="J4" s="29"/>
      <c r="K4" s="29"/>
      <c r="L4" s="29"/>
      <c r="M4" s="29"/>
      <c r="N4" s="29"/>
      <c r="O4" s="29"/>
      <c r="P4" s="29"/>
      <c r="Q4" s="29"/>
      <c r="R4" s="29"/>
      <c r="S4" s="29"/>
      <c r="T4" s="29"/>
      <c r="U4" s="29"/>
      <c r="V4" s="29"/>
      <c r="W4" s="29"/>
      <c r="X4" s="29"/>
      <c r="Y4" s="29"/>
      <c r="Z4" s="29"/>
    </row>
    <row r="5" spans="1:26" ht="14.4" x14ac:dyDescent="0.3">
      <c r="A5" s="29"/>
      <c r="B5" s="124" t="s">
        <v>1275</v>
      </c>
      <c r="C5" s="125">
        <f>D46</f>
        <v>0</v>
      </c>
      <c r="D5" s="125">
        <f>D22</f>
        <v>0</v>
      </c>
      <c r="E5" s="125">
        <f t="shared" ref="E5:E16" si="0">D5-C5</f>
        <v>0</v>
      </c>
      <c r="F5" s="126" t="e">
        <f>C4+E5</f>
        <v>#REF!</v>
      </c>
      <c r="G5" s="29"/>
      <c r="H5" s="29"/>
      <c r="I5" s="127"/>
      <c r="J5" s="29"/>
      <c r="K5" s="29"/>
      <c r="L5" s="29"/>
      <c r="M5" s="29"/>
      <c r="N5" s="29"/>
      <c r="O5" s="29"/>
      <c r="P5" s="29"/>
      <c r="Q5" s="29"/>
      <c r="R5" s="29"/>
      <c r="S5" s="29"/>
      <c r="T5" s="29"/>
      <c r="U5" s="29"/>
      <c r="V5" s="29"/>
      <c r="W5" s="29"/>
      <c r="X5" s="29"/>
      <c r="Y5" s="29"/>
      <c r="Z5" s="29"/>
    </row>
    <row r="6" spans="1:26" ht="14.4" x14ac:dyDescent="0.3">
      <c r="A6" s="29"/>
      <c r="B6" s="124" t="s">
        <v>1276</v>
      </c>
      <c r="C6" s="128">
        <f>E46</f>
        <v>0</v>
      </c>
      <c r="D6" s="128">
        <f>E22</f>
        <v>0</v>
      </c>
      <c r="E6" s="128">
        <f t="shared" si="0"/>
        <v>0</v>
      </c>
      <c r="F6" s="129" t="str">
        <f t="shared" ref="F6:F16" si="1">IF(E6=0,"",F5+E6)</f>
        <v/>
      </c>
      <c r="G6" s="29"/>
      <c r="H6" s="29"/>
      <c r="I6" s="127"/>
      <c r="J6" s="29"/>
      <c r="K6" s="29"/>
      <c r="L6" s="29"/>
      <c r="M6" s="29"/>
      <c r="N6" s="29"/>
      <c r="O6" s="29"/>
      <c r="P6" s="29"/>
      <c r="Q6" s="29"/>
      <c r="R6" s="29"/>
      <c r="S6" s="29"/>
      <c r="T6" s="29"/>
      <c r="U6" s="29"/>
      <c r="V6" s="29"/>
      <c r="W6" s="29"/>
      <c r="X6" s="29"/>
      <c r="Y6" s="29"/>
      <c r="Z6" s="29"/>
    </row>
    <row r="7" spans="1:26" ht="14.4" x14ac:dyDescent="0.3">
      <c r="A7" s="29"/>
      <c r="B7" s="124" t="s">
        <v>1277</v>
      </c>
      <c r="C7" s="128">
        <f>F46</f>
        <v>0</v>
      </c>
      <c r="D7" s="128">
        <f>F22</f>
        <v>0</v>
      </c>
      <c r="E7" s="128">
        <f t="shared" si="0"/>
        <v>0</v>
      </c>
      <c r="F7" s="129" t="str">
        <f t="shared" si="1"/>
        <v/>
      </c>
      <c r="G7" s="29"/>
      <c r="H7" s="29"/>
      <c r="I7" s="127"/>
      <c r="J7" s="29"/>
      <c r="K7" s="29"/>
      <c r="L7" s="29"/>
      <c r="M7" s="29"/>
      <c r="N7" s="29"/>
      <c r="O7" s="29"/>
      <c r="P7" s="29"/>
      <c r="Q7" s="29"/>
      <c r="R7" s="29"/>
      <c r="S7" s="29"/>
      <c r="T7" s="29"/>
      <c r="U7" s="29"/>
      <c r="V7" s="29"/>
      <c r="W7" s="29"/>
      <c r="X7" s="29"/>
      <c r="Y7" s="29"/>
      <c r="Z7" s="29"/>
    </row>
    <row r="8" spans="1:26" ht="14.4" x14ac:dyDescent="0.3">
      <c r="A8" s="29"/>
      <c r="B8" s="124" t="s">
        <v>1278</v>
      </c>
      <c r="C8" s="128">
        <f>G46</f>
        <v>0</v>
      </c>
      <c r="D8" s="128">
        <f>G22</f>
        <v>0</v>
      </c>
      <c r="E8" s="128">
        <f t="shared" si="0"/>
        <v>0</v>
      </c>
      <c r="F8" s="129" t="str">
        <f t="shared" si="1"/>
        <v/>
      </c>
      <c r="G8" s="29"/>
      <c r="H8" s="29"/>
      <c r="I8" s="127"/>
      <c r="J8" s="29"/>
      <c r="K8" s="29"/>
      <c r="L8" s="29"/>
      <c r="M8" s="29"/>
      <c r="N8" s="29"/>
      <c r="O8" s="29"/>
      <c r="P8" s="29"/>
      <c r="Q8" s="29"/>
      <c r="R8" s="29"/>
      <c r="S8" s="29"/>
      <c r="T8" s="29"/>
      <c r="U8" s="29"/>
      <c r="V8" s="29"/>
      <c r="W8" s="29"/>
      <c r="X8" s="29"/>
      <c r="Y8" s="29"/>
      <c r="Z8" s="29"/>
    </row>
    <row r="9" spans="1:26" ht="14.4" x14ac:dyDescent="0.3">
      <c r="A9" s="29"/>
      <c r="B9" s="124" t="s">
        <v>1279</v>
      </c>
      <c r="C9" s="128">
        <f>H46</f>
        <v>0</v>
      </c>
      <c r="D9" s="128">
        <f>H22</f>
        <v>0</v>
      </c>
      <c r="E9" s="128">
        <f t="shared" si="0"/>
        <v>0</v>
      </c>
      <c r="F9" s="129" t="str">
        <f t="shared" si="1"/>
        <v/>
      </c>
      <c r="G9" s="29"/>
      <c r="H9" s="29"/>
      <c r="I9" s="127"/>
      <c r="J9" s="29"/>
      <c r="K9" s="29"/>
      <c r="L9" s="29"/>
      <c r="M9" s="29"/>
      <c r="N9" s="29"/>
      <c r="O9" s="29"/>
      <c r="P9" s="29"/>
      <c r="Q9" s="29"/>
      <c r="R9" s="29"/>
      <c r="S9" s="29"/>
      <c r="T9" s="29"/>
      <c r="U9" s="29"/>
      <c r="V9" s="29"/>
      <c r="W9" s="29"/>
      <c r="X9" s="29"/>
      <c r="Y9" s="29"/>
      <c r="Z9" s="29"/>
    </row>
    <row r="10" spans="1:26" ht="14.4" x14ac:dyDescent="0.3">
      <c r="A10" s="29"/>
      <c r="B10" s="124" t="s">
        <v>1280</v>
      </c>
      <c r="C10" s="128">
        <f>I46</f>
        <v>0</v>
      </c>
      <c r="D10" s="128">
        <f>I22</f>
        <v>0</v>
      </c>
      <c r="E10" s="128">
        <f t="shared" si="0"/>
        <v>0</v>
      </c>
      <c r="F10" s="129" t="str">
        <f t="shared" si="1"/>
        <v/>
      </c>
      <c r="G10" s="29"/>
      <c r="H10" s="29"/>
      <c r="I10" s="127"/>
      <c r="J10" s="127"/>
      <c r="K10" s="29"/>
      <c r="L10" s="130"/>
      <c r="M10" s="130"/>
      <c r="N10" s="130"/>
      <c r="O10" s="29"/>
      <c r="P10" s="29"/>
      <c r="Q10" s="29"/>
      <c r="R10" s="29"/>
      <c r="S10" s="29"/>
      <c r="T10" s="29"/>
      <c r="U10" s="29"/>
      <c r="V10" s="29"/>
      <c r="W10" s="29"/>
      <c r="X10" s="29"/>
      <c r="Y10" s="29"/>
      <c r="Z10" s="29"/>
    </row>
    <row r="11" spans="1:26" ht="14.4" x14ac:dyDescent="0.3">
      <c r="A11" s="29"/>
      <c r="B11" s="124" t="s">
        <v>1281</v>
      </c>
      <c r="C11" s="128">
        <f>J46</f>
        <v>0</v>
      </c>
      <c r="D11" s="128">
        <f>J22</f>
        <v>0</v>
      </c>
      <c r="E11" s="128">
        <f t="shared" si="0"/>
        <v>0</v>
      </c>
      <c r="F11" s="129" t="str">
        <f t="shared" si="1"/>
        <v/>
      </c>
      <c r="G11" s="29"/>
      <c r="H11" s="29"/>
      <c r="I11" s="127"/>
      <c r="J11" s="29"/>
      <c r="K11" s="29"/>
      <c r="L11" s="130"/>
      <c r="M11" s="130"/>
      <c r="N11" s="130"/>
      <c r="O11" s="29"/>
      <c r="P11" s="29"/>
      <c r="Q11" s="29"/>
      <c r="R11" s="29"/>
      <c r="S11" s="29"/>
      <c r="T11" s="29"/>
      <c r="U11" s="29"/>
      <c r="V11" s="29"/>
      <c r="W11" s="29"/>
      <c r="X11" s="29"/>
      <c r="Y11" s="29"/>
      <c r="Z11" s="29"/>
    </row>
    <row r="12" spans="1:26" ht="14.4" x14ac:dyDescent="0.3">
      <c r="A12" s="29"/>
      <c r="B12" s="124" t="s">
        <v>1282</v>
      </c>
      <c r="C12" s="128">
        <f>K46</f>
        <v>0</v>
      </c>
      <c r="D12" s="128">
        <f>K22</f>
        <v>0</v>
      </c>
      <c r="E12" s="128">
        <f t="shared" si="0"/>
        <v>0</v>
      </c>
      <c r="F12" s="129" t="str">
        <f t="shared" si="1"/>
        <v/>
      </c>
      <c r="G12" s="29"/>
      <c r="H12" s="29"/>
      <c r="I12" s="127"/>
      <c r="J12" s="127"/>
      <c r="K12" s="29"/>
      <c r="L12" s="130"/>
      <c r="M12" s="130"/>
      <c r="N12" s="130"/>
      <c r="O12" s="29"/>
      <c r="P12" s="29"/>
      <c r="Q12" s="29"/>
      <c r="R12" s="29"/>
      <c r="S12" s="29"/>
      <c r="T12" s="29"/>
      <c r="U12" s="29"/>
      <c r="V12" s="29"/>
      <c r="W12" s="29"/>
      <c r="X12" s="29"/>
      <c r="Y12" s="29"/>
      <c r="Z12" s="29"/>
    </row>
    <row r="13" spans="1:26" ht="14.4" x14ac:dyDescent="0.3">
      <c r="A13" s="29"/>
      <c r="B13" s="124" t="s">
        <v>1283</v>
      </c>
      <c r="C13" s="128">
        <f>L46</f>
        <v>0</v>
      </c>
      <c r="D13" s="128">
        <f>L22</f>
        <v>0</v>
      </c>
      <c r="E13" s="128">
        <f t="shared" si="0"/>
        <v>0</v>
      </c>
      <c r="F13" s="129" t="str">
        <f t="shared" si="1"/>
        <v/>
      </c>
      <c r="G13" s="29"/>
      <c r="H13" s="29"/>
      <c r="I13" s="127"/>
      <c r="J13" s="29"/>
      <c r="K13" s="29"/>
      <c r="L13" s="130"/>
      <c r="M13" s="130"/>
      <c r="N13" s="130"/>
      <c r="O13" s="29"/>
      <c r="P13" s="29"/>
      <c r="Q13" s="29"/>
      <c r="R13" s="29"/>
      <c r="S13" s="29"/>
      <c r="T13" s="29"/>
      <c r="U13" s="29"/>
      <c r="V13" s="29"/>
      <c r="W13" s="29"/>
      <c r="X13" s="29"/>
      <c r="Y13" s="29"/>
      <c r="Z13" s="29"/>
    </row>
    <row r="14" spans="1:26" ht="14.4" x14ac:dyDescent="0.3">
      <c r="A14" s="29"/>
      <c r="B14" s="124" t="s">
        <v>1284</v>
      </c>
      <c r="C14" s="128">
        <f>M46</f>
        <v>0</v>
      </c>
      <c r="D14" s="128">
        <f>M22</f>
        <v>0</v>
      </c>
      <c r="E14" s="128">
        <f t="shared" si="0"/>
        <v>0</v>
      </c>
      <c r="F14" s="129" t="str">
        <f t="shared" si="1"/>
        <v/>
      </c>
      <c r="G14" s="29"/>
      <c r="H14" s="29"/>
      <c r="I14" s="127"/>
      <c r="J14" s="29"/>
      <c r="K14" s="29"/>
      <c r="L14" s="130"/>
      <c r="M14" s="130"/>
      <c r="N14" s="130"/>
      <c r="O14" s="29"/>
      <c r="P14" s="29"/>
      <c r="Q14" s="29"/>
      <c r="R14" s="29"/>
      <c r="S14" s="29"/>
      <c r="T14" s="29"/>
      <c r="U14" s="29"/>
      <c r="V14" s="29"/>
      <c r="W14" s="29"/>
      <c r="X14" s="29"/>
      <c r="Y14" s="29"/>
      <c r="Z14" s="29"/>
    </row>
    <row r="15" spans="1:26" ht="14.4" x14ac:dyDescent="0.3">
      <c r="A15" s="29"/>
      <c r="B15" s="124" t="s">
        <v>1285</v>
      </c>
      <c r="C15" s="128">
        <f>N46</f>
        <v>0</v>
      </c>
      <c r="D15" s="128">
        <f>N22</f>
        <v>0</v>
      </c>
      <c r="E15" s="128">
        <f t="shared" si="0"/>
        <v>0</v>
      </c>
      <c r="F15" s="129" t="str">
        <f t="shared" si="1"/>
        <v/>
      </c>
      <c r="G15" s="29"/>
      <c r="H15" s="29"/>
      <c r="I15" s="127"/>
      <c r="J15" s="127"/>
      <c r="K15" s="29"/>
      <c r="L15" s="29"/>
      <c r="M15" s="29"/>
      <c r="N15" s="29"/>
      <c r="O15" s="29"/>
      <c r="P15" s="29"/>
      <c r="Q15" s="29"/>
      <c r="R15" s="29"/>
      <c r="S15" s="29"/>
      <c r="T15" s="29"/>
      <c r="U15" s="29"/>
      <c r="V15" s="29"/>
      <c r="W15" s="29"/>
      <c r="X15" s="29"/>
      <c r="Y15" s="29"/>
      <c r="Z15" s="29"/>
    </row>
    <row r="16" spans="1:26" ht="14.4" x14ac:dyDescent="0.3">
      <c r="A16" s="29"/>
      <c r="B16" s="124" t="s">
        <v>1286</v>
      </c>
      <c r="C16" s="128">
        <f>O46</f>
        <v>0</v>
      </c>
      <c r="D16" s="128">
        <f>O22</f>
        <v>0</v>
      </c>
      <c r="E16" s="128">
        <f t="shared" si="0"/>
        <v>0</v>
      </c>
      <c r="F16" s="129" t="str">
        <f t="shared" si="1"/>
        <v/>
      </c>
      <c r="G16" s="29"/>
      <c r="H16" s="29"/>
      <c r="I16" s="127"/>
      <c r="J16" s="29"/>
      <c r="K16" s="29"/>
      <c r="L16" s="29"/>
      <c r="M16" s="29"/>
      <c r="N16" s="29"/>
      <c r="O16" s="29"/>
      <c r="P16" s="29"/>
      <c r="Q16" s="29"/>
      <c r="R16" s="29"/>
      <c r="S16" s="29"/>
      <c r="T16" s="29"/>
      <c r="U16" s="29"/>
      <c r="V16" s="29"/>
      <c r="W16" s="29"/>
      <c r="X16" s="29"/>
      <c r="Y16" s="29"/>
      <c r="Z16" s="29"/>
    </row>
    <row r="17" spans="1:26" ht="5.25" customHeight="1" x14ac:dyDescent="0.3">
      <c r="A17" s="29"/>
      <c r="B17" s="29"/>
      <c r="C17" s="30"/>
      <c r="D17" s="30"/>
      <c r="E17" s="30"/>
      <c r="F17" s="30"/>
      <c r="G17" s="29"/>
      <c r="H17" s="29"/>
      <c r="I17" s="29"/>
      <c r="J17" s="29"/>
      <c r="K17" s="29"/>
      <c r="L17" s="29"/>
      <c r="M17" s="29"/>
      <c r="N17" s="29"/>
      <c r="O17" s="29"/>
      <c r="P17" s="29"/>
      <c r="Q17" s="29"/>
      <c r="R17" s="29"/>
      <c r="S17" s="29"/>
      <c r="T17" s="29"/>
      <c r="U17" s="29"/>
      <c r="V17" s="29"/>
      <c r="W17" s="29"/>
      <c r="X17" s="29"/>
      <c r="Y17" s="29"/>
      <c r="Z17" s="29"/>
    </row>
    <row r="18" spans="1:26" ht="14.4" x14ac:dyDescent="0.3">
      <c r="A18" s="131"/>
      <c r="B18" s="132" t="s">
        <v>74</v>
      </c>
      <c r="C18" s="133">
        <f t="shared" ref="C18:D18" si="2">SUM(C5:C16)</f>
        <v>0</v>
      </c>
      <c r="D18" s="133">
        <f t="shared" si="2"/>
        <v>0</v>
      </c>
      <c r="E18" s="134"/>
      <c r="F18" s="134"/>
      <c r="G18" s="131"/>
      <c r="H18" s="131"/>
      <c r="I18" s="131"/>
      <c r="J18" s="131"/>
      <c r="K18" s="131"/>
      <c r="L18" s="131"/>
      <c r="M18" s="131"/>
      <c r="N18" s="131"/>
      <c r="O18" s="131"/>
      <c r="P18" s="131"/>
      <c r="Q18" s="131"/>
      <c r="R18" s="131"/>
      <c r="S18" s="131"/>
      <c r="T18" s="131"/>
      <c r="U18" s="131"/>
      <c r="V18" s="131"/>
      <c r="W18" s="131"/>
      <c r="X18" s="131"/>
      <c r="Y18" s="131"/>
      <c r="Z18" s="131"/>
    </row>
    <row r="19" spans="1:26" ht="15.75" customHeight="1" x14ac:dyDescent="0.3">
      <c r="A19" s="3"/>
      <c r="B19" s="3"/>
      <c r="C19" s="28"/>
      <c r="D19" s="28"/>
      <c r="E19" s="28"/>
      <c r="F19" s="28"/>
      <c r="G19" s="28"/>
      <c r="H19" s="28"/>
      <c r="I19" s="28"/>
      <c r="J19" s="28"/>
      <c r="K19" s="28"/>
      <c r="L19" s="28"/>
      <c r="M19" s="28"/>
      <c r="N19" s="28"/>
      <c r="O19" s="101"/>
      <c r="P19" s="3"/>
      <c r="Q19" s="3"/>
      <c r="R19" s="3"/>
      <c r="S19" s="3"/>
      <c r="T19" s="3"/>
      <c r="U19" s="3"/>
      <c r="V19" s="3"/>
      <c r="W19" s="3"/>
      <c r="X19" s="3"/>
      <c r="Y19" s="3"/>
      <c r="Z19" s="3"/>
    </row>
    <row r="20" spans="1:26" ht="15" customHeight="1" x14ac:dyDescent="0.3">
      <c r="A20" s="3"/>
      <c r="B20" s="219" t="s">
        <v>73</v>
      </c>
      <c r="C20" s="248" t="s">
        <v>1287</v>
      </c>
      <c r="D20" s="261">
        <v>2024</v>
      </c>
      <c r="E20" s="262"/>
      <c r="F20" s="262"/>
      <c r="G20" s="262"/>
      <c r="H20" s="262"/>
      <c r="I20" s="262"/>
      <c r="J20" s="262"/>
      <c r="K20" s="262"/>
      <c r="L20" s="262"/>
      <c r="M20" s="262"/>
      <c r="N20" s="262"/>
      <c r="O20" s="263"/>
      <c r="P20" s="3"/>
      <c r="Q20" s="3"/>
      <c r="R20" s="3"/>
      <c r="S20" s="3"/>
      <c r="T20" s="3"/>
      <c r="U20" s="3"/>
      <c r="V20" s="3"/>
      <c r="W20" s="3"/>
      <c r="X20" s="3"/>
      <c r="Y20" s="3"/>
      <c r="Z20" s="3"/>
    </row>
    <row r="21" spans="1:26" ht="15" customHeight="1" x14ac:dyDescent="0.3">
      <c r="A21" s="3"/>
      <c r="B21" s="202"/>
      <c r="C21" s="249"/>
      <c r="D21" s="6" t="s">
        <v>23</v>
      </c>
      <c r="E21" s="4" t="s">
        <v>24</v>
      </c>
      <c r="F21" s="5" t="s">
        <v>25</v>
      </c>
      <c r="G21" s="6" t="s">
        <v>26</v>
      </c>
      <c r="H21" s="6" t="s">
        <v>27</v>
      </c>
      <c r="I21" s="6" t="s">
        <v>28</v>
      </c>
      <c r="J21" s="6" t="s">
        <v>29</v>
      </c>
      <c r="K21" s="6" t="s">
        <v>30</v>
      </c>
      <c r="L21" s="6" t="s">
        <v>31</v>
      </c>
      <c r="M21" s="5" t="s">
        <v>32</v>
      </c>
      <c r="N21" s="6" t="s">
        <v>33</v>
      </c>
      <c r="O21" s="27" t="s">
        <v>34</v>
      </c>
      <c r="P21" s="3"/>
      <c r="Q21" s="3"/>
      <c r="R21" s="3"/>
      <c r="S21" s="3"/>
      <c r="T21" s="3"/>
      <c r="U21" s="3"/>
      <c r="V21" s="3"/>
      <c r="W21" s="3"/>
      <c r="X21" s="3"/>
      <c r="Y21" s="3"/>
      <c r="Z21" s="3"/>
    </row>
    <row r="22" spans="1:26" ht="15.75" customHeight="1" x14ac:dyDescent="0.3">
      <c r="A22" s="3"/>
      <c r="B22" s="135" t="s">
        <v>74</v>
      </c>
      <c r="C22" s="136">
        <f t="shared" ref="C22:O22" si="3">SUM(C23,C30,C36,C41,C42)</f>
        <v>0</v>
      </c>
      <c r="D22" s="136">
        <f t="shared" si="3"/>
        <v>0</v>
      </c>
      <c r="E22" s="136">
        <f t="shared" si="3"/>
        <v>0</v>
      </c>
      <c r="F22" s="136">
        <f t="shared" si="3"/>
        <v>0</v>
      </c>
      <c r="G22" s="136">
        <f t="shared" si="3"/>
        <v>0</v>
      </c>
      <c r="H22" s="136">
        <f t="shared" si="3"/>
        <v>0</v>
      </c>
      <c r="I22" s="136">
        <f t="shared" si="3"/>
        <v>0</v>
      </c>
      <c r="J22" s="136">
        <f t="shared" si="3"/>
        <v>0</v>
      </c>
      <c r="K22" s="136">
        <f t="shared" si="3"/>
        <v>0</v>
      </c>
      <c r="L22" s="136">
        <f t="shared" si="3"/>
        <v>0</v>
      </c>
      <c r="M22" s="136">
        <f t="shared" si="3"/>
        <v>0</v>
      </c>
      <c r="N22" s="136">
        <f t="shared" si="3"/>
        <v>0</v>
      </c>
      <c r="O22" s="136">
        <f t="shared" si="3"/>
        <v>0</v>
      </c>
      <c r="P22" s="3"/>
    </row>
    <row r="23" spans="1:26" ht="15.75" customHeight="1" x14ac:dyDescent="0.3">
      <c r="A23" s="3"/>
      <c r="B23" s="64" t="s">
        <v>93</v>
      </c>
      <c r="C23" s="48">
        <f t="shared" ref="C23:O23" si="4">SUM(C24:C29)</f>
        <v>0</v>
      </c>
      <c r="D23" s="48">
        <f t="shared" si="4"/>
        <v>0</v>
      </c>
      <c r="E23" s="48">
        <f t="shared" si="4"/>
        <v>0</v>
      </c>
      <c r="F23" s="48">
        <f t="shared" si="4"/>
        <v>0</v>
      </c>
      <c r="G23" s="48">
        <f t="shared" si="4"/>
        <v>0</v>
      </c>
      <c r="H23" s="48">
        <f t="shared" si="4"/>
        <v>0</v>
      </c>
      <c r="I23" s="48">
        <f t="shared" si="4"/>
        <v>0</v>
      </c>
      <c r="J23" s="48">
        <f t="shared" si="4"/>
        <v>0</v>
      </c>
      <c r="K23" s="48">
        <f t="shared" si="4"/>
        <v>0</v>
      </c>
      <c r="L23" s="48">
        <f t="shared" si="4"/>
        <v>0</v>
      </c>
      <c r="M23" s="48">
        <f t="shared" si="4"/>
        <v>0</v>
      </c>
      <c r="N23" s="48">
        <f t="shared" si="4"/>
        <v>0</v>
      </c>
      <c r="O23" s="48">
        <f t="shared" si="4"/>
        <v>0</v>
      </c>
      <c r="P23" s="3"/>
    </row>
    <row r="24" spans="1:26" ht="15" customHeight="1" outlineLevel="1" x14ac:dyDescent="0.3">
      <c r="A24" s="3"/>
      <c r="B24" s="9" t="s">
        <v>45</v>
      </c>
      <c r="C24" s="10">
        <f t="shared" ref="C24:C29" si="5">SUM(D24:O24)</f>
        <v>0</v>
      </c>
      <c r="D24" s="11">
        <v>0</v>
      </c>
      <c r="E24" s="11">
        <v>0</v>
      </c>
      <c r="F24" s="11">
        <v>0</v>
      </c>
      <c r="G24" s="11">
        <v>0</v>
      </c>
      <c r="H24" s="11">
        <v>0</v>
      </c>
      <c r="I24" s="11">
        <v>0</v>
      </c>
      <c r="J24" s="11">
        <v>0</v>
      </c>
      <c r="K24" s="11">
        <v>0</v>
      </c>
      <c r="L24" s="11">
        <v>0</v>
      </c>
      <c r="M24" s="11">
        <v>0</v>
      </c>
      <c r="N24" s="11">
        <v>0</v>
      </c>
      <c r="O24" s="11">
        <v>0</v>
      </c>
      <c r="P24" s="3"/>
      <c r="Q24" s="3"/>
      <c r="R24" s="3"/>
      <c r="S24" s="3"/>
      <c r="T24" s="3"/>
      <c r="U24" s="3"/>
      <c r="V24" s="3"/>
      <c r="W24" s="3"/>
      <c r="X24" s="3"/>
      <c r="Y24" s="3"/>
      <c r="Z24" s="3"/>
    </row>
    <row r="25" spans="1:26" ht="15" customHeight="1" outlineLevel="1" x14ac:dyDescent="0.3">
      <c r="A25" s="3"/>
      <c r="B25" s="9" t="s">
        <v>46</v>
      </c>
      <c r="C25" s="10">
        <f t="shared" si="5"/>
        <v>0</v>
      </c>
      <c r="D25" s="11">
        <v>0</v>
      </c>
      <c r="E25" s="11">
        <v>0</v>
      </c>
      <c r="F25" s="11">
        <v>0</v>
      </c>
      <c r="G25" s="11">
        <v>0</v>
      </c>
      <c r="H25" s="11">
        <v>0</v>
      </c>
      <c r="I25" s="11">
        <v>0</v>
      </c>
      <c r="J25" s="11">
        <v>0</v>
      </c>
      <c r="K25" s="11">
        <v>0</v>
      </c>
      <c r="L25" s="11">
        <v>0</v>
      </c>
      <c r="M25" s="11">
        <v>0</v>
      </c>
      <c r="N25" s="11">
        <v>0</v>
      </c>
      <c r="O25" s="11">
        <v>0</v>
      </c>
      <c r="P25" s="3"/>
      <c r="Q25" s="3"/>
      <c r="R25" s="3"/>
      <c r="S25" s="3"/>
      <c r="T25" s="3"/>
      <c r="U25" s="3"/>
      <c r="V25" s="3"/>
      <c r="W25" s="3"/>
      <c r="X25" s="3"/>
      <c r="Y25" s="3"/>
      <c r="Z25" s="3"/>
    </row>
    <row r="26" spans="1:26" ht="15" customHeight="1" outlineLevel="1" x14ac:dyDescent="0.3">
      <c r="A26" s="3"/>
      <c r="B26" s="9" t="s">
        <v>47</v>
      </c>
      <c r="C26" s="10">
        <f t="shared" si="5"/>
        <v>0</v>
      </c>
      <c r="D26" s="11">
        <v>0</v>
      </c>
      <c r="E26" s="11">
        <v>0</v>
      </c>
      <c r="F26" s="11">
        <v>0</v>
      </c>
      <c r="G26" s="11">
        <v>0</v>
      </c>
      <c r="H26" s="11">
        <v>0</v>
      </c>
      <c r="I26" s="11">
        <v>0</v>
      </c>
      <c r="J26" s="11">
        <v>0</v>
      </c>
      <c r="K26" s="11">
        <v>0</v>
      </c>
      <c r="L26" s="11">
        <v>0</v>
      </c>
      <c r="M26" s="11">
        <v>0</v>
      </c>
      <c r="N26" s="11">
        <v>0</v>
      </c>
      <c r="O26" s="11">
        <v>0</v>
      </c>
      <c r="P26" s="3"/>
      <c r="Q26" s="3"/>
      <c r="R26" s="3"/>
      <c r="S26" s="3"/>
      <c r="T26" s="3"/>
      <c r="U26" s="3"/>
      <c r="V26" s="3"/>
      <c r="W26" s="3"/>
      <c r="X26" s="3"/>
      <c r="Y26" s="3"/>
      <c r="Z26" s="3"/>
    </row>
    <row r="27" spans="1:26" ht="15" customHeight="1" outlineLevel="1" x14ac:dyDescent="0.3">
      <c r="A27" s="3"/>
      <c r="B27" s="9" t="s">
        <v>48</v>
      </c>
      <c r="C27" s="10">
        <f t="shared" si="5"/>
        <v>0</v>
      </c>
      <c r="D27" s="11">
        <v>0</v>
      </c>
      <c r="E27" s="11">
        <v>0</v>
      </c>
      <c r="F27" s="11">
        <v>0</v>
      </c>
      <c r="G27" s="11">
        <v>0</v>
      </c>
      <c r="H27" s="11">
        <v>0</v>
      </c>
      <c r="I27" s="11">
        <v>0</v>
      </c>
      <c r="J27" s="11">
        <v>0</v>
      </c>
      <c r="K27" s="11">
        <v>0</v>
      </c>
      <c r="L27" s="11">
        <v>0</v>
      </c>
      <c r="M27" s="11">
        <v>0</v>
      </c>
      <c r="N27" s="11">
        <v>0</v>
      </c>
      <c r="O27" s="11">
        <v>0</v>
      </c>
      <c r="P27" s="3"/>
      <c r="Q27" s="3"/>
      <c r="R27" s="3"/>
      <c r="S27" s="3"/>
      <c r="T27" s="3"/>
      <c r="U27" s="3"/>
      <c r="V27" s="3"/>
      <c r="W27" s="3"/>
      <c r="X27" s="3"/>
      <c r="Y27" s="3"/>
      <c r="Z27" s="3"/>
    </row>
    <row r="28" spans="1:26" ht="15" customHeight="1" outlineLevel="1" x14ac:dyDescent="0.3">
      <c r="A28" s="3"/>
      <c r="B28" s="9" t="s">
        <v>49</v>
      </c>
      <c r="C28" s="10">
        <f t="shared" si="5"/>
        <v>0</v>
      </c>
      <c r="D28" s="11">
        <v>0</v>
      </c>
      <c r="E28" s="11">
        <v>0</v>
      </c>
      <c r="F28" s="11">
        <v>0</v>
      </c>
      <c r="G28" s="11">
        <v>0</v>
      </c>
      <c r="H28" s="11">
        <v>0</v>
      </c>
      <c r="I28" s="11">
        <v>0</v>
      </c>
      <c r="J28" s="11">
        <v>0</v>
      </c>
      <c r="K28" s="11">
        <v>0</v>
      </c>
      <c r="L28" s="11">
        <v>0</v>
      </c>
      <c r="M28" s="11">
        <v>0</v>
      </c>
      <c r="N28" s="11">
        <v>0</v>
      </c>
      <c r="O28" s="11">
        <v>0</v>
      </c>
      <c r="P28" s="3"/>
      <c r="Q28" s="3"/>
      <c r="R28" s="3"/>
      <c r="S28" s="3"/>
      <c r="T28" s="3"/>
      <c r="U28" s="3"/>
      <c r="V28" s="3"/>
      <c r="W28" s="3"/>
      <c r="X28" s="3"/>
      <c r="Y28" s="3"/>
      <c r="Z28" s="3"/>
    </row>
    <row r="29" spans="1:26" ht="15" customHeight="1" outlineLevel="1" x14ac:dyDescent="0.3">
      <c r="A29" s="3"/>
      <c r="B29" s="9" t="s">
        <v>50</v>
      </c>
      <c r="C29" s="10">
        <f t="shared" si="5"/>
        <v>0</v>
      </c>
      <c r="D29" s="11">
        <v>0</v>
      </c>
      <c r="E29" s="11">
        <v>0</v>
      </c>
      <c r="F29" s="11">
        <v>0</v>
      </c>
      <c r="G29" s="11">
        <v>0</v>
      </c>
      <c r="H29" s="11">
        <v>0</v>
      </c>
      <c r="I29" s="11">
        <v>0</v>
      </c>
      <c r="J29" s="11">
        <v>0</v>
      </c>
      <c r="K29" s="11">
        <v>0</v>
      </c>
      <c r="L29" s="11">
        <v>0</v>
      </c>
      <c r="M29" s="11">
        <v>0</v>
      </c>
      <c r="N29" s="11">
        <v>0</v>
      </c>
      <c r="O29" s="11">
        <v>0</v>
      </c>
      <c r="P29" s="3"/>
      <c r="Q29" s="3"/>
      <c r="R29" s="3"/>
      <c r="S29" s="3"/>
      <c r="T29" s="3"/>
      <c r="U29" s="3"/>
      <c r="V29" s="3"/>
      <c r="W29" s="3"/>
      <c r="X29" s="3"/>
      <c r="Y29" s="3"/>
      <c r="Z29" s="3"/>
    </row>
    <row r="30" spans="1:26" ht="15.75" customHeight="1" x14ac:dyDescent="0.3">
      <c r="A30" s="3"/>
      <c r="B30" s="64" t="s">
        <v>63</v>
      </c>
      <c r="C30" s="48">
        <f t="shared" ref="C30:O30" si="6">SUM(C31,C32,,C33,C34,C35)</f>
        <v>0</v>
      </c>
      <c r="D30" s="48">
        <f t="shared" si="6"/>
        <v>0</v>
      </c>
      <c r="E30" s="48">
        <f t="shared" si="6"/>
        <v>0</v>
      </c>
      <c r="F30" s="48">
        <f t="shared" si="6"/>
        <v>0</v>
      </c>
      <c r="G30" s="48">
        <f t="shared" si="6"/>
        <v>0</v>
      </c>
      <c r="H30" s="48">
        <f t="shared" si="6"/>
        <v>0</v>
      </c>
      <c r="I30" s="48">
        <f t="shared" si="6"/>
        <v>0</v>
      </c>
      <c r="J30" s="48">
        <f t="shared" si="6"/>
        <v>0</v>
      </c>
      <c r="K30" s="48">
        <f t="shared" si="6"/>
        <v>0</v>
      </c>
      <c r="L30" s="48">
        <f t="shared" si="6"/>
        <v>0</v>
      </c>
      <c r="M30" s="48">
        <f t="shared" si="6"/>
        <v>0</v>
      </c>
      <c r="N30" s="48">
        <f t="shared" si="6"/>
        <v>0</v>
      </c>
      <c r="O30" s="48">
        <f t="shared" si="6"/>
        <v>0</v>
      </c>
      <c r="P30" s="3"/>
    </row>
    <row r="31" spans="1:26" ht="15.75" customHeight="1" outlineLevel="1" x14ac:dyDescent="0.3">
      <c r="A31" s="3"/>
      <c r="B31" s="66" t="s">
        <v>231</v>
      </c>
      <c r="C31" s="68">
        <f t="shared" ref="C31:C35" si="7">SUM(D31:O31)</f>
        <v>0</v>
      </c>
      <c r="D31" s="68">
        <v>0</v>
      </c>
      <c r="E31" s="68">
        <v>0</v>
      </c>
      <c r="F31" s="68">
        <v>0</v>
      </c>
      <c r="G31" s="68">
        <v>0</v>
      </c>
      <c r="H31" s="68">
        <v>0</v>
      </c>
      <c r="I31" s="68">
        <v>0</v>
      </c>
      <c r="J31" s="68">
        <v>0</v>
      </c>
      <c r="K31" s="68">
        <v>0</v>
      </c>
      <c r="L31" s="68">
        <v>0</v>
      </c>
      <c r="M31" s="68">
        <v>0</v>
      </c>
      <c r="N31" s="68">
        <v>0</v>
      </c>
      <c r="O31" s="68">
        <v>0</v>
      </c>
      <c r="P31" s="3"/>
    </row>
    <row r="32" spans="1:26" ht="15.75" customHeight="1" outlineLevel="1" x14ac:dyDescent="0.3">
      <c r="A32" s="3"/>
      <c r="B32" s="66" t="s">
        <v>233</v>
      </c>
      <c r="C32" s="68">
        <f t="shared" si="7"/>
        <v>0</v>
      </c>
      <c r="D32" s="68">
        <v>0</v>
      </c>
      <c r="E32" s="68">
        <v>0</v>
      </c>
      <c r="F32" s="68">
        <v>0</v>
      </c>
      <c r="G32" s="68">
        <v>0</v>
      </c>
      <c r="H32" s="68">
        <v>0</v>
      </c>
      <c r="I32" s="68">
        <v>0</v>
      </c>
      <c r="J32" s="68">
        <v>0</v>
      </c>
      <c r="K32" s="68">
        <v>0</v>
      </c>
      <c r="L32" s="68">
        <v>0</v>
      </c>
      <c r="M32" s="68">
        <v>0</v>
      </c>
      <c r="N32" s="68">
        <v>0</v>
      </c>
      <c r="O32" s="68">
        <v>0</v>
      </c>
      <c r="P32" s="3"/>
    </row>
    <row r="33" spans="1:16" ht="15.75" customHeight="1" outlineLevel="1" x14ac:dyDescent="0.3">
      <c r="A33" s="3"/>
      <c r="B33" s="66" t="s">
        <v>1288</v>
      </c>
      <c r="C33" s="68">
        <f t="shared" si="7"/>
        <v>0</v>
      </c>
      <c r="D33" s="68">
        <v>0</v>
      </c>
      <c r="E33" s="68">
        <v>0</v>
      </c>
      <c r="F33" s="68">
        <v>0</v>
      </c>
      <c r="G33" s="68">
        <v>0</v>
      </c>
      <c r="H33" s="68">
        <v>0</v>
      </c>
      <c r="I33" s="68">
        <v>0</v>
      </c>
      <c r="J33" s="68">
        <v>0</v>
      </c>
      <c r="K33" s="68">
        <v>0</v>
      </c>
      <c r="L33" s="68">
        <v>0</v>
      </c>
      <c r="M33" s="68">
        <v>0</v>
      </c>
      <c r="N33" s="68">
        <v>0</v>
      </c>
      <c r="O33" s="68">
        <v>0</v>
      </c>
      <c r="P33" s="3"/>
    </row>
    <row r="34" spans="1:16" ht="15.75" customHeight="1" outlineLevel="1" x14ac:dyDescent="0.3">
      <c r="A34" s="3"/>
      <c r="B34" s="66" t="s">
        <v>238</v>
      </c>
      <c r="C34" s="68">
        <f t="shared" si="7"/>
        <v>0</v>
      </c>
      <c r="D34" s="68">
        <v>0</v>
      </c>
      <c r="E34" s="68">
        <v>0</v>
      </c>
      <c r="F34" s="68">
        <v>0</v>
      </c>
      <c r="G34" s="68">
        <v>0</v>
      </c>
      <c r="H34" s="68">
        <v>0</v>
      </c>
      <c r="I34" s="68">
        <v>0</v>
      </c>
      <c r="J34" s="68">
        <v>0</v>
      </c>
      <c r="K34" s="68">
        <v>0</v>
      </c>
      <c r="L34" s="68">
        <v>0</v>
      </c>
      <c r="M34" s="68">
        <v>0</v>
      </c>
      <c r="N34" s="68">
        <v>0</v>
      </c>
      <c r="O34" s="68">
        <v>0</v>
      </c>
      <c r="P34" s="3"/>
    </row>
    <row r="35" spans="1:16" ht="15.75" customHeight="1" outlineLevel="1" x14ac:dyDescent="0.3">
      <c r="A35" s="3"/>
      <c r="B35" s="66" t="s">
        <v>239</v>
      </c>
      <c r="C35" s="68">
        <f t="shared" si="7"/>
        <v>0</v>
      </c>
      <c r="D35" s="68">
        <v>0</v>
      </c>
      <c r="E35" s="68">
        <v>0</v>
      </c>
      <c r="F35" s="68">
        <v>0</v>
      </c>
      <c r="G35" s="68">
        <v>0</v>
      </c>
      <c r="H35" s="68">
        <v>0</v>
      </c>
      <c r="I35" s="68">
        <v>0</v>
      </c>
      <c r="J35" s="68">
        <v>0</v>
      </c>
      <c r="K35" s="68">
        <v>0</v>
      </c>
      <c r="L35" s="68">
        <v>0</v>
      </c>
      <c r="M35" s="68">
        <v>0</v>
      </c>
      <c r="N35" s="68">
        <v>0</v>
      </c>
      <c r="O35" s="68">
        <v>0</v>
      </c>
      <c r="P35" s="3"/>
    </row>
    <row r="36" spans="1:16" ht="15.75" customHeight="1" x14ac:dyDescent="0.3">
      <c r="A36" s="3"/>
      <c r="B36" s="64" t="s">
        <v>240</v>
      </c>
      <c r="C36" s="48">
        <f>SUM(C37,C38,C39,C40)</f>
        <v>0</v>
      </c>
      <c r="D36" s="48">
        <f t="shared" ref="D36:O36" si="8">SUM(D37,D38,D39)</f>
        <v>0</v>
      </c>
      <c r="E36" s="48">
        <f t="shared" si="8"/>
        <v>0</v>
      </c>
      <c r="F36" s="48">
        <f t="shared" si="8"/>
        <v>0</v>
      </c>
      <c r="G36" s="48">
        <f t="shared" si="8"/>
        <v>0</v>
      </c>
      <c r="H36" s="48">
        <f t="shared" si="8"/>
        <v>0</v>
      </c>
      <c r="I36" s="48">
        <f t="shared" si="8"/>
        <v>0</v>
      </c>
      <c r="J36" s="48">
        <f t="shared" si="8"/>
        <v>0</v>
      </c>
      <c r="K36" s="48">
        <f t="shared" si="8"/>
        <v>0</v>
      </c>
      <c r="L36" s="48">
        <f t="shared" si="8"/>
        <v>0</v>
      </c>
      <c r="M36" s="48">
        <f t="shared" si="8"/>
        <v>0</v>
      </c>
      <c r="N36" s="48">
        <f t="shared" si="8"/>
        <v>0</v>
      </c>
      <c r="O36" s="48">
        <f t="shared" si="8"/>
        <v>0</v>
      </c>
      <c r="P36" s="3"/>
    </row>
    <row r="37" spans="1:16" ht="15.75" customHeight="1" outlineLevel="1" x14ac:dyDescent="0.3">
      <c r="A37" s="3"/>
      <c r="B37" s="66" t="s">
        <v>241</v>
      </c>
      <c r="C37" s="68">
        <f t="shared" ref="C37:C42" si="9">SUM(D37:O37)</f>
        <v>0</v>
      </c>
      <c r="D37" s="68">
        <v>0</v>
      </c>
      <c r="E37" s="68">
        <v>0</v>
      </c>
      <c r="F37" s="68">
        <v>0</v>
      </c>
      <c r="G37" s="68">
        <v>0</v>
      </c>
      <c r="H37" s="68">
        <v>0</v>
      </c>
      <c r="I37" s="68">
        <v>0</v>
      </c>
      <c r="J37" s="68">
        <v>0</v>
      </c>
      <c r="K37" s="68">
        <v>0</v>
      </c>
      <c r="L37" s="68">
        <v>0</v>
      </c>
      <c r="M37" s="68">
        <v>0</v>
      </c>
      <c r="N37" s="68">
        <v>0</v>
      </c>
      <c r="O37" s="68">
        <v>0</v>
      </c>
      <c r="P37" s="3"/>
    </row>
    <row r="38" spans="1:16" ht="15.75" customHeight="1" outlineLevel="1" x14ac:dyDescent="0.3">
      <c r="A38" s="3"/>
      <c r="B38" s="66" t="s">
        <v>246</v>
      </c>
      <c r="C38" s="68">
        <f t="shared" si="9"/>
        <v>0</v>
      </c>
      <c r="D38" s="68">
        <v>0</v>
      </c>
      <c r="E38" s="68">
        <v>0</v>
      </c>
      <c r="F38" s="68">
        <v>0</v>
      </c>
      <c r="G38" s="68">
        <v>0</v>
      </c>
      <c r="H38" s="68">
        <v>0</v>
      </c>
      <c r="I38" s="68">
        <v>0</v>
      </c>
      <c r="J38" s="68">
        <v>0</v>
      </c>
      <c r="K38" s="68">
        <v>0</v>
      </c>
      <c r="L38" s="68">
        <v>0</v>
      </c>
      <c r="M38" s="68">
        <v>0</v>
      </c>
      <c r="N38" s="68">
        <v>0</v>
      </c>
      <c r="O38" s="68">
        <v>0</v>
      </c>
      <c r="P38" s="3"/>
    </row>
    <row r="39" spans="1:16" ht="15.75" customHeight="1" outlineLevel="1" x14ac:dyDescent="0.3">
      <c r="A39" s="3"/>
      <c r="B39" s="66" t="s">
        <v>247</v>
      </c>
      <c r="C39" s="68">
        <f t="shared" si="9"/>
        <v>0</v>
      </c>
      <c r="D39" s="68">
        <v>0</v>
      </c>
      <c r="E39" s="68">
        <v>0</v>
      </c>
      <c r="F39" s="68">
        <v>0</v>
      </c>
      <c r="G39" s="68">
        <v>0</v>
      </c>
      <c r="H39" s="68">
        <v>0</v>
      </c>
      <c r="I39" s="68">
        <v>0</v>
      </c>
      <c r="J39" s="68">
        <v>0</v>
      </c>
      <c r="K39" s="68">
        <v>0</v>
      </c>
      <c r="L39" s="68">
        <v>0</v>
      </c>
      <c r="M39" s="68">
        <v>0</v>
      </c>
      <c r="N39" s="68">
        <v>0</v>
      </c>
      <c r="O39" s="68">
        <v>0</v>
      </c>
      <c r="P39" s="3"/>
    </row>
    <row r="40" spans="1:16" ht="15.75" customHeight="1" outlineLevel="1" x14ac:dyDescent="0.3">
      <c r="A40" s="3"/>
      <c r="B40" s="66" t="s">
        <v>62</v>
      </c>
      <c r="C40" s="68">
        <f t="shared" si="9"/>
        <v>0</v>
      </c>
      <c r="D40" s="68">
        <v>0</v>
      </c>
      <c r="E40" s="68">
        <v>0</v>
      </c>
      <c r="F40" s="68">
        <v>0</v>
      </c>
      <c r="G40" s="68">
        <v>0</v>
      </c>
      <c r="H40" s="68">
        <v>0</v>
      </c>
      <c r="I40" s="68">
        <v>0</v>
      </c>
      <c r="J40" s="68">
        <v>0</v>
      </c>
      <c r="K40" s="68">
        <v>0</v>
      </c>
      <c r="L40" s="68">
        <v>0</v>
      </c>
      <c r="M40" s="68">
        <v>0</v>
      </c>
      <c r="N40" s="68">
        <v>0</v>
      </c>
      <c r="O40" s="68">
        <v>0</v>
      </c>
      <c r="P40" s="3"/>
    </row>
    <row r="41" spans="1:16" ht="15.75" customHeight="1" x14ac:dyDescent="0.3">
      <c r="A41" s="3"/>
      <c r="B41" s="64" t="s">
        <v>64</v>
      </c>
      <c r="C41" s="48">
        <f t="shared" si="9"/>
        <v>0</v>
      </c>
      <c r="D41" s="48">
        <v>0</v>
      </c>
      <c r="E41" s="48">
        <v>0</v>
      </c>
      <c r="F41" s="48">
        <v>0</v>
      </c>
      <c r="G41" s="48">
        <v>0</v>
      </c>
      <c r="H41" s="48">
        <v>0</v>
      </c>
      <c r="I41" s="48">
        <v>0</v>
      </c>
      <c r="J41" s="48">
        <v>0</v>
      </c>
      <c r="K41" s="48">
        <v>0</v>
      </c>
      <c r="L41" s="48">
        <v>0</v>
      </c>
      <c r="M41" s="48">
        <v>0</v>
      </c>
      <c r="N41" s="48">
        <v>0</v>
      </c>
      <c r="O41" s="48">
        <v>0</v>
      </c>
      <c r="P41" s="3"/>
    </row>
    <row r="42" spans="1:16" ht="15.75" customHeight="1" x14ac:dyDescent="0.3">
      <c r="A42" s="3"/>
      <c r="B42" s="64" t="s">
        <v>260</v>
      </c>
      <c r="C42" s="48">
        <f t="shared" si="9"/>
        <v>0</v>
      </c>
      <c r="D42" s="48">
        <v>0</v>
      </c>
      <c r="E42" s="48">
        <v>0</v>
      </c>
      <c r="F42" s="48">
        <v>0</v>
      </c>
      <c r="G42" s="48">
        <v>0</v>
      </c>
      <c r="H42" s="48">
        <v>0</v>
      </c>
      <c r="I42" s="48">
        <v>0</v>
      </c>
      <c r="J42" s="48">
        <v>0</v>
      </c>
      <c r="K42" s="48">
        <v>0</v>
      </c>
      <c r="L42" s="48">
        <v>0</v>
      </c>
      <c r="M42" s="48">
        <v>0</v>
      </c>
      <c r="N42" s="48">
        <v>0</v>
      </c>
      <c r="O42" s="48">
        <v>0</v>
      </c>
      <c r="P42" s="3"/>
    </row>
    <row r="43" spans="1:16" ht="15.75" customHeight="1" x14ac:dyDescent="0.3">
      <c r="A43" s="3"/>
      <c r="B43" s="3"/>
      <c r="C43" s="137"/>
      <c r="D43" s="28"/>
      <c r="E43" s="28"/>
      <c r="F43" s="101"/>
      <c r="G43" s="28"/>
      <c r="H43" s="28"/>
      <c r="I43" s="28"/>
      <c r="J43" s="28"/>
      <c r="K43" s="28"/>
      <c r="L43" s="101"/>
      <c r="M43" s="28"/>
      <c r="N43" s="28"/>
      <c r="O43" s="28"/>
      <c r="P43" s="3"/>
    </row>
    <row r="44" spans="1:16" ht="15.75" customHeight="1" x14ac:dyDescent="0.3">
      <c r="A44" s="3"/>
      <c r="B44" s="264" t="s">
        <v>270</v>
      </c>
      <c r="C44" s="248" t="s">
        <v>1287</v>
      </c>
      <c r="D44" s="250">
        <v>2024</v>
      </c>
      <c r="E44" s="251"/>
      <c r="F44" s="251"/>
      <c r="G44" s="251"/>
      <c r="H44" s="251"/>
      <c r="I44" s="251"/>
      <c r="J44" s="251"/>
      <c r="K44" s="251"/>
      <c r="L44" s="251"/>
      <c r="M44" s="251"/>
      <c r="N44" s="251"/>
      <c r="O44" s="252"/>
      <c r="P44" s="3"/>
    </row>
    <row r="45" spans="1:16" ht="15.75" customHeight="1" x14ac:dyDescent="0.3">
      <c r="A45" s="3"/>
      <c r="B45" s="202"/>
      <c r="C45" s="249"/>
      <c r="D45" s="6" t="s">
        <v>23</v>
      </c>
      <c r="E45" s="4" t="s">
        <v>24</v>
      </c>
      <c r="F45" s="5" t="s">
        <v>25</v>
      </c>
      <c r="G45" s="6" t="s">
        <v>26</v>
      </c>
      <c r="H45" s="6" t="s">
        <v>27</v>
      </c>
      <c r="I45" s="6" t="s">
        <v>28</v>
      </c>
      <c r="J45" s="6" t="s">
        <v>29</v>
      </c>
      <c r="K45" s="6" t="s">
        <v>30</v>
      </c>
      <c r="L45" s="6" t="s">
        <v>31</v>
      </c>
      <c r="M45" s="5" t="s">
        <v>32</v>
      </c>
      <c r="N45" s="6" t="s">
        <v>33</v>
      </c>
      <c r="O45" s="27" t="s">
        <v>34</v>
      </c>
      <c r="P45" s="3"/>
    </row>
    <row r="46" spans="1:16" ht="15.75" customHeight="1" x14ac:dyDescent="0.3">
      <c r="A46" s="3"/>
      <c r="B46" s="135" t="s">
        <v>74</v>
      </c>
      <c r="C46" s="136">
        <f t="shared" ref="C46:O46" si="10">SUM(C53,C79,C65,C137,C147,C172,C178,C85,C47,C61,C234,C275,C184,C194,C204,C214,C224,C100)</f>
        <v>0</v>
      </c>
      <c r="D46" s="136">
        <f t="shared" si="10"/>
        <v>0</v>
      </c>
      <c r="E46" s="136">
        <f t="shared" si="10"/>
        <v>0</v>
      </c>
      <c r="F46" s="136">
        <f t="shared" si="10"/>
        <v>0</v>
      </c>
      <c r="G46" s="136">
        <f t="shared" si="10"/>
        <v>0</v>
      </c>
      <c r="H46" s="136">
        <f t="shared" si="10"/>
        <v>0</v>
      </c>
      <c r="I46" s="136">
        <f t="shared" si="10"/>
        <v>0</v>
      </c>
      <c r="J46" s="136">
        <f t="shared" si="10"/>
        <v>0</v>
      </c>
      <c r="K46" s="136">
        <f t="shared" si="10"/>
        <v>0</v>
      </c>
      <c r="L46" s="136">
        <f t="shared" si="10"/>
        <v>0</v>
      </c>
      <c r="M46" s="136">
        <f t="shared" si="10"/>
        <v>0</v>
      </c>
      <c r="N46" s="136">
        <f t="shared" si="10"/>
        <v>0</v>
      </c>
      <c r="O46" s="136">
        <f t="shared" si="10"/>
        <v>0</v>
      </c>
      <c r="P46" s="3"/>
    </row>
    <row r="47" spans="1:16" ht="15.75" customHeight="1" x14ac:dyDescent="0.3">
      <c r="A47" s="3"/>
      <c r="B47" s="75" t="s">
        <v>273</v>
      </c>
      <c r="C47" s="77">
        <f t="shared" ref="C47:O47" si="11">SUM(C48:C52)</f>
        <v>0</v>
      </c>
      <c r="D47" s="77">
        <f t="shared" si="11"/>
        <v>0</v>
      </c>
      <c r="E47" s="77">
        <f t="shared" si="11"/>
        <v>0</v>
      </c>
      <c r="F47" s="77">
        <f t="shared" si="11"/>
        <v>0</v>
      </c>
      <c r="G47" s="77">
        <f t="shared" si="11"/>
        <v>0</v>
      </c>
      <c r="H47" s="77">
        <f t="shared" si="11"/>
        <v>0</v>
      </c>
      <c r="I47" s="77">
        <f t="shared" si="11"/>
        <v>0</v>
      </c>
      <c r="J47" s="77">
        <f t="shared" si="11"/>
        <v>0</v>
      </c>
      <c r="K47" s="77">
        <f t="shared" si="11"/>
        <v>0</v>
      </c>
      <c r="L47" s="77">
        <f t="shared" si="11"/>
        <v>0</v>
      </c>
      <c r="M47" s="77">
        <f t="shared" si="11"/>
        <v>0</v>
      </c>
      <c r="N47" s="77">
        <f t="shared" si="11"/>
        <v>0</v>
      </c>
      <c r="O47" s="77">
        <f t="shared" si="11"/>
        <v>0</v>
      </c>
      <c r="P47" s="3"/>
    </row>
    <row r="48" spans="1:16" ht="15.75" customHeight="1" outlineLevel="1" x14ac:dyDescent="0.3">
      <c r="A48" s="3"/>
      <c r="B48" s="138" t="s">
        <v>274</v>
      </c>
      <c r="C48" s="10">
        <f t="shared" ref="C48:C52" si="12">SUM(D48:O48)</f>
        <v>0</v>
      </c>
      <c r="D48" s="11">
        <v>0</v>
      </c>
      <c r="E48" s="11">
        <v>0</v>
      </c>
      <c r="F48" s="11">
        <v>0</v>
      </c>
      <c r="G48" s="11">
        <v>0</v>
      </c>
      <c r="H48" s="11">
        <v>0</v>
      </c>
      <c r="I48" s="11">
        <v>0</v>
      </c>
      <c r="J48" s="11">
        <v>0</v>
      </c>
      <c r="K48" s="11">
        <v>0</v>
      </c>
      <c r="L48" s="11">
        <v>0</v>
      </c>
      <c r="M48" s="11">
        <v>0</v>
      </c>
      <c r="N48" s="11">
        <v>0</v>
      </c>
      <c r="O48" s="11">
        <v>0</v>
      </c>
      <c r="P48" s="3"/>
    </row>
    <row r="49" spans="1:17" ht="15.75" customHeight="1" outlineLevel="1" x14ac:dyDescent="0.3">
      <c r="A49" s="3"/>
      <c r="B49" s="138" t="s">
        <v>278</v>
      </c>
      <c r="C49" s="10">
        <f t="shared" si="12"/>
        <v>0</v>
      </c>
      <c r="D49" s="11">
        <v>0</v>
      </c>
      <c r="E49" s="11">
        <v>0</v>
      </c>
      <c r="F49" s="11">
        <v>0</v>
      </c>
      <c r="G49" s="11">
        <v>0</v>
      </c>
      <c r="H49" s="11">
        <v>0</v>
      </c>
      <c r="I49" s="11">
        <v>0</v>
      </c>
      <c r="J49" s="11">
        <v>0</v>
      </c>
      <c r="K49" s="11">
        <v>0</v>
      </c>
      <c r="L49" s="11">
        <v>0</v>
      </c>
      <c r="M49" s="11">
        <v>0</v>
      </c>
      <c r="N49" s="11">
        <v>0</v>
      </c>
      <c r="O49" s="11">
        <v>0</v>
      </c>
      <c r="P49" s="3"/>
    </row>
    <row r="50" spans="1:17" ht="15.75" customHeight="1" outlineLevel="1" x14ac:dyDescent="0.3">
      <c r="A50" s="3"/>
      <c r="B50" s="138" t="s">
        <v>281</v>
      </c>
      <c r="C50" s="10">
        <f t="shared" si="12"/>
        <v>0</v>
      </c>
      <c r="D50" s="11">
        <v>0</v>
      </c>
      <c r="E50" s="11">
        <v>0</v>
      </c>
      <c r="F50" s="11">
        <v>0</v>
      </c>
      <c r="G50" s="11">
        <v>0</v>
      </c>
      <c r="H50" s="11">
        <v>0</v>
      </c>
      <c r="I50" s="11">
        <v>0</v>
      </c>
      <c r="J50" s="11">
        <v>0</v>
      </c>
      <c r="K50" s="11">
        <v>0</v>
      </c>
      <c r="L50" s="11">
        <v>0</v>
      </c>
      <c r="M50" s="11">
        <v>0</v>
      </c>
      <c r="N50" s="11">
        <v>0</v>
      </c>
      <c r="O50" s="11">
        <v>0</v>
      </c>
      <c r="P50" s="3"/>
    </row>
    <row r="51" spans="1:17" ht="15.75" customHeight="1" outlineLevel="1" x14ac:dyDescent="0.3">
      <c r="A51" s="3"/>
      <c r="B51" s="138" t="s">
        <v>282</v>
      </c>
      <c r="C51" s="10">
        <f t="shared" si="12"/>
        <v>0</v>
      </c>
      <c r="D51" s="11">
        <v>0</v>
      </c>
      <c r="E51" s="11">
        <v>0</v>
      </c>
      <c r="F51" s="11">
        <v>0</v>
      </c>
      <c r="G51" s="11">
        <v>0</v>
      </c>
      <c r="H51" s="11">
        <v>0</v>
      </c>
      <c r="I51" s="11">
        <v>0</v>
      </c>
      <c r="J51" s="11">
        <v>0</v>
      </c>
      <c r="K51" s="11">
        <v>0</v>
      </c>
      <c r="L51" s="11">
        <v>0</v>
      </c>
      <c r="M51" s="11">
        <v>0</v>
      </c>
      <c r="N51" s="11">
        <v>0</v>
      </c>
      <c r="O51" s="11">
        <v>0</v>
      </c>
      <c r="P51" s="3"/>
    </row>
    <row r="52" spans="1:17" ht="15.75" customHeight="1" outlineLevel="1" x14ac:dyDescent="0.3">
      <c r="A52" s="3"/>
      <c r="B52" s="138" t="s">
        <v>66</v>
      </c>
      <c r="C52" s="10">
        <f t="shared" si="12"/>
        <v>0</v>
      </c>
      <c r="D52" s="11">
        <v>0</v>
      </c>
      <c r="E52" s="11">
        <v>0</v>
      </c>
      <c r="F52" s="11">
        <v>0</v>
      </c>
      <c r="G52" s="11">
        <v>0</v>
      </c>
      <c r="H52" s="11">
        <v>0</v>
      </c>
      <c r="I52" s="11">
        <v>0</v>
      </c>
      <c r="J52" s="11">
        <v>0</v>
      </c>
      <c r="K52" s="11">
        <v>0</v>
      </c>
      <c r="L52" s="11">
        <v>0</v>
      </c>
      <c r="M52" s="11">
        <v>0</v>
      </c>
      <c r="N52" s="11">
        <v>0</v>
      </c>
      <c r="O52" s="11">
        <v>0</v>
      </c>
      <c r="P52" s="3"/>
    </row>
    <row r="53" spans="1:17" ht="15.75" customHeight="1" x14ac:dyDescent="0.3">
      <c r="A53" s="3"/>
      <c r="B53" s="75" t="s">
        <v>288</v>
      </c>
      <c r="C53" s="77">
        <f t="shared" ref="C53:O53" si="13">SUM(C54:C60)</f>
        <v>0</v>
      </c>
      <c r="D53" s="77">
        <f t="shared" si="13"/>
        <v>0</v>
      </c>
      <c r="E53" s="77">
        <f t="shared" si="13"/>
        <v>0</v>
      </c>
      <c r="F53" s="77">
        <f t="shared" si="13"/>
        <v>0</v>
      </c>
      <c r="G53" s="77">
        <f t="shared" si="13"/>
        <v>0</v>
      </c>
      <c r="H53" s="77">
        <f t="shared" si="13"/>
        <v>0</v>
      </c>
      <c r="I53" s="77">
        <f t="shared" si="13"/>
        <v>0</v>
      </c>
      <c r="J53" s="77">
        <f t="shared" si="13"/>
        <v>0</v>
      </c>
      <c r="K53" s="77">
        <f t="shared" si="13"/>
        <v>0</v>
      </c>
      <c r="L53" s="77">
        <f t="shared" si="13"/>
        <v>0</v>
      </c>
      <c r="M53" s="77">
        <f t="shared" si="13"/>
        <v>0</v>
      </c>
      <c r="N53" s="77">
        <f t="shared" si="13"/>
        <v>0</v>
      </c>
      <c r="O53" s="77">
        <f t="shared" si="13"/>
        <v>0</v>
      </c>
      <c r="P53" s="3"/>
    </row>
    <row r="54" spans="1:17" ht="15.75" customHeight="1" outlineLevel="1" x14ac:dyDescent="0.3">
      <c r="A54" s="3"/>
      <c r="B54" s="138" t="s">
        <v>289</v>
      </c>
      <c r="C54" s="10">
        <f t="shared" ref="C54:C60" si="14">SUM(D54:O54)</f>
        <v>0</v>
      </c>
      <c r="D54" s="11">
        <v>0</v>
      </c>
      <c r="E54" s="11">
        <v>0</v>
      </c>
      <c r="F54" s="11">
        <v>0</v>
      </c>
      <c r="G54" s="11">
        <v>0</v>
      </c>
      <c r="H54" s="11">
        <v>0</v>
      </c>
      <c r="I54" s="11">
        <v>0</v>
      </c>
      <c r="J54" s="11">
        <v>0</v>
      </c>
      <c r="K54" s="11">
        <v>0</v>
      </c>
      <c r="L54" s="11">
        <v>0</v>
      </c>
      <c r="M54" s="11">
        <v>0</v>
      </c>
      <c r="N54" s="11">
        <v>0</v>
      </c>
      <c r="O54" s="11">
        <v>0</v>
      </c>
      <c r="P54" s="3"/>
    </row>
    <row r="55" spans="1:17" ht="15.75" customHeight="1" outlineLevel="1" x14ac:dyDescent="0.3">
      <c r="A55" s="3"/>
      <c r="B55" s="138" t="s">
        <v>291</v>
      </c>
      <c r="C55" s="10">
        <f t="shared" si="14"/>
        <v>0</v>
      </c>
      <c r="D55" s="11">
        <v>0</v>
      </c>
      <c r="E55" s="11">
        <v>0</v>
      </c>
      <c r="F55" s="11">
        <v>0</v>
      </c>
      <c r="G55" s="11">
        <v>0</v>
      </c>
      <c r="H55" s="11">
        <v>0</v>
      </c>
      <c r="I55" s="11">
        <v>0</v>
      </c>
      <c r="J55" s="11">
        <v>0</v>
      </c>
      <c r="K55" s="11">
        <v>0</v>
      </c>
      <c r="L55" s="11">
        <v>0</v>
      </c>
      <c r="M55" s="11">
        <v>0</v>
      </c>
      <c r="N55" s="11">
        <v>0</v>
      </c>
      <c r="O55" s="11">
        <v>0</v>
      </c>
      <c r="P55" s="3"/>
      <c r="Q55" s="14"/>
    </row>
    <row r="56" spans="1:17" ht="15.75" customHeight="1" outlineLevel="1" x14ac:dyDescent="0.3">
      <c r="A56" s="3"/>
      <c r="B56" s="138" t="s">
        <v>293</v>
      </c>
      <c r="C56" s="10">
        <f t="shared" si="14"/>
        <v>0</v>
      </c>
      <c r="D56" s="11">
        <v>0</v>
      </c>
      <c r="E56" s="11">
        <v>0</v>
      </c>
      <c r="F56" s="11">
        <v>0</v>
      </c>
      <c r="G56" s="11">
        <v>0</v>
      </c>
      <c r="H56" s="11">
        <v>0</v>
      </c>
      <c r="I56" s="11">
        <v>0</v>
      </c>
      <c r="J56" s="11">
        <v>0</v>
      </c>
      <c r="K56" s="11">
        <v>0</v>
      </c>
      <c r="L56" s="11">
        <v>0</v>
      </c>
      <c r="M56" s="11">
        <v>0</v>
      </c>
      <c r="N56" s="11">
        <v>0</v>
      </c>
      <c r="O56" s="11">
        <v>0</v>
      </c>
      <c r="P56" s="3"/>
      <c r="Q56" s="14"/>
    </row>
    <row r="57" spans="1:17" ht="15.75" customHeight="1" outlineLevel="1" x14ac:dyDescent="0.3">
      <c r="A57" s="3"/>
      <c r="B57" s="138" t="s">
        <v>295</v>
      </c>
      <c r="C57" s="10">
        <f t="shared" si="14"/>
        <v>0</v>
      </c>
      <c r="D57" s="11">
        <v>0</v>
      </c>
      <c r="E57" s="11">
        <v>0</v>
      </c>
      <c r="F57" s="11">
        <v>0</v>
      </c>
      <c r="G57" s="11">
        <v>0</v>
      </c>
      <c r="H57" s="11">
        <v>0</v>
      </c>
      <c r="I57" s="11">
        <v>0</v>
      </c>
      <c r="J57" s="11">
        <v>0</v>
      </c>
      <c r="K57" s="11">
        <v>0</v>
      </c>
      <c r="L57" s="11">
        <v>0</v>
      </c>
      <c r="M57" s="11">
        <v>0</v>
      </c>
      <c r="N57" s="11">
        <v>0</v>
      </c>
      <c r="O57" s="11">
        <v>0</v>
      </c>
      <c r="P57" s="3"/>
    </row>
    <row r="58" spans="1:17" ht="15.75" customHeight="1" outlineLevel="1" x14ac:dyDescent="0.3">
      <c r="A58" s="3"/>
      <c r="B58" s="138" t="s">
        <v>298</v>
      </c>
      <c r="C58" s="10">
        <f t="shared" si="14"/>
        <v>0</v>
      </c>
      <c r="D58" s="11">
        <v>0</v>
      </c>
      <c r="E58" s="11">
        <v>0</v>
      </c>
      <c r="F58" s="11">
        <v>0</v>
      </c>
      <c r="G58" s="11">
        <v>0</v>
      </c>
      <c r="H58" s="11">
        <v>0</v>
      </c>
      <c r="I58" s="11">
        <v>0</v>
      </c>
      <c r="J58" s="11">
        <v>0</v>
      </c>
      <c r="K58" s="11">
        <v>0</v>
      </c>
      <c r="L58" s="11">
        <v>0</v>
      </c>
      <c r="M58" s="11">
        <v>0</v>
      </c>
      <c r="N58" s="11">
        <v>0</v>
      </c>
      <c r="O58" s="11">
        <v>0</v>
      </c>
      <c r="P58" s="3"/>
    </row>
    <row r="59" spans="1:17" ht="15.75" customHeight="1" outlineLevel="1" x14ac:dyDescent="0.3">
      <c r="A59" s="3"/>
      <c r="B59" s="138" t="s">
        <v>299</v>
      </c>
      <c r="C59" s="10">
        <f t="shared" si="14"/>
        <v>0</v>
      </c>
      <c r="D59" s="11">
        <v>0</v>
      </c>
      <c r="E59" s="11">
        <v>0</v>
      </c>
      <c r="F59" s="11">
        <v>0</v>
      </c>
      <c r="G59" s="11">
        <v>0</v>
      </c>
      <c r="H59" s="11">
        <v>0</v>
      </c>
      <c r="I59" s="11">
        <v>0</v>
      </c>
      <c r="J59" s="11">
        <v>0</v>
      </c>
      <c r="K59" s="11">
        <v>0</v>
      </c>
      <c r="L59" s="11">
        <v>0</v>
      </c>
      <c r="M59" s="11">
        <v>0</v>
      </c>
      <c r="N59" s="11">
        <v>0</v>
      </c>
      <c r="O59" s="11">
        <v>0</v>
      </c>
      <c r="P59" s="3"/>
    </row>
    <row r="60" spans="1:17" ht="15.75" customHeight="1" outlineLevel="1" x14ac:dyDescent="0.3">
      <c r="A60" s="3"/>
      <c r="B60" s="138" t="s">
        <v>300</v>
      </c>
      <c r="C60" s="10">
        <f t="shared" si="14"/>
        <v>0</v>
      </c>
      <c r="D60" s="11">
        <v>0</v>
      </c>
      <c r="E60" s="11">
        <v>0</v>
      </c>
      <c r="F60" s="11">
        <v>0</v>
      </c>
      <c r="G60" s="11">
        <v>0</v>
      </c>
      <c r="H60" s="11">
        <v>0</v>
      </c>
      <c r="I60" s="11">
        <v>0</v>
      </c>
      <c r="J60" s="11">
        <v>0</v>
      </c>
      <c r="K60" s="11">
        <v>0</v>
      </c>
      <c r="L60" s="11">
        <v>0</v>
      </c>
      <c r="M60" s="11">
        <v>0</v>
      </c>
      <c r="N60" s="11">
        <v>0</v>
      </c>
      <c r="O60" s="11">
        <v>0</v>
      </c>
      <c r="P60" s="3"/>
    </row>
    <row r="61" spans="1:17" ht="15.75" customHeight="1" x14ac:dyDescent="0.3">
      <c r="A61" s="3"/>
      <c r="B61" s="75" t="s">
        <v>301</v>
      </c>
      <c r="C61" s="77">
        <f t="shared" ref="C61:O61" si="15">SUM(C62:C64)</f>
        <v>0</v>
      </c>
      <c r="D61" s="77">
        <f t="shared" si="15"/>
        <v>0</v>
      </c>
      <c r="E61" s="77">
        <f t="shared" si="15"/>
        <v>0</v>
      </c>
      <c r="F61" s="77">
        <f t="shared" si="15"/>
        <v>0</v>
      </c>
      <c r="G61" s="77">
        <f t="shared" si="15"/>
        <v>0</v>
      </c>
      <c r="H61" s="77">
        <f t="shared" si="15"/>
        <v>0</v>
      </c>
      <c r="I61" s="77">
        <f t="shared" si="15"/>
        <v>0</v>
      </c>
      <c r="J61" s="77">
        <f t="shared" si="15"/>
        <v>0</v>
      </c>
      <c r="K61" s="77">
        <f t="shared" si="15"/>
        <v>0</v>
      </c>
      <c r="L61" s="77">
        <f t="shared" si="15"/>
        <v>0</v>
      </c>
      <c r="M61" s="77">
        <f t="shared" si="15"/>
        <v>0</v>
      </c>
      <c r="N61" s="77">
        <f t="shared" si="15"/>
        <v>0</v>
      </c>
      <c r="O61" s="77">
        <f t="shared" si="15"/>
        <v>0</v>
      </c>
      <c r="P61" s="3"/>
    </row>
    <row r="62" spans="1:17" ht="15.75" customHeight="1" outlineLevel="1" x14ac:dyDescent="0.3">
      <c r="A62" s="3"/>
      <c r="B62" s="138" t="s">
        <v>1289</v>
      </c>
      <c r="C62" s="10">
        <f t="shared" ref="C62:C64" si="16">SUM(D62:O62)</f>
        <v>0</v>
      </c>
      <c r="D62" s="11">
        <v>0</v>
      </c>
      <c r="E62" s="11">
        <v>0</v>
      </c>
      <c r="F62" s="11">
        <v>0</v>
      </c>
      <c r="G62" s="11">
        <v>0</v>
      </c>
      <c r="H62" s="11">
        <v>0</v>
      </c>
      <c r="I62" s="11">
        <v>0</v>
      </c>
      <c r="J62" s="11">
        <v>0</v>
      </c>
      <c r="K62" s="11">
        <v>0</v>
      </c>
      <c r="L62" s="11">
        <v>0</v>
      </c>
      <c r="M62" s="11">
        <v>0</v>
      </c>
      <c r="N62" s="11">
        <v>0</v>
      </c>
      <c r="O62" s="11">
        <v>0</v>
      </c>
      <c r="P62" s="3"/>
    </row>
    <row r="63" spans="1:17" ht="15.75" customHeight="1" outlineLevel="1" x14ac:dyDescent="0.3">
      <c r="A63" s="3"/>
      <c r="B63" s="138" t="s">
        <v>754</v>
      </c>
      <c r="C63" s="10">
        <f t="shared" si="16"/>
        <v>0</v>
      </c>
      <c r="D63" s="11">
        <v>0</v>
      </c>
      <c r="E63" s="11">
        <v>0</v>
      </c>
      <c r="F63" s="11">
        <v>0</v>
      </c>
      <c r="G63" s="11">
        <v>0</v>
      </c>
      <c r="H63" s="11">
        <v>0</v>
      </c>
      <c r="I63" s="11">
        <v>0</v>
      </c>
      <c r="J63" s="11">
        <v>0</v>
      </c>
      <c r="K63" s="11">
        <v>0</v>
      </c>
      <c r="L63" s="11">
        <v>0</v>
      </c>
      <c r="M63" s="11">
        <v>0</v>
      </c>
      <c r="N63" s="11">
        <v>0</v>
      </c>
      <c r="O63" s="11">
        <v>0</v>
      </c>
      <c r="P63" s="3"/>
    </row>
    <row r="64" spans="1:17" ht="15.75" customHeight="1" outlineLevel="1" x14ac:dyDescent="0.3">
      <c r="A64" s="3"/>
      <c r="B64" s="138" t="s">
        <v>306</v>
      </c>
      <c r="C64" s="10">
        <f t="shared" si="16"/>
        <v>0</v>
      </c>
      <c r="D64" s="11">
        <v>0</v>
      </c>
      <c r="E64" s="11">
        <v>0</v>
      </c>
      <c r="F64" s="11">
        <v>0</v>
      </c>
      <c r="G64" s="11">
        <v>0</v>
      </c>
      <c r="H64" s="11">
        <v>0</v>
      </c>
      <c r="I64" s="11">
        <v>0</v>
      </c>
      <c r="J64" s="11">
        <v>0</v>
      </c>
      <c r="K64" s="11">
        <v>0</v>
      </c>
      <c r="L64" s="11">
        <v>0</v>
      </c>
      <c r="M64" s="11">
        <v>0</v>
      </c>
      <c r="N64" s="11">
        <v>0</v>
      </c>
      <c r="O64" s="11">
        <v>0</v>
      </c>
      <c r="P64" s="3"/>
    </row>
    <row r="65" spans="1:17" ht="15.75" customHeight="1" x14ac:dyDescent="0.3">
      <c r="A65" s="3"/>
      <c r="B65" s="75" t="s">
        <v>307</v>
      </c>
      <c r="C65" s="77">
        <f t="shared" ref="C65:O65" si="17">SUM(C66:C78)</f>
        <v>0</v>
      </c>
      <c r="D65" s="77">
        <f t="shared" si="17"/>
        <v>0</v>
      </c>
      <c r="E65" s="77">
        <f t="shared" si="17"/>
        <v>0</v>
      </c>
      <c r="F65" s="77">
        <f t="shared" si="17"/>
        <v>0</v>
      </c>
      <c r="G65" s="77">
        <f t="shared" si="17"/>
        <v>0</v>
      </c>
      <c r="H65" s="77">
        <f t="shared" si="17"/>
        <v>0</v>
      </c>
      <c r="I65" s="77">
        <f t="shared" si="17"/>
        <v>0</v>
      </c>
      <c r="J65" s="77">
        <f t="shared" si="17"/>
        <v>0</v>
      </c>
      <c r="K65" s="77">
        <f t="shared" si="17"/>
        <v>0</v>
      </c>
      <c r="L65" s="77">
        <f t="shared" si="17"/>
        <v>0</v>
      </c>
      <c r="M65" s="77">
        <f t="shared" si="17"/>
        <v>0</v>
      </c>
      <c r="N65" s="77">
        <f t="shared" si="17"/>
        <v>0</v>
      </c>
      <c r="O65" s="77">
        <f t="shared" si="17"/>
        <v>0</v>
      </c>
      <c r="P65" s="3"/>
    </row>
    <row r="66" spans="1:17" ht="15.75" customHeight="1" outlineLevel="1" x14ac:dyDescent="0.3">
      <c r="A66" s="3"/>
      <c r="B66" s="138" t="s">
        <v>308</v>
      </c>
      <c r="C66" s="10">
        <f t="shared" ref="C66:C78" si="18">SUM(D66:O66)</f>
        <v>0</v>
      </c>
      <c r="D66" s="11">
        <v>0</v>
      </c>
      <c r="E66" s="11">
        <v>0</v>
      </c>
      <c r="F66" s="11">
        <v>0</v>
      </c>
      <c r="G66" s="11">
        <v>0</v>
      </c>
      <c r="H66" s="11">
        <v>0</v>
      </c>
      <c r="I66" s="11">
        <v>0</v>
      </c>
      <c r="J66" s="11">
        <v>0</v>
      </c>
      <c r="K66" s="11">
        <v>0</v>
      </c>
      <c r="L66" s="11">
        <v>0</v>
      </c>
      <c r="M66" s="11">
        <v>0</v>
      </c>
      <c r="N66" s="11">
        <v>0</v>
      </c>
      <c r="O66" s="11">
        <v>0</v>
      </c>
      <c r="P66" s="3"/>
    </row>
    <row r="67" spans="1:17" ht="15.75" customHeight="1" outlineLevel="1" x14ac:dyDescent="0.3">
      <c r="A67" s="3"/>
      <c r="B67" s="138" t="s">
        <v>1290</v>
      </c>
      <c r="C67" s="10">
        <f t="shared" si="18"/>
        <v>0</v>
      </c>
      <c r="D67" s="11">
        <v>0</v>
      </c>
      <c r="E67" s="11">
        <v>0</v>
      </c>
      <c r="F67" s="11">
        <v>0</v>
      </c>
      <c r="G67" s="11">
        <v>0</v>
      </c>
      <c r="H67" s="11">
        <v>0</v>
      </c>
      <c r="I67" s="11">
        <v>0</v>
      </c>
      <c r="J67" s="11">
        <v>0</v>
      </c>
      <c r="K67" s="11">
        <v>0</v>
      </c>
      <c r="L67" s="11">
        <v>0</v>
      </c>
      <c r="M67" s="11">
        <v>0</v>
      </c>
      <c r="N67" s="11">
        <v>0</v>
      </c>
      <c r="O67" s="11">
        <v>0</v>
      </c>
      <c r="P67" s="3"/>
    </row>
    <row r="68" spans="1:17" ht="15.75" customHeight="1" outlineLevel="1" x14ac:dyDescent="0.3">
      <c r="A68" s="3"/>
      <c r="B68" s="138" t="s">
        <v>313</v>
      </c>
      <c r="C68" s="10">
        <f t="shared" si="18"/>
        <v>0</v>
      </c>
      <c r="D68" s="11">
        <v>0</v>
      </c>
      <c r="E68" s="11">
        <v>0</v>
      </c>
      <c r="F68" s="11">
        <v>0</v>
      </c>
      <c r="G68" s="11">
        <v>0</v>
      </c>
      <c r="H68" s="11">
        <v>0</v>
      </c>
      <c r="I68" s="11">
        <v>0</v>
      </c>
      <c r="J68" s="11">
        <v>0</v>
      </c>
      <c r="K68" s="11">
        <v>0</v>
      </c>
      <c r="L68" s="11">
        <v>0</v>
      </c>
      <c r="M68" s="11">
        <v>0</v>
      </c>
      <c r="N68" s="11">
        <v>0</v>
      </c>
      <c r="O68" s="11">
        <v>0</v>
      </c>
      <c r="P68" s="3"/>
    </row>
    <row r="69" spans="1:17" ht="15.75" customHeight="1" outlineLevel="1" x14ac:dyDescent="0.3">
      <c r="A69" s="3"/>
      <c r="B69" s="138" t="s">
        <v>315</v>
      </c>
      <c r="C69" s="10">
        <f t="shared" si="18"/>
        <v>0</v>
      </c>
      <c r="D69" s="11">
        <v>0</v>
      </c>
      <c r="E69" s="11">
        <v>0</v>
      </c>
      <c r="F69" s="11">
        <v>0</v>
      </c>
      <c r="G69" s="11">
        <v>0</v>
      </c>
      <c r="H69" s="11">
        <v>0</v>
      </c>
      <c r="I69" s="11">
        <v>0</v>
      </c>
      <c r="J69" s="11">
        <v>0</v>
      </c>
      <c r="K69" s="11">
        <v>0</v>
      </c>
      <c r="L69" s="11">
        <v>0</v>
      </c>
      <c r="M69" s="11">
        <v>0</v>
      </c>
      <c r="N69" s="11">
        <v>0</v>
      </c>
      <c r="O69" s="11">
        <v>0</v>
      </c>
      <c r="P69" s="3"/>
    </row>
    <row r="70" spans="1:17" ht="15.75" customHeight="1" outlineLevel="1" x14ac:dyDescent="0.3">
      <c r="A70" s="3"/>
      <c r="B70" s="138" t="s">
        <v>317</v>
      </c>
      <c r="C70" s="10">
        <f t="shared" si="18"/>
        <v>0</v>
      </c>
      <c r="D70" s="11">
        <v>0</v>
      </c>
      <c r="E70" s="11">
        <v>0</v>
      </c>
      <c r="F70" s="11">
        <v>0</v>
      </c>
      <c r="G70" s="11">
        <v>0</v>
      </c>
      <c r="H70" s="11">
        <v>0</v>
      </c>
      <c r="I70" s="11">
        <v>0</v>
      </c>
      <c r="J70" s="11">
        <v>0</v>
      </c>
      <c r="K70" s="11">
        <v>0</v>
      </c>
      <c r="L70" s="11">
        <v>0</v>
      </c>
      <c r="M70" s="11">
        <v>0</v>
      </c>
      <c r="N70" s="11">
        <v>0</v>
      </c>
      <c r="O70" s="11">
        <v>0</v>
      </c>
      <c r="P70" s="3"/>
    </row>
    <row r="71" spans="1:17" ht="15.75" customHeight="1" outlineLevel="1" x14ac:dyDescent="0.3">
      <c r="A71" s="3"/>
      <c r="B71" s="138" t="s">
        <v>1291</v>
      </c>
      <c r="C71" s="10">
        <f t="shared" si="18"/>
        <v>0</v>
      </c>
      <c r="D71" s="11">
        <v>0</v>
      </c>
      <c r="E71" s="11">
        <v>0</v>
      </c>
      <c r="F71" s="11">
        <v>0</v>
      </c>
      <c r="G71" s="11">
        <v>0</v>
      </c>
      <c r="H71" s="11">
        <v>0</v>
      </c>
      <c r="I71" s="11">
        <v>0</v>
      </c>
      <c r="J71" s="11">
        <v>0</v>
      </c>
      <c r="K71" s="11">
        <v>0</v>
      </c>
      <c r="L71" s="11">
        <v>0</v>
      </c>
      <c r="M71" s="11">
        <v>0</v>
      </c>
      <c r="N71" s="11">
        <v>0</v>
      </c>
      <c r="O71" s="11">
        <v>0</v>
      </c>
      <c r="P71" s="3"/>
    </row>
    <row r="72" spans="1:17" ht="15.75" customHeight="1" outlineLevel="1" x14ac:dyDescent="0.3">
      <c r="A72" s="3"/>
      <c r="B72" s="138" t="s">
        <v>318</v>
      </c>
      <c r="C72" s="10">
        <f t="shared" si="18"/>
        <v>0</v>
      </c>
      <c r="D72" s="11">
        <v>0</v>
      </c>
      <c r="E72" s="11">
        <v>0</v>
      </c>
      <c r="F72" s="11">
        <v>0</v>
      </c>
      <c r="G72" s="11">
        <v>0</v>
      </c>
      <c r="H72" s="11">
        <v>0</v>
      </c>
      <c r="I72" s="11">
        <v>0</v>
      </c>
      <c r="J72" s="11">
        <v>0</v>
      </c>
      <c r="K72" s="11">
        <v>0</v>
      </c>
      <c r="L72" s="11">
        <v>0</v>
      </c>
      <c r="M72" s="11">
        <v>0</v>
      </c>
      <c r="N72" s="11">
        <v>0</v>
      </c>
      <c r="O72" s="11">
        <v>0</v>
      </c>
      <c r="P72" s="3"/>
    </row>
    <row r="73" spans="1:17" ht="15.75" customHeight="1" outlineLevel="1" x14ac:dyDescent="0.3">
      <c r="A73" s="3"/>
      <c r="B73" s="138" t="s">
        <v>351</v>
      </c>
      <c r="C73" s="10">
        <f t="shared" si="18"/>
        <v>0</v>
      </c>
      <c r="D73" s="11">
        <v>0</v>
      </c>
      <c r="E73" s="11">
        <v>0</v>
      </c>
      <c r="F73" s="11">
        <v>0</v>
      </c>
      <c r="G73" s="11">
        <v>0</v>
      </c>
      <c r="H73" s="11">
        <v>0</v>
      </c>
      <c r="I73" s="11">
        <v>0</v>
      </c>
      <c r="J73" s="11">
        <v>0</v>
      </c>
      <c r="K73" s="11">
        <v>0</v>
      </c>
      <c r="L73" s="11">
        <v>0</v>
      </c>
      <c r="M73" s="11">
        <v>0</v>
      </c>
      <c r="N73" s="11">
        <v>0</v>
      </c>
      <c r="O73" s="11">
        <v>0</v>
      </c>
      <c r="P73" s="3"/>
    </row>
    <row r="74" spans="1:17" ht="15.75" customHeight="1" outlineLevel="1" x14ac:dyDescent="0.3">
      <c r="A74" s="3"/>
      <c r="B74" s="138" t="s">
        <v>352</v>
      </c>
      <c r="C74" s="10">
        <f t="shared" si="18"/>
        <v>0</v>
      </c>
      <c r="D74" s="11">
        <v>0</v>
      </c>
      <c r="E74" s="11">
        <v>0</v>
      </c>
      <c r="F74" s="11">
        <v>0</v>
      </c>
      <c r="G74" s="11">
        <v>0</v>
      </c>
      <c r="H74" s="11">
        <v>0</v>
      </c>
      <c r="I74" s="11">
        <v>0</v>
      </c>
      <c r="J74" s="11">
        <v>0</v>
      </c>
      <c r="K74" s="11">
        <v>0</v>
      </c>
      <c r="L74" s="11">
        <v>0</v>
      </c>
      <c r="M74" s="11">
        <v>0</v>
      </c>
      <c r="N74" s="11">
        <v>0</v>
      </c>
      <c r="O74" s="11">
        <v>0</v>
      </c>
      <c r="P74" s="3"/>
    </row>
    <row r="75" spans="1:17" ht="15.75" customHeight="1" outlineLevel="1" x14ac:dyDescent="0.3">
      <c r="A75" s="3"/>
      <c r="B75" s="138" t="s">
        <v>346</v>
      </c>
      <c r="C75" s="10">
        <f t="shared" si="18"/>
        <v>0</v>
      </c>
      <c r="D75" s="11">
        <v>0</v>
      </c>
      <c r="E75" s="11">
        <v>0</v>
      </c>
      <c r="F75" s="11">
        <v>0</v>
      </c>
      <c r="G75" s="11">
        <v>0</v>
      </c>
      <c r="H75" s="11">
        <v>0</v>
      </c>
      <c r="I75" s="11">
        <v>0</v>
      </c>
      <c r="J75" s="11">
        <v>0</v>
      </c>
      <c r="K75" s="11">
        <v>0</v>
      </c>
      <c r="L75" s="11">
        <v>0</v>
      </c>
      <c r="M75" s="11">
        <v>0</v>
      </c>
      <c r="N75" s="11">
        <v>0</v>
      </c>
      <c r="O75" s="11">
        <v>0</v>
      </c>
      <c r="P75" s="3"/>
    </row>
    <row r="76" spans="1:17" ht="15.75" customHeight="1" outlineLevel="1" x14ac:dyDescent="0.3">
      <c r="A76" s="3"/>
      <c r="B76" s="138" t="s">
        <v>1292</v>
      </c>
      <c r="C76" s="10">
        <f t="shared" si="18"/>
        <v>0</v>
      </c>
      <c r="D76" s="11">
        <v>0</v>
      </c>
      <c r="E76" s="11">
        <v>0</v>
      </c>
      <c r="F76" s="11">
        <v>0</v>
      </c>
      <c r="G76" s="11">
        <v>0</v>
      </c>
      <c r="H76" s="11">
        <v>0</v>
      </c>
      <c r="I76" s="11">
        <v>0</v>
      </c>
      <c r="J76" s="11">
        <v>0</v>
      </c>
      <c r="K76" s="11">
        <v>0</v>
      </c>
      <c r="L76" s="11">
        <v>0</v>
      </c>
      <c r="M76" s="11">
        <v>0</v>
      </c>
      <c r="N76" s="11">
        <v>0</v>
      </c>
      <c r="O76" s="11">
        <v>0</v>
      </c>
      <c r="P76" s="3"/>
    </row>
    <row r="77" spans="1:17" ht="15.75" customHeight="1" outlineLevel="1" x14ac:dyDescent="0.3">
      <c r="A77" s="3"/>
      <c r="B77" s="138" t="s">
        <v>1293</v>
      </c>
      <c r="C77" s="10">
        <f t="shared" si="18"/>
        <v>0</v>
      </c>
      <c r="D77" s="11">
        <v>0</v>
      </c>
      <c r="E77" s="11">
        <v>0</v>
      </c>
      <c r="F77" s="11">
        <v>0</v>
      </c>
      <c r="G77" s="11">
        <v>0</v>
      </c>
      <c r="H77" s="11">
        <v>0</v>
      </c>
      <c r="I77" s="11">
        <v>0</v>
      </c>
      <c r="J77" s="11">
        <v>0</v>
      </c>
      <c r="K77" s="11">
        <v>0</v>
      </c>
      <c r="L77" s="11">
        <v>0</v>
      </c>
      <c r="M77" s="11">
        <v>0</v>
      </c>
      <c r="N77" s="11">
        <v>0</v>
      </c>
      <c r="O77" s="11">
        <v>0</v>
      </c>
      <c r="P77" s="3"/>
    </row>
    <row r="78" spans="1:17" ht="15.75" customHeight="1" outlineLevel="1" x14ac:dyDescent="0.3">
      <c r="A78" s="3"/>
      <c r="B78" s="138" t="s">
        <v>1294</v>
      </c>
      <c r="C78" s="10">
        <f t="shared" si="18"/>
        <v>0</v>
      </c>
      <c r="D78" s="11">
        <v>0</v>
      </c>
      <c r="E78" s="11">
        <v>0</v>
      </c>
      <c r="F78" s="11">
        <v>0</v>
      </c>
      <c r="G78" s="11">
        <v>0</v>
      </c>
      <c r="H78" s="11">
        <v>0</v>
      </c>
      <c r="I78" s="11">
        <v>0</v>
      </c>
      <c r="J78" s="11">
        <v>0</v>
      </c>
      <c r="K78" s="11">
        <v>0</v>
      </c>
      <c r="L78" s="11">
        <v>0</v>
      </c>
      <c r="M78" s="11">
        <v>0</v>
      </c>
      <c r="N78" s="11">
        <v>0</v>
      </c>
      <c r="O78" s="11">
        <v>0</v>
      </c>
      <c r="P78" s="3"/>
    </row>
    <row r="79" spans="1:17" ht="15.75" customHeight="1" x14ac:dyDescent="0.3">
      <c r="A79" s="3"/>
      <c r="B79" s="75" t="s">
        <v>330</v>
      </c>
      <c r="C79" s="77">
        <f t="shared" ref="C79:O79" si="19">SUM(C80:C84)</f>
        <v>0</v>
      </c>
      <c r="D79" s="77">
        <f t="shared" si="19"/>
        <v>0</v>
      </c>
      <c r="E79" s="77">
        <f t="shared" si="19"/>
        <v>0</v>
      </c>
      <c r="F79" s="77">
        <f t="shared" si="19"/>
        <v>0</v>
      </c>
      <c r="G79" s="77">
        <f t="shared" si="19"/>
        <v>0</v>
      </c>
      <c r="H79" s="77">
        <f t="shared" si="19"/>
        <v>0</v>
      </c>
      <c r="I79" s="77">
        <f t="shared" si="19"/>
        <v>0</v>
      </c>
      <c r="J79" s="77">
        <f t="shared" si="19"/>
        <v>0</v>
      </c>
      <c r="K79" s="77">
        <f t="shared" si="19"/>
        <v>0</v>
      </c>
      <c r="L79" s="77">
        <f t="shared" si="19"/>
        <v>0</v>
      </c>
      <c r="M79" s="77">
        <f t="shared" si="19"/>
        <v>0</v>
      </c>
      <c r="N79" s="77">
        <f t="shared" si="19"/>
        <v>0</v>
      </c>
      <c r="O79" s="77">
        <f t="shared" si="19"/>
        <v>0</v>
      </c>
      <c r="P79" s="3"/>
    </row>
    <row r="80" spans="1:17" ht="15.75" customHeight="1" outlineLevel="1" x14ac:dyDescent="0.3">
      <c r="A80" s="3"/>
      <c r="B80" s="138" t="s">
        <v>331</v>
      </c>
      <c r="C80" s="10">
        <f t="shared" ref="C80:C84" si="20">SUM(D80:O80)</f>
        <v>0</v>
      </c>
      <c r="D80" s="11">
        <v>0</v>
      </c>
      <c r="E80" s="11">
        <v>0</v>
      </c>
      <c r="F80" s="11">
        <v>0</v>
      </c>
      <c r="G80" s="11">
        <v>0</v>
      </c>
      <c r="H80" s="11">
        <v>0</v>
      </c>
      <c r="I80" s="11">
        <v>0</v>
      </c>
      <c r="J80" s="11">
        <v>0</v>
      </c>
      <c r="K80" s="11">
        <v>0</v>
      </c>
      <c r="L80" s="11">
        <v>0</v>
      </c>
      <c r="M80" s="11">
        <v>0</v>
      </c>
      <c r="N80" s="11">
        <v>0</v>
      </c>
      <c r="O80" s="11">
        <v>0</v>
      </c>
      <c r="P80" s="3"/>
      <c r="Q80" s="14"/>
    </row>
    <row r="81" spans="1:16" ht="15.75" customHeight="1" outlineLevel="1" x14ac:dyDescent="0.3">
      <c r="A81" s="3"/>
      <c r="B81" s="138" t="s">
        <v>335</v>
      </c>
      <c r="C81" s="10">
        <f t="shared" si="20"/>
        <v>0</v>
      </c>
      <c r="D81" s="11">
        <v>0</v>
      </c>
      <c r="E81" s="11">
        <v>0</v>
      </c>
      <c r="F81" s="11">
        <v>0</v>
      </c>
      <c r="G81" s="11">
        <v>0</v>
      </c>
      <c r="H81" s="11">
        <v>0</v>
      </c>
      <c r="I81" s="11">
        <v>0</v>
      </c>
      <c r="J81" s="11">
        <v>0</v>
      </c>
      <c r="K81" s="11">
        <v>0</v>
      </c>
      <c r="L81" s="11">
        <v>0</v>
      </c>
      <c r="M81" s="11">
        <v>0</v>
      </c>
      <c r="N81" s="11">
        <v>0</v>
      </c>
      <c r="O81" s="11">
        <v>0</v>
      </c>
      <c r="P81" s="3"/>
    </row>
    <row r="82" spans="1:16" ht="15.75" customHeight="1" outlineLevel="1" x14ac:dyDescent="0.3">
      <c r="A82" s="3"/>
      <c r="B82" s="138" t="s">
        <v>351</v>
      </c>
      <c r="C82" s="10">
        <f t="shared" si="20"/>
        <v>0</v>
      </c>
      <c r="D82" s="11">
        <v>0</v>
      </c>
      <c r="E82" s="11">
        <v>0</v>
      </c>
      <c r="F82" s="11">
        <v>0</v>
      </c>
      <c r="G82" s="11">
        <v>0</v>
      </c>
      <c r="H82" s="11">
        <v>0</v>
      </c>
      <c r="I82" s="11">
        <v>0</v>
      </c>
      <c r="J82" s="11">
        <v>0</v>
      </c>
      <c r="K82" s="11">
        <v>0</v>
      </c>
      <c r="L82" s="11">
        <v>0</v>
      </c>
      <c r="M82" s="11">
        <v>0</v>
      </c>
      <c r="N82" s="11">
        <v>0</v>
      </c>
      <c r="O82" s="11">
        <v>0</v>
      </c>
      <c r="P82" s="3"/>
    </row>
    <row r="83" spans="1:16" ht="15.75" customHeight="1" outlineLevel="1" x14ac:dyDescent="0.3">
      <c r="A83" s="3"/>
      <c r="B83" s="138" t="s">
        <v>352</v>
      </c>
      <c r="C83" s="10">
        <f t="shared" si="20"/>
        <v>0</v>
      </c>
      <c r="D83" s="11">
        <v>0</v>
      </c>
      <c r="E83" s="11">
        <v>0</v>
      </c>
      <c r="F83" s="11">
        <v>0</v>
      </c>
      <c r="G83" s="11">
        <v>0</v>
      </c>
      <c r="H83" s="11">
        <v>0</v>
      </c>
      <c r="I83" s="11">
        <v>0</v>
      </c>
      <c r="J83" s="11">
        <v>0</v>
      </c>
      <c r="K83" s="11">
        <v>0</v>
      </c>
      <c r="L83" s="11">
        <v>0</v>
      </c>
      <c r="M83" s="11">
        <v>0</v>
      </c>
      <c r="N83" s="11">
        <v>0</v>
      </c>
      <c r="O83" s="11">
        <v>0</v>
      </c>
      <c r="P83" s="3"/>
    </row>
    <row r="84" spans="1:16" ht="15.75" customHeight="1" outlineLevel="1" x14ac:dyDescent="0.3">
      <c r="A84" s="3"/>
      <c r="B84" s="138" t="s">
        <v>346</v>
      </c>
      <c r="C84" s="10">
        <f t="shared" si="20"/>
        <v>0</v>
      </c>
      <c r="D84" s="11">
        <v>0</v>
      </c>
      <c r="E84" s="11">
        <v>0</v>
      </c>
      <c r="F84" s="11">
        <v>0</v>
      </c>
      <c r="G84" s="11">
        <v>0</v>
      </c>
      <c r="H84" s="11">
        <v>0</v>
      </c>
      <c r="I84" s="11">
        <v>0</v>
      </c>
      <c r="J84" s="11">
        <v>0</v>
      </c>
      <c r="K84" s="11">
        <v>0</v>
      </c>
      <c r="L84" s="11">
        <v>0</v>
      </c>
      <c r="M84" s="11">
        <v>0</v>
      </c>
      <c r="N84" s="11">
        <v>0</v>
      </c>
      <c r="O84" s="11">
        <v>0</v>
      </c>
      <c r="P84" s="3"/>
    </row>
    <row r="85" spans="1:16" ht="15.75" customHeight="1" x14ac:dyDescent="0.3">
      <c r="A85" s="3"/>
      <c r="B85" s="75" t="s">
        <v>349</v>
      </c>
      <c r="C85" s="77">
        <f t="shared" ref="C85:O85" si="21">SUM(C86,C92,C96)</f>
        <v>0</v>
      </c>
      <c r="D85" s="77">
        <f t="shared" si="21"/>
        <v>0</v>
      </c>
      <c r="E85" s="77">
        <f t="shared" si="21"/>
        <v>0</v>
      </c>
      <c r="F85" s="77">
        <f t="shared" si="21"/>
        <v>0</v>
      </c>
      <c r="G85" s="77">
        <f t="shared" si="21"/>
        <v>0</v>
      </c>
      <c r="H85" s="77">
        <f t="shared" si="21"/>
        <v>0</v>
      </c>
      <c r="I85" s="77">
        <f t="shared" si="21"/>
        <v>0</v>
      </c>
      <c r="J85" s="77">
        <f t="shared" si="21"/>
        <v>0</v>
      </c>
      <c r="K85" s="77">
        <f t="shared" si="21"/>
        <v>0</v>
      </c>
      <c r="L85" s="77">
        <f t="shared" si="21"/>
        <v>0</v>
      </c>
      <c r="M85" s="77">
        <f t="shared" si="21"/>
        <v>0</v>
      </c>
      <c r="N85" s="77">
        <f t="shared" si="21"/>
        <v>0</v>
      </c>
      <c r="O85" s="77">
        <f t="shared" si="21"/>
        <v>0</v>
      </c>
      <c r="P85" s="3"/>
    </row>
    <row r="86" spans="1:16" ht="15.75" customHeight="1" outlineLevel="1" x14ac:dyDescent="0.3">
      <c r="A86" s="3"/>
      <c r="B86" s="82" t="s">
        <v>350</v>
      </c>
      <c r="C86" s="84">
        <f t="shared" ref="C86:O86" si="22">SUM(C87:C91)</f>
        <v>0</v>
      </c>
      <c r="D86" s="84">
        <f t="shared" si="22"/>
        <v>0</v>
      </c>
      <c r="E86" s="84">
        <f t="shared" si="22"/>
        <v>0</v>
      </c>
      <c r="F86" s="84">
        <f t="shared" si="22"/>
        <v>0</v>
      </c>
      <c r="G86" s="84">
        <f t="shared" si="22"/>
        <v>0</v>
      </c>
      <c r="H86" s="84">
        <f t="shared" si="22"/>
        <v>0</v>
      </c>
      <c r="I86" s="84">
        <f t="shared" si="22"/>
        <v>0</v>
      </c>
      <c r="J86" s="84">
        <f t="shared" si="22"/>
        <v>0</v>
      </c>
      <c r="K86" s="84">
        <f t="shared" si="22"/>
        <v>0</v>
      </c>
      <c r="L86" s="84">
        <f t="shared" si="22"/>
        <v>0</v>
      </c>
      <c r="M86" s="84">
        <f t="shared" si="22"/>
        <v>0</v>
      </c>
      <c r="N86" s="84">
        <f t="shared" si="22"/>
        <v>0</v>
      </c>
      <c r="O86" s="84">
        <f t="shared" si="22"/>
        <v>0</v>
      </c>
      <c r="P86" s="3"/>
    </row>
    <row r="87" spans="1:16" ht="15.75" customHeight="1" outlineLevel="1" x14ac:dyDescent="0.3">
      <c r="A87" s="3"/>
      <c r="B87" s="138" t="s">
        <v>331</v>
      </c>
      <c r="C87" s="10">
        <f t="shared" ref="C87:C91" si="23">SUM(D87:O87)</f>
        <v>0</v>
      </c>
      <c r="D87" s="11">
        <v>0</v>
      </c>
      <c r="E87" s="11">
        <v>0</v>
      </c>
      <c r="F87" s="11">
        <v>0</v>
      </c>
      <c r="G87" s="11">
        <v>0</v>
      </c>
      <c r="H87" s="11">
        <v>0</v>
      </c>
      <c r="I87" s="11">
        <v>0</v>
      </c>
      <c r="J87" s="11">
        <v>0</v>
      </c>
      <c r="K87" s="11">
        <v>0</v>
      </c>
      <c r="L87" s="11">
        <v>0</v>
      </c>
      <c r="M87" s="11">
        <v>0</v>
      </c>
      <c r="N87" s="11">
        <v>0</v>
      </c>
      <c r="O87" s="11">
        <v>0</v>
      </c>
      <c r="P87" s="3"/>
    </row>
    <row r="88" spans="1:16" ht="15.75" customHeight="1" outlineLevel="1" x14ac:dyDescent="0.3">
      <c r="A88" s="3"/>
      <c r="B88" s="138" t="s">
        <v>335</v>
      </c>
      <c r="C88" s="10">
        <f t="shared" si="23"/>
        <v>0</v>
      </c>
      <c r="D88" s="11">
        <v>0</v>
      </c>
      <c r="E88" s="11">
        <v>0</v>
      </c>
      <c r="F88" s="11">
        <v>0</v>
      </c>
      <c r="G88" s="11">
        <v>0</v>
      </c>
      <c r="H88" s="11">
        <v>0</v>
      </c>
      <c r="I88" s="11">
        <v>0</v>
      </c>
      <c r="J88" s="11">
        <v>0</v>
      </c>
      <c r="K88" s="11">
        <v>0</v>
      </c>
      <c r="L88" s="11">
        <v>0</v>
      </c>
      <c r="M88" s="11">
        <v>0</v>
      </c>
      <c r="N88" s="11">
        <v>0</v>
      </c>
      <c r="O88" s="11">
        <v>0</v>
      </c>
      <c r="P88" s="3"/>
    </row>
    <row r="89" spans="1:16" ht="15.75" customHeight="1" outlineLevel="1" x14ac:dyDescent="0.3">
      <c r="A89" s="3"/>
      <c r="B89" s="138" t="s">
        <v>351</v>
      </c>
      <c r="C89" s="10">
        <f t="shared" si="23"/>
        <v>0</v>
      </c>
      <c r="D89" s="11">
        <v>0</v>
      </c>
      <c r="E89" s="11">
        <v>0</v>
      </c>
      <c r="F89" s="11">
        <v>0</v>
      </c>
      <c r="G89" s="11">
        <v>0</v>
      </c>
      <c r="H89" s="11">
        <v>0</v>
      </c>
      <c r="I89" s="11">
        <v>0</v>
      </c>
      <c r="J89" s="11">
        <v>0</v>
      </c>
      <c r="K89" s="11">
        <v>0</v>
      </c>
      <c r="L89" s="11">
        <v>0</v>
      </c>
      <c r="M89" s="11">
        <v>0</v>
      </c>
      <c r="N89" s="11">
        <v>0</v>
      </c>
      <c r="O89" s="11">
        <v>0</v>
      </c>
      <c r="P89" s="3"/>
    </row>
    <row r="90" spans="1:16" ht="15.75" customHeight="1" outlineLevel="1" x14ac:dyDescent="0.3">
      <c r="A90" s="3"/>
      <c r="B90" s="138" t="s">
        <v>352</v>
      </c>
      <c r="C90" s="10">
        <f t="shared" si="23"/>
        <v>0</v>
      </c>
      <c r="D90" s="11">
        <v>0</v>
      </c>
      <c r="E90" s="11">
        <v>0</v>
      </c>
      <c r="F90" s="11">
        <v>0</v>
      </c>
      <c r="G90" s="11">
        <v>0</v>
      </c>
      <c r="H90" s="11">
        <v>0</v>
      </c>
      <c r="I90" s="11">
        <v>0</v>
      </c>
      <c r="J90" s="11">
        <v>0</v>
      </c>
      <c r="K90" s="11">
        <v>0</v>
      </c>
      <c r="L90" s="11">
        <v>0</v>
      </c>
      <c r="M90" s="11">
        <v>0</v>
      </c>
      <c r="N90" s="11">
        <v>0</v>
      </c>
      <c r="O90" s="11">
        <v>0</v>
      </c>
      <c r="P90" s="3"/>
    </row>
    <row r="91" spans="1:16" ht="15.75" customHeight="1" outlineLevel="1" x14ac:dyDescent="0.3">
      <c r="A91" s="3"/>
      <c r="B91" s="138" t="s">
        <v>346</v>
      </c>
      <c r="C91" s="10">
        <f t="shared" si="23"/>
        <v>0</v>
      </c>
      <c r="D91" s="11">
        <v>0</v>
      </c>
      <c r="E91" s="11">
        <v>0</v>
      </c>
      <c r="F91" s="11">
        <v>0</v>
      </c>
      <c r="G91" s="11">
        <v>0</v>
      </c>
      <c r="H91" s="11">
        <v>0</v>
      </c>
      <c r="I91" s="11">
        <v>0</v>
      </c>
      <c r="J91" s="11">
        <v>0</v>
      </c>
      <c r="K91" s="11">
        <v>0</v>
      </c>
      <c r="L91" s="11">
        <v>0</v>
      </c>
      <c r="M91" s="11">
        <v>0</v>
      </c>
      <c r="N91" s="11">
        <v>0</v>
      </c>
      <c r="O91" s="11">
        <v>0</v>
      </c>
      <c r="P91" s="3"/>
    </row>
    <row r="92" spans="1:16" ht="15.75" customHeight="1" outlineLevel="1" x14ac:dyDescent="0.3">
      <c r="A92" s="3"/>
      <c r="B92" s="82" t="s">
        <v>353</v>
      </c>
      <c r="C92" s="84">
        <f t="shared" ref="C92:O92" si="24">SUM(C93:C95)</f>
        <v>0</v>
      </c>
      <c r="D92" s="84">
        <f t="shared" si="24"/>
        <v>0</v>
      </c>
      <c r="E92" s="84">
        <f t="shared" si="24"/>
        <v>0</v>
      </c>
      <c r="F92" s="84">
        <f t="shared" si="24"/>
        <v>0</v>
      </c>
      <c r="G92" s="84">
        <f t="shared" si="24"/>
        <v>0</v>
      </c>
      <c r="H92" s="84">
        <f t="shared" si="24"/>
        <v>0</v>
      </c>
      <c r="I92" s="84">
        <f t="shared" si="24"/>
        <v>0</v>
      </c>
      <c r="J92" s="84">
        <f t="shared" si="24"/>
        <v>0</v>
      </c>
      <c r="K92" s="84">
        <f t="shared" si="24"/>
        <v>0</v>
      </c>
      <c r="L92" s="84">
        <f t="shared" si="24"/>
        <v>0</v>
      </c>
      <c r="M92" s="84">
        <f t="shared" si="24"/>
        <v>0</v>
      </c>
      <c r="N92" s="84">
        <f t="shared" si="24"/>
        <v>0</v>
      </c>
      <c r="O92" s="84">
        <f t="shared" si="24"/>
        <v>0</v>
      </c>
      <c r="P92" s="3"/>
    </row>
    <row r="93" spans="1:16" ht="15.75" customHeight="1" outlineLevel="1" x14ac:dyDescent="0.3">
      <c r="A93" s="3"/>
      <c r="B93" s="138" t="s">
        <v>354</v>
      </c>
      <c r="C93" s="10">
        <f t="shared" ref="C93:C95" si="25">SUM(D93:O93)</f>
        <v>0</v>
      </c>
      <c r="D93" s="11">
        <v>0</v>
      </c>
      <c r="E93" s="11">
        <v>0</v>
      </c>
      <c r="F93" s="11">
        <v>0</v>
      </c>
      <c r="G93" s="11">
        <v>0</v>
      </c>
      <c r="H93" s="11">
        <v>0</v>
      </c>
      <c r="I93" s="11">
        <v>0</v>
      </c>
      <c r="J93" s="11">
        <v>0</v>
      </c>
      <c r="K93" s="11">
        <v>0</v>
      </c>
      <c r="L93" s="11">
        <v>0</v>
      </c>
      <c r="M93" s="11">
        <v>0</v>
      </c>
      <c r="N93" s="11">
        <v>0</v>
      </c>
      <c r="O93" s="11">
        <v>0</v>
      </c>
      <c r="P93" s="3"/>
    </row>
    <row r="94" spans="1:16" ht="15.75" customHeight="1" outlineLevel="1" x14ac:dyDescent="0.3">
      <c r="A94" s="3"/>
      <c r="B94" s="138" t="s">
        <v>355</v>
      </c>
      <c r="C94" s="10">
        <f t="shared" si="25"/>
        <v>0</v>
      </c>
      <c r="D94" s="11">
        <v>0</v>
      </c>
      <c r="E94" s="11">
        <v>0</v>
      </c>
      <c r="F94" s="11">
        <v>0</v>
      </c>
      <c r="G94" s="11">
        <v>0</v>
      </c>
      <c r="H94" s="11">
        <v>0</v>
      </c>
      <c r="I94" s="11">
        <v>0</v>
      </c>
      <c r="J94" s="11">
        <v>0</v>
      </c>
      <c r="K94" s="11">
        <v>0</v>
      </c>
      <c r="L94" s="11">
        <v>0</v>
      </c>
      <c r="M94" s="11">
        <v>0</v>
      </c>
      <c r="N94" s="11">
        <v>0</v>
      </c>
      <c r="O94" s="11">
        <v>0</v>
      </c>
      <c r="P94" s="3"/>
    </row>
    <row r="95" spans="1:16" ht="15.75" customHeight="1" outlineLevel="1" x14ac:dyDescent="0.3">
      <c r="A95" s="3"/>
      <c r="B95" s="138" t="s">
        <v>356</v>
      </c>
      <c r="C95" s="10">
        <f t="shared" si="25"/>
        <v>0</v>
      </c>
      <c r="D95" s="11">
        <v>0</v>
      </c>
      <c r="E95" s="11">
        <v>0</v>
      </c>
      <c r="F95" s="11">
        <v>0</v>
      </c>
      <c r="G95" s="11">
        <v>0</v>
      </c>
      <c r="H95" s="11">
        <v>0</v>
      </c>
      <c r="I95" s="11">
        <v>0</v>
      </c>
      <c r="J95" s="11">
        <v>0</v>
      </c>
      <c r="K95" s="11">
        <v>0</v>
      </c>
      <c r="L95" s="11">
        <v>0</v>
      </c>
      <c r="M95" s="11">
        <v>0</v>
      </c>
      <c r="N95" s="11">
        <v>0</v>
      </c>
      <c r="O95" s="11">
        <v>0</v>
      </c>
      <c r="P95" s="3"/>
    </row>
    <row r="96" spans="1:16" ht="15.75" customHeight="1" outlineLevel="1" x14ac:dyDescent="0.3">
      <c r="A96" s="3"/>
      <c r="B96" s="82" t="s">
        <v>357</v>
      </c>
      <c r="C96" s="84">
        <f t="shared" ref="C96:O96" si="26">SUM(C97:C99)</f>
        <v>0</v>
      </c>
      <c r="D96" s="84">
        <f t="shared" si="26"/>
        <v>0</v>
      </c>
      <c r="E96" s="84">
        <f t="shared" si="26"/>
        <v>0</v>
      </c>
      <c r="F96" s="84">
        <f t="shared" si="26"/>
        <v>0</v>
      </c>
      <c r="G96" s="84">
        <f t="shared" si="26"/>
        <v>0</v>
      </c>
      <c r="H96" s="84">
        <f t="shared" si="26"/>
        <v>0</v>
      </c>
      <c r="I96" s="84">
        <f t="shared" si="26"/>
        <v>0</v>
      </c>
      <c r="J96" s="84">
        <f t="shared" si="26"/>
        <v>0</v>
      </c>
      <c r="K96" s="84">
        <f t="shared" si="26"/>
        <v>0</v>
      </c>
      <c r="L96" s="84">
        <f t="shared" si="26"/>
        <v>0</v>
      </c>
      <c r="M96" s="84">
        <f t="shared" si="26"/>
        <v>0</v>
      </c>
      <c r="N96" s="84">
        <f t="shared" si="26"/>
        <v>0</v>
      </c>
      <c r="O96" s="84">
        <f t="shared" si="26"/>
        <v>0</v>
      </c>
      <c r="P96" s="3"/>
    </row>
    <row r="97" spans="1:16" ht="15.75" customHeight="1" outlineLevel="1" x14ac:dyDescent="0.3">
      <c r="A97" s="3"/>
      <c r="B97" s="138" t="s">
        <v>354</v>
      </c>
      <c r="C97" s="10">
        <f t="shared" ref="C97:C99" si="27">SUM(D97:O97)</f>
        <v>0</v>
      </c>
      <c r="D97" s="11">
        <v>0</v>
      </c>
      <c r="E97" s="11">
        <v>0</v>
      </c>
      <c r="F97" s="11">
        <v>0</v>
      </c>
      <c r="G97" s="11">
        <v>0</v>
      </c>
      <c r="H97" s="11">
        <v>0</v>
      </c>
      <c r="I97" s="11">
        <v>0</v>
      </c>
      <c r="J97" s="11">
        <v>0</v>
      </c>
      <c r="K97" s="11">
        <v>0</v>
      </c>
      <c r="L97" s="11">
        <v>0</v>
      </c>
      <c r="M97" s="11">
        <v>0</v>
      </c>
      <c r="N97" s="11">
        <v>0</v>
      </c>
      <c r="O97" s="11">
        <v>0</v>
      </c>
      <c r="P97" s="3"/>
    </row>
    <row r="98" spans="1:16" ht="15.75" customHeight="1" outlineLevel="1" x14ac:dyDescent="0.3">
      <c r="A98" s="3"/>
      <c r="B98" s="138" t="s">
        <v>355</v>
      </c>
      <c r="C98" s="10">
        <f t="shared" si="27"/>
        <v>0</v>
      </c>
      <c r="D98" s="11">
        <v>0</v>
      </c>
      <c r="E98" s="11">
        <v>0</v>
      </c>
      <c r="F98" s="11">
        <v>0</v>
      </c>
      <c r="G98" s="11">
        <v>0</v>
      </c>
      <c r="H98" s="11">
        <v>0</v>
      </c>
      <c r="I98" s="11">
        <v>0</v>
      </c>
      <c r="J98" s="11">
        <v>0</v>
      </c>
      <c r="K98" s="11">
        <v>0</v>
      </c>
      <c r="L98" s="11">
        <v>0</v>
      </c>
      <c r="M98" s="11">
        <v>0</v>
      </c>
      <c r="N98" s="11">
        <v>0</v>
      </c>
      <c r="O98" s="11">
        <v>0</v>
      </c>
      <c r="P98" s="3"/>
    </row>
    <row r="99" spans="1:16" ht="15.75" customHeight="1" outlineLevel="1" x14ac:dyDescent="0.3">
      <c r="A99" s="3"/>
      <c r="B99" s="138" t="s">
        <v>356</v>
      </c>
      <c r="C99" s="10">
        <f t="shared" si="27"/>
        <v>0</v>
      </c>
      <c r="D99" s="11">
        <v>0</v>
      </c>
      <c r="E99" s="11">
        <v>0</v>
      </c>
      <c r="F99" s="11">
        <v>0</v>
      </c>
      <c r="G99" s="11">
        <v>0</v>
      </c>
      <c r="H99" s="11">
        <v>0</v>
      </c>
      <c r="I99" s="11">
        <v>0</v>
      </c>
      <c r="J99" s="11">
        <v>0</v>
      </c>
      <c r="K99" s="11">
        <v>0</v>
      </c>
      <c r="L99" s="11">
        <v>0</v>
      </c>
      <c r="M99" s="11">
        <v>0</v>
      </c>
      <c r="N99" s="11">
        <v>0</v>
      </c>
      <c r="O99" s="11">
        <v>0</v>
      </c>
      <c r="P99" s="3"/>
    </row>
    <row r="100" spans="1:16" ht="15.75" customHeight="1" x14ac:dyDescent="0.3">
      <c r="A100" s="3"/>
      <c r="B100" s="75" t="s">
        <v>358</v>
      </c>
      <c r="C100" s="77">
        <f t="shared" ref="C100:O100" si="28">SUM(C101,C107,C117,C127)</f>
        <v>0</v>
      </c>
      <c r="D100" s="77">
        <f t="shared" si="28"/>
        <v>0</v>
      </c>
      <c r="E100" s="77">
        <f t="shared" si="28"/>
        <v>0</v>
      </c>
      <c r="F100" s="77">
        <f t="shared" si="28"/>
        <v>0</v>
      </c>
      <c r="G100" s="77">
        <f t="shared" si="28"/>
        <v>0</v>
      </c>
      <c r="H100" s="77">
        <f t="shared" si="28"/>
        <v>0</v>
      </c>
      <c r="I100" s="77">
        <f t="shared" si="28"/>
        <v>0</v>
      </c>
      <c r="J100" s="77">
        <f t="shared" si="28"/>
        <v>0</v>
      </c>
      <c r="K100" s="77">
        <f t="shared" si="28"/>
        <v>0</v>
      </c>
      <c r="L100" s="77">
        <f t="shared" si="28"/>
        <v>0</v>
      </c>
      <c r="M100" s="77">
        <f t="shared" si="28"/>
        <v>0</v>
      </c>
      <c r="N100" s="77">
        <f t="shared" si="28"/>
        <v>0</v>
      </c>
      <c r="O100" s="77">
        <f t="shared" si="28"/>
        <v>0</v>
      </c>
      <c r="P100" s="3"/>
    </row>
    <row r="101" spans="1:16" ht="15.75" customHeight="1" outlineLevel="1" x14ac:dyDescent="0.3">
      <c r="A101" s="3"/>
      <c r="B101" s="82" t="s">
        <v>359</v>
      </c>
      <c r="C101" s="84">
        <f t="shared" ref="C101:O101" si="29">SUM(C102:C106)</f>
        <v>0</v>
      </c>
      <c r="D101" s="84">
        <f t="shared" si="29"/>
        <v>0</v>
      </c>
      <c r="E101" s="84">
        <f t="shared" si="29"/>
        <v>0</v>
      </c>
      <c r="F101" s="84">
        <f t="shared" si="29"/>
        <v>0</v>
      </c>
      <c r="G101" s="84">
        <f t="shared" si="29"/>
        <v>0</v>
      </c>
      <c r="H101" s="84">
        <f t="shared" si="29"/>
        <v>0</v>
      </c>
      <c r="I101" s="84">
        <f t="shared" si="29"/>
        <v>0</v>
      </c>
      <c r="J101" s="84">
        <f t="shared" si="29"/>
        <v>0</v>
      </c>
      <c r="K101" s="84">
        <f t="shared" si="29"/>
        <v>0</v>
      </c>
      <c r="L101" s="84">
        <f t="shared" si="29"/>
        <v>0</v>
      </c>
      <c r="M101" s="84">
        <f t="shared" si="29"/>
        <v>0</v>
      </c>
      <c r="N101" s="84">
        <f t="shared" si="29"/>
        <v>0</v>
      </c>
      <c r="O101" s="84">
        <f t="shared" si="29"/>
        <v>0</v>
      </c>
      <c r="P101" s="3"/>
    </row>
    <row r="102" spans="1:16" ht="15.75" customHeight="1" outlineLevel="1" x14ac:dyDescent="0.3">
      <c r="A102" s="3"/>
      <c r="B102" s="138" t="s">
        <v>338</v>
      </c>
      <c r="C102" s="10">
        <f t="shared" ref="C102:C106" si="30">SUM(D102:O102)</f>
        <v>0</v>
      </c>
      <c r="D102" s="11">
        <v>0</v>
      </c>
      <c r="E102" s="11">
        <v>0</v>
      </c>
      <c r="F102" s="11">
        <v>0</v>
      </c>
      <c r="G102" s="11">
        <v>0</v>
      </c>
      <c r="H102" s="11">
        <v>0</v>
      </c>
      <c r="I102" s="11">
        <v>0</v>
      </c>
      <c r="J102" s="11">
        <v>0</v>
      </c>
      <c r="K102" s="11">
        <v>0</v>
      </c>
      <c r="L102" s="11">
        <v>0</v>
      </c>
      <c r="M102" s="11">
        <v>0</v>
      </c>
      <c r="N102" s="11">
        <v>0</v>
      </c>
      <c r="O102" s="11">
        <v>0</v>
      </c>
      <c r="P102" s="3"/>
    </row>
    <row r="103" spans="1:16" ht="15.75" customHeight="1" outlineLevel="1" x14ac:dyDescent="0.3">
      <c r="A103" s="3"/>
      <c r="B103" s="138" t="s">
        <v>360</v>
      </c>
      <c r="C103" s="10">
        <f t="shared" si="30"/>
        <v>0</v>
      </c>
      <c r="D103" s="11">
        <v>0</v>
      </c>
      <c r="E103" s="11">
        <v>0</v>
      </c>
      <c r="F103" s="11">
        <v>0</v>
      </c>
      <c r="G103" s="11">
        <v>0</v>
      </c>
      <c r="H103" s="11">
        <v>0</v>
      </c>
      <c r="I103" s="11">
        <v>0</v>
      </c>
      <c r="J103" s="11">
        <v>0</v>
      </c>
      <c r="K103" s="11">
        <v>0</v>
      </c>
      <c r="L103" s="11">
        <v>0</v>
      </c>
      <c r="M103" s="11">
        <v>0</v>
      </c>
      <c r="N103" s="11">
        <v>0</v>
      </c>
      <c r="O103" s="11">
        <v>0</v>
      </c>
      <c r="P103" s="3"/>
    </row>
    <row r="104" spans="1:16" ht="15.75" customHeight="1" outlineLevel="1" x14ac:dyDescent="0.3">
      <c r="A104" s="3"/>
      <c r="B104" s="138" t="s">
        <v>354</v>
      </c>
      <c r="C104" s="10">
        <f t="shared" si="30"/>
        <v>0</v>
      </c>
      <c r="D104" s="11">
        <v>0</v>
      </c>
      <c r="E104" s="11">
        <v>0</v>
      </c>
      <c r="F104" s="11">
        <v>0</v>
      </c>
      <c r="G104" s="11">
        <v>0</v>
      </c>
      <c r="H104" s="11">
        <v>0</v>
      </c>
      <c r="I104" s="11">
        <v>0</v>
      </c>
      <c r="J104" s="11">
        <v>0</v>
      </c>
      <c r="K104" s="11">
        <v>0</v>
      </c>
      <c r="L104" s="11">
        <v>0</v>
      </c>
      <c r="M104" s="11">
        <v>0</v>
      </c>
      <c r="N104" s="11">
        <v>0</v>
      </c>
      <c r="O104" s="11">
        <v>0</v>
      </c>
      <c r="P104" s="3"/>
    </row>
    <row r="105" spans="1:16" ht="15.75" customHeight="1" outlineLevel="1" x14ac:dyDescent="0.3">
      <c r="A105" s="3"/>
      <c r="B105" s="138" t="s">
        <v>355</v>
      </c>
      <c r="C105" s="10">
        <f t="shared" si="30"/>
        <v>0</v>
      </c>
      <c r="D105" s="11">
        <v>0</v>
      </c>
      <c r="E105" s="11">
        <v>0</v>
      </c>
      <c r="F105" s="11">
        <v>0</v>
      </c>
      <c r="G105" s="11">
        <v>0</v>
      </c>
      <c r="H105" s="11">
        <v>0</v>
      </c>
      <c r="I105" s="11">
        <v>0</v>
      </c>
      <c r="J105" s="11">
        <v>0</v>
      </c>
      <c r="K105" s="11">
        <v>0</v>
      </c>
      <c r="L105" s="11">
        <v>0</v>
      </c>
      <c r="M105" s="11">
        <v>0</v>
      </c>
      <c r="N105" s="11">
        <v>0</v>
      </c>
      <c r="O105" s="11">
        <v>0</v>
      </c>
      <c r="P105" s="3"/>
    </row>
    <row r="106" spans="1:16" ht="15.75" customHeight="1" outlineLevel="1" x14ac:dyDescent="0.3">
      <c r="A106" s="3"/>
      <c r="B106" s="138" t="s">
        <v>356</v>
      </c>
      <c r="C106" s="10">
        <f t="shared" si="30"/>
        <v>0</v>
      </c>
      <c r="D106" s="11">
        <v>0</v>
      </c>
      <c r="E106" s="11">
        <v>0</v>
      </c>
      <c r="F106" s="11">
        <v>0</v>
      </c>
      <c r="G106" s="11">
        <v>0</v>
      </c>
      <c r="H106" s="11">
        <v>0</v>
      </c>
      <c r="I106" s="11">
        <v>0</v>
      </c>
      <c r="J106" s="11">
        <v>0</v>
      </c>
      <c r="K106" s="11">
        <v>0</v>
      </c>
      <c r="L106" s="11">
        <v>0</v>
      </c>
      <c r="M106" s="11">
        <v>0</v>
      </c>
      <c r="N106" s="11">
        <v>0</v>
      </c>
      <c r="O106" s="11">
        <v>0</v>
      </c>
      <c r="P106" s="3"/>
    </row>
    <row r="107" spans="1:16" ht="15.75" customHeight="1" outlineLevel="1" x14ac:dyDescent="0.3">
      <c r="A107" s="3"/>
      <c r="B107" s="82" t="s">
        <v>1295</v>
      </c>
      <c r="C107" s="84">
        <f t="shared" ref="C107:O107" si="31">SUM(C108:C116)</f>
        <v>0</v>
      </c>
      <c r="D107" s="84">
        <f t="shared" si="31"/>
        <v>0</v>
      </c>
      <c r="E107" s="84">
        <f t="shared" si="31"/>
        <v>0</v>
      </c>
      <c r="F107" s="84">
        <f t="shared" si="31"/>
        <v>0</v>
      </c>
      <c r="G107" s="84">
        <f t="shared" si="31"/>
        <v>0</v>
      </c>
      <c r="H107" s="84">
        <f t="shared" si="31"/>
        <v>0</v>
      </c>
      <c r="I107" s="84">
        <f t="shared" si="31"/>
        <v>0</v>
      </c>
      <c r="J107" s="84">
        <f t="shared" si="31"/>
        <v>0</v>
      </c>
      <c r="K107" s="84">
        <f t="shared" si="31"/>
        <v>0</v>
      </c>
      <c r="L107" s="84">
        <f t="shared" si="31"/>
        <v>0</v>
      </c>
      <c r="M107" s="84">
        <f t="shared" si="31"/>
        <v>0</v>
      </c>
      <c r="N107" s="84">
        <f t="shared" si="31"/>
        <v>0</v>
      </c>
      <c r="O107" s="84">
        <f t="shared" si="31"/>
        <v>0</v>
      </c>
      <c r="P107" s="3"/>
    </row>
    <row r="108" spans="1:16" ht="15.75" customHeight="1" outlineLevel="1" x14ac:dyDescent="0.3">
      <c r="A108" s="3"/>
      <c r="B108" s="138" t="s">
        <v>354</v>
      </c>
      <c r="C108" s="10">
        <f t="shared" ref="C108:C116" si="32">SUM(D108:O108)</f>
        <v>0</v>
      </c>
      <c r="D108" s="11">
        <v>0</v>
      </c>
      <c r="E108" s="11">
        <v>0</v>
      </c>
      <c r="F108" s="11">
        <v>0</v>
      </c>
      <c r="G108" s="11">
        <v>0</v>
      </c>
      <c r="H108" s="11">
        <v>0</v>
      </c>
      <c r="I108" s="11">
        <v>0</v>
      </c>
      <c r="J108" s="11">
        <v>0</v>
      </c>
      <c r="K108" s="11">
        <v>0</v>
      </c>
      <c r="L108" s="11">
        <v>0</v>
      </c>
      <c r="M108" s="11">
        <v>0</v>
      </c>
      <c r="N108" s="11">
        <v>0</v>
      </c>
      <c r="O108" s="11">
        <v>0</v>
      </c>
      <c r="P108" s="3"/>
    </row>
    <row r="109" spans="1:16" ht="15.75" customHeight="1" outlineLevel="1" x14ac:dyDescent="0.3">
      <c r="A109" s="3"/>
      <c r="B109" s="138" t="s">
        <v>355</v>
      </c>
      <c r="C109" s="10">
        <f t="shared" si="32"/>
        <v>0</v>
      </c>
      <c r="D109" s="11">
        <v>0</v>
      </c>
      <c r="E109" s="11">
        <v>0</v>
      </c>
      <c r="F109" s="11">
        <v>0</v>
      </c>
      <c r="G109" s="11">
        <v>0</v>
      </c>
      <c r="H109" s="11">
        <v>0</v>
      </c>
      <c r="I109" s="11">
        <v>0</v>
      </c>
      <c r="J109" s="11">
        <v>0</v>
      </c>
      <c r="K109" s="11">
        <v>0</v>
      </c>
      <c r="L109" s="11">
        <v>0</v>
      </c>
      <c r="M109" s="11">
        <v>0</v>
      </c>
      <c r="N109" s="11">
        <v>0</v>
      </c>
      <c r="O109" s="11">
        <v>0</v>
      </c>
      <c r="P109" s="3"/>
    </row>
    <row r="110" spans="1:16" ht="15.75" customHeight="1" outlineLevel="1" x14ac:dyDescent="0.3">
      <c r="A110" s="3"/>
      <c r="B110" s="138" t="s">
        <v>356</v>
      </c>
      <c r="C110" s="10">
        <f t="shared" si="32"/>
        <v>0</v>
      </c>
      <c r="D110" s="11">
        <v>0</v>
      </c>
      <c r="E110" s="11">
        <v>0</v>
      </c>
      <c r="F110" s="11">
        <v>0</v>
      </c>
      <c r="G110" s="11">
        <v>0</v>
      </c>
      <c r="H110" s="11">
        <v>0</v>
      </c>
      <c r="I110" s="11">
        <v>0</v>
      </c>
      <c r="J110" s="11">
        <v>0</v>
      </c>
      <c r="K110" s="11">
        <v>0</v>
      </c>
      <c r="L110" s="11">
        <v>0</v>
      </c>
      <c r="M110" s="11">
        <v>0</v>
      </c>
      <c r="N110" s="11">
        <v>0</v>
      </c>
      <c r="O110" s="11">
        <v>0</v>
      </c>
      <c r="P110" s="3"/>
    </row>
    <row r="111" spans="1:16" ht="15.75" customHeight="1" outlineLevel="1" x14ac:dyDescent="0.3">
      <c r="A111" s="3"/>
      <c r="B111" s="138" t="s">
        <v>370</v>
      </c>
      <c r="C111" s="10">
        <f t="shared" si="32"/>
        <v>0</v>
      </c>
      <c r="D111" s="11">
        <v>0</v>
      </c>
      <c r="E111" s="11">
        <v>0</v>
      </c>
      <c r="F111" s="11">
        <v>0</v>
      </c>
      <c r="G111" s="11">
        <v>0</v>
      </c>
      <c r="H111" s="11">
        <v>0</v>
      </c>
      <c r="I111" s="11">
        <v>0</v>
      </c>
      <c r="J111" s="11">
        <v>0</v>
      </c>
      <c r="K111" s="11">
        <v>0</v>
      </c>
      <c r="L111" s="11">
        <v>0</v>
      </c>
      <c r="M111" s="11">
        <v>0</v>
      </c>
      <c r="N111" s="11">
        <v>0</v>
      </c>
      <c r="O111" s="11">
        <v>0</v>
      </c>
      <c r="P111" s="3"/>
    </row>
    <row r="112" spans="1:16" ht="15.75" customHeight="1" outlineLevel="1" x14ac:dyDescent="0.3">
      <c r="A112" s="3"/>
      <c r="B112" s="138" t="s">
        <v>328</v>
      </c>
      <c r="C112" s="10">
        <f t="shared" si="32"/>
        <v>0</v>
      </c>
      <c r="D112" s="11">
        <v>0</v>
      </c>
      <c r="E112" s="11">
        <v>0</v>
      </c>
      <c r="F112" s="11">
        <v>0</v>
      </c>
      <c r="G112" s="11">
        <v>0</v>
      </c>
      <c r="H112" s="11">
        <v>0</v>
      </c>
      <c r="I112" s="11">
        <v>0</v>
      </c>
      <c r="J112" s="11">
        <v>0</v>
      </c>
      <c r="K112" s="11">
        <v>0</v>
      </c>
      <c r="L112" s="11">
        <v>0</v>
      </c>
      <c r="M112" s="11">
        <v>0</v>
      </c>
      <c r="N112" s="11">
        <v>0</v>
      </c>
      <c r="O112" s="11">
        <v>0</v>
      </c>
      <c r="P112" s="3"/>
    </row>
    <row r="113" spans="1:16" ht="15.75" customHeight="1" outlineLevel="1" x14ac:dyDescent="0.3">
      <c r="A113" s="3"/>
      <c r="B113" s="138" t="s">
        <v>329</v>
      </c>
      <c r="C113" s="10">
        <f t="shared" si="32"/>
        <v>0</v>
      </c>
      <c r="D113" s="11">
        <v>0</v>
      </c>
      <c r="E113" s="11">
        <v>0</v>
      </c>
      <c r="F113" s="11">
        <v>0</v>
      </c>
      <c r="G113" s="11">
        <v>0</v>
      </c>
      <c r="H113" s="11">
        <v>0</v>
      </c>
      <c r="I113" s="11">
        <v>0</v>
      </c>
      <c r="J113" s="11">
        <v>0</v>
      </c>
      <c r="K113" s="11">
        <v>0</v>
      </c>
      <c r="L113" s="11">
        <v>0</v>
      </c>
      <c r="M113" s="11">
        <v>0</v>
      </c>
      <c r="N113" s="11">
        <v>0</v>
      </c>
      <c r="O113" s="11">
        <v>0</v>
      </c>
      <c r="P113" s="3"/>
    </row>
    <row r="114" spans="1:16" ht="15.75" customHeight="1" outlineLevel="1" x14ac:dyDescent="0.3">
      <c r="A114" s="3"/>
      <c r="B114" s="138" t="s">
        <v>371</v>
      </c>
      <c r="C114" s="10">
        <f t="shared" si="32"/>
        <v>0</v>
      </c>
      <c r="D114" s="11">
        <v>0</v>
      </c>
      <c r="E114" s="11">
        <v>0</v>
      </c>
      <c r="F114" s="11">
        <v>0</v>
      </c>
      <c r="G114" s="11">
        <v>0</v>
      </c>
      <c r="H114" s="11">
        <v>0</v>
      </c>
      <c r="I114" s="11">
        <v>0</v>
      </c>
      <c r="J114" s="11">
        <v>0</v>
      </c>
      <c r="K114" s="11">
        <v>0</v>
      </c>
      <c r="L114" s="11">
        <v>0</v>
      </c>
      <c r="M114" s="11">
        <v>0</v>
      </c>
      <c r="N114" s="11">
        <v>0</v>
      </c>
      <c r="O114" s="11">
        <v>0</v>
      </c>
      <c r="P114" s="3"/>
    </row>
    <row r="115" spans="1:16" ht="15.75" customHeight="1" outlineLevel="1" x14ac:dyDescent="0.3">
      <c r="A115" s="3"/>
      <c r="B115" s="138" t="s">
        <v>372</v>
      </c>
      <c r="C115" s="10">
        <f t="shared" si="32"/>
        <v>0</v>
      </c>
      <c r="D115" s="11">
        <v>0</v>
      </c>
      <c r="E115" s="11">
        <v>0</v>
      </c>
      <c r="F115" s="11">
        <v>0</v>
      </c>
      <c r="G115" s="11">
        <v>0</v>
      </c>
      <c r="H115" s="11">
        <v>0</v>
      </c>
      <c r="I115" s="11">
        <v>0</v>
      </c>
      <c r="J115" s="11">
        <v>0</v>
      </c>
      <c r="K115" s="11">
        <v>0</v>
      </c>
      <c r="L115" s="11">
        <v>0</v>
      </c>
      <c r="M115" s="11">
        <v>0</v>
      </c>
      <c r="N115" s="11">
        <v>0</v>
      </c>
      <c r="O115" s="11">
        <v>0</v>
      </c>
      <c r="P115" s="3"/>
    </row>
    <row r="116" spans="1:16" ht="15.75" customHeight="1" outlineLevel="1" x14ac:dyDescent="0.3">
      <c r="A116" s="3"/>
      <c r="B116" s="138" t="s">
        <v>373</v>
      </c>
      <c r="C116" s="10">
        <f t="shared" si="32"/>
        <v>0</v>
      </c>
      <c r="D116" s="11">
        <v>0</v>
      </c>
      <c r="E116" s="11">
        <v>0</v>
      </c>
      <c r="F116" s="11">
        <v>0</v>
      </c>
      <c r="G116" s="11">
        <v>0</v>
      </c>
      <c r="H116" s="11">
        <v>0</v>
      </c>
      <c r="I116" s="11">
        <v>0</v>
      </c>
      <c r="J116" s="11">
        <v>0</v>
      </c>
      <c r="K116" s="11">
        <v>0</v>
      </c>
      <c r="L116" s="11">
        <v>0</v>
      </c>
      <c r="M116" s="11">
        <v>0</v>
      </c>
      <c r="N116" s="11">
        <v>0</v>
      </c>
      <c r="O116" s="11">
        <v>0</v>
      </c>
      <c r="P116" s="3"/>
    </row>
    <row r="117" spans="1:16" ht="15.75" customHeight="1" outlineLevel="1" x14ac:dyDescent="0.3">
      <c r="A117" s="3"/>
      <c r="B117" s="82" t="s">
        <v>1296</v>
      </c>
      <c r="C117" s="84">
        <f t="shared" ref="C117:O117" si="33">SUM(C118:C126)</f>
        <v>0</v>
      </c>
      <c r="D117" s="84">
        <f t="shared" si="33"/>
        <v>0</v>
      </c>
      <c r="E117" s="84">
        <f t="shared" si="33"/>
        <v>0</v>
      </c>
      <c r="F117" s="84">
        <f t="shared" si="33"/>
        <v>0</v>
      </c>
      <c r="G117" s="84">
        <f t="shared" si="33"/>
        <v>0</v>
      </c>
      <c r="H117" s="84">
        <f t="shared" si="33"/>
        <v>0</v>
      </c>
      <c r="I117" s="84">
        <f t="shared" si="33"/>
        <v>0</v>
      </c>
      <c r="J117" s="84">
        <f t="shared" si="33"/>
        <v>0</v>
      </c>
      <c r="K117" s="84">
        <f t="shared" si="33"/>
        <v>0</v>
      </c>
      <c r="L117" s="84">
        <f t="shared" si="33"/>
        <v>0</v>
      </c>
      <c r="M117" s="84">
        <f t="shared" si="33"/>
        <v>0</v>
      </c>
      <c r="N117" s="84">
        <f t="shared" si="33"/>
        <v>0</v>
      </c>
      <c r="O117" s="84">
        <f t="shared" si="33"/>
        <v>0</v>
      </c>
      <c r="P117" s="3"/>
    </row>
    <row r="118" spans="1:16" ht="15.75" customHeight="1" outlineLevel="1" x14ac:dyDescent="0.3">
      <c r="A118" s="3"/>
      <c r="B118" s="138" t="s">
        <v>354</v>
      </c>
      <c r="C118" s="10">
        <f t="shared" ref="C118:C126" si="34">SUM(D118:O118)</f>
        <v>0</v>
      </c>
      <c r="D118" s="11">
        <v>0</v>
      </c>
      <c r="E118" s="11">
        <v>0</v>
      </c>
      <c r="F118" s="11">
        <v>0</v>
      </c>
      <c r="G118" s="11">
        <v>0</v>
      </c>
      <c r="H118" s="11">
        <v>0</v>
      </c>
      <c r="I118" s="11">
        <v>0</v>
      </c>
      <c r="J118" s="11">
        <v>0</v>
      </c>
      <c r="K118" s="11">
        <v>0</v>
      </c>
      <c r="L118" s="11">
        <v>0</v>
      </c>
      <c r="M118" s="11">
        <v>0</v>
      </c>
      <c r="N118" s="11">
        <v>0</v>
      </c>
      <c r="O118" s="11">
        <v>0</v>
      </c>
      <c r="P118" s="3"/>
    </row>
    <row r="119" spans="1:16" ht="15.75" customHeight="1" outlineLevel="1" x14ac:dyDescent="0.3">
      <c r="A119" s="3"/>
      <c r="B119" s="138" t="s">
        <v>355</v>
      </c>
      <c r="C119" s="10">
        <f t="shared" si="34"/>
        <v>0</v>
      </c>
      <c r="D119" s="11">
        <v>0</v>
      </c>
      <c r="E119" s="11">
        <v>0</v>
      </c>
      <c r="F119" s="11">
        <v>0</v>
      </c>
      <c r="G119" s="11">
        <v>0</v>
      </c>
      <c r="H119" s="11">
        <v>0</v>
      </c>
      <c r="I119" s="11">
        <v>0</v>
      </c>
      <c r="J119" s="11">
        <v>0</v>
      </c>
      <c r="K119" s="11">
        <v>0</v>
      </c>
      <c r="L119" s="11">
        <v>0</v>
      </c>
      <c r="M119" s="11">
        <v>0</v>
      </c>
      <c r="N119" s="11">
        <v>0</v>
      </c>
      <c r="O119" s="11">
        <v>0</v>
      </c>
      <c r="P119" s="3"/>
    </row>
    <row r="120" spans="1:16" ht="15.75" customHeight="1" outlineLevel="1" x14ac:dyDescent="0.3">
      <c r="A120" s="3"/>
      <c r="B120" s="138" t="s">
        <v>356</v>
      </c>
      <c r="C120" s="10">
        <f t="shared" si="34"/>
        <v>0</v>
      </c>
      <c r="D120" s="11">
        <v>0</v>
      </c>
      <c r="E120" s="11">
        <v>0</v>
      </c>
      <c r="F120" s="11">
        <v>0</v>
      </c>
      <c r="G120" s="11">
        <v>0</v>
      </c>
      <c r="H120" s="11">
        <v>0</v>
      </c>
      <c r="I120" s="11">
        <v>0</v>
      </c>
      <c r="J120" s="11">
        <v>0</v>
      </c>
      <c r="K120" s="11">
        <v>0</v>
      </c>
      <c r="L120" s="11">
        <v>0</v>
      </c>
      <c r="M120" s="11">
        <v>0</v>
      </c>
      <c r="N120" s="11">
        <v>0</v>
      </c>
      <c r="O120" s="11">
        <v>0</v>
      </c>
      <c r="P120" s="3"/>
    </row>
    <row r="121" spans="1:16" ht="15.75" customHeight="1" outlineLevel="1" x14ac:dyDescent="0.3">
      <c r="A121" s="3"/>
      <c r="B121" s="138" t="s">
        <v>370</v>
      </c>
      <c r="C121" s="10">
        <f t="shared" si="34"/>
        <v>0</v>
      </c>
      <c r="D121" s="11">
        <v>0</v>
      </c>
      <c r="E121" s="11">
        <v>0</v>
      </c>
      <c r="F121" s="11">
        <v>0</v>
      </c>
      <c r="G121" s="11">
        <v>0</v>
      </c>
      <c r="H121" s="11">
        <v>0</v>
      </c>
      <c r="I121" s="11">
        <v>0</v>
      </c>
      <c r="J121" s="11">
        <v>0</v>
      </c>
      <c r="K121" s="11">
        <v>0</v>
      </c>
      <c r="L121" s="11">
        <v>0</v>
      </c>
      <c r="M121" s="11">
        <v>0</v>
      </c>
      <c r="N121" s="11">
        <v>0</v>
      </c>
      <c r="O121" s="11">
        <v>0</v>
      </c>
      <c r="P121" s="3"/>
    </row>
    <row r="122" spans="1:16" ht="15.75" customHeight="1" outlineLevel="1" x14ac:dyDescent="0.3">
      <c r="A122" s="3"/>
      <c r="B122" s="138" t="s">
        <v>328</v>
      </c>
      <c r="C122" s="10">
        <f t="shared" si="34"/>
        <v>0</v>
      </c>
      <c r="D122" s="11">
        <v>0</v>
      </c>
      <c r="E122" s="11">
        <v>0</v>
      </c>
      <c r="F122" s="11">
        <v>0</v>
      </c>
      <c r="G122" s="11">
        <v>0</v>
      </c>
      <c r="H122" s="11">
        <v>0</v>
      </c>
      <c r="I122" s="11">
        <v>0</v>
      </c>
      <c r="J122" s="11">
        <v>0</v>
      </c>
      <c r="K122" s="11">
        <v>0</v>
      </c>
      <c r="L122" s="11">
        <v>0</v>
      </c>
      <c r="M122" s="11">
        <v>0</v>
      </c>
      <c r="N122" s="11">
        <v>0</v>
      </c>
      <c r="O122" s="11">
        <v>0</v>
      </c>
      <c r="P122" s="3"/>
    </row>
    <row r="123" spans="1:16" ht="15.75" customHeight="1" outlineLevel="1" x14ac:dyDescent="0.3">
      <c r="A123" s="3"/>
      <c r="B123" s="138" t="s">
        <v>329</v>
      </c>
      <c r="C123" s="10">
        <f t="shared" si="34"/>
        <v>0</v>
      </c>
      <c r="D123" s="11">
        <v>0</v>
      </c>
      <c r="E123" s="11">
        <v>0</v>
      </c>
      <c r="F123" s="11">
        <v>0</v>
      </c>
      <c r="G123" s="11">
        <v>0</v>
      </c>
      <c r="H123" s="11">
        <v>0</v>
      </c>
      <c r="I123" s="11">
        <v>0</v>
      </c>
      <c r="J123" s="11">
        <v>0</v>
      </c>
      <c r="K123" s="11">
        <v>0</v>
      </c>
      <c r="L123" s="11">
        <v>0</v>
      </c>
      <c r="M123" s="11">
        <v>0</v>
      </c>
      <c r="N123" s="11">
        <v>0</v>
      </c>
      <c r="O123" s="11">
        <v>0</v>
      </c>
      <c r="P123" s="3"/>
    </row>
    <row r="124" spans="1:16" ht="15.75" customHeight="1" outlineLevel="1" x14ac:dyDescent="0.3">
      <c r="A124" s="3"/>
      <c r="B124" s="138" t="s">
        <v>371</v>
      </c>
      <c r="C124" s="10">
        <f t="shared" si="34"/>
        <v>0</v>
      </c>
      <c r="D124" s="11">
        <v>0</v>
      </c>
      <c r="E124" s="11">
        <v>0</v>
      </c>
      <c r="F124" s="11">
        <v>0</v>
      </c>
      <c r="G124" s="11">
        <v>0</v>
      </c>
      <c r="H124" s="11">
        <v>0</v>
      </c>
      <c r="I124" s="11">
        <v>0</v>
      </c>
      <c r="J124" s="11">
        <v>0</v>
      </c>
      <c r="K124" s="11">
        <v>0</v>
      </c>
      <c r="L124" s="11">
        <v>0</v>
      </c>
      <c r="M124" s="11">
        <v>0</v>
      </c>
      <c r="N124" s="11">
        <v>0</v>
      </c>
      <c r="O124" s="11">
        <v>0</v>
      </c>
      <c r="P124" s="3"/>
    </row>
    <row r="125" spans="1:16" ht="15.75" customHeight="1" outlineLevel="1" x14ac:dyDescent="0.3">
      <c r="A125" s="3"/>
      <c r="B125" s="138" t="s">
        <v>372</v>
      </c>
      <c r="C125" s="10">
        <f t="shared" si="34"/>
        <v>0</v>
      </c>
      <c r="D125" s="11">
        <v>0</v>
      </c>
      <c r="E125" s="11">
        <v>0</v>
      </c>
      <c r="F125" s="11">
        <v>0</v>
      </c>
      <c r="G125" s="11">
        <v>0</v>
      </c>
      <c r="H125" s="11">
        <v>0</v>
      </c>
      <c r="I125" s="11">
        <v>0</v>
      </c>
      <c r="J125" s="11">
        <v>0</v>
      </c>
      <c r="K125" s="11">
        <v>0</v>
      </c>
      <c r="L125" s="11">
        <v>0</v>
      </c>
      <c r="M125" s="11">
        <v>0</v>
      </c>
      <c r="N125" s="11">
        <v>0</v>
      </c>
      <c r="O125" s="11">
        <v>0</v>
      </c>
      <c r="P125" s="3"/>
    </row>
    <row r="126" spans="1:16" ht="15.75" customHeight="1" outlineLevel="1" x14ac:dyDescent="0.3">
      <c r="A126" s="3"/>
      <c r="B126" s="138" t="s">
        <v>373</v>
      </c>
      <c r="C126" s="10">
        <f t="shared" si="34"/>
        <v>0</v>
      </c>
      <c r="D126" s="11">
        <v>0</v>
      </c>
      <c r="E126" s="11">
        <v>0</v>
      </c>
      <c r="F126" s="11">
        <v>0</v>
      </c>
      <c r="G126" s="11">
        <v>0</v>
      </c>
      <c r="H126" s="11">
        <v>0</v>
      </c>
      <c r="I126" s="11">
        <v>0</v>
      </c>
      <c r="J126" s="11">
        <v>0</v>
      </c>
      <c r="K126" s="11">
        <v>0</v>
      </c>
      <c r="L126" s="11">
        <v>0</v>
      </c>
      <c r="M126" s="11">
        <v>0</v>
      </c>
      <c r="N126" s="11">
        <v>0</v>
      </c>
      <c r="O126" s="11">
        <v>0</v>
      </c>
      <c r="P126" s="3"/>
    </row>
    <row r="127" spans="1:16" ht="15.75" customHeight="1" outlineLevel="1" x14ac:dyDescent="0.3">
      <c r="A127" s="3"/>
      <c r="B127" s="82" t="s">
        <v>378</v>
      </c>
      <c r="C127" s="84">
        <f t="shared" ref="C127:O127" si="35">SUM(C128:C136)</f>
        <v>0</v>
      </c>
      <c r="D127" s="84">
        <f t="shared" si="35"/>
        <v>0</v>
      </c>
      <c r="E127" s="84">
        <f t="shared" si="35"/>
        <v>0</v>
      </c>
      <c r="F127" s="84">
        <f t="shared" si="35"/>
        <v>0</v>
      </c>
      <c r="G127" s="84">
        <f t="shared" si="35"/>
        <v>0</v>
      </c>
      <c r="H127" s="84">
        <f t="shared" si="35"/>
        <v>0</v>
      </c>
      <c r="I127" s="84">
        <f t="shared" si="35"/>
        <v>0</v>
      </c>
      <c r="J127" s="84">
        <f t="shared" si="35"/>
        <v>0</v>
      </c>
      <c r="K127" s="84">
        <f t="shared" si="35"/>
        <v>0</v>
      </c>
      <c r="L127" s="84">
        <f t="shared" si="35"/>
        <v>0</v>
      </c>
      <c r="M127" s="84">
        <f t="shared" si="35"/>
        <v>0</v>
      </c>
      <c r="N127" s="84">
        <f t="shared" si="35"/>
        <v>0</v>
      </c>
      <c r="O127" s="84">
        <f t="shared" si="35"/>
        <v>0</v>
      </c>
      <c r="P127" s="3"/>
    </row>
    <row r="128" spans="1:16" ht="15.75" customHeight="1" outlineLevel="1" x14ac:dyDescent="0.3">
      <c r="A128" s="3"/>
      <c r="B128" s="138" t="s">
        <v>354</v>
      </c>
      <c r="C128" s="10">
        <f t="shared" ref="C128:C136" si="36">SUM(D128:O128)</f>
        <v>0</v>
      </c>
      <c r="D128" s="11">
        <v>0</v>
      </c>
      <c r="E128" s="11">
        <v>0</v>
      </c>
      <c r="F128" s="11">
        <v>0</v>
      </c>
      <c r="G128" s="11">
        <v>0</v>
      </c>
      <c r="H128" s="11">
        <v>0</v>
      </c>
      <c r="I128" s="11">
        <v>0</v>
      </c>
      <c r="J128" s="11">
        <v>0</v>
      </c>
      <c r="K128" s="11">
        <v>0</v>
      </c>
      <c r="L128" s="11">
        <v>0</v>
      </c>
      <c r="M128" s="11">
        <v>0</v>
      </c>
      <c r="N128" s="11">
        <v>0</v>
      </c>
      <c r="O128" s="11">
        <v>0</v>
      </c>
      <c r="P128" s="3"/>
    </row>
    <row r="129" spans="1:16" ht="15.75" customHeight="1" outlineLevel="1" x14ac:dyDescent="0.3">
      <c r="A129" s="3"/>
      <c r="B129" s="138" t="s">
        <v>355</v>
      </c>
      <c r="C129" s="10">
        <f t="shared" si="36"/>
        <v>0</v>
      </c>
      <c r="D129" s="11">
        <v>0</v>
      </c>
      <c r="E129" s="11">
        <v>0</v>
      </c>
      <c r="F129" s="11">
        <v>0</v>
      </c>
      <c r="G129" s="11">
        <v>0</v>
      </c>
      <c r="H129" s="11">
        <v>0</v>
      </c>
      <c r="I129" s="11">
        <v>0</v>
      </c>
      <c r="J129" s="11">
        <v>0</v>
      </c>
      <c r="K129" s="11">
        <v>0</v>
      </c>
      <c r="L129" s="11">
        <v>0</v>
      </c>
      <c r="M129" s="11">
        <v>0</v>
      </c>
      <c r="N129" s="11">
        <v>0</v>
      </c>
      <c r="O129" s="11">
        <v>0</v>
      </c>
      <c r="P129" s="3"/>
    </row>
    <row r="130" spans="1:16" ht="15.75" customHeight="1" outlineLevel="1" x14ac:dyDescent="0.3">
      <c r="A130" s="3"/>
      <c r="B130" s="138" t="s">
        <v>356</v>
      </c>
      <c r="C130" s="10">
        <f t="shared" si="36"/>
        <v>0</v>
      </c>
      <c r="D130" s="11">
        <v>0</v>
      </c>
      <c r="E130" s="11">
        <v>0</v>
      </c>
      <c r="F130" s="11">
        <v>0</v>
      </c>
      <c r="G130" s="11">
        <v>0</v>
      </c>
      <c r="H130" s="11">
        <v>0</v>
      </c>
      <c r="I130" s="11">
        <v>0</v>
      </c>
      <c r="J130" s="11">
        <v>0</v>
      </c>
      <c r="K130" s="11">
        <v>0</v>
      </c>
      <c r="L130" s="11">
        <v>0</v>
      </c>
      <c r="M130" s="11">
        <v>0</v>
      </c>
      <c r="N130" s="11">
        <v>0</v>
      </c>
      <c r="O130" s="11">
        <v>0</v>
      </c>
      <c r="P130" s="3"/>
    </row>
    <row r="131" spans="1:16" ht="15.75" customHeight="1" outlineLevel="1" x14ac:dyDescent="0.3">
      <c r="A131" s="3"/>
      <c r="B131" s="138" t="s">
        <v>370</v>
      </c>
      <c r="C131" s="10">
        <f t="shared" si="36"/>
        <v>0</v>
      </c>
      <c r="D131" s="11">
        <v>0</v>
      </c>
      <c r="E131" s="11">
        <v>0</v>
      </c>
      <c r="F131" s="11">
        <v>0</v>
      </c>
      <c r="G131" s="11">
        <v>0</v>
      </c>
      <c r="H131" s="11">
        <v>0</v>
      </c>
      <c r="I131" s="11">
        <v>0</v>
      </c>
      <c r="J131" s="11">
        <v>0</v>
      </c>
      <c r="K131" s="11">
        <v>0</v>
      </c>
      <c r="L131" s="11">
        <v>0</v>
      </c>
      <c r="M131" s="11">
        <v>0</v>
      </c>
      <c r="N131" s="11">
        <v>0</v>
      </c>
      <c r="O131" s="11">
        <v>0</v>
      </c>
      <c r="P131" s="3"/>
    </row>
    <row r="132" spans="1:16" ht="15.75" customHeight="1" outlineLevel="1" x14ac:dyDescent="0.3">
      <c r="A132" s="3"/>
      <c r="B132" s="138" t="s">
        <v>328</v>
      </c>
      <c r="C132" s="10">
        <f t="shared" si="36"/>
        <v>0</v>
      </c>
      <c r="D132" s="11">
        <v>0</v>
      </c>
      <c r="E132" s="11">
        <v>0</v>
      </c>
      <c r="F132" s="11">
        <v>0</v>
      </c>
      <c r="G132" s="11">
        <v>0</v>
      </c>
      <c r="H132" s="11">
        <v>0</v>
      </c>
      <c r="I132" s="11">
        <v>0</v>
      </c>
      <c r="J132" s="11">
        <v>0</v>
      </c>
      <c r="K132" s="11">
        <v>0</v>
      </c>
      <c r="L132" s="11">
        <v>0</v>
      </c>
      <c r="M132" s="11">
        <v>0</v>
      </c>
      <c r="N132" s="11">
        <v>0</v>
      </c>
      <c r="O132" s="11">
        <v>0</v>
      </c>
      <c r="P132" s="3"/>
    </row>
    <row r="133" spans="1:16" ht="15.75" customHeight="1" outlineLevel="1" x14ac:dyDescent="0.3">
      <c r="A133" s="3"/>
      <c r="B133" s="138" t="s">
        <v>329</v>
      </c>
      <c r="C133" s="10">
        <f t="shared" si="36"/>
        <v>0</v>
      </c>
      <c r="D133" s="11">
        <v>0</v>
      </c>
      <c r="E133" s="11">
        <v>0</v>
      </c>
      <c r="F133" s="11">
        <v>0</v>
      </c>
      <c r="G133" s="11">
        <v>0</v>
      </c>
      <c r="H133" s="11">
        <v>0</v>
      </c>
      <c r="I133" s="11">
        <v>0</v>
      </c>
      <c r="J133" s="11">
        <v>0</v>
      </c>
      <c r="K133" s="11">
        <v>0</v>
      </c>
      <c r="L133" s="11">
        <v>0</v>
      </c>
      <c r="M133" s="11">
        <v>0</v>
      </c>
      <c r="N133" s="11">
        <v>0</v>
      </c>
      <c r="O133" s="11">
        <v>0</v>
      </c>
      <c r="P133" s="3"/>
    </row>
    <row r="134" spans="1:16" ht="15.75" customHeight="1" outlineLevel="1" x14ac:dyDescent="0.3">
      <c r="A134" s="3"/>
      <c r="B134" s="138" t="s">
        <v>371</v>
      </c>
      <c r="C134" s="10">
        <f t="shared" si="36"/>
        <v>0</v>
      </c>
      <c r="D134" s="11">
        <v>0</v>
      </c>
      <c r="E134" s="11">
        <v>0</v>
      </c>
      <c r="F134" s="11">
        <v>0</v>
      </c>
      <c r="G134" s="11">
        <v>0</v>
      </c>
      <c r="H134" s="11">
        <v>0</v>
      </c>
      <c r="I134" s="11">
        <v>0</v>
      </c>
      <c r="J134" s="11">
        <v>0</v>
      </c>
      <c r="K134" s="11">
        <v>0</v>
      </c>
      <c r="L134" s="11">
        <v>0</v>
      </c>
      <c r="M134" s="11">
        <v>0</v>
      </c>
      <c r="N134" s="11">
        <v>0</v>
      </c>
      <c r="O134" s="11">
        <v>0</v>
      </c>
      <c r="P134" s="3"/>
    </row>
    <row r="135" spans="1:16" ht="15.75" customHeight="1" outlineLevel="1" x14ac:dyDescent="0.3">
      <c r="A135" s="3"/>
      <c r="B135" s="138" t="s">
        <v>372</v>
      </c>
      <c r="C135" s="10">
        <f t="shared" si="36"/>
        <v>0</v>
      </c>
      <c r="D135" s="11">
        <v>0</v>
      </c>
      <c r="E135" s="11">
        <v>0</v>
      </c>
      <c r="F135" s="11">
        <v>0</v>
      </c>
      <c r="G135" s="11">
        <v>0</v>
      </c>
      <c r="H135" s="11">
        <v>0</v>
      </c>
      <c r="I135" s="11">
        <v>0</v>
      </c>
      <c r="J135" s="11">
        <v>0</v>
      </c>
      <c r="K135" s="11">
        <v>0</v>
      </c>
      <c r="L135" s="11">
        <v>0</v>
      </c>
      <c r="M135" s="11">
        <v>0</v>
      </c>
      <c r="N135" s="11">
        <v>0</v>
      </c>
      <c r="O135" s="11">
        <v>0</v>
      </c>
      <c r="P135" s="3"/>
    </row>
    <row r="136" spans="1:16" ht="15.75" customHeight="1" outlineLevel="1" x14ac:dyDescent="0.3">
      <c r="A136" s="3"/>
      <c r="B136" s="138" t="s">
        <v>373</v>
      </c>
      <c r="C136" s="10">
        <f t="shared" si="36"/>
        <v>0</v>
      </c>
      <c r="D136" s="11">
        <v>0</v>
      </c>
      <c r="E136" s="11">
        <v>0</v>
      </c>
      <c r="F136" s="11">
        <v>0</v>
      </c>
      <c r="G136" s="11">
        <v>0</v>
      </c>
      <c r="H136" s="11">
        <v>0</v>
      </c>
      <c r="I136" s="11">
        <v>0</v>
      </c>
      <c r="J136" s="11">
        <v>0</v>
      </c>
      <c r="K136" s="11">
        <v>0</v>
      </c>
      <c r="L136" s="11">
        <v>0</v>
      </c>
      <c r="M136" s="11">
        <v>0</v>
      </c>
      <c r="N136" s="11">
        <v>0</v>
      </c>
      <c r="O136" s="11">
        <v>0</v>
      </c>
      <c r="P136" s="3"/>
    </row>
    <row r="137" spans="1:16" ht="15.75" customHeight="1" x14ac:dyDescent="0.3">
      <c r="A137" s="3"/>
      <c r="B137" s="75" t="s">
        <v>88</v>
      </c>
      <c r="C137" s="77">
        <f t="shared" ref="C137:O137" si="37">SUM(C138:C146)</f>
        <v>0</v>
      </c>
      <c r="D137" s="77">
        <f t="shared" si="37"/>
        <v>0</v>
      </c>
      <c r="E137" s="77">
        <f t="shared" si="37"/>
        <v>0</v>
      </c>
      <c r="F137" s="77">
        <f t="shared" si="37"/>
        <v>0</v>
      </c>
      <c r="G137" s="77">
        <f t="shared" si="37"/>
        <v>0</v>
      </c>
      <c r="H137" s="77">
        <f t="shared" si="37"/>
        <v>0</v>
      </c>
      <c r="I137" s="77">
        <f t="shared" si="37"/>
        <v>0</v>
      </c>
      <c r="J137" s="77">
        <f t="shared" si="37"/>
        <v>0</v>
      </c>
      <c r="K137" s="77">
        <f t="shared" si="37"/>
        <v>0</v>
      </c>
      <c r="L137" s="77">
        <f t="shared" si="37"/>
        <v>0</v>
      </c>
      <c r="M137" s="77">
        <f t="shared" si="37"/>
        <v>0</v>
      </c>
      <c r="N137" s="77">
        <f t="shared" si="37"/>
        <v>0</v>
      </c>
      <c r="O137" s="77">
        <f t="shared" si="37"/>
        <v>0</v>
      </c>
      <c r="P137" s="3"/>
    </row>
    <row r="138" spans="1:16" ht="15.75" customHeight="1" outlineLevel="1" x14ac:dyDescent="0.3">
      <c r="A138" s="3"/>
      <c r="B138" s="9" t="s">
        <v>354</v>
      </c>
      <c r="C138" s="10">
        <f t="shared" ref="C138:C146" si="38">SUM(D138:O138)</f>
        <v>0</v>
      </c>
      <c r="D138" s="11">
        <v>0</v>
      </c>
      <c r="E138" s="11">
        <v>0</v>
      </c>
      <c r="F138" s="11">
        <v>0</v>
      </c>
      <c r="G138" s="11">
        <v>0</v>
      </c>
      <c r="H138" s="11">
        <v>0</v>
      </c>
      <c r="I138" s="11">
        <v>0</v>
      </c>
      <c r="J138" s="11">
        <v>0</v>
      </c>
      <c r="K138" s="11">
        <v>0</v>
      </c>
      <c r="L138" s="11">
        <v>0</v>
      </c>
      <c r="M138" s="11">
        <v>0</v>
      </c>
      <c r="N138" s="11">
        <v>0</v>
      </c>
      <c r="O138" s="11">
        <v>0</v>
      </c>
      <c r="P138" s="3"/>
    </row>
    <row r="139" spans="1:16" ht="15.75" customHeight="1" outlineLevel="1" x14ac:dyDescent="0.3">
      <c r="A139" s="3"/>
      <c r="B139" s="9" t="s">
        <v>355</v>
      </c>
      <c r="C139" s="10">
        <f t="shared" si="38"/>
        <v>0</v>
      </c>
      <c r="D139" s="11">
        <v>0</v>
      </c>
      <c r="E139" s="11">
        <v>0</v>
      </c>
      <c r="F139" s="11">
        <v>0</v>
      </c>
      <c r="G139" s="11">
        <v>0</v>
      </c>
      <c r="H139" s="11">
        <v>0</v>
      </c>
      <c r="I139" s="11">
        <v>0</v>
      </c>
      <c r="J139" s="11">
        <v>0</v>
      </c>
      <c r="K139" s="11">
        <v>0</v>
      </c>
      <c r="L139" s="11">
        <v>0</v>
      </c>
      <c r="M139" s="11">
        <v>0</v>
      </c>
      <c r="N139" s="11">
        <v>0</v>
      </c>
      <c r="O139" s="11">
        <v>0</v>
      </c>
      <c r="P139" s="3"/>
    </row>
    <row r="140" spans="1:16" ht="15.75" customHeight="1" outlineLevel="1" x14ac:dyDescent="0.3">
      <c r="A140" s="3"/>
      <c r="B140" s="9" t="s">
        <v>356</v>
      </c>
      <c r="C140" s="10">
        <f t="shared" si="38"/>
        <v>0</v>
      </c>
      <c r="D140" s="11">
        <v>0</v>
      </c>
      <c r="E140" s="11">
        <v>0</v>
      </c>
      <c r="F140" s="11">
        <v>0</v>
      </c>
      <c r="G140" s="11">
        <v>0</v>
      </c>
      <c r="H140" s="11">
        <v>0</v>
      </c>
      <c r="I140" s="11">
        <v>0</v>
      </c>
      <c r="J140" s="11">
        <v>0</v>
      </c>
      <c r="K140" s="11">
        <v>0</v>
      </c>
      <c r="L140" s="11">
        <v>0</v>
      </c>
      <c r="M140" s="11">
        <v>0</v>
      </c>
      <c r="N140" s="11">
        <v>0</v>
      </c>
      <c r="O140" s="11">
        <v>0</v>
      </c>
      <c r="P140" s="3"/>
    </row>
    <row r="141" spans="1:16" ht="15.75" customHeight="1" outlineLevel="1" x14ac:dyDescent="0.3">
      <c r="A141" s="3"/>
      <c r="B141" s="9" t="s">
        <v>370</v>
      </c>
      <c r="C141" s="10">
        <f t="shared" si="38"/>
        <v>0</v>
      </c>
      <c r="D141" s="11">
        <v>0</v>
      </c>
      <c r="E141" s="11">
        <v>0</v>
      </c>
      <c r="F141" s="11">
        <v>0</v>
      </c>
      <c r="G141" s="11">
        <v>0</v>
      </c>
      <c r="H141" s="11">
        <v>0</v>
      </c>
      <c r="I141" s="11">
        <v>0</v>
      </c>
      <c r="J141" s="11">
        <v>0</v>
      </c>
      <c r="K141" s="11">
        <v>0</v>
      </c>
      <c r="L141" s="11">
        <v>0</v>
      </c>
      <c r="M141" s="11">
        <v>0</v>
      </c>
      <c r="N141" s="11">
        <v>0</v>
      </c>
      <c r="O141" s="11">
        <v>0</v>
      </c>
      <c r="P141" s="3"/>
    </row>
    <row r="142" spans="1:16" ht="15.75" customHeight="1" outlineLevel="1" x14ac:dyDescent="0.3">
      <c r="A142" s="3"/>
      <c r="B142" s="9" t="s">
        <v>328</v>
      </c>
      <c r="C142" s="10">
        <f t="shared" si="38"/>
        <v>0</v>
      </c>
      <c r="D142" s="11">
        <v>0</v>
      </c>
      <c r="E142" s="11">
        <v>0</v>
      </c>
      <c r="F142" s="11">
        <v>0</v>
      </c>
      <c r="G142" s="11">
        <v>0</v>
      </c>
      <c r="H142" s="11">
        <v>0</v>
      </c>
      <c r="I142" s="11">
        <v>0</v>
      </c>
      <c r="J142" s="11">
        <v>0</v>
      </c>
      <c r="K142" s="11">
        <v>0</v>
      </c>
      <c r="L142" s="11">
        <v>0</v>
      </c>
      <c r="M142" s="11">
        <v>0</v>
      </c>
      <c r="N142" s="11">
        <v>0</v>
      </c>
      <c r="O142" s="11">
        <v>0</v>
      </c>
      <c r="P142" s="3"/>
    </row>
    <row r="143" spans="1:16" ht="15.75" customHeight="1" outlineLevel="1" x14ac:dyDescent="0.3">
      <c r="A143" s="3"/>
      <c r="B143" s="9" t="s">
        <v>329</v>
      </c>
      <c r="C143" s="10">
        <f t="shared" si="38"/>
        <v>0</v>
      </c>
      <c r="D143" s="11">
        <v>0</v>
      </c>
      <c r="E143" s="11">
        <v>0</v>
      </c>
      <c r="F143" s="11">
        <v>0</v>
      </c>
      <c r="G143" s="11">
        <v>0</v>
      </c>
      <c r="H143" s="11">
        <v>0</v>
      </c>
      <c r="I143" s="11">
        <v>0</v>
      </c>
      <c r="J143" s="11">
        <v>0</v>
      </c>
      <c r="K143" s="11">
        <v>0</v>
      </c>
      <c r="L143" s="11">
        <v>0</v>
      </c>
      <c r="M143" s="11">
        <v>0</v>
      </c>
      <c r="N143" s="11">
        <v>0</v>
      </c>
      <c r="O143" s="11">
        <v>0</v>
      </c>
      <c r="P143" s="3"/>
    </row>
    <row r="144" spans="1:16" ht="15.75" customHeight="1" outlineLevel="1" x14ac:dyDescent="0.3">
      <c r="A144" s="3"/>
      <c r="B144" s="9" t="s">
        <v>371</v>
      </c>
      <c r="C144" s="10">
        <f t="shared" si="38"/>
        <v>0</v>
      </c>
      <c r="D144" s="11">
        <v>0</v>
      </c>
      <c r="E144" s="11">
        <v>0</v>
      </c>
      <c r="F144" s="11">
        <v>0</v>
      </c>
      <c r="G144" s="11">
        <v>0</v>
      </c>
      <c r="H144" s="11">
        <v>0</v>
      </c>
      <c r="I144" s="11">
        <v>0</v>
      </c>
      <c r="J144" s="11">
        <v>0</v>
      </c>
      <c r="K144" s="11">
        <v>0</v>
      </c>
      <c r="L144" s="11">
        <v>0</v>
      </c>
      <c r="M144" s="11">
        <v>0</v>
      </c>
      <c r="N144" s="11">
        <v>0</v>
      </c>
      <c r="O144" s="11">
        <v>0</v>
      </c>
      <c r="P144" s="3"/>
    </row>
    <row r="145" spans="1:16" ht="15.75" customHeight="1" outlineLevel="1" x14ac:dyDescent="0.3">
      <c r="A145" s="3"/>
      <c r="B145" s="9" t="s">
        <v>372</v>
      </c>
      <c r="C145" s="10">
        <f t="shared" si="38"/>
        <v>0</v>
      </c>
      <c r="D145" s="11">
        <v>0</v>
      </c>
      <c r="E145" s="11">
        <v>0</v>
      </c>
      <c r="F145" s="11">
        <v>0</v>
      </c>
      <c r="G145" s="11">
        <v>0</v>
      </c>
      <c r="H145" s="11">
        <v>0</v>
      </c>
      <c r="I145" s="11">
        <v>0</v>
      </c>
      <c r="J145" s="11">
        <v>0</v>
      </c>
      <c r="K145" s="11">
        <v>0</v>
      </c>
      <c r="L145" s="11">
        <v>0</v>
      </c>
      <c r="M145" s="11">
        <v>0</v>
      </c>
      <c r="N145" s="11">
        <v>0</v>
      </c>
      <c r="O145" s="11">
        <v>0</v>
      </c>
      <c r="P145" s="3"/>
    </row>
    <row r="146" spans="1:16" ht="15.75" customHeight="1" outlineLevel="1" x14ac:dyDescent="0.3">
      <c r="A146" s="3"/>
      <c r="B146" s="9" t="s">
        <v>373</v>
      </c>
      <c r="C146" s="10">
        <f t="shared" si="38"/>
        <v>0</v>
      </c>
      <c r="D146" s="11">
        <v>0</v>
      </c>
      <c r="E146" s="11">
        <v>0</v>
      </c>
      <c r="F146" s="11">
        <v>0</v>
      </c>
      <c r="G146" s="11">
        <v>0</v>
      </c>
      <c r="H146" s="11">
        <v>0</v>
      </c>
      <c r="I146" s="11">
        <v>0</v>
      </c>
      <c r="J146" s="11">
        <v>0</v>
      </c>
      <c r="K146" s="11">
        <v>0</v>
      </c>
      <c r="L146" s="11">
        <v>0</v>
      </c>
      <c r="M146" s="11">
        <v>0</v>
      </c>
      <c r="N146" s="11">
        <v>0</v>
      </c>
      <c r="O146" s="11">
        <v>0</v>
      </c>
      <c r="P146" s="3"/>
    </row>
    <row r="147" spans="1:16" ht="15.75" customHeight="1" x14ac:dyDescent="0.3">
      <c r="A147" s="3"/>
      <c r="B147" s="75" t="s">
        <v>89</v>
      </c>
      <c r="C147" s="77">
        <f t="shared" ref="C147:O147" si="39">SUM(C148,C154,C160,C166)</f>
        <v>0</v>
      </c>
      <c r="D147" s="77">
        <f t="shared" si="39"/>
        <v>0</v>
      </c>
      <c r="E147" s="77">
        <f t="shared" si="39"/>
        <v>0</v>
      </c>
      <c r="F147" s="77">
        <f t="shared" si="39"/>
        <v>0</v>
      </c>
      <c r="G147" s="77">
        <f t="shared" si="39"/>
        <v>0</v>
      </c>
      <c r="H147" s="77">
        <f t="shared" si="39"/>
        <v>0</v>
      </c>
      <c r="I147" s="77">
        <f t="shared" si="39"/>
        <v>0</v>
      </c>
      <c r="J147" s="77">
        <f t="shared" si="39"/>
        <v>0</v>
      </c>
      <c r="K147" s="77">
        <f t="shared" si="39"/>
        <v>0</v>
      </c>
      <c r="L147" s="77">
        <f t="shared" si="39"/>
        <v>0</v>
      </c>
      <c r="M147" s="77">
        <f t="shared" si="39"/>
        <v>0</v>
      </c>
      <c r="N147" s="77">
        <f t="shared" si="39"/>
        <v>0</v>
      </c>
      <c r="O147" s="77">
        <f t="shared" si="39"/>
        <v>0</v>
      </c>
      <c r="P147" s="3"/>
    </row>
    <row r="148" spans="1:16" ht="15.75" customHeight="1" outlineLevel="1" x14ac:dyDescent="0.3">
      <c r="A148" s="3"/>
      <c r="B148" s="82" t="s">
        <v>380</v>
      </c>
      <c r="C148" s="84">
        <f t="shared" ref="C148:O148" si="40">SUM(C149:C153)</f>
        <v>0</v>
      </c>
      <c r="D148" s="84">
        <f t="shared" si="40"/>
        <v>0</v>
      </c>
      <c r="E148" s="84">
        <f t="shared" si="40"/>
        <v>0</v>
      </c>
      <c r="F148" s="84">
        <f t="shared" si="40"/>
        <v>0</v>
      </c>
      <c r="G148" s="84">
        <f t="shared" si="40"/>
        <v>0</v>
      </c>
      <c r="H148" s="84">
        <f t="shared" si="40"/>
        <v>0</v>
      </c>
      <c r="I148" s="84">
        <f t="shared" si="40"/>
        <v>0</v>
      </c>
      <c r="J148" s="84">
        <f t="shared" si="40"/>
        <v>0</v>
      </c>
      <c r="K148" s="84">
        <f t="shared" si="40"/>
        <v>0</v>
      </c>
      <c r="L148" s="84">
        <f t="shared" si="40"/>
        <v>0</v>
      </c>
      <c r="M148" s="84">
        <f t="shared" si="40"/>
        <v>0</v>
      </c>
      <c r="N148" s="84">
        <f t="shared" si="40"/>
        <v>0</v>
      </c>
      <c r="O148" s="84">
        <f t="shared" si="40"/>
        <v>0</v>
      </c>
      <c r="P148" s="3"/>
    </row>
    <row r="149" spans="1:16" ht="15.75" customHeight="1" outlineLevel="1" x14ac:dyDescent="0.3">
      <c r="A149" s="3"/>
      <c r="B149" s="138" t="s">
        <v>354</v>
      </c>
      <c r="C149" s="10">
        <f t="shared" ref="C149:C153" si="41">SUM(D149:O149)</f>
        <v>0</v>
      </c>
      <c r="D149" s="11">
        <v>0</v>
      </c>
      <c r="E149" s="11">
        <v>0</v>
      </c>
      <c r="F149" s="11">
        <v>0</v>
      </c>
      <c r="G149" s="11">
        <v>0</v>
      </c>
      <c r="H149" s="11">
        <v>0</v>
      </c>
      <c r="I149" s="11">
        <v>0</v>
      </c>
      <c r="J149" s="11">
        <v>0</v>
      </c>
      <c r="K149" s="11">
        <v>0</v>
      </c>
      <c r="L149" s="11">
        <v>0</v>
      </c>
      <c r="M149" s="11">
        <v>0</v>
      </c>
      <c r="N149" s="11">
        <v>0</v>
      </c>
      <c r="O149" s="11">
        <v>0</v>
      </c>
      <c r="P149" s="3"/>
    </row>
    <row r="150" spans="1:16" ht="15.75" customHeight="1" outlineLevel="1" x14ac:dyDescent="0.3">
      <c r="A150" s="3"/>
      <c r="B150" s="138" t="s">
        <v>355</v>
      </c>
      <c r="C150" s="10">
        <f t="shared" si="41"/>
        <v>0</v>
      </c>
      <c r="D150" s="11">
        <v>0</v>
      </c>
      <c r="E150" s="11">
        <v>0</v>
      </c>
      <c r="F150" s="11">
        <v>0</v>
      </c>
      <c r="G150" s="11">
        <v>0</v>
      </c>
      <c r="H150" s="11">
        <v>0</v>
      </c>
      <c r="I150" s="11">
        <v>0</v>
      </c>
      <c r="J150" s="11">
        <v>0</v>
      </c>
      <c r="K150" s="11">
        <v>0</v>
      </c>
      <c r="L150" s="11">
        <v>0</v>
      </c>
      <c r="M150" s="11">
        <v>0</v>
      </c>
      <c r="N150" s="11">
        <v>0</v>
      </c>
      <c r="O150" s="11">
        <v>0</v>
      </c>
      <c r="P150" s="3"/>
    </row>
    <row r="151" spans="1:16" ht="15.75" customHeight="1" outlineLevel="1" x14ac:dyDescent="0.3">
      <c r="A151" s="3"/>
      <c r="B151" s="138" t="s">
        <v>356</v>
      </c>
      <c r="C151" s="10">
        <f t="shared" si="41"/>
        <v>0</v>
      </c>
      <c r="D151" s="11">
        <v>0</v>
      </c>
      <c r="E151" s="11">
        <v>0</v>
      </c>
      <c r="F151" s="11">
        <v>0</v>
      </c>
      <c r="G151" s="11">
        <v>0</v>
      </c>
      <c r="H151" s="11">
        <v>0</v>
      </c>
      <c r="I151" s="11">
        <v>0</v>
      </c>
      <c r="J151" s="11">
        <v>0</v>
      </c>
      <c r="K151" s="11">
        <v>0</v>
      </c>
      <c r="L151" s="11">
        <v>0</v>
      </c>
      <c r="M151" s="11">
        <v>0</v>
      </c>
      <c r="N151" s="11">
        <v>0</v>
      </c>
      <c r="O151" s="11">
        <v>0</v>
      </c>
      <c r="P151" s="3"/>
    </row>
    <row r="152" spans="1:16" ht="15.75" customHeight="1" outlineLevel="1" x14ac:dyDescent="0.3">
      <c r="A152" s="3"/>
      <c r="B152" s="138" t="s">
        <v>370</v>
      </c>
      <c r="C152" s="10">
        <f t="shared" si="41"/>
        <v>0</v>
      </c>
      <c r="D152" s="11">
        <v>0</v>
      </c>
      <c r="E152" s="11">
        <v>0</v>
      </c>
      <c r="F152" s="11">
        <v>0</v>
      </c>
      <c r="G152" s="11">
        <v>0</v>
      </c>
      <c r="H152" s="11">
        <v>0</v>
      </c>
      <c r="I152" s="11">
        <v>0</v>
      </c>
      <c r="J152" s="11">
        <v>0</v>
      </c>
      <c r="K152" s="11">
        <v>0</v>
      </c>
      <c r="L152" s="11">
        <v>0</v>
      </c>
      <c r="M152" s="11">
        <v>0</v>
      </c>
      <c r="N152" s="11">
        <v>0</v>
      </c>
      <c r="O152" s="11">
        <v>0</v>
      </c>
      <c r="P152" s="3"/>
    </row>
    <row r="153" spans="1:16" ht="15.75" customHeight="1" outlineLevel="1" x14ac:dyDescent="0.3">
      <c r="A153" s="3"/>
      <c r="B153" s="138" t="s">
        <v>328</v>
      </c>
      <c r="C153" s="10">
        <f t="shared" si="41"/>
        <v>0</v>
      </c>
      <c r="D153" s="11">
        <v>0</v>
      </c>
      <c r="E153" s="11">
        <v>0</v>
      </c>
      <c r="F153" s="11">
        <v>0</v>
      </c>
      <c r="G153" s="11">
        <v>0</v>
      </c>
      <c r="H153" s="11">
        <v>0</v>
      </c>
      <c r="I153" s="11">
        <v>0</v>
      </c>
      <c r="J153" s="11">
        <v>0</v>
      </c>
      <c r="K153" s="11">
        <v>0</v>
      </c>
      <c r="L153" s="11">
        <v>0</v>
      </c>
      <c r="M153" s="11">
        <v>0</v>
      </c>
      <c r="N153" s="11">
        <v>0</v>
      </c>
      <c r="O153" s="11">
        <v>0</v>
      </c>
      <c r="P153" s="3"/>
    </row>
    <row r="154" spans="1:16" ht="15.75" customHeight="1" outlineLevel="1" x14ac:dyDescent="0.3">
      <c r="A154" s="3"/>
      <c r="B154" s="82" t="s">
        <v>381</v>
      </c>
      <c r="C154" s="84">
        <f t="shared" ref="C154:O154" si="42">SUM(C155:C159)</f>
        <v>0</v>
      </c>
      <c r="D154" s="84">
        <f t="shared" si="42"/>
        <v>0</v>
      </c>
      <c r="E154" s="84">
        <f t="shared" si="42"/>
        <v>0</v>
      </c>
      <c r="F154" s="84">
        <f t="shared" si="42"/>
        <v>0</v>
      </c>
      <c r="G154" s="84">
        <f t="shared" si="42"/>
        <v>0</v>
      </c>
      <c r="H154" s="84">
        <f t="shared" si="42"/>
        <v>0</v>
      </c>
      <c r="I154" s="84">
        <f t="shared" si="42"/>
        <v>0</v>
      </c>
      <c r="J154" s="84">
        <f t="shared" si="42"/>
        <v>0</v>
      </c>
      <c r="K154" s="84">
        <f t="shared" si="42"/>
        <v>0</v>
      </c>
      <c r="L154" s="84">
        <f t="shared" si="42"/>
        <v>0</v>
      </c>
      <c r="M154" s="84">
        <f t="shared" si="42"/>
        <v>0</v>
      </c>
      <c r="N154" s="84">
        <f t="shared" si="42"/>
        <v>0</v>
      </c>
      <c r="O154" s="84">
        <f t="shared" si="42"/>
        <v>0</v>
      </c>
      <c r="P154" s="3"/>
    </row>
    <row r="155" spans="1:16" ht="15.75" customHeight="1" outlineLevel="1" x14ac:dyDescent="0.3">
      <c r="A155" s="3"/>
      <c r="B155" s="138" t="s">
        <v>354</v>
      </c>
      <c r="C155" s="10">
        <f t="shared" ref="C155:C159" si="43">SUM(D155:O155)</f>
        <v>0</v>
      </c>
      <c r="D155" s="11">
        <v>0</v>
      </c>
      <c r="E155" s="11">
        <v>0</v>
      </c>
      <c r="F155" s="11">
        <v>0</v>
      </c>
      <c r="G155" s="11">
        <v>0</v>
      </c>
      <c r="H155" s="11">
        <v>0</v>
      </c>
      <c r="I155" s="11">
        <v>0</v>
      </c>
      <c r="J155" s="11">
        <v>0</v>
      </c>
      <c r="K155" s="11">
        <v>0</v>
      </c>
      <c r="L155" s="11">
        <v>0</v>
      </c>
      <c r="M155" s="11">
        <v>0</v>
      </c>
      <c r="N155" s="11">
        <v>0</v>
      </c>
      <c r="O155" s="11">
        <v>0</v>
      </c>
      <c r="P155" s="3"/>
    </row>
    <row r="156" spans="1:16" ht="15.75" customHeight="1" outlineLevel="1" x14ac:dyDescent="0.3">
      <c r="A156" s="3"/>
      <c r="B156" s="138" t="s">
        <v>355</v>
      </c>
      <c r="C156" s="10">
        <f t="shared" si="43"/>
        <v>0</v>
      </c>
      <c r="D156" s="11">
        <v>0</v>
      </c>
      <c r="E156" s="11">
        <v>0</v>
      </c>
      <c r="F156" s="11">
        <v>0</v>
      </c>
      <c r="G156" s="11">
        <v>0</v>
      </c>
      <c r="H156" s="11">
        <v>0</v>
      </c>
      <c r="I156" s="11">
        <v>0</v>
      </c>
      <c r="J156" s="11">
        <v>0</v>
      </c>
      <c r="K156" s="11">
        <v>0</v>
      </c>
      <c r="L156" s="11">
        <v>0</v>
      </c>
      <c r="M156" s="11">
        <v>0</v>
      </c>
      <c r="N156" s="11">
        <v>0</v>
      </c>
      <c r="O156" s="11">
        <v>0</v>
      </c>
      <c r="P156" s="3"/>
    </row>
    <row r="157" spans="1:16" ht="15.75" customHeight="1" outlineLevel="1" x14ac:dyDescent="0.3">
      <c r="A157" s="3"/>
      <c r="B157" s="138" t="s">
        <v>356</v>
      </c>
      <c r="C157" s="10">
        <f t="shared" si="43"/>
        <v>0</v>
      </c>
      <c r="D157" s="11">
        <v>0</v>
      </c>
      <c r="E157" s="11">
        <v>0</v>
      </c>
      <c r="F157" s="11">
        <v>0</v>
      </c>
      <c r="G157" s="11">
        <v>0</v>
      </c>
      <c r="H157" s="11">
        <v>0</v>
      </c>
      <c r="I157" s="11">
        <v>0</v>
      </c>
      <c r="J157" s="11">
        <v>0</v>
      </c>
      <c r="K157" s="11">
        <v>0</v>
      </c>
      <c r="L157" s="11">
        <v>0</v>
      </c>
      <c r="M157" s="11">
        <v>0</v>
      </c>
      <c r="N157" s="11">
        <v>0</v>
      </c>
      <c r="O157" s="11">
        <v>0</v>
      </c>
      <c r="P157" s="3"/>
    </row>
    <row r="158" spans="1:16" ht="15.75" customHeight="1" outlineLevel="1" x14ac:dyDescent="0.3">
      <c r="A158" s="3"/>
      <c r="B158" s="138" t="s">
        <v>370</v>
      </c>
      <c r="C158" s="10">
        <f t="shared" si="43"/>
        <v>0</v>
      </c>
      <c r="D158" s="11">
        <v>0</v>
      </c>
      <c r="E158" s="11">
        <v>0</v>
      </c>
      <c r="F158" s="11">
        <v>0</v>
      </c>
      <c r="G158" s="11">
        <v>0</v>
      </c>
      <c r="H158" s="11">
        <v>0</v>
      </c>
      <c r="I158" s="11">
        <v>0</v>
      </c>
      <c r="J158" s="11">
        <v>0</v>
      </c>
      <c r="K158" s="11">
        <v>0</v>
      </c>
      <c r="L158" s="11">
        <v>0</v>
      </c>
      <c r="M158" s="11">
        <v>0</v>
      </c>
      <c r="N158" s="11">
        <v>0</v>
      </c>
      <c r="O158" s="11">
        <v>0</v>
      </c>
      <c r="P158" s="3"/>
    </row>
    <row r="159" spans="1:16" ht="15.75" customHeight="1" outlineLevel="1" x14ac:dyDescent="0.3">
      <c r="A159" s="3"/>
      <c r="B159" s="138" t="s">
        <v>328</v>
      </c>
      <c r="C159" s="10">
        <f t="shared" si="43"/>
        <v>0</v>
      </c>
      <c r="D159" s="11">
        <v>0</v>
      </c>
      <c r="E159" s="11">
        <v>0</v>
      </c>
      <c r="F159" s="11">
        <v>0</v>
      </c>
      <c r="G159" s="11">
        <v>0</v>
      </c>
      <c r="H159" s="11">
        <v>0</v>
      </c>
      <c r="I159" s="11">
        <v>0</v>
      </c>
      <c r="J159" s="11">
        <v>0</v>
      </c>
      <c r="K159" s="11">
        <v>0</v>
      </c>
      <c r="L159" s="11">
        <v>0</v>
      </c>
      <c r="M159" s="11">
        <v>0</v>
      </c>
      <c r="N159" s="11">
        <v>0</v>
      </c>
      <c r="O159" s="11">
        <v>0</v>
      </c>
      <c r="P159" s="3"/>
    </row>
    <row r="160" spans="1:16" ht="15.75" customHeight="1" outlineLevel="1" x14ac:dyDescent="0.3">
      <c r="A160" s="3"/>
      <c r="B160" s="82" t="s">
        <v>382</v>
      </c>
      <c r="C160" s="84">
        <f t="shared" ref="C160:O160" si="44">SUM(C161:C165)</f>
        <v>0</v>
      </c>
      <c r="D160" s="84">
        <f t="shared" si="44"/>
        <v>0</v>
      </c>
      <c r="E160" s="84">
        <f t="shared" si="44"/>
        <v>0</v>
      </c>
      <c r="F160" s="84">
        <f t="shared" si="44"/>
        <v>0</v>
      </c>
      <c r="G160" s="84">
        <f t="shared" si="44"/>
        <v>0</v>
      </c>
      <c r="H160" s="84">
        <f t="shared" si="44"/>
        <v>0</v>
      </c>
      <c r="I160" s="84">
        <f t="shared" si="44"/>
        <v>0</v>
      </c>
      <c r="J160" s="84">
        <f t="shared" si="44"/>
        <v>0</v>
      </c>
      <c r="K160" s="84">
        <f t="shared" si="44"/>
        <v>0</v>
      </c>
      <c r="L160" s="84">
        <f t="shared" si="44"/>
        <v>0</v>
      </c>
      <c r="M160" s="84">
        <f t="shared" si="44"/>
        <v>0</v>
      </c>
      <c r="N160" s="84">
        <f t="shared" si="44"/>
        <v>0</v>
      </c>
      <c r="O160" s="84">
        <f t="shared" si="44"/>
        <v>0</v>
      </c>
      <c r="P160" s="3"/>
    </row>
    <row r="161" spans="1:16" ht="15.75" customHeight="1" outlineLevel="1" x14ac:dyDescent="0.3">
      <c r="A161" s="3"/>
      <c r="B161" s="138" t="s">
        <v>354</v>
      </c>
      <c r="C161" s="10">
        <f t="shared" ref="C161:C165" si="45">SUM(D161:O161)</f>
        <v>0</v>
      </c>
      <c r="D161" s="11">
        <v>0</v>
      </c>
      <c r="E161" s="11">
        <v>0</v>
      </c>
      <c r="F161" s="11">
        <v>0</v>
      </c>
      <c r="G161" s="11">
        <v>0</v>
      </c>
      <c r="H161" s="11">
        <v>0</v>
      </c>
      <c r="I161" s="11">
        <v>0</v>
      </c>
      <c r="J161" s="11">
        <v>0</v>
      </c>
      <c r="K161" s="11">
        <v>0</v>
      </c>
      <c r="L161" s="11">
        <v>0</v>
      </c>
      <c r="M161" s="11">
        <v>0</v>
      </c>
      <c r="N161" s="11">
        <v>0</v>
      </c>
      <c r="O161" s="11">
        <v>0</v>
      </c>
      <c r="P161" s="3"/>
    </row>
    <row r="162" spans="1:16" ht="15.75" customHeight="1" outlineLevel="1" x14ac:dyDescent="0.3">
      <c r="A162" s="3"/>
      <c r="B162" s="138" t="s">
        <v>355</v>
      </c>
      <c r="C162" s="10">
        <f t="shared" si="45"/>
        <v>0</v>
      </c>
      <c r="D162" s="11">
        <v>0</v>
      </c>
      <c r="E162" s="11">
        <v>0</v>
      </c>
      <c r="F162" s="11">
        <v>0</v>
      </c>
      <c r="G162" s="11">
        <v>0</v>
      </c>
      <c r="H162" s="11">
        <v>0</v>
      </c>
      <c r="I162" s="11">
        <v>0</v>
      </c>
      <c r="J162" s="11">
        <v>0</v>
      </c>
      <c r="K162" s="11">
        <v>0</v>
      </c>
      <c r="L162" s="11">
        <v>0</v>
      </c>
      <c r="M162" s="11">
        <v>0</v>
      </c>
      <c r="N162" s="11">
        <v>0</v>
      </c>
      <c r="O162" s="11">
        <v>0</v>
      </c>
      <c r="P162" s="3"/>
    </row>
    <row r="163" spans="1:16" ht="15.75" customHeight="1" outlineLevel="1" x14ac:dyDescent="0.3">
      <c r="A163" s="3"/>
      <c r="B163" s="138" t="s">
        <v>356</v>
      </c>
      <c r="C163" s="10">
        <f t="shared" si="45"/>
        <v>0</v>
      </c>
      <c r="D163" s="11">
        <v>0</v>
      </c>
      <c r="E163" s="11">
        <v>0</v>
      </c>
      <c r="F163" s="11">
        <v>0</v>
      </c>
      <c r="G163" s="11">
        <v>0</v>
      </c>
      <c r="H163" s="11">
        <v>0</v>
      </c>
      <c r="I163" s="11">
        <v>0</v>
      </c>
      <c r="J163" s="11">
        <v>0</v>
      </c>
      <c r="K163" s="11">
        <v>0</v>
      </c>
      <c r="L163" s="11">
        <v>0</v>
      </c>
      <c r="M163" s="11">
        <v>0</v>
      </c>
      <c r="N163" s="11">
        <v>0</v>
      </c>
      <c r="O163" s="11">
        <v>0</v>
      </c>
      <c r="P163" s="3"/>
    </row>
    <row r="164" spans="1:16" ht="15.75" customHeight="1" outlineLevel="1" x14ac:dyDescent="0.3">
      <c r="A164" s="3"/>
      <c r="B164" s="138" t="s">
        <v>370</v>
      </c>
      <c r="C164" s="10">
        <f t="shared" si="45"/>
        <v>0</v>
      </c>
      <c r="D164" s="11">
        <v>0</v>
      </c>
      <c r="E164" s="11">
        <v>0</v>
      </c>
      <c r="F164" s="11">
        <v>0</v>
      </c>
      <c r="G164" s="11">
        <v>0</v>
      </c>
      <c r="H164" s="11">
        <v>0</v>
      </c>
      <c r="I164" s="11">
        <v>0</v>
      </c>
      <c r="J164" s="11">
        <v>0</v>
      </c>
      <c r="K164" s="11">
        <v>0</v>
      </c>
      <c r="L164" s="11">
        <v>0</v>
      </c>
      <c r="M164" s="11">
        <v>0</v>
      </c>
      <c r="N164" s="11">
        <v>0</v>
      </c>
      <c r="O164" s="11">
        <v>0</v>
      </c>
      <c r="P164" s="3"/>
    </row>
    <row r="165" spans="1:16" ht="15.75" customHeight="1" outlineLevel="1" x14ac:dyDescent="0.3">
      <c r="A165" s="3"/>
      <c r="B165" s="138" t="s">
        <v>328</v>
      </c>
      <c r="C165" s="10">
        <f t="shared" si="45"/>
        <v>0</v>
      </c>
      <c r="D165" s="11">
        <v>0</v>
      </c>
      <c r="E165" s="11">
        <v>0</v>
      </c>
      <c r="F165" s="11">
        <v>0</v>
      </c>
      <c r="G165" s="11">
        <v>0</v>
      </c>
      <c r="H165" s="11">
        <v>0</v>
      </c>
      <c r="I165" s="11">
        <v>0</v>
      </c>
      <c r="J165" s="11">
        <v>0</v>
      </c>
      <c r="K165" s="11">
        <v>0</v>
      </c>
      <c r="L165" s="11">
        <v>0</v>
      </c>
      <c r="M165" s="11">
        <v>0</v>
      </c>
      <c r="N165" s="11">
        <v>0</v>
      </c>
      <c r="O165" s="11">
        <v>0</v>
      </c>
      <c r="P165" s="3"/>
    </row>
    <row r="166" spans="1:16" ht="15.75" customHeight="1" outlineLevel="1" x14ac:dyDescent="0.3">
      <c r="A166" s="3"/>
      <c r="B166" s="82" t="s">
        <v>383</v>
      </c>
      <c r="C166" s="84">
        <f t="shared" ref="C166:O166" si="46">SUM(C167:C171)</f>
        <v>0</v>
      </c>
      <c r="D166" s="84">
        <f t="shared" si="46"/>
        <v>0</v>
      </c>
      <c r="E166" s="84">
        <f t="shared" si="46"/>
        <v>0</v>
      </c>
      <c r="F166" s="84">
        <f t="shared" si="46"/>
        <v>0</v>
      </c>
      <c r="G166" s="84">
        <f t="shared" si="46"/>
        <v>0</v>
      </c>
      <c r="H166" s="84">
        <f t="shared" si="46"/>
        <v>0</v>
      </c>
      <c r="I166" s="84">
        <f t="shared" si="46"/>
        <v>0</v>
      </c>
      <c r="J166" s="84">
        <f t="shared" si="46"/>
        <v>0</v>
      </c>
      <c r="K166" s="84">
        <f t="shared" si="46"/>
        <v>0</v>
      </c>
      <c r="L166" s="84">
        <f t="shared" si="46"/>
        <v>0</v>
      </c>
      <c r="M166" s="84">
        <f t="shared" si="46"/>
        <v>0</v>
      </c>
      <c r="N166" s="84">
        <f t="shared" si="46"/>
        <v>0</v>
      </c>
      <c r="O166" s="84">
        <f t="shared" si="46"/>
        <v>0</v>
      </c>
      <c r="P166" s="3"/>
    </row>
    <row r="167" spans="1:16" ht="15.75" customHeight="1" outlineLevel="1" x14ac:dyDescent="0.3">
      <c r="A167" s="3"/>
      <c r="B167" s="138" t="s">
        <v>354</v>
      </c>
      <c r="C167" s="10">
        <f t="shared" ref="C167:C171" si="47">SUM(D167:O167)</f>
        <v>0</v>
      </c>
      <c r="D167" s="11">
        <v>0</v>
      </c>
      <c r="E167" s="11">
        <v>0</v>
      </c>
      <c r="F167" s="11">
        <v>0</v>
      </c>
      <c r="G167" s="11">
        <v>0</v>
      </c>
      <c r="H167" s="11">
        <v>0</v>
      </c>
      <c r="I167" s="11">
        <v>0</v>
      </c>
      <c r="J167" s="11">
        <v>0</v>
      </c>
      <c r="K167" s="11">
        <v>0</v>
      </c>
      <c r="L167" s="11">
        <v>0</v>
      </c>
      <c r="M167" s="11">
        <v>0</v>
      </c>
      <c r="N167" s="11">
        <v>0</v>
      </c>
      <c r="O167" s="11">
        <v>0</v>
      </c>
      <c r="P167" s="3"/>
    </row>
    <row r="168" spans="1:16" ht="15.75" customHeight="1" outlineLevel="1" x14ac:dyDescent="0.3">
      <c r="A168" s="3"/>
      <c r="B168" s="138" t="s">
        <v>355</v>
      </c>
      <c r="C168" s="10">
        <f t="shared" si="47"/>
        <v>0</v>
      </c>
      <c r="D168" s="11">
        <v>0</v>
      </c>
      <c r="E168" s="11">
        <v>0</v>
      </c>
      <c r="F168" s="11">
        <v>0</v>
      </c>
      <c r="G168" s="11">
        <v>0</v>
      </c>
      <c r="H168" s="11">
        <v>0</v>
      </c>
      <c r="I168" s="11">
        <v>0</v>
      </c>
      <c r="J168" s="11">
        <v>0</v>
      </c>
      <c r="K168" s="11">
        <v>0</v>
      </c>
      <c r="L168" s="11">
        <v>0</v>
      </c>
      <c r="M168" s="11">
        <v>0</v>
      </c>
      <c r="N168" s="11">
        <v>0</v>
      </c>
      <c r="O168" s="11">
        <v>0</v>
      </c>
      <c r="P168" s="3"/>
    </row>
    <row r="169" spans="1:16" ht="15.75" customHeight="1" outlineLevel="1" x14ac:dyDescent="0.3">
      <c r="A169" s="3"/>
      <c r="B169" s="138" t="s">
        <v>356</v>
      </c>
      <c r="C169" s="10">
        <f t="shared" si="47"/>
        <v>0</v>
      </c>
      <c r="D169" s="11">
        <v>0</v>
      </c>
      <c r="E169" s="11">
        <v>0</v>
      </c>
      <c r="F169" s="11">
        <v>0</v>
      </c>
      <c r="G169" s="11">
        <v>0</v>
      </c>
      <c r="H169" s="11">
        <v>0</v>
      </c>
      <c r="I169" s="11">
        <v>0</v>
      </c>
      <c r="J169" s="11">
        <v>0</v>
      </c>
      <c r="K169" s="11">
        <v>0</v>
      </c>
      <c r="L169" s="11">
        <v>0</v>
      </c>
      <c r="M169" s="11">
        <v>0</v>
      </c>
      <c r="N169" s="11">
        <v>0</v>
      </c>
      <c r="O169" s="11">
        <v>0</v>
      </c>
      <c r="P169" s="3"/>
    </row>
    <row r="170" spans="1:16" ht="15.75" customHeight="1" outlineLevel="1" x14ac:dyDescent="0.3">
      <c r="A170" s="3"/>
      <c r="B170" s="138" t="s">
        <v>370</v>
      </c>
      <c r="C170" s="10">
        <f t="shared" si="47"/>
        <v>0</v>
      </c>
      <c r="D170" s="11">
        <v>0</v>
      </c>
      <c r="E170" s="11">
        <v>0</v>
      </c>
      <c r="F170" s="11">
        <v>0</v>
      </c>
      <c r="G170" s="11">
        <v>0</v>
      </c>
      <c r="H170" s="11">
        <v>0</v>
      </c>
      <c r="I170" s="11">
        <v>0</v>
      </c>
      <c r="J170" s="11">
        <v>0</v>
      </c>
      <c r="K170" s="11">
        <v>0</v>
      </c>
      <c r="L170" s="11">
        <v>0</v>
      </c>
      <c r="M170" s="11">
        <v>0</v>
      </c>
      <c r="N170" s="11">
        <v>0</v>
      </c>
      <c r="O170" s="11">
        <v>0</v>
      </c>
      <c r="P170" s="3"/>
    </row>
    <row r="171" spans="1:16" ht="15.75" customHeight="1" outlineLevel="1" x14ac:dyDescent="0.3">
      <c r="A171" s="3"/>
      <c r="B171" s="138" t="s">
        <v>328</v>
      </c>
      <c r="C171" s="10">
        <f t="shared" si="47"/>
        <v>0</v>
      </c>
      <c r="D171" s="11">
        <v>0</v>
      </c>
      <c r="E171" s="11">
        <v>0</v>
      </c>
      <c r="F171" s="11">
        <v>0</v>
      </c>
      <c r="G171" s="11">
        <v>0</v>
      </c>
      <c r="H171" s="11">
        <v>0</v>
      </c>
      <c r="I171" s="11">
        <v>0</v>
      </c>
      <c r="J171" s="11">
        <v>0</v>
      </c>
      <c r="K171" s="11">
        <v>0</v>
      </c>
      <c r="L171" s="11">
        <v>0</v>
      </c>
      <c r="M171" s="11">
        <v>0</v>
      </c>
      <c r="N171" s="11">
        <v>0</v>
      </c>
      <c r="O171" s="11">
        <v>0</v>
      </c>
      <c r="P171" s="3"/>
    </row>
    <row r="172" spans="1:16" ht="15.75" customHeight="1" x14ac:dyDescent="0.3">
      <c r="A172" s="3"/>
      <c r="B172" s="75" t="s">
        <v>384</v>
      </c>
      <c r="C172" s="77">
        <f t="shared" ref="C172:O172" si="48">SUM(C173:C177)</f>
        <v>0</v>
      </c>
      <c r="D172" s="77">
        <f t="shared" si="48"/>
        <v>0</v>
      </c>
      <c r="E172" s="77">
        <f t="shared" si="48"/>
        <v>0</v>
      </c>
      <c r="F172" s="77">
        <f t="shared" si="48"/>
        <v>0</v>
      </c>
      <c r="G172" s="77">
        <f t="shared" si="48"/>
        <v>0</v>
      </c>
      <c r="H172" s="77">
        <f t="shared" si="48"/>
        <v>0</v>
      </c>
      <c r="I172" s="77">
        <f t="shared" si="48"/>
        <v>0</v>
      </c>
      <c r="J172" s="77">
        <f t="shared" si="48"/>
        <v>0</v>
      </c>
      <c r="K172" s="77">
        <f t="shared" si="48"/>
        <v>0</v>
      </c>
      <c r="L172" s="77">
        <f t="shared" si="48"/>
        <v>0</v>
      </c>
      <c r="M172" s="77">
        <f t="shared" si="48"/>
        <v>0</v>
      </c>
      <c r="N172" s="77">
        <f t="shared" si="48"/>
        <v>0</v>
      </c>
      <c r="O172" s="77">
        <f t="shared" si="48"/>
        <v>0</v>
      </c>
      <c r="P172" s="3"/>
    </row>
    <row r="173" spans="1:16" ht="15.75" customHeight="1" outlineLevel="1" x14ac:dyDescent="0.3">
      <c r="A173" s="3"/>
      <c r="B173" s="138" t="s">
        <v>354</v>
      </c>
      <c r="C173" s="10">
        <f t="shared" ref="C173:C177" si="49">SUM(D173:O173)</f>
        <v>0</v>
      </c>
      <c r="D173" s="11">
        <v>0</v>
      </c>
      <c r="E173" s="11">
        <v>0</v>
      </c>
      <c r="F173" s="11">
        <v>0</v>
      </c>
      <c r="G173" s="11">
        <v>0</v>
      </c>
      <c r="H173" s="11">
        <v>0</v>
      </c>
      <c r="I173" s="11">
        <v>0</v>
      </c>
      <c r="J173" s="11">
        <v>0</v>
      </c>
      <c r="K173" s="11">
        <v>0</v>
      </c>
      <c r="L173" s="11">
        <v>0</v>
      </c>
      <c r="M173" s="11">
        <v>0</v>
      </c>
      <c r="N173" s="11">
        <v>0</v>
      </c>
      <c r="O173" s="11">
        <v>0</v>
      </c>
      <c r="P173" s="3"/>
    </row>
    <row r="174" spans="1:16" ht="15.75" customHeight="1" outlineLevel="1" x14ac:dyDescent="0.3">
      <c r="A174" s="3"/>
      <c r="B174" s="138" t="s">
        <v>355</v>
      </c>
      <c r="C174" s="10">
        <f t="shared" si="49"/>
        <v>0</v>
      </c>
      <c r="D174" s="11">
        <v>0</v>
      </c>
      <c r="E174" s="11">
        <v>0</v>
      </c>
      <c r="F174" s="11">
        <v>0</v>
      </c>
      <c r="G174" s="11">
        <v>0</v>
      </c>
      <c r="H174" s="11">
        <v>0</v>
      </c>
      <c r="I174" s="11">
        <v>0</v>
      </c>
      <c r="J174" s="11">
        <v>0</v>
      </c>
      <c r="K174" s="11">
        <v>0</v>
      </c>
      <c r="L174" s="11">
        <v>0</v>
      </c>
      <c r="M174" s="11">
        <v>0</v>
      </c>
      <c r="N174" s="11">
        <v>0</v>
      </c>
      <c r="O174" s="11">
        <v>0</v>
      </c>
      <c r="P174" s="3"/>
    </row>
    <row r="175" spans="1:16" ht="15.75" customHeight="1" outlineLevel="1" x14ac:dyDescent="0.3">
      <c r="A175" s="3"/>
      <c r="B175" s="138" t="s">
        <v>356</v>
      </c>
      <c r="C175" s="10">
        <f t="shared" si="49"/>
        <v>0</v>
      </c>
      <c r="D175" s="11">
        <v>0</v>
      </c>
      <c r="E175" s="11">
        <v>0</v>
      </c>
      <c r="F175" s="11">
        <v>0</v>
      </c>
      <c r="G175" s="11">
        <v>0</v>
      </c>
      <c r="H175" s="11">
        <v>0</v>
      </c>
      <c r="I175" s="11">
        <v>0</v>
      </c>
      <c r="J175" s="11">
        <v>0</v>
      </c>
      <c r="K175" s="11">
        <v>0</v>
      </c>
      <c r="L175" s="11">
        <v>0</v>
      </c>
      <c r="M175" s="11">
        <v>0</v>
      </c>
      <c r="N175" s="11">
        <v>0</v>
      </c>
      <c r="O175" s="11">
        <v>0</v>
      </c>
      <c r="P175" s="3"/>
    </row>
    <row r="176" spans="1:16" ht="15.75" customHeight="1" outlineLevel="1" x14ac:dyDescent="0.3">
      <c r="A176" s="3"/>
      <c r="B176" s="138" t="s">
        <v>370</v>
      </c>
      <c r="C176" s="10">
        <f t="shared" si="49"/>
        <v>0</v>
      </c>
      <c r="D176" s="11">
        <v>0</v>
      </c>
      <c r="E176" s="11">
        <v>0</v>
      </c>
      <c r="F176" s="11">
        <v>0</v>
      </c>
      <c r="G176" s="11">
        <v>0</v>
      </c>
      <c r="H176" s="11">
        <v>0</v>
      </c>
      <c r="I176" s="11">
        <v>0</v>
      </c>
      <c r="J176" s="11">
        <v>0</v>
      </c>
      <c r="K176" s="11">
        <v>0</v>
      </c>
      <c r="L176" s="11">
        <v>0</v>
      </c>
      <c r="M176" s="11">
        <v>0</v>
      </c>
      <c r="N176" s="11">
        <v>0</v>
      </c>
      <c r="O176" s="11">
        <v>0</v>
      </c>
      <c r="P176" s="3"/>
    </row>
    <row r="177" spans="1:16" ht="15.75" customHeight="1" outlineLevel="1" x14ac:dyDescent="0.3">
      <c r="A177" s="3"/>
      <c r="B177" s="138" t="s">
        <v>328</v>
      </c>
      <c r="C177" s="10">
        <f t="shared" si="49"/>
        <v>0</v>
      </c>
      <c r="D177" s="11">
        <v>0</v>
      </c>
      <c r="E177" s="11">
        <v>0</v>
      </c>
      <c r="F177" s="11">
        <v>0</v>
      </c>
      <c r="G177" s="11">
        <v>0</v>
      </c>
      <c r="H177" s="11">
        <v>0</v>
      </c>
      <c r="I177" s="11">
        <v>0</v>
      </c>
      <c r="J177" s="11">
        <v>0</v>
      </c>
      <c r="K177" s="11">
        <v>0</v>
      </c>
      <c r="L177" s="11">
        <v>0</v>
      </c>
      <c r="M177" s="11">
        <v>0</v>
      </c>
      <c r="N177" s="11">
        <v>0</v>
      </c>
      <c r="O177" s="11">
        <v>0</v>
      </c>
      <c r="P177" s="3"/>
    </row>
    <row r="178" spans="1:16" ht="15.75" customHeight="1" x14ac:dyDescent="0.3">
      <c r="A178" s="3"/>
      <c r="B178" s="75" t="s">
        <v>385</v>
      </c>
      <c r="C178" s="77">
        <f t="shared" ref="C178:O178" si="50">SUM(C179:C183)</f>
        <v>0</v>
      </c>
      <c r="D178" s="77">
        <f t="shared" si="50"/>
        <v>0</v>
      </c>
      <c r="E178" s="77">
        <f t="shared" si="50"/>
        <v>0</v>
      </c>
      <c r="F178" s="77">
        <f t="shared" si="50"/>
        <v>0</v>
      </c>
      <c r="G178" s="77">
        <f t="shared" si="50"/>
        <v>0</v>
      </c>
      <c r="H178" s="77">
        <f t="shared" si="50"/>
        <v>0</v>
      </c>
      <c r="I178" s="77">
        <f t="shared" si="50"/>
        <v>0</v>
      </c>
      <c r="J178" s="77">
        <f t="shared" si="50"/>
        <v>0</v>
      </c>
      <c r="K178" s="77">
        <f t="shared" si="50"/>
        <v>0</v>
      </c>
      <c r="L178" s="77">
        <f t="shared" si="50"/>
        <v>0</v>
      </c>
      <c r="M178" s="77">
        <f t="shared" si="50"/>
        <v>0</v>
      </c>
      <c r="N178" s="77">
        <f t="shared" si="50"/>
        <v>0</v>
      </c>
      <c r="O178" s="77">
        <f t="shared" si="50"/>
        <v>0</v>
      </c>
      <c r="P178" s="3"/>
    </row>
    <row r="179" spans="1:16" ht="15.75" customHeight="1" outlineLevel="1" x14ac:dyDescent="0.3">
      <c r="A179" s="3"/>
      <c r="B179" s="138" t="s">
        <v>354</v>
      </c>
      <c r="C179" s="10">
        <f t="shared" ref="C179:C183" si="51">SUM(D179:O179)</f>
        <v>0</v>
      </c>
      <c r="D179" s="11">
        <v>0</v>
      </c>
      <c r="E179" s="11">
        <v>0</v>
      </c>
      <c r="F179" s="11">
        <v>0</v>
      </c>
      <c r="G179" s="11">
        <v>0</v>
      </c>
      <c r="H179" s="11">
        <v>0</v>
      </c>
      <c r="I179" s="11">
        <v>0</v>
      </c>
      <c r="J179" s="11">
        <v>0</v>
      </c>
      <c r="K179" s="11">
        <v>0</v>
      </c>
      <c r="L179" s="11">
        <v>0</v>
      </c>
      <c r="M179" s="11">
        <v>0</v>
      </c>
      <c r="N179" s="11">
        <v>0</v>
      </c>
      <c r="O179" s="11">
        <v>0</v>
      </c>
      <c r="P179" s="3"/>
    </row>
    <row r="180" spans="1:16" ht="15.75" customHeight="1" outlineLevel="1" x14ac:dyDescent="0.3">
      <c r="A180" s="3"/>
      <c r="B180" s="138" t="s">
        <v>355</v>
      </c>
      <c r="C180" s="10">
        <f t="shared" si="51"/>
        <v>0</v>
      </c>
      <c r="D180" s="11">
        <v>0</v>
      </c>
      <c r="E180" s="11">
        <v>0</v>
      </c>
      <c r="F180" s="11">
        <v>0</v>
      </c>
      <c r="G180" s="11">
        <v>0</v>
      </c>
      <c r="H180" s="11">
        <v>0</v>
      </c>
      <c r="I180" s="11">
        <v>0</v>
      </c>
      <c r="J180" s="11">
        <v>0</v>
      </c>
      <c r="K180" s="11">
        <v>0</v>
      </c>
      <c r="L180" s="11">
        <v>0</v>
      </c>
      <c r="M180" s="11">
        <v>0</v>
      </c>
      <c r="N180" s="11">
        <v>0</v>
      </c>
      <c r="O180" s="11">
        <v>0</v>
      </c>
      <c r="P180" s="3"/>
    </row>
    <row r="181" spans="1:16" ht="15.75" customHeight="1" outlineLevel="1" x14ac:dyDescent="0.3">
      <c r="A181" s="3"/>
      <c r="B181" s="138" t="s">
        <v>356</v>
      </c>
      <c r="C181" s="10">
        <f t="shared" si="51"/>
        <v>0</v>
      </c>
      <c r="D181" s="11">
        <v>0</v>
      </c>
      <c r="E181" s="11">
        <v>0</v>
      </c>
      <c r="F181" s="11">
        <v>0</v>
      </c>
      <c r="G181" s="11">
        <v>0</v>
      </c>
      <c r="H181" s="11">
        <v>0</v>
      </c>
      <c r="I181" s="11">
        <v>0</v>
      </c>
      <c r="J181" s="11">
        <v>0</v>
      </c>
      <c r="K181" s="11">
        <v>0</v>
      </c>
      <c r="L181" s="11">
        <v>0</v>
      </c>
      <c r="M181" s="11">
        <v>0</v>
      </c>
      <c r="N181" s="11">
        <v>0</v>
      </c>
      <c r="O181" s="11">
        <v>0</v>
      </c>
      <c r="P181" s="3"/>
    </row>
    <row r="182" spans="1:16" ht="15.75" customHeight="1" outlineLevel="1" x14ac:dyDescent="0.3">
      <c r="A182" s="3"/>
      <c r="B182" s="138" t="s">
        <v>370</v>
      </c>
      <c r="C182" s="10">
        <f t="shared" si="51"/>
        <v>0</v>
      </c>
      <c r="D182" s="11">
        <v>0</v>
      </c>
      <c r="E182" s="11">
        <v>0</v>
      </c>
      <c r="F182" s="11">
        <v>0</v>
      </c>
      <c r="G182" s="11">
        <v>0</v>
      </c>
      <c r="H182" s="11">
        <v>0</v>
      </c>
      <c r="I182" s="11">
        <v>0</v>
      </c>
      <c r="J182" s="11">
        <v>0</v>
      </c>
      <c r="K182" s="11">
        <v>0</v>
      </c>
      <c r="L182" s="11">
        <v>0</v>
      </c>
      <c r="M182" s="11">
        <v>0</v>
      </c>
      <c r="N182" s="11">
        <v>0</v>
      </c>
      <c r="O182" s="11">
        <v>0</v>
      </c>
      <c r="P182" s="3"/>
    </row>
    <row r="183" spans="1:16" ht="15.75" customHeight="1" outlineLevel="1" x14ac:dyDescent="0.3">
      <c r="A183" s="3"/>
      <c r="B183" s="138" t="s">
        <v>328</v>
      </c>
      <c r="C183" s="10">
        <f t="shared" si="51"/>
        <v>0</v>
      </c>
      <c r="D183" s="11">
        <v>0</v>
      </c>
      <c r="E183" s="11">
        <v>0</v>
      </c>
      <c r="F183" s="11">
        <v>0</v>
      </c>
      <c r="G183" s="11">
        <v>0</v>
      </c>
      <c r="H183" s="11">
        <v>0</v>
      </c>
      <c r="I183" s="11">
        <v>0</v>
      </c>
      <c r="J183" s="11">
        <v>0</v>
      </c>
      <c r="K183" s="11">
        <v>0</v>
      </c>
      <c r="L183" s="11">
        <v>0</v>
      </c>
      <c r="M183" s="11">
        <v>0</v>
      </c>
      <c r="N183" s="11">
        <v>0</v>
      </c>
      <c r="O183" s="11">
        <v>0</v>
      </c>
      <c r="P183" s="3"/>
    </row>
    <row r="184" spans="1:16" ht="15.75" customHeight="1" x14ac:dyDescent="0.3">
      <c r="A184" s="3"/>
      <c r="B184" s="75" t="s">
        <v>395</v>
      </c>
      <c r="C184" s="77">
        <f t="shared" ref="C184:O184" si="52">SUM(C185:C193)</f>
        <v>0</v>
      </c>
      <c r="D184" s="77">
        <f t="shared" si="52"/>
        <v>0</v>
      </c>
      <c r="E184" s="77">
        <f t="shared" si="52"/>
        <v>0</v>
      </c>
      <c r="F184" s="77">
        <f t="shared" si="52"/>
        <v>0</v>
      </c>
      <c r="G184" s="77">
        <f t="shared" si="52"/>
        <v>0</v>
      </c>
      <c r="H184" s="77">
        <f t="shared" si="52"/>
        <v>0</v>
      </c>
      <c r="I184" s="77">
        <f t="shared" si="52"/>
        <v>0</v>
      </c>
      <c r="J184" s="77">
        <f t="shared" si="52"/>
        <v>0</v>
      </c>
      <c r="K184" s="77">
        <f t="shared" si="52"/>
        <v>0</v>
      </c>
      <c r="L184" s="77">
        <f t="shared" si="52"/>
        <v>0</v>
      </c>
      <c r="M184" s="77">
        <f t="shared" si="52"/>
        <v>0</v>
      </c>
      <c r="N184" s="77">
        <f t="shared" si="52"/>
        <v>0</v>
      </c>
      <c r="O184" s="77">
        <f t="shared" si="52"/>
        <v>0</v>
      </c>
      <c r="P184" s="3"/>
    </row>
    <row r="185" spans="1:16" ht="15.75" customHeight="1" outlineLevel="1" x14ac:dyDescent="0.3">
      <c r="A185" s="3"/>
      <c r="B185" s="138" t="s">
        <v>354</v>
      </c>
      <c r="C185" s="10">
        <f t="shared" ref="C185:C193" si="53">SUM(D185:O185)</f>
        <v>0</v>
      </c>
      <c r="D185" s="11">
        <v>0</v>
      </c>
      <c r="E185" s="11">
        <v>0</v>
      </c>
      <c r="F185" s="11">
        <v>0</v>
      </c>
      <c r="G185" s="11">
        <v>0</v>
      </c>
      <c r="H185" s="11">
        <v>0</v>
      </c>
      <c r="I185" s="11">
        <v>0</v>
      </c>
      <c r="J185" s="11">
        <v>0</v>
      </c>
      <c r="K185" s="11">
        <v>0</v>
      </c>
      <c r="L185" s="11">
        <v>0</v>
      </c>
      <c r="M185" s="11">
        <v>0</v>
      </c>
      <c r="N185" s="11">
        <v>0</v>
      </c>
      <c r="O185" s="11">
        <v>0</v>
      </c>
      <c r="P185" s="3"/>
    </row>
    <row r="186" spans="1:16" ht="15.75" customHeight="1" outlineLevel="1" x14ac:dyDescent="0.3">
      <c r="A186" s="3"/>
      <c r="B186" s="138" t="s">
        <v>355</v>
      </c>
      <c r="C186" s="10">
        <f t="shared" si="53"/>
        <v>0</v>
      </c>
      <c r="D186" s="11">
        <v>0</v>
      </c>
      <c r="E186" s="11">
        <v>0</v>
      </c>
      <c r="F186" s="11">
        <v>0</v>
      </c>
      <c r="G186" s="11">
        <v>0</v>
      </c>
      <c r="H186" s="11">
        <v>0</v>
      </c>
      <c r="I186" s="11">
        <v>0</v>
      </c>
      <c r="J186" s="11">
        <v>0</v>
      </c>
      <c r="K186" s="11">
        <v>0</v>
      </c>
      <c r="L186" s="11">
        <v>0</v>
      </c>
      <c r="M186" s="11">
        <v>0</v>
      </c>
      <c r="N186" s="11">
        <v>0</v>
      </c>
      <c r="O186" s="11">
        <v>0</v>
      </c>
      <c r="P186" s="3"/>
    </row>
    <row r="187" spans="1:16" ht="15.75" customHeight="1" outlineLevel="1" x14ac:dyDescent="0.3">
      <c r="A187" s="3"/>
      <c r="B187" s="138" t="s">
        <v>356</v>
      </c>
      <c r="C187" s="10">
        <f t="shared" si="53"/>
        <v>0</v>
      </c>
      <c r="D187" s="11">
        <v>0</v>
      </c>
      <c r="E187" s="11">
        <v>0</v>
      </c>
      <c r="F187" s="11">
        <v>0</v>
      </c>
      <c r="G187" s="11">
        <v>0</v>
      </c>
      <c r="H187" s="11">
        <v>0</v>
      </c>
      <c r="I187" s="11">
        <v>0</v>
      </c>
      <c r="J187" s="11">
        <v>0</v>
      </c>
      <c r="K187" s="11">
        <v>0</v>
      </c>
      <c r="L187" s="11">
        <v>0</v>
      </c>
      <c r="M187" s="11">
        <v>0</v>
      </c>
      <c r="N187" s="11">
        <v>0</v>
      </c>
      <c r="O187" s="11">
        <v>0</v>
      </c>
      <c r="P187" s="3"/>
    </row>
    <row r="188" spans="1:16" ht="15.75" customHeight="1" outlineLevel="1" x14ac:dyDescent="0.3">
      <c r="A188" s="3"/>
      <c r="B188" s="138" t="s">
        <v>370</v>
      </c>
      <c r="C188" s="10">
        <f t="shared" si="53"/>
        <v>0</v>
      </c>
      <c r="D188" s="11">
        <v>0</v>
      </c>
      <c r="E188" s="11">
        <v>0</v>
      </c>
      <c r="F188" s="11">
        <v>0</v>
      </c>
      <c r="G188" s="11">
        <v>0</v>
      </c>
      <c r="H188" s="11">
        <v>0</v>
      </c>
      <c r="I188" s="11">
        <v>0</v>
      </c>
      <c r="J188" s="11">
        <v>0</v>
      </c>
      <c r="K188" s="11">
        <v>0</v>
      </c>
      <c r="L188" s="11">
        <v>0</v>
      </c>
      <c r="M188" s="11">
        <v>0</v>
      </c>
      <c r="N188" s="11">
        <v>0</v>
      </c>
      <c r="O188" s="11">
        <v>0</v>
      </c>
      <c r="P188" s="3"/>
    </row>
    <row r="189" spans="1:16" ht="15.75" customHeight="1" outlineLevel="1" x14ac:dyDescent="0.3">
      <c r="A189" s="3"/>
      <c r="B189" s="138" t="s">
        <v>328</v>
      </c>
      <c r="C189" s="10">
        <f t="shared" si="53"/>
        <v>0</v>
      </c>
      <c r="D189" s="11">
        <v>0</v>
      </c>
      <c r="E189" s="11">
        <v>0</v>
      </c>
      <c r="F189" s="11">
        <v>0</v>
      </c>
      <c r="G189" s="11">
        <v>0</v>
      </c>
      <c r="H189" s="11">
        <v>0</v>
      </c>
      <c r="I189" s="11">
        <v>0</v>
      </c>
      <c r="J189" s="11">
        <v>0</v>
      </c>
      <c r="K189" s="11">
        <v>0</v>
      </c>
      <c r="L189" s="11">
        <v>0</v>
      </c>
      <c r="M189" s="11">
        <v>0</v>
      </c>
      <c r="N189" s="11">
        <v>0</v>
      </c>
      <c r="O189" s="11">
        <v>0</v>
      </c>
      <c r="P189" s="3"/>
    </row>
    <row r="190" spans="1:16" ht="15.75" customHeight="1" outlineLevel="1" x14ac:dyDescent="0.3">
      <c r="A190" s="3"/>
      <c r="B190" s="138" t="s">
        <v>329</v>
      </c>
      <c r="C190" s="10">
        <f t="shared" si="53"/>
        <v>0</v>
      </c>
      <c r="D190" s="11">
        <v>0</v>
      </c>
      <c r="E190" s="11">
        <v>0</v>
      </c>
      <c r="F190" s="11">
        <v>0</v>
      </c>
      <c r="G190" s="11">
        <v>0</v>
      </c>
      <c r="H190" s="11">
        <v>0</v>
      </c>
      <c r="I190" s="11">
        <v>0</v>
      </c>
      <c r="J190" s="11">
        <v>0</v>
      </c>
      <c r="K190" s="11">
        <v>0</v>
      </c>
      <c r="L190" s="11">
        <v>0</v>
      </c>
      <c r="M190" s="11">
        <v>0</v>
      </c>
      <c r="N190" s="11">
        <v>0</v>
      </c>
      <c r="O190" s="11">
        <v>0</v>
      </c>
      <c r="P190" s="3"/>
    </row>
    <row r="191" spans="1:16" ht="15.75" customHeight="1" outlineLevel="1" x14ac:dyDescent="0.3">
      <c r="A191" s="3"/>
      <c r="B191" s="138" t="s">
        <v>371</v>
      </c>
      <c r="C191" s="10">
        <f t="shared" si="53"/>
        <v>0</v>
      </c>
      <c r="D191" s="11">
        <v>0</v>
      </c>
      <c r="E191" s="11">
        <v>0</v>
      </c>
      <c r="F191" s="11">
        <v>0</v>
      </c>
      <c r="G191" s="11">
        <v>0</v>
      </c>
      <c r="H191" s="11">
        <v>0</v>
      </c>
      <c r="I191" s="11">
        <v>0</v>
      </c>
      <c r="J191" s="11">
        <v>0</v>
      </c>
      <c r="K191" s="11">
        <v>0</v>
      </c>
      <c r="L191" s="11">
        <v>0</v>
      </c>
      <c r="M191" s="11">
        <v>0</v>
      </c>
      <c r="N191" s="11">
        <v>0</v>
      </c>
      <c r="O191" s="11">
        <v>0</v>
      </c>
      <c r="P191" s="3"/>
    </row>
    <row r="192" spans="1:16" ht="15.75" customHeight="1" outlineLevel="1" x14ac:dyDescent="0.3">
      <c r="A192" s="3"/>
      <c r="B192" s="138" t="s">
        <v>372</v>
      </c>
      <c r="C192" s="10">
        <f t="shared" si="53"/>
        <v>0</v>
      </c>
      <c r="D192" s="11">
        <v>0</v>
      </c>
      <c r="E192" s="11">
        <v>0</v>
      </c>
      <c r="F192" s="11">
        <v>0</v>
      </c>
      <c r="G192" s="11">
        <v>0</v>
      </c>
      <c r="H192" s="11">
        <v>0</v>
      </c>
      <c r="I192" s="11">
        <v>0</v>
      </c>
      <c r="J192" s="11">
        <v>0</v>
      </c>
      <c r="K192" s="11">
        <v>0</v>
      </c>
      <c r="L192" s="11">
        <v>0</v>
      </c>
      <c r="M192" s="11">
        <v>0</v>
      </c>
      <c r="N192" s="11">
        <v>0</v>
      </c>
      <c r="O192" s="11">
        <v>0</v>
      </c>
      <c r="P192" s="3"/>
    </row>
    <row r="193" spans="1:16" ht="15.75" customHeight="1" outlineLevel="1" x14ac:dyDescent="0.3">
      <c r="A193" s="3"/>
      <c r="B193" s="138" t="s">
        <v>373</v>
      </c>
      <c r="C193" s="10">
        <f t="shared" si="53"/>
        <v>0</v>
      </c>
      <c r="D193" s="11">
        <v>0</v>
      </c>
      <c r="E193" s="11">
        <v>0</v>
      </c>
      <c r="F193" s="11">
        <v>0</v>
      </c>
      <c r="G193" s="11">
        <v>0</v>
      </c>
      <c r="H193" s="11">
        <v>0</v>
      </c>
      <c r="I193" s="11">
        <v>0</v>
      </c>
      <c r="J193" s="11">
        <v>0</v>
      </c>
      <c r="K193" s="11">
        <v>0</v>
      </c>
      <c r="L193" s="11">
        <v>0</v>
      </c>
      <c r="M193" s="11">
        <v>0</v>
      </c>
      <c r="N193" s="11">
        <v>0</v>
      </c>
      <c r="O193" s="11">
        <v>0</v>
      </c>
      <c r="P193" s="3"/>
    </row>
    <row r="194" spans="1:16" ht="15.75" customHeight="1" x14ac:dyDescent="0.3">
      <c r="A194" s="3"/>
      <c r="B194" s="75" t="s">
        <v>402</v>
      </c>
      <c r="C194" s="77">
        <f t="shared" ref="C194:O194" si="54">SUM(C195:C203)</f>
        <v>0</v>
      </c>
      <c r="D194" s="77">
        <f t="shared" si="54"/>
        <v>0</v>
      </c>
      <c r="E194" s="77">
        <f t="shared" si="54"/>
        <v>0</v>
      </c>
      <c r="F194" s="77">
        <f t="shared" si="54"/>
        <v>0</v>
      </c>
      <c r="G194" s="77">
        <f t="shared" si="54"/>
        <v>0</v>
      </c>
      <c r="H194" s="77">
        <f t="shared" si="54"/>
        <v>0</v>
      </c>
      <c r="I194" s="77">
        <f t="shared" si="54"/>
        <v>0</v>
      </c>
      <c r="J194" s="77">
        <f t="shared" si="54"/>
        <v>0</v>
      </c>
      <c r="K194" s="77">
        <f t="shared" si="54"/>
        <v>0</v>
      </c>
      <c r="L194" s="77">
        <f t="shared" si="54"/>
        <v>0</v>
      </c>
      <c r="M194" s="77">
        <f t="shared" si="54"/>
        <v>0</v>
      </c>
      <c r="N194" s="77">
        <f t="shared" si="54"/>
        <v>0</v>
      </c>
      <c r="O194" s="77">
        <f t="shared" si="54"/>
        <v>0</v>
      </c>
      <c r="P194" s="3"/>
    </row>
    <row r="195" spans="1:16" ht="15.75" customHeight="1" outlineLevel="1" x14ac:dyDescent="0.3">
      <c r="A195" s="3"/>
      <c r="B195" s="138" t="s">
        <v>354</v>
      </c>
      <c r="C195" s="10">
        <f t="shared" ref="C195:C203" si="55">SUM(D195:O195)</f>
        <v>0</v>
      </c>
      <c r="D195" s="11">
        <v>0</v>
      </c>
      <c r="E195" s="11">
        <v>0</v>
      </c>
      <c r="F195" s="11">
        <v>0</v>
      </c>
      <c r="G195" s="11">
        <v>0</v>
      </c>
      <c r="H195" s="11">
        <v>0</v>
      </c>
      <c r="I195" s="11">
        <v>0</v>
      </c>
      <c r="J195" s="11">
        <v>0</v>
      </c>
      <c r="K195" s="11">
        <v>0</v>
      </c>
      <c r="L195" s="11">
        <v>0</v>
      </c>
      <c r="M195" s="11">
        <v>0</v>
      </c>
      <c r="N195" s="11">
        <v>0</v>
      </c>
      <c r="O195" s="11">
        <v>0</v>
      </c>
      <c r="P195" s="3"/>
    </row>
    <row r="196" spans="1:16" ht="15.75" customHeight="1" outlineLevel="1" x14ac:dyDescent="0.3">
      <c r="A196" s="3"/>
      <c r="B196" s="138" t="s">
        <v>355</v>
      </c>
      <c r="C196" s="10">
        <f t="shared" si="55"/>
        <v>0</v>
      </c>
      <c r="D196" s="11">
        <v>0</v>
      </c>
      <c r="E196" s="11">
        <v>0</v>
      </c>
      <c r="F196" s="11">
        <v>0</v>
      </c>
      <c r="G196" s="11">
        <v>0</v>
      </c>
      <c r="H196" s="11">
        <v>0</v>
      </c>
      <c r="I196" s="11">
        <v>0</v>
      </c>
      <c r="J196" s="11">
        <v>0</v>
      </c>
      <c r="K196" s="11">
        <v>0</v>
      </c>
      <c r="L196" s="11">
        <v>0</v>
      </c>
      <c r="M196" s="11">
        <v>0</v>
      </c>
      <c r="N196" s="11">
        <v>0</v>
      </c>
      <c r="O196" s="11">
        <v>0</v>
      </c>
      <c r="P196" s="3"/>
    </row>
    <row r="197" spans="1:16" ht="15.75" customHeight="1" outlineLevel="1" x14ac:dyDescent="0.3">
      <c r="A197" s="3"/>
      <c r="B197" s="138" t="s">
        <v>356</v>
      </c>
      <c r="C197" s="10">
        <f t="shared" si="55"/>
        <v>0</v>
      </c>
      <c r="D197" s="11">
        <v>0</v>
      </c>
      <c r="E197" s="11">
        <v>0</v>
      </c>
      <c r="F197" s="11">
        <v>0</v>
      </c>
      <c r="G197" s="11">
        <v>0</v>
      </c>
      <c r="H197" s="11">
        <v>0</v>
      </c>
      <c r="I197" s="11">
        <v>0</v>
      </c>
      <c r="J197" s="11">
        <v>0</v>
      </c>
      <c r="K197" s="11">
        <v>0</v>
      </c>
      <c r="L197" s="11">
        <v>0</v>
      </c>
      <c r="M197" s="11">
        <v>0</v>
      </c>
      <c r="N197" s="11">
        <v>0</v>
      </c>
      <c r="O197" s="11">
        <v>0</v>
      </c>
      <c r="P197" s="3"/>
    </row>
    <row r="198" spans="1:16" ht="15.75" customHeight="1" outlineLevel="1" x14ac:dyDescent="0.3">
      <c r="A198" s="3"/>
      <c r="B198" s="138" t="s">
        <v>370</v>
      </c>
      <c r="C198" s="10">
        <f t="shared" si="55"/>
        <v>0</v>
      </c>
      <c r="D198" s="11">
        <v>0</v>
      </c>
      <c r="E198" s="11">
        <v>0</v>
      </c>
      <c r="F198" s="11">
        <v>0</v>
      </c>
      <c r="G198" s="11">
        <v>0</v>
      </c>
      <c r="H198" s="11">
        <v>0</v>
      </c>
      <c r="I198" s="11">
        <v>0</v>
      </c>
      <c r="J198" s="11">
        <v>0</v>
      </c>
      <c r="K198" s="11">
        <v>0</v>
      </c>
      <c r="L198" s="11">
        <v>0</v>
      </c>
      <c r="M198" s="11">
        <v>0</v>
      </c>
      <c r="N198" s="11">
        <v>0</v>
      </c>
      <c r="O198" s="11">
        <v>0</v>
      </c>
      <c r="P198" s="3"/>
    </row>
    <row r="199" spans="1:16" ht="15.75" customHeight="1" outlineLevel="1" x14ac:dyDescent="0.3">
      <c r="A199" s="3"/>
      <c r="B199" s="138" t="s">
        <v>328</v>
      </c>
      <c r="C199" s="10">
        <f t="shared" si="55"/>
        <v>0</v>
      </c>
      <c r="D199" s="11">
        <v>0</v>
      </c>
      <c r="E199" s="11">
        <v>0</v>
      </c>
      <c r="F199" s="11">
        <v>0</v>
      </c>
      <c r="G199" s="11">
        <v>0</v>
      </c>
      <c r="H199" s="11">
        <v>0</v>
      </c>
      <c r="I199" s="11">
        <v>0</v>
      </c>
      <c r="J199" s="11">
        <v>0</v>
      </c>
      <c r="K199" s="11">
        <v>0</v>
      </c>
      <c r="L199" s="11">
        <v>0</v>
      </c>
      <c r="M199" s="11">
        <v>0</v>
      </c>
      <c r="N199" s="11">
        <v>0</v>
      </c>
      <c r="O199" s="11">
        <v>0</v>
      </c>
      <c r="P199" s="3"/>
    </row>
    <row r="200" spans="1:16" ht="15.75" customHeight="1" outlineLevel="1" x14ac:dyDescent="0.3">
      <c r="A200" s="3"/>
      <c r="B200" s="138" t="s">
        <v>329</v>
      </c>
      <c r="C200" s="10">
        <f t="shared" si="55"/>
        <v>0</v>
      </c>
      <c r="D200" s="11">
        <v>0</v>
      </c>
      <c r="E200" s="11">
        <v>0</v>
      </c>
      <c r="F200" s="11">
        <v>0</v>
      </c>
      <c r="G200" s="11">
        <v>0</v>
      </c>
      <c r="H200" s="11">
        <v>0</v>
      </c>
      <c r="I200" s="11">
        <v>0</v>
      </c>
      <c r="J200" s="11">
        <v>0</v>
      </c>
      <c r="K200" s="11">
        <v>0</v>
      </c>
      <c r="L200" s="11">
        <v>0</v>
      </c>
      <c r="M200" s="11">
        <v>0</v>
      </c>
      <c r="N200" s="11">
        <v>0</v>
      </c>
      <c r="O200" s="11">
        <v>0</v>
      </c>
      <c r="P200" s="3"/>
    </row>
    <row r="201" spans="1:16" ht="15.75" customHeight="1" outlineLevel="1" x14ac:dyDescent="0.3">
      <c r="A201" s="3"/>
      <c r="B201" s="138" t="s">
        <v>371</v>
      </c>
      <c r="C201" s="10">
        <f t="shared" si="55"/>
        <v>0</v>
      </c>
      <c r="D201" s="11">
        <v>0</v>
      </c>
      <c r="E201" s="11">
        <v>0</v>
      </c>
      <c r="F201" s="11">
        <v>0</v>
      </c>
      <c r="G201" s="11">
        <v>0</v>
      </c>
      <c r="H201" s="11">
        <v>0</v>
      </c>
      <c r="I201" s="11">
        <v>0</v>
      </c>
      <c r="J201" s="11">
        <v>0</v>
      </c>
      <c r="K201" s="11">
        <v>0</v>
      </c>
      <c r="L201" s="11">
        <v>0</v>
      </c>
      <c r="M201" s="11">
        <v>0</v>
      </c>
      <c r="N201" s="11">
        <v>0</v>
      </c>
      <c r="O201" s="11">
        <v>0</v>
      </c>
      <c r="P201" s="3"/>
    </row>
    <row r="202" spans="1:16" ht="15.75" customHeight="1" outlineLevel="1" x14ac:dyDescent="0.3">
      <c r="A202" s="3"/>
      <c r="B202" s="138" t="s">
        <v>372</v>
      </c>
      <c r="C202" s="10">
        <f t="shared" si="55"/>
        <v>0</v>
      </c>
      <c r="D202" s="11">
        <v>0</v>
      </c>
      <c r="E202" s="11">
        <v>0</v>
      </c>
      <c r="F202" s="11">
        <v>0</v>
      </c>
      <c r="G202" s="11">
        <v>0</v>
      </c>
      <c r="H202" s="11">
        <v>0</v>
      </c>
      <c r="I202" s="11">
        <v>0</v>
      </c>
      <c r="J202" s="11">
        <v>0</v>
      </c>
      <c r="K202" s="11">
        <v>0</v>
      </c>
      <c r="L202" s="11">
        <v>0</v>
      </c>
      <c r="M202" s="11">
        <v>0</v>
      </c>
      <c r="N202" s="11">
        <v>0</v>
      </c>
      <c r="O202" s="11">
        <v>0</v>
      </c>
      <c r="P202" s="3"/>
    </row>
    <row r="203" spans="1:16" ht="15.75" customHeight="1" outlineLevel="1" x14ac:dyDescent="0.3">
      <c r="A203" s="3"/>
      <c r="B203" s="138" t="s">
        <v>373</v>
      </c>
      <c r="C203" s="10">
        <f t="shared" si="55"/>
        <v>0</v>
      </c>
      <c r="D203" s="11">
        <v>0</v>
      </c>
      <c r="E203" s="11">
        <v>0</v>
      </c>
      <c r="F203" s="11">
        <v>0</v>
      </c>
      <c r="G203" s="11">
        <v>0</v>
      </c>
      <c r="H203" s="11">
        <v>0</v>
      </c>
      <c r="I203" s="11">
        <v>0</v>
      </c>
      <c r="J203" s="11">
        <v>0</v>
      </c>
      <c r="K203" s="11">
        <v>0</v>
      </c>
      <c r="L203" s="11">
        <v>0</v>
      </c>
      <c r="M203" s="11">
        <v>0</v>
      </c>
      <c r="N203" s="11">
        <v>0</v>
      </c>
      <c r="O203" s="11">
        <v>0</v>
      </c>
      <c r="P203" s="3"/>
    </row>
    <row r="204" spans="1:16" ht="15.75" customHeight="1" x14ac:dyDescent="0.3">
      <c r="A204" s="3"/>
      <c r="B204" s="75" t="s">
        <v>403</v>
      </c>
      <c r="C204" s="77">
        <f t="shared" ref="C204:O204" si="56">SUM(C205:C213)</f>
        <v>0</v>
      </c>
      <c r="D204" s="77">
        <f t="shared" si="56"/>
        <v>0</v>
      </c>
      <c r="E204" s="77">
        <f t="shared" si="56"/>
        <v>0</v>
      </c>
      <c r="F204" s="77">
        <f t="shared" si="56"/>
        <v>0</v>
      </c>
      <c r="G204" s="77">
        <f t="shared" si="56"/>
        <v>0</v>
      </c>
      <c r="H204" s="77">
        <f t="shared" si="56"/>
        <v>0</v>
      </c>
      <c r="I204" s="77">
        <f t="shared" si="56"/>
        <v>0</v>
      </c>
      <c r="J204" s="77">
        <f t="shared" si="56"/>
        <v>0</v>
      </c>
      <c r="K204" s="77">
        <f t="shared" si="56"/>
        <v>0</v>
      </c>
      <c r="L204" s="77">
        <f t="shared" si="56"/>
        <v>0</v>
      </c>
      <c r="M204" s="77">
        <f t="shared" si="56"/>
        <v>0</v>
      </c>
      <c r="N204" s="77">
        <f t="shared" si="56"/>
        <v>0</v>
      </c>
      <c r="O204" s="77">
        <f t="shared" si="56"/>
        <v>0</v>
      </c>
      <c r="P204" s="3"/>
    </row>
    <row r="205" spans="1:16" ht="15.75" customHeight="1" outlineLevel="1" x14ac:dyDescent="0.3">
      <c r="A205" s="3"/>
      <c r="B205" s="138" t="s">
        <v>354</v>
      </c>
      <c r="C205" s="10">
        <f t="shared" ref="C205:C213" si="57">SUM(D205:O205)</f>
        <v>0</v>
      </c>
      <c r="D205" s="11">
        <v>0</v>
      </c>
      <c r="E205" s="11">
        <v>0</v>
      </c>
      <c r="F205" s="11">
        <v>0</v>
      </c>
      <c r="G205" s="11">
        <v>0</v>
      </c>
      <c r="H205" s="11">
        <v>0</v>
      </c>
      <c r="I205" s="11">
        <v>0</v>
      </c>
      <c r="J205" s="11">
        <v>0</v>
      </c>
      <c r="K205" s="11">
        <v>0</v>
      </c>
      <c r="L205" s="11">
        <v>0</v>
      </c>
      <c r="M205" s="11">
        <v>0</v>
      </c>
      <c r="N205" s="11">
        <v>0</v>
      </c>
      <c r="O205" s="11">
        <v>0</v>
      </c>
      <c r="P205" s="3"/>
    </row>
    <row r="206" spans="1:16" ht="15.75" customHeight="1" outlineLevel="1" x14ac:dyDescent="0.3">
      <c r="A206" s="3"/>
      <c r="B206" s="138" t="s">
        <v>355</v>
      </c>
      <c r="C206" s="10">
        <f t="shared" si="57"/>
        <v>0</v>
      </c>
      <c r="D206" s="11">
        <v>0</v>
      </c>
      <c r="E206" s="11">
        <v>0</v>
      </c>
      <c r="F206" s="11">
        <v>0</v>
      </c>
      <c r="G206" s="11">
        <v>0</v>
      </c>
      <c r="H206" s="11">
        <v>0</v>
      </c>
      <c r="I206" s="11">
        <v>0</v>
      </c>
      <c r="J206" s="11">
        <v>0</v>
      </c>
      <c r="K206" s="11">
        <v>0</v>
      </c>
      <c r="L206" s="11">
        <v>0</v>
      </c>
      <c r="M206" s="11">
        <v>0</v>
      </c>
      <c r="N206" s="11">
        <v>0</v>
      </c>
      <c r="O206" s="11">
        <v>0</v>
      </c>
      <c r="P206" s="3"/>
    </row>
    <row r="207" spans="1:16" ht="15.75" customHeight="1" outlineLevel="1" x14ac:dyDescent="0.3">
      <c r="A207" s="3"/>
      <c r="B207" s="138" t="s">
        <v>356</v>
      </c>
      <c r="C207" s="10">
        <f t="shared" si="57"/>
        <v>0</v>
      </c>
      <c r="D207" s="11">
        <v>0</v>
      </c>
      <c r="E207" s="11">
        <v>0</v>
      </c>
      <c r="F207" s="11">
        <v>0</v>
      </c>
      <c r="G207" s="11">
        <v>0</v>
      </c>
      <c r="H207" s="11">
        <v>0</v>
      </c>
      <c r="I207" s="11">
        <v>0</v>
      </c>
      <c r="J207" s="11">
        <v>0</v>
      </c>
      <c r="K207" s="11">
        <v>0</v>
      </c>
      <c r="L207" s="11">
        <v>0</v>
      </c>
      <c r="M207" s="11">
        <v>0</v>
      </c>
      <c r="N207" s="11">
        <v>0</v>
      </c>
      <c r="O207" s="11">
        <v>0</v>
      </c>
      <c r="P207" s="3"/>
    </row>
    <row r="208" spans="1:16" ht="15.75" customHeight="1" outlineLevel="1" x14ac:dyDescent="0.3">
      <c r="A208" s="3"/>
      <c r="B208" s="138" t="s">
        <v>370</v>
      </c>
      <c r="C208" s="10">
        <f t="shared" si="57"/>
        <v>0</v>
      </c>
      <c r="D208" s="11">
        <v>0</v>
      </c>
      <c r="E208" s="11">
        <v>0</v>
      </c>
      <c r="F208" s="11">
        <v>0</v>
      </c>
      <c r="G208" s="11">
        <v>0</v>
      </c>
      <c r="H208" s="11">
        <v>0</v>
      </c>
      <c r="I208" s="11">
        <v>0</v>
      </c>
      <c r="J208" s="11">
        <v>0</v>
      </c>
      <c r="K208" s="11">
        <v>0</v>
      </c>
      <c r="L208" s="11">
        <v>0</v>
      </c>
      <c r="M208" s="11">
        <v>0</v>
      </c>
      <c r="N208" s="11">
        <v>0</v>
      </c>
      <c r="O208" s="11">
        <v>0</v>
      </c>
      <c r="P208" s="3"/>
    </row>
    <row r="209" spans="1:16" ht="15.75" customHeight="1" outlineLevel="1" x14ac:dyDescent="0.3">
      <c r="A209" s="3"/>
      <c r="B209" s="138" t="s">
        <v>328</v>
      </c>
      <c r="C209" s="10">
        <f t="shared" si="57"/>
        <v>0</v>
      </c>
      <c r="D209" s="11">
        <v>0</v>
      </c>
      <c r="E209" s="11">
        <v>0</v>
      </c>
      <c r="F209" s="11">
        <v>0</v>
      </c>
      <c r="G209" s="11">
        <v>0</v>
      </c>
      <c r="H209" s="11">
        <v>0</v>
      </c>
      <c r="I209" s="11">
        <v>0</v>
      </c>
      <c r="J209" s="11">
        <v>0</v>
      </c>
      <c r="K209" s="11">
        <v>0</v>
      </c>
      <c r="L209" s="11">
        <v>0</v>
      </c>
      <c r="M209" s="11">
        <v>0</v>
      </c>
      <c r="N209" s="11">
        <v>0</v>
      </c>
      <c r="O209" s="11">
        <v>0</v>
      </c>
      <c r="P209" s="3"/>
    </row>
    <row r="210" spans="1:16" ht="15.75" customHeight="1" outlineLevel="1" x14ac:dyDescent="0.3">
      <c r="A210" s="3"/>
      <c r="B210" s="138" t="s">
        <v>329</v>
      </c>
      <c r="C210" s="10">
        <f t="shared" si="57"/>
        <v>0</v>
      </c>
      <c r="D210" s="11">
        <v>0</v>
      </c>
      <c r="E210" s="11">
        <v>0</v>
      </c>
      <c r="F210" s="11">
        <v>0</v>
      </c>
      <c r="G210" s="11">
        <v>0</v>
      </c>
      <c r="H210" s="11">
        <v>0</v>
      </c>
      <c r="I210" s="11">
        <v>0</v>
      </c>
      <c r="J210" s="11">
        <v>0</v>
      </c>
      <c r="K210" s="11">
        <v>0</v>
      </c>
      <c r="L210" s="11">
        <v>0</v>
      </c>
      <c r="M210" s="11">
        <v>0</v>
      </c>
      <c r="N210" s="11">
        <v>0</v>
      </c>
      <c r="O210" s="11">
        <v>0</v>
      </c>
      <c r="P210" s="3"/>
    </row>
    <row r="211" spans="1:16" ht="15.75" customHeight="1" outlineLevel="1" x14ac:dyDescent="0.3">
      <c r="A211" s="3"/>
      <c r="B211" s="138" t="s">
        <v>371</v>
      </c>
      <c r="C211" s="10">
        <f t="shared" si="57"/>
        <v>0</v>
      </c>
      <c r="D211" s="11">
        <v>0</v>
      </c>
      <c r="E211" s="11">
        <v>0</v>
      </c>
      <c r="F211" s="11">
        <v>0</v>
      </c>
      <c r="G211" s="11">
        <v>0</v>
      </c>
      <c r="H211" s="11">
        <v>0</v>
      </c>
      <c r="I211" s="11">
        <v>0</v>
      </c>
      <c r="J211" s="11">
        <v>0</v>
      </c>
      <c r="K211" s="11">
        <v>0</v>
      </c>
      <c r="L211" s="11">
        <v>0</v>
      </c>
      <c r="M211" s="11">
        <v>0</v>
      </c>
      <c r="N211" s="11">
        <v>0</v>
      </c>
      <c r="O211" s="11">
        <v>0</v>
      </c>
      <c r="P211" s="3"/>
    </row>
    <row r="212" spans="1:16" ht="15.75" customHeight="1" outlineLevel="1" x14ac:dyDescent="0.3">
      <c r="A212" s="3"/>
      <c r="B212" s="138" t="s">
        <v>372</v>
      </c>
      <c r="C212" s="10">
        <f t="shared" si="57"/>
        <v>0</v>
      </c>
      <c r="D212" s="11">
        <v>0</v>
      </c>
      <c r="E212" s="11">
        <v>0</v>
      </c>
      <c r="F212" s="11">
        <v>0</v>
      </c>
      <c r="G212" s="11">
        <v>0</v>
      </c>
      <c r="H212" s="11">
        <v>0</v>
      </c>
      <c r="I212" s="11">
        <v>0</v>
      </c>
      <c r="J212" s="11">
        <v>0</v>
      </c>
      <c r="K212" s="11">
        <v>0</v>
      </c>
      <c r="L212" s="11">
        <v>0</v>
      </c>
      <c r="M212" s="11">
        <v>0</v>
      </c>
      <c r="N212" s="11">
        <v>0</v>
      </c>
      <c r="O212" s="11">
        <v>0</v>
      </c>
      <c r="P212" s="3"/>
    </row>
    <row r="213" spans="1:16" ht="15.75" customHeight="1" outlineLevel="1" x14ac:dyDescent="0.3">
      <c r="A213" s="3"/>
      <c r="B213" s="138" t="s">
        <v>373</v>
      </c>
      <c r="C213" s="10">
        <f t="shared" si="57"/>
        <v>0</v>
      </c>
      <c r="D213" s="11">
        <v>0</v>
      </c>
      <c r="E213" s="11">
        <v>0</v>
      </c>
      <c r="F213" s="11">
        <v>0</v>
      </c>
      <c r="G213" s="11">
        <v>0</v>
      </c>
      <c r="H213" s="11">
        <v>0</v>
      </c>
      <c r="I213" s="11">
        <v>0</v>
      </c>
      <c r="J213" s="11">
        <v>0</v>
      </c>
      <c r="K213" s="11">
        <v>0</v>
      </c>
      <c r="L213" s="11">
        <v>0</v>
      </c>
      <c r="M213" s="11">
        <v>0</v>
      </c>
      <c r="N213" s="11">
        <v>0</v>
      </c>
      <c r="O213" s="11">
        <v>0</v>
      </c>
      <c r="P213" s="3"/>
    </row>
    <row r="214" spans="1:16" ht="15.75" customHeight="1" x14ac:dyDescent="0.3">
      <c r="A214" s="3"/>
      <c r="B214" s="75" t="s">
        <v>404</v>
      </c>
      <c r="C214" s="77">
        <f t="shared" ref="C214:O214" si="58">SUM(C215:C223)</f>
        <v>0</v>
      </c>
      <c r="D214" s="77">
        <f t="shared" si="58"/>
        <v>0</v>
      </c>
      <c r="E214" s="77">
        <f t="shared" si="58"/>
        <v>0</v>
      </c>
      <c r="F214" s="77">
        <f t="shared" si="58"/>
        <v>0</v>
      </c>
      <c r="G214" s="77">
        <f t="shared" si="58"/>
        <v>0</v>
      </c>
      <c r="H214" s="77">
        <f t="shared" si="58"/>
        <v>0</v>
      </c>
      <c r="I214" s="77">
        <f t="shared" si="58"/>
        <v>0</v>
      </c>
      <c r="J214" s="77">
        <f t="shared" si="58"/>
        <v>0</v>
      </c>
      <c r="K214" s="77">
        <f t="shared" si="58"/>
        <v>0</v>
      </c>
      <c r="L214" s="77">
        <f t="shared" si="58"/>
        <v>0</v>
      </c>
      <c r="M214" s="77">
        <f t="shared" si="58"/>
        <v>0</v>
      </c>
      <c r="N214" s="77">
        <f t="shared" si="58"/>
        <v>0</v>
      </c>
      <c r="O214" s="77">
        <f t="shared" si="58"/>
        <v>0</v>
      </c>
      <c r="P214" s="3"/>
    </row>
    <row r="215" spans="1:16" ht="15.75" customHeight="1" outlineLevel="1" x14ac:dyDescent="0.3">
      <c r="A215" s="3"/>
      <c r="B215" s="138" t="s">
        <v>354</v>
      </c>
      <c r="C215" s="10">
        <f t="shared" ref="C215:C223" si="59">SUM(D215:O215)</f>
        <v>0</v>
      </c>
      <c r="D215" s="11">
        <v>0</v>
      </c>
      <c r="E215" s="11">
        <v>0</v>
      </c>
      <c r="F215" s="11">
        <v>0</v>
      </c>
      <c r="G215" s="11">
        <v>0</v>
      </c>
      <c r="H215" s="11">
        <v>0</v>
      </c>
      <c r="I215" s="11">
        <v>0</v>
      </c>
      <c r="J215" s="11">
        <v>0</v>
      </c>
      <c r="K215" s="11">
        <v>0</v>
      </c>
      <c r="L215" s="11">
        <v>0</v>
      </c>
      <c r="M215" s="11">
        <v>0</v>
      </c>
      <c r="N215" s="11">
        <v>0</v>
      </c>
      <c r="O215" s="11">
        <v>0</v>
      </c>
      <c r="P215" s="3"/>
    </row>
    <row r="216" spans="1:16" ht="15.75" customHeight="1" outlineLevel="1" x14ac:dyDescent="0.3">
      <c r="A216" s="3"/>
      <c r="B216" s="138" t="s">
        <v>355</v>
      </c>
      <c r="C216" s="10">
        <f t="shared" si="59"/>
        <v>0</v>
      </c>
      <c r="D216" s="11">
        <v>0</v>
      </c>
      <c r="E216" s="11">
        <v>0</v>
      </c>
      <c r="F216" s="11">
        <v>0</v>
      </c>
      <c r="G216" s="11">
        <v>0</v>
      </c>
      <c r="H216" s="11">
        <v>0</v>
      </c>
      <c r="I216" s="11">
        <v>0</v>
      </c>
      <c r="J216" s="11">
        <v>0</v>
      </c>
      <c r="K216" s="11">
        <v>0</v>
      </c>
      <c r="L216" s="11">
        <v>0</v>
      </c>
      <c r="M216" s="11">
        <v>0</v>
      </c>
      <c r="N216" s="11">
        <v>0</v>
      </c>
      <c r="O216" s="11">
        <v>0</v>
      </c>
      <c r="P216" s="3"/>
    </row>
    <row r="217" spans="1:16" ht="15.75" customHeight="1" outlineLevel="1" x14ac:dyDescent="0.3">
      <c r="A217" s="3"/>
      <c r="B217" s="138" t="s">
        <v>356</v>
      </c>
      <c r="C217" s="10">
        <f t="shared" si="59"/>
        <v>0</v>
      </c>
      <c r="D217" s="11">
        <v>0</v>
      </c>
      <c r="E217" s="11">
        <v>0</v>
      </c>
      <c r="F217" s="11">
        <v>0</v>
      </c>
      <c r="G217" s="11">
        <v>0</v>
      </c>
      <c r="H217" s="11">
        <v>0</v>
      </c>
      <c r="I217" s="11">
        <v>0</v>
      </c>
      <c r="J217" s="11">
        <v>0</v>
      </c>
      <c r="K217" s="11">
        <v>0</v>
      </c>
      <c r="L217" s="11">
        <v>0</v>
      </c>
      <c r="M217" s="11">
        <v>0</v>
      </c>
      <c r="N217" s="11">
        <v>0</v>
      </c>
      <c r="O217" s="11">
        <v>0</v>
      </c>
      <c r="P217" s="3"/>
    </row>
    <row r="218" spans="1:16" ht="15.75" customHeight="1" outlineLevel="1" x14ac:dyDescent="0.3">
      <c r="A218" s="3"/>
      <c r="B218" s="138" t="s">
        <v>370</v>
      </c>
      <c r="C218" s="10">
        <f t="shared" si="59"/>
        <v>0</v>
      </c>
      <c r="D218" s="11">
        <v>0</v>
      </c>
      <c r="E218" s="11">
        <v>0</v>
      </c>
      <c r="F218" s="11">
        <v>0</v>
      </c>
      <c r="G218" s="11">
        <v>0</v>
      </c>
      <c r="H218" s="11">
        <v>0</v>
      </c>
      <c r="I218" s="11">
        <v>0</v>
      </c>
      <c r="J218" s="11">
        <v>0</v>
      </c>
      <c r="K218" s="11">
        <v>0</v>
      </c>
      <c r="L218" s="11">
        <v>0</v>
      </c>
      <c r="M218" s="11">
        <v>0</v>
      </c>
      <c r="N218" s="11">
        <v>0</v>
      </c>
      <c r="O218" s="11">
        <v>0</v>
      </c>
      <c r="P218" s="3"/>
    </row>
    <row r="219" spans="1:16" ht="15.75" customHeight="1" outlineLevel="1" x14ac:dyDescent="0.3">
      <c r="A219" s="3"/>
      <c r="B219" s="138" t="s">
        <v>328</v>
      </c>
      <c r="C219" s="10">
        <f t="shared" si="59"/>
        <v>0</v>
      </c>
      <c r="D219" s="11">
        <v>0</v>
      </c>
      <c r="E219" s="11">
        <v>0</v>
      </c>
      <c r="F219" s="11">
        <v>0</v>
      </c>
      <c r="G219" s="11">
        <v>0</v>
      </c>
      <c r="H219" s="11">
        <v>0</v>
      </c>
      <c r="I219" s="11">
        <v>0</v>
      </c>
      <c r="J219" s="11">
        <v>0</v>
      </c>
      <c r="K219" s="11">
        <v>0</v>
      </c>
      <c r="L219" s="11">
        <v>0</v>
      </c>
      <c r="M219" s="11">
        <v>0</v>
      </c>
      <c r="N219" s="11">
        <v>0</v>
      </c>
      <c r="O219" s="11">
        <v>0</v>
      </c>
      <c r="P219" s="3"/>
    </row>
    <row r="220" spans="1:16" ht="15.75" customHeight="1" outlineLevel="1" x14ac:dyDescent="0.3">
      <c r="A220" s="3"/>
      <c r="B220" s="138" t="s">
        <v>329</v>
      </c>
      <c r="C220" s="10">
        <f t="shared" si="59"/>
        <v>0</v>
      </c>
      <c r="D220" s="11">
        <v>0</v>
      </c>
      <c r="E220" s="11">
        <v>0</v>
      </c>
      <c r="F220" s="11">
        <v>0</v>
      </c>
      <c r="G220" s="11">
        <v>0</v>
      </c>
      <c r="H220" s="11">
        <v>0</v>
      </c>
      <c r="I220" s="11">
        <v>0</v>
      </c>
      <c r="J220" s="11">
        <v>0</v>
      </c>
      <c r="K220" s="11">
        <v>0</v>
      </c>
      <c r="L220" s="11">
        <v>0</v>
      </c>
      <c r="M220" s="11">
        <v>0</v>
      </c>
      <c r="N220" s="11">
        <v>0</v>
      </c>
      <c r="O220" s="11">
        <v>0</v>
      </c>
      <c r="P220" s="3"/>
    </row>
    <row r="221" spans="1:16" ht="15.75" customHeight="1" outlineLevel="1" x14ac:dyDescent="0.3">
      <c r="A221" s="3"/>
      <c r="B221" s="138" t="s">
        <v>371</v>
      </c>
      <c r="C221" s="10">
        <f t="shared" si="59"/>
        <v>0</v>
      </c>
      <c r="D221" s="11">
        <v>0</v>
      </c>
      <c r="E221" s="11">
        <v>0</v>
      </c>
      <c r="F221" s="11">
        <v>0</v>
      </c>
      <c r="G221" s="11">
        <v>0</v>
      </c>
      <c r="H221" s="11">
        <v>0</v>
      </c>
      <c r="I221" s="11">
        <v>0</v>
      </c>
      <c r="J221" s="11">
        <v>0</v>
      </c>
      <c r="K221" s="11">
        <v>0</v>
      </c>
      <c r="L221" s="11">
        <v>0</v>
      </c>
      <c r="M221" s="11">
        <v>0</v>
      </c>
      <c r="N221" s="11">
        <v>0</v>
      </c>
      <c r="O221" s="11">
        <v>0</v>
      </c>
      <c r="P221" s="3"/>
    </row>
    <row r="222" spans="1:16" ht="15.75" customHeight="1" outlineLevel="1" x14ac:dyDescent="0.3">
      <c r="A222" s="3"/>
      <c r="B222" s="138" t="s">
        <v>372</v>
      </c>
      <c r="C222" s="10">
        <f t="shared" si="59"/>
        <v>0</v>
      </c>
      <c r="D222" s="11">
        <v>0</v>
      </c>
      <c r="E222" s="11">
        <v>0</v>
      </c>
      <c r="F222" s="11">
        <v>0</v>
      </c>
      <c r="G222" s="11">
        <v>0</v>
      </c>
      <c r="H222" s="11">
        <v>0</v>
      </c>
      <c r="I222" s="11">
        <v>0</v>
      </c>
      <c r="J222" s="11">
        <v>0</v>
      </c>
      <c r="K222" s="11">
        <v>0</v>
      </c>
      <c r="L222" s="11">
        <v>0</v>
      </c>
      <c r="M222" s="11">
        <v>0</v>
      </c>
      <c r="N222" s="11">
        <v>0</v>
      </c>
      <c r="O222" s="11">
        <v>0</v>
      </c>
      <c r="P222" s="3"/>
    </row>
    <row r="223" spans="1:16" ht="15.75" customHeight="1" outlineLevel="1" x14ac:dyDescent="0.3">
      <c r="A223" s="3"/>
      <c r="B223" s="138" t="s">
        <v>373</v>
      </c>
      <c r="C223" s="10">
        <f t="shared" si="59"/>
        <v>0</v>
      </c>
      <c r="D223" s="11">
        <v>0</v>
      </c>
      <c r="E223" s="11">
        <v>0</v>
      </c>
      <c r="F223" s="11">
        <v>0</v>
      </c>
      <c r="G223" s="11">
        <v>0</v>
      </c>
      <c r="H223" s="11">
        <v>0</v>
      </c>
      <c r="I223" s="11">
        <v>0</v>
      </c>
      <c r="J223" s="11">
        <v>0</v>
      </c>
      <c r="K223" s="11">
        <v>0</v>
      </c>
      <c r="L223" s="11">
        <v>0</v>
      </c>
      <c r="M223" s="11">
        <v>0</v>
      </c>
      <c r="N223" s="11">
        <v>0</v>
      </c>
      <c r="O223" s="11">
        <v>0</v>
      </c>
      <c r="P223" s="3"/>
    </row>
    <row r="224" spans="1:16" ht="15.75" customHeight="1" x14ac:dyDescent="0.3">
      <c r="A224" s="3"/>
      <c r="B224" s="75" t="s">
        <v>406</v>
      </c>
      <c r="C224" s="77">
        <f t="shared" ref="C224:O224" si="60">SUM(C225:C233)</f>
        <v>0</v>
      </c>
      <c r="D224" s="77">
        <f t="shared" si="60"/>
        <v>0</v>
      </c>
      <c r="E224" s="77">
        <f t="shared" si="60"/>
        <v>0</v>
      </c>
      <c r="F224" s="77">
        <f t="shared" si="60"/>
        <v>0</v>
      </c>
      <c r="G224" s="77">
        <f t="shared" si="60"/>
        <v>0</v>
      </c>
      <c r="H224" s="77">
        <f t="shared" si="60"/>
        <v>0</v>
      </c>
      <c r="I224" s="77">
        <f t="shared" si="60"/>
        <v>0</v>
      </c>
      <c r="J224" s="77">
        <f t="shared" si="60"/>
        <v>0</v>
      </c>
      <c r="K224" s="77">
        <f t="shared" si="60"/>
        <v>0</v>
      </c>
      <c r="L224" s="77">
        <f t="shared" si="60"/>
        <v>0</v>
      </c>
      <c r="M224" s="77">
        <f t="shared" si="60"/>
        <v>0</v>
      </c>
      <c r="N224" s="77">
        <f t="shared" si="60"/>
        <v>0</v>
      </c>
      <c r="O224" s="77">
        <f t="shared" si="60"/>
        <v>0</v>
      </c>
      <c r="P224" s="3"/>
    </row>
    <row r="225" spans="1:16" ht="15.75" customHeight="1" outlineLevel="1" x14ac:dyDescent="0.3">
      <c r="A225" s="3"/>
      <c r="B225" s="138" t="s">
        <v>354</v>
      </c>
      <c r="C225" s="10">
        <f t="shared" ref="C225:C233" si="61">SUM(D225:O225)</f>
        <v>0</v>
      </c>
      <c r="D225" s="11">
        <v>0</v>
      </c>
      <c r="E225" s="11">
        <v>0</v>
      </c>
      <c r="F225" s="11">
        <v>0</v>
      </c>
      <c r="G225" s="11">
        <v>0</v>
      </c>
      <c r="H225" s="11">
        <v>0</v>
      </c>
      <c r="I225" s="11">
        <v>0</v>
      </c>
      <c r="J225" s="11">
        <v>0</v>
      </c>
      <c r="K225" s="11">
        <v>0</v>
      </c>
      <c r="L225" s="11">
        <v>0</v>
      </c>
      <c r="M225" s="11">
        <v>0</v>
      </c>
      <c r="N225" s="11">
        <v>0</v>
      </c>
      <c r="O225" s="11">
        <v>0</v>
      </c>
      <c r="P225" s="3"/>
    </row>
    <row r="226" spans="1:16" ht="15.75" customHeight="1" outlineLevel="1" x14ac:dyDescent="0.3">
      <c r="A226" s="3"/>
      <c r="B226" s="138" t="s">
        <v>355</v>
      </c>
      <c r="C226" s="10">
        <f t="shared" si="61"/>
        <v>0</v>
      </c>
      <c r="D226" s="11">
        <v>0</v>
      </c>
      <c r="E226" s="11">
        <v>0</v>
      </c>
      <c r="F226" s="11">
        <v>0</v>
      </c>
      <c r="G226" s="11">
        <v>0</v>
      </c>
      <c r="H226" s="11">
        <v>0</v>
      </c>
      <c r="I226" s="11">
        <v>0</v>
      </c>
      <c r="J226" s="11">
        <v>0</v>
      </c>
      <c r="K226" s="11">
        <v>0</v>
      </c>
      <c r="L226" s="11">
        <v>0</v>
      </c>
      <c r="M226" s="11">
        <v>0</v>
      </c>
      <c r="N226" s="11">
        <v>0</v>
      </c>
      <c r="O226" s="11">
        <v>0</v>
      </c>
      <c r="P226" s="3"/>
    </row>
    <row r="227" spans="1:16" ht="15.75" customHeight="1" outlineLevel="1" x14ac:dyDescent="0.3">
      <c r="A227" s="3"/>
      <c r="B227" s="138" t="s">
        <v>356</v>
      </c>
      <c r="C227" s="10">
        <f t="shared" si="61"/>
        <v>0</v>
      </c>
      <c r="D227" s="11">
        <v>0</v>
      </c>
      <c r="E227" s="11">
        <v>0</v>
      </c>
      <c r="F227" s="11">
        <v>0</v>
      </c>
      <c r="G227" s="11">
        <v>0</v>
      </c>
      <c r="H227" s="11">
        <v>0</v>
      </c>
      <c r="I227" s="11">
        <v>0</v>
      </c>
      <c r="J227" s="11">
        <v>0</v>
      </c>
      <c r="K227" s="11">
        <v>0</v>
      </c>
      <c r="L227" s="11">
        <v>0</v>
      </c>
      <c r="M227" s="11">
        <v>0</v>
      </c>
      <c r="N227" s="11">
        <v>0</v>
      </c>
      <c r="O227" s="11">
        <v>0</v>
      </c>
      <c r="P227" s="3"/>
    </row>
    <row r="228" spans="1:16" ht="15.75" customHeight="1" outlineLevel="1" x14ac:dyDescent="0.3">
      <c r="A228" s="3"/>
      <c r="B228" s="138" t="s">
        <v>370</v>
      </c>
      <c r="C228" s="10">
        <f t="shared" si="61"/>
        <v>0</v>
      </c>
      <c r="D228" s="11">
        <v>0</v>
      </c>
      <c r="E228" s="11">
        <v>0</v>
      </c>
      <c r="F228" s="11">
        <v>0</v>
      </c>
      <c r="G228" s="11">
        <v>0</v>
      </c>
      <c r="H228" s="11">
        <v>0</v>
      </c>
      <c r="I228" s="11">
        <v>0</v>
      </c>
      <c r="J228" s="11">
        <v>0</v>
      </c>
      <c r="K228" s="11">
        <v>0</v>
      </c>
      <c r="L228" s="11">
        <v>0</v>
      </c>
      <c r="M228" s="11">
        <v>0</v>
      </c>
      <c r="N228" s="11">
        <v>0</v>
      </c>
      <c r="O228" s="11">
        <v>0</v>
      </c>
      <c r="P228" s="3"/>
    </row>
    <row r="229" spans="1:16" ht="15.75" customHeight="1" outlineLevel="1" x14ac:dyDescent="0.3">
      <c r="A229" s="3"/>
      <c r="B229" s="138" t="s">
        <v>328</v>
      </c>
      <c r="C229" s="10">
        <f t="shared" si="61"/>
        <v>0</v>
      </c>
      <c r="D229" s="11">
        <v>0</v>
      </c>
      <c r="E229" s="11">
        <v>0</v>
      </c>
      <c r="F229" s="11">
        <v>0</v>
      </c>
      <c r="G229" s="11">
        <v>0</v>
      </c>
      <c r="H229" s="11">
        <v>0</v>
      </c>
      <c r="I229" s="11">
        <v>0</v>
      </c>
      <c r="J229" s="11">
        <v>0</v>
      </c>
      <c r="K229" s="11">
        <v>0</v>
      </c>
      <c r="L229" s="11">
        <v>0</v>
      </c>
      <c r="M229" s="11">
        <v>0</v>
      </c>
      <c r="N229" s="11">
        <v>0</v>
      </c>
      <c r="O229" s="11">
        <v>0</v>
      </c>
      <c r="P229" s="3"/>
    </row>
    <row r="230" spans="1:16" ht="15.75" customHeight="1" outlineLevel="1" x14ac:dyDescent="0.3">
      <c r="A230" s="3"/>
      <c r="B230" s="138" t="s">
        <v>329</v>
      </c>
      <c r="C230" s="10">
        <f t="shared" si="61"/>
        <v>0</v>
      </c>
      <c r="D230" s="11">
        <v>0</v>
      </c>
      <c r="E230" s="11">
        <v>0</v>
      </c>
      <c r="F230" s="11">
        <v>0</v>
      </c>
      <c r="G230" s="11">
        <v>0</v>
      </c>
      <c r="H230" s="11">
        <v>0</v>
      </c>
      <c r="I230" s="11">
        <v>0</v>
      </c>
      <c r="J230" s="11">
        <v>0</v>
      </c>
      <c r="K230" s="11">
        <v>0</v>
      </c>
      <c r="L230" s="11">
        <v>0</v>
      </c>
      <c r="M230" s="11">
        <v>0</v>
      </c>
      <c r="N230" s="11">
        <v>0</v>
      </c>
      <c r="O230" s="11">
        <v>0</v>
      </c>
      <c r="P230" s="3"/>
    </row>
    <row r="231" spans="1:16" ht="15.75" customHeight="1" outlineLevel="1" x14ac:dyDescent="0.3">
      <c r="A231" s="3"/>
      <c r="B231" s="138" t="s">
        <v>371</v>
      </c>
      <c r="C231" s="10">
        <f t="shared" si="61"/>
        <v>0</v>
      </c>
      <c r="D231" s="11">
        <v>0</v>
      </c>
      <c r="E231" s="11">
        <v>0</v>
      </c>
      <c r="F231" s="11">
        <v>0</v>
      </c>
      <c r="G231" s="11">
        <v>0</v>
      </c>
      <c r="H231" s="11">
        <v>0</v>
      </c>
      <c r="I231" s="11">
        <v>0</v>
      </c>
      <c r="J231" s="11">
        <v>0</v>
      </c>
      <c r="K231" s="11">
        <v>0</v>
      </c>
      <c r="L231" s="11">
        <v>0</v>
      </c>
      <c r="M231" s="11">
        <v>0</v>
      </c>
      <c r="N231" s="11">
        <v>0</v>
      </c>
      <c r="O231" s="11">
        <v>0</v>
      </c>
      <c r="P231" s="3"/>
    </row>
    <row r="232" spans="1:16" ht="15.75" customHeight="1" outlineLevel="1" x14ac:dyDescent="0.3">
      <c r="A232" s="3"/>
      <c r="B232" s="138" t="s">
        <v>372</v>
      </c>
      <c r="C232" s="10">
        <f t="shared" si="61"/>
        <v>0</v>
      </c>
      <c r="D232" s="11">
        <v>0</v>
      </c>
      <c r="E232" s="11">
        <v>0</v>
      </c>
      <c r="F232" s="11">
        <v>0</v>
      </c>
      <c r="G232" s="11">
        <v>0</v>
      </c>
      <c r="H232" s="11">
        <v>0</v>
      </c>
      <c r="I232" s="11">
        <v>0</v>
      </c>
      <c r="J232" s="11">
        <v>0</v>
      </c>
      <c r="K232" s="11">
        <v>0</v>
      </c>
      <c r="L232" s="11">
        <v>0</v>
      </c>
      <c r="M232" s="11">
        <v>0</v>
      </c>
      <c r="N232" s="11">
        <v>0</v>
      </c>
      <c r="O232" s="11">
        <v>0</v>
      </c>
      <c r="P232" s="3"/>
    </row>
    <row r="233" spans="1:16" ht="15.75" customHeight="1" outlineLevel="1" x14ac:dyDescent="0.3">
      <c r="A233" s="3"/>
      <c r="B233" s="138" t="s">
        <v>373</v>
      </c>
      <c r="C233" s="10">
        <f t="shared" si="61"/>
        <v>0</v>
      </c>
      <c r="D233" s="11">
        <v>0</v>
      </c>
      <c r="E233" s="11">
        <v>0</v>
      </c>
      <c r="F233" s="11">
        <v>0</v>
      </c>
      <c r="G233" s="11">
        <v>0</v>
      </c>
      <c r="H233" s="11">
        <v>0</v>
      </c>
      <c r="I233" s="11">
        <v>0</v>
      </c>
      <c r="J233" s="11">
        <v>0</v>
      </c>
      <c r="K233" s="11">
        <v>0</v>
      </c>
      <c r="L233" s="11">
        <v>0</v>
      </c>
      <c r="M233" s="11">
        <v>0</v>
      </c>
      <c r="N233" s="11">
        <v>0</v>
      </c>
      <c r="O233" s="11">
        <v>0</v>
      </c>
      <c r="P233" s="3"/>
    </row>
    <row r="234" spans="1:16" ht="15.75" customHeight="1" x14ac:dyDescent="0.3">
      <c r="A234" s="3"/>
      <c r="B234" s="75" t="s">
        <v>409</v>
      </c>
      <c r="C234" s="77">
        <f t="shared" ref="C234:O234" si="62">SUM(C235,C245,C255,C265)</f>
        <v>0</v>
      </c>
      <c r="D234" s="77">
        <f t="shared" si="62"/>
        <v>0</v>
      </c>
      <c r="E234" s="77">
        <f t="shared" si="62"/>
        <v>0</v>
      </c>
      <c r="F234" s="77">
        <f t="shared" si="62"/>
        <v>0</v>
      </c>
      <c r="G234" s="77">
        <f t="shared" si="62"/>
        <v>0</v>
      </c>
      <c r="H234" s="77">
        <f t="shared" si="62"/>
        <v>0</v>
      </c>
      <c r="I234" s="77">
        <f t="shared" si="62"/>
        <v>0</v>
      </c>
      <c r="J234" s="77">
        <f t="shared" si="62"/>
        <v>0</v>
      </c>
      <c r="K234" s="77">
        <f t="shared" si="62"/>
        <v>0</v>
      </c>
      <c r="L234" s="77">
        <f t="shared" si="62"/>
        <v>0</v>
      </c>
      <c r="M234" s="77">
        <f t="shared" si="62"/>
        <v>0</v>
      </c>
      <c r="N234" s="77">
        <f t="shared" si="62"/>
        <v>0</v>
      </c>
      <c r="O234" s="77">
        <f t="shared" si="62"/>
        <v>0</v>
      </c>
      <c r="P234" s="3"/>
    </row>
    <row r="235" spans="1:16" ht="15.75" customHeight="1" outlineLevel="1" x14ac:dyDescent="0.3">
      <c r="A235" s="3"/>
      <c r="B235" s="82" t="s">
        <v>233</v>
      </c>
      <c r="C235" s="84">
        <f t="shared" ref="C235:O235" si="63">SUM(C236:C244)</f>
        <v>0</v>
      </c>
      <c r="D235" s="84">
        <f t="shared" si="63"/>
        <v>0</v>
      </c>
      <c r="E235" s="84">
        <f t="shared" si="63"/>
        <v>0</v>
      </c>
      <c r="F235" s="84">
        <f t="shared" si="63"/>
        <v>0</v>
      </c>
      <c r="G235" s="84">
        <f t="shared" si="63"/>
        <v>0</v>
      </c>
      <c r="H235" s="84">
        <f t="shared" si="63"/>
        <v>0</v>
      </c>
      <c r="I235" s="84">
        <f t="shared" si="63"/>
        <v>0</v>
      </c>
      <c r="J235" s="84">
        <f t="shared" si="63"/>
        <v>0</v>
      </c>
      <c r="K235" s="84">
        <f t="shared" si="63"/>
        <v>0</v>
      </c>
      <c r="L235" s="84">
        <f t="shared" si="63"/>
        <v>0</v>
      </c>
      <c r="M235" s="84">
        <f t="shared" si="63"/>
        <v>0</v>
      </c>
      <c r="N235" s="84">
        <f t="shared" si="63"/>
        <v>0</v>
      </c>
      <c r="O235" s="84">
        <f t="shared" si="63"/>
        <v>0</v>
      </c>
      <c r="P235" s="3"/>
    </row>
    <row r="236" spans="1:16" ht="15.75" customHeight="1" outlineLevel="1" x14ac:dyDescent="0.3">
      <c r="A236" s="3"/>
      <c r="B236" s="138" t="s">
        <v>354</v>
      </c>
      <c r="C236" s="10">
        <f t="shared" ref="C236:C244" si="64">SUM(D236:O236)</f>
        <v>0</v>
      </c>
      <c r="D236" s="11">
        <v>0</v>
      </c>
      <c r="E236" s="11">
        <v>0</v>
      </c>
      <c r="F236" s="11">
        <v>0</v>
      </c>
      <c r="G236" s="11">
        <v>0</v>
      </c>
      <c r="H236" s="11">
        <v>0</v>
      </c>
      <c r="I236" s="11">
        <v>0</v>
      </c>
      <c r="J236" s="11">
        <v>0</v>
      </c>
      <c r="K236" s="11">
        <v>0</v>
      </c>
      <c r="L236" s="11">
        <v>0</v>
      </c>
      <c r="M236" s="11">
        <v>0</v>
      </c>
      <c r="N236" s="11">
        <v>0</v>
      </c>
      <c r="O236" s="11">
        <v>0</v>
      </c>
      <c r="P236" s="3"/>
    </row>
    <row r="237" spans="1:16" ht="15.75" customHeight="1" outlineLevel="1" x14ac:dyDescent="0.3">
      <c r="A237" s="3"/>
      <c r="B237" s="138" t="s">
        <v>355</v>
      </c>
      <c r="C237" s="10">
        <f t="shared" si="64"/>
        <v>0</v>
      </c>
      <c r="D237" s="11">
        <v>0</v>
      </c>
      <c r="E237" s="11">
        <v>0</v>
      </c>
      <c r="F237" s="11">
        <v>0</v>
      </c>
      <c r="G237" s="11">
        <v>0</v>
      </c>
      <c r="H237" s="11">
        <v>0</v>
      </c>
      <c r="I237" s="11">
        <v>0</v>
      </c>
      <c r="J237" s="11">
        <v>0</v>
      </c>
      <c r="K237" s="11">
        <v>0</v>
      </c>
      <c r="L237" s="11">
        <v>0</v>
      </c>
      <c r="M237" s="11">
        <v>0</v>
      </c>
      <c r="N237" s="11">
        <v>0</v>
      </c>
      <c r="O237" s="11">
        <v>0</v>
      </c>
      <c r="P237" s="3"/>
    </row>
    <row r="238" spans="1:16" ht="15.75" customHeight="1" outlineLevel="1" x14ac:dyDescent="0.3">
      <c r="A238" s="3"/>
      <c r="B238" s="138" t="s">
        <v>356</v>
      </c>
      <c r="C238" s="10">
        <f t="shared" si="64"/>
        <v>0</v>
      </c>
      <c r="D238" s="11">
        <v>0</v>
      </c>
      <c r="E238" s="11">
        <v>0</v>
      </c>
      <c r="F238" s="11">
        <v>0</v>
      </c>
      <c r="G238" s="11">
        <v>0</v>
      </c>
      <c r="H238" s="11">
        <v>0</v>
      </c>
      <c r="I238" s="11">
        <v>0</v>
      </c>
      <c r="J238" s="11">
        <v>0</v>
      </c>
      <c r="K238" s="11">
        <v>0</v>
      </c>
      <c r="L238" s="11">
        <v>0</v>
      </c>
      <c r="M238" s="11">
        <v>0</v>
      </c>
      <c r="N238" s="11">
        <v>0</v>
      </c>
      <c r="O238" s="11">
        <v>0</v>
      </c>
      <c r="P238" s="3"/>
    </row>
    <row r="239" spans="1:16" ht="15.75" customHeight="1" outlineLevel="1" x14ac:dyDescent="0.3">
      <c r="A239" s="3"/>
      <c r="B239" s="138" t="s">
        <v>370</v>
      </c>
      <c r="C239" s="10">
        <f t="shared" si="64"/>
        <v>0</v>
      </c>
      <c r="D239" s="11">
        <v>0</v>
      </c>
      <c r="E239" s="11">
        <v>0</v>
      </c>
      <c r="F239" s="11">
        <v>0</v>
      </c>
      <c r="G239" s="11">
        <v>0</v>
      </c>
      <c r="H239" s="11">
        <v>0</v>
      </c>
      <c r="I239" s="11">
        <v>0</v>
      </c>
      <c r="J239" s="11">
        <v>0</v>
      </c>
      <c r="K239" s="11">
        <v>0</v>
      </c>
      <c r="L239" s="11">
        <v>0</v>
      </c>
      <c r="M239" s="11">
        <v>0</v>
      </c>
      <c r="N239" s="11">
        <v>0</v>
      </c>
      <c r="O239" s="11">
        <v>0</v>
      </c>
      <c r="P239" s="3"/>
    </row>
    <row r="240" spans="1:16" ht="15.75" customHeight="1" outlineLevel="1" x14ac:dyDescent="0.3">
      <c r="A240" s="3"/>
      <c r="B240" s="138" t="s">
        <v>328</v>
      </c>
      <c r="C240" s="10">
        <f t="shared" si="64"/>
        <v>0</v>
      </c>
      <c r="D240" s="11">
        <v>0</v>
      </c>
      <c r="E240" s="11">
        <v>0</v>
      </c>
      <c r="F240" s="11">
        <v>0</v>
      </c>
      <c r="G240" s="11">
        <v>0</v>
      </c>
      <c r="H240" s="11">
        <v>0</v>
      </c>
      <c r="I240" s="11">
        <v>0</v>
      </c>
      <c r="J240" s="11">
        <v>0</v>
      </c>
      <c r="K240" s="11">
        <v>0</v>
      </c>
      <c r="L240" s="11">
        <v>0</v>
      </c>
      <c r="M240" s="11">
        <v>0</v>
      </c>
      <c r="N240" s="11">
        <v>0</v>
      </c>
      <c r="O240" s="11">
        <v>0</v>
      </c>
      <c r="P240" s="3"/>
    </row>
    <row r="241" spans="1:16" ht="15.75" customHeight="1" outlineLevel="1" x14ac:dyDescent="0.3">
      <c r="A241" s="3"/>
      <c r="B241" s="138" t="s">
        <v>329</v>
      </c>
      <c r="C241" s="10">
        <f t="shared" si="64"/>
        <v>0</v>
      </c>
      <c r="D241" s="11">
        <v>0</v>
      </c>
      <c r="E241" s="11">
        <v>0</v>
      </c>
      <c r="F241" s="11">
        <v>0</v>
      </c>
      <c r="G241" s="11">
        <v>0</v>
      </c>
      <c r="H241" s="11">
        <v>0</v>
      </c>
      <c r="I241" s="11">
        <v>0</v>
      </c>
      <c r="J241" s="11">
        <v>0</v>
      </c>
      <c r="K241" s="11">
        <v>0</v>
      </c>
      <c r="L241" s="11">
        <v>0</v>
      </c>
      <c r="M241" s="11">
        <v>0</v>
      </c>
      <c r="N241" s="11">
        <v>0</v>
      </c>
      <c r="O241" s="11">
        <v>0</v>
      </c>
      <c r="P241" s="3"/>
    </row>
    <row r="242" spans="1:16" ht="15.75" customHeight="1" outlineLevel="1" x14ac:dyDescent="0.3">
      <c r="A242" s="3"/>
      <c r="B242" s="138" t="s">
        <v>371</v>
      </c>
      <c r="C242" s="10">
        <f t="shared" si="64"/>
        <v>0</v>
      </c>
      <c r="D242" s="11">
        <v>0</v>
      </c>
      <c r="E242" s="11">
        <v>0</v>
      </c>
      <c r="F242" s="11">
        <v>0</v>
      </c>
      <c r="G242" s="11">
        <v>0</v>
      </c>
      <c r="H242" s="11">
        <v>0</v>
      </c>
      <c r="I242" s="11">
        <v>0</v>
      </c>
      <c r="J242" s="11">
        <v>0</v>
      </c>
      <c r="K242" s="11">
        <v>0</v>
      </c>
      <c r="L242" s="11">
        <v>0</v>
      </c>
      <c r="M242" s="11">
        <v>0</v>
      </c>
      <c r="N242" s="11">
        <v>0</v>
      </c>
      <c r="O242" s="11">
        <v>0</v>
      </c>
      <c r="P242" s="3"/>
    </row>
    <row r="243" spans="1:16" ht="15.75" customHeight="1" outlineLevel="1" x14ac:dyDescent="0.3">
      <c r="A243" s="3"/>
      <c r="B243" s="138" t="s">
        <v>372</v>
      </c>
      <c r="C243" s="10">
        <f t="shared" si="64"/>
        <v>0</v>
      </c>
      <c r="D243" s="11">
        <v>0</v>
      </c>
      <c r="E243" s="11">
        <v>0</v>
      </c>
      <c r="F243" s="11">
        <v>0</v>
      </c>
      <c r="G243" s="11">
        <v>0</v>
      </c>
      <c r="H243" s="11">
        <v>0</v>
      </c>
      <c r="I243" s="11">
        <v>0</v>
      </c>
      <c r="J243" s="11">
        <v>0</v>
      </c>
      <c r="K243" s="11">
        <v>0</v>
      </c>
      <c r="L243" s="11">
        <v>0</v>
      </c>
      <c r="M243" s="11">
        <v>0</v>
      </c>
      <c r="N243" s="11">
        <v>0</v>
      </c>
      <c r="O243" s="11">
        <v>0</v>
      </c>
      <c r="P243" s="3"/>
    </row>
    <row r="244" spans="1:16" ht="15.75" customHeight="1" outlineLevel="1" x14ac:dyDescent="0.3">
      <c r="A244" s="3"/>
      <c r="B244" s="138" t="s">
        <v>373</v>
      </c>
      <c r="C244" s="10">
        <f t="shared" si="64"/>
        <v>0</v>
      </c>
      <c r="D244" s="11">
        <v>0</v>
      </c>
      <c r="E244" s="11">
        <v>0</v>
      </c>
      <c r="F244" s="11">
        <v>0</v>
      </c>
      <c r="G244" s="11">
        <v>0</v>
      </c>
      <c r="H244" s="11">
        <v>0</v>
      </c>
      <c r="I244" s="11">
        <v>0</v>
      </c>
      <c r="J244" s="11">
        <v>0</v>
      </c>
      <c r="K244" s="11">
        <v>0</v>
      </c>
      <c r="L244" s="11">
        <v>0</v>
      </c>
      <c r="M244" s="11">
        <v>0</v>
      </c>
      <c r="N244" s="11">
        <v>0</v>
      </c>
      <c r="O244" s="11">
        <v>0</v>
      </c>
      <c r="P244" s="3"/>
    </row>
    <row r="245" spans="1:16" ht="15.75" customHeight="1" outlineLevel="1" x14ac:dyDescent="0.3">
      <c r="A245" s="3"/>
      <c r="B245" s="82" t="s">
        <v>1288</v>
      </c>
      <c r="C245" s="84">
        <f t="shared" ref="C245:O245" si="65">SUM(C246:C254)</f>
        <v>0</v>
      </c>
      <c r="D245" s="84">
        <f t="shared" si="65"/>
        <v>0</v>
      </c>
      <c r="E245" s="84">
        <f t="shared" si="65"/>
        <v>0</v>
      </c>
      <c r="F245" s="84">
        <f t="shared" si="65"/>
        <v>0</v>
      </c>
      <c r="G245" s="84">
        <f t="shared" si="65"/>
        <v>0</v>
      </c>
      <c r="H245" s="84">
        <f t="shared" si="65"/>
        <v>0</v>
      </c>
      <c r="I245" s="84">
        <f t="shared" si="65"/>
        <v>0</v>
      </c>
      <c r="J245" s="84">
        <f t="shared" si="65"/>
        <v>0</v>
      </c>
      <c r="K245" s="84">
        <f t="shared" si="65"/>
        <v>0</v>
      </c>
      <c r="L245" s="84">
        <f t="shared" si="65"/>
        <v>0</v>
      </c>
      <c r="M245" s="84">
        <f t="shared" si="65"/>
        <v>0</v>
      </c>
      <c r="N245" s="84">
        <f t="shared" si="65"/>
        <v>0</v>
      </c>
      <c r="O245" s="84">
        <f t="shared" si="65"/>
        <v>0</v>
      </c>
      <c r="P245" s="3"/>
    </row>
    <row r="246" spans="1:16" ht="15.75" customHeight="1" outlineLevel="1" x14ac:dyDescent="0.3">
      <c r="A246" s="3"/>
      <c r="B246" s="138" t="s">
        <v>354</v>
      </c>
      <c r="C246" s="10">
        <f t="shared" ref="C246:C254" si="66">SUM(D246:O246)</f>
        <v>0</v>
      </c>
      <c r="D246" s="11">
        <v>0</v>
      </c>
      <c r="E246" s="11">
        <v>0</v>
      </c>
      <c r="F246" s="11">
        <v>0</v>
      </c>
      <c r="G246" s="11">
        <v>0</v>
      </c>
      <c r="H246" s="11">
        <v>0</v>
      </c>
      <c r="I246" s="11">
        <v>0</v>
      </c>
      <c r="J246" s="11">
        <v>0</v>
      </c>
      <c r="K246" s="11">
        <v>0</v>
      </c>
      <c r="L246" s="11">
        <v>0</v>
      </c>
      <c r="M246" s="11">
        <v>0</v>
      </c>
      <c r="N246" s="11">
        <v>0</v>
      </c>
      <c r="O246" s="11">
        <v>0</v>
      </c>
      <c r="P246" s="3"/>
    </row>
    <row r="247" spans="1:16" ht="15.75" customHeight="1" outlineLevel="1" x14ac:dyDescent="0.3">
      <c r="A247" s="3"/>
      <c r="B247" s="138" t="s">
        <v>355</v>
      </c>
      <c r="C247" s="10">
        <f t="shared" si="66"/>
        <v>0</v>
      </c>
      <c r="D247" s="11">
        <v>0</v>
      </c>
      <c r="E247" s="11">
        <v>0</v>
      </c>
      <c r="F247" s="11">
        <v>0</v>
      </c>
      <c r="G247" s="11">
        <v>0</v>
      </c>
      <c r="H247" s="11">
        <v>0</v>
      </c>
      <c r="I247" s="11">
        <v>0</v>
      </c>
      <c r="J247" s="11">
        <v>0</v>
      </c>
      <c r="K247" s="11">
        <v>0</v>
      </c>
      <c r="L247" s="11">
        <v>0</v>
      </c>
      <c r="M247" s="11">
        <v>0</v>
      </c>
      <c r="N247" s="11">
        <v>0</v>
      </c>
      <c r="O247" s="11">
        <v>0</v>
      </c>
      <c r="P247" s="3"/>
    </row>
    <row r="248" spans="1:16" ht="15.75" customHeight="1" outlineLevel="1" x14ac:dyDescent="0.3">
      <c r="A248" s="3"/>
      <c r="B248" s="138" t="s">
        <v>356</v>
      </c>
      <c r="C248" s="10">
        <f t="shared" si="66"/>
        <v>0</v>
      </c>
      <c r="D248" s="11">
        <v>0</v>
      </c>
      <c r="E248" s="11">
        <v>0</v>
      </c>
      <c r="F248" s="11">
        <v>0</v>
      </c>
      <c r="G248" s="11">
        <v>0</v>
      </c>
      <c r="H248" s="11">
        <v>0</v>
      </c>
      <c r="I248" s="11">
        <v>0</v>
      </c>
      <c r="J248" s="11">
        <v>0</v>
      </c>
      <c r="K248" s="11">
        <v>0</v>
      </c>
      <c r="L248" s="11">
        <v>0</v>
      </c>
      <c r="M248" s="11">
        <v>0</v>
      </c>
      <c r="N248" s="11">
        <v>0</v>
      </c>
      <c r="O248" s="11">
        <v>0</v>
      </c>
      <c r="P248" s="3"/>
    </row>
    <row r="249" spans="1:16" ht="15.75" customHeight="1" outlineLevel="1" x14ac:dyDescent="0.3">
      <c r="A249" s="3"/>
      <c r="B249" s="138" t="s">
        <v>370</v>
      </c>
      <c r="C249" s="10">
        <f t="shared" si="66"/>
        <v>0</v>
      </c>
      <c r="D249" s="11">
        <v>0</v>
      </c>
      <c r="E249" s="11">
        <v>0</v>
      </c>
      <c r="F249" s="11">
        <v>0</v>
      </c>
      <c r="G249" s="11">
        <v>0</v>
      </c>
      <c r="H249" s="11">
        <v>0</v>
      </c>
      <c r="I249" s="11">
        <v>0</v>
      </c>
      <c r="J249" s="11">
        <v>0</v>
      </c>
      <c r="K249" s="11">
        <v>0</v>
      </c>
      <c r="L249" s="11">
        <v>0</v>
      </c>
      <c r="M249" s="11">
        <v>0</v>
      </c>
      <c r="N249" s="11">
        <v>0</v>
      </c>
      <c r="O249" s="11">
        <v>0</v>
      </c>
      <c r="P249" s="3"/>
    </row>
    <row r="250" spans="1:16" ht="15.75" customHeight="1" outlineLevel="1" x14ac:dyDescent="0.3">
      <c r="A250" s="3"/>
      <c r="B250" s="138" t="s">
        <v>328</v>
      </c>
      <c r="C250" s="10">
        <f t="shared" si="66"/>
        <v>0</v>
      </c>
      <c r="D250" s="11">
        <v>0</v>
      </c>
      <c r="E250" s="11">
        <v>0</v>
      </c>
      <c r="F250" s="11">
        <v>0</v>
      </c>
      <c r="G250" s="11">
        <v>0</v>
      </c>
      <c r="H250" s="11">
        <v>0</v>
      </c>
      <c r="I250" s="11">
        <v>0</v>
      </c>
      <c r="J250" s="11">
        <v>0</v>
      </c>
      <c r="K250" s="11">
        <v>0</v>
      </c>
      <c r="L250" s="11">
        <v>0</v>
      </c>
      <c r="M250" s="11">
        <v>0</v>
      </c>
      <c r="N250" s="11">
        <v>0</v>
      </c>
      <c r="O250" s="11">
        <v>0</v>
      </c>
      <c r="P250" s="3"/>
    </row>
    <row r="251" spans="1:16" ht="15.75" customHeight="1" outlineLevel="1" x14ac:dyDescent="0.3">
      <c r="A251" s="3"/>
      <c r="B251" s="138" t="s">
        <v>329</v>
      </c>
      <c r="C251" s="10">
        <f t="shared" si="66"/>
        <v>0</v>
      </c>
      <c r="D251" s="11">
        <v>0</v>
      </c>
      <c r="E251" s="11">
        <v>0</v>
      </c>
      <c r="F251" s="11">
        <v>0</v>
      </c>
      <c r="G251" s="11">
        <v>0</v>
      </c>
      <c r="H251" s="11">
        <v>0</v>
      </c>
      <c r="I251" s="11">
        <v>0</v>
      </c>
      <c r="J251" s="11">
        <v>0</v>
      </c>
      <c r="K251" s="11">
        <v>0</v>
      </c>
      <c r="L251" s="11">
        <v>0</v>
      </c>
      <c r="M251" s="11">
        <v>0</v>
      </c>
      <c r="N251" s="11">
        <v>0</v>
      </c>
      <c r="O251" s="11">
        <v>0</v>
      </c>
      <c r="P251" s="3"/>
    </row>
    <row r="252" spans="1:16" ht="15.75" customHeight="1" outlineLevel="1" x14ac:dyDescent="0.3">
      <c r="A252" s="3"/>
      <c r="B252" s="138" t="s">
        <v>371</v>
      </c>
      <c r="C252" s="10">
        <f t="shared" si="66"/>
        <v>0</v>
      </c>
      <c r="D252" s="11">
        <v>0</v>
      </c>
      <c r="E252" s="11">
        <v>0</v>
      </c>
      <c r="F252" s="11">
        <v>0</v>
      </c>
      <c r="G252" s="11">
        <v>0</v>
      </c>
      <c r="H252" s="11">
        <v>0</v>
      </c>
      <c r="I252" s="11">
        <v>0</v>
      </c>
      <c r="J252" s="11">
        <v>0</v>
      </c>
      <c r="K252" s="11">
        <v>0</v>
      </c>
      <c r="L252" s="11">
        <v>0</v>
      </c>
      <c r="M252" s="11">
        <v>0</v>
      </c>
      <c r="N252" s="11">
        <v>0</v>
      </c>
      <c r="O252" s="11">
        <v>0</v>
      </c>
      <c r="P252" s="3"/>
    </row>
    <row r="253" spans="1:16" ht="15.75" customHeight="1" outlineLevel="1" x14ac:dyDescent="0.3">
      <c r="A253" s="3"/>
      <c r="B253" s="138" t="s">
        <v>372</v>
      </c>
      <c r="C253" s="10">
        <f t="shared" si="66"/>
        <v>0</v>
      </c>
      <c r="D253" s="11">
        <v>0</v>
      </c>
      <c r="E253" s="11">
        <v>0</v>
      </c>
      <c r="F253" s="11">
        <v>0</v>
      </c>
      <c r="G253" s="11">
        <v>0</v>
      </c>
      <c r="H253" s="11">
        <v>0</v>
      </c>
      <c r="I253" s="11">
        <v>0</v>
      </c>
      <c r="J253" s="11">
        <v>0</v>
      </c>
      <c r="K253" s="11">
        <v>0</v>
      </c>
      <c r="L253" s="11">
        <v>0</v>
      </c>
      <c r="M253" s="11">
        <v>0</v>
      </c>
      <c r="N253" s="11">
        <v>0</v>
      </c>
      <c r="O253" s="11">
        <v>0</v>
      </c>
      <c r="P253" s="3"/>
    </row>
    <row r="254" spans="1:16" ht="15.75" customHeight="1" outlineLevel="1" x14ac:dyDescent="0.3">
      <c r="A254" s="3"/>
      <c r="B254" s="138" t="s">
        <v>373</v>
      </c>
      <c r="C254" s="10">
        <f t="shared" si="66"/>
        <v>0</v>
      </c>
      <c r="D254" s="11">
        <v>0</v>
      </c>
      <c r="E254" s="11">
        <v>0</v>
      </c>
      <c r="F254" s="11">
        <v>0</v>
      </c>
      <c r="G254" s="11">
        <v>0</v>
      </c>
      <c r="H254" s="11">
        <v>0</v>
      </c>
      <c r="I254" s="11">
        <v>0</v>
      </c>
      <c r="J254" s="11">
        <v>0</v>
      </c>
      <c r="K254" s="11">
        <v>0</v>
      </c>
      <c r="L254" s="11">
        <v>0</v>
      </c>
      <c r="M254" s="11">
        <v>0</v>
      </c>
      <c r="N254" s="11">
        <v>0</v>
      </c>
      <c r="O254" s="11">
        <v>0</v>
      </c>
      <c r="P254" s="3"/>
    </row>
    <row r="255" spans="1:16" ht="15.75" customHeight="1" outlineLevel="1" x14ac:dyDescent="0.3">
      <c r="A255" s="3"/>
      <c r="B255" s="82" t="s">
        <v>238</v>
      </c>
      <c r="C255" s="84">
        <f t="shared" ref="C255:O255" si="67">SUM(C256:C264)</f>
        <v>0</v>
      </c>
      <c r="D255" s="84">
        <f t="shared" si="67"/>
        <v>0</v>
      </c>
      <c r="E255" s="84">
        <f t="shared" si="67"/>
        <v>0</v>
      </c>
      <c r="F255" s="84">
        <f t="shared" si="67"/>
        <v>0</v>
      </c>
      <c r="G255" s="84">
        <f t="shared" si="67"/>
        <v>0</v>
      </c>
      <c r="H255" s="84">
        <f t="shared" si="67"/>
        <v>0</v>
      </c>
      <c r="I255" s="84">
        <f t="shared" si="67"/>
        <v>0</v>
      </c>
      <c r="J255" s="84">
        <f t="shared" si="67"/>
        <v>0</v>
      </c>
      <c r="K255" s="84">
        <f t="shared" si="67"/>
        <v>0</v>
      </c>
      <c r="L255" s="84">
        <f t="shared" si="67"/>
        <v>0</v>
      </c>
      <c r="M255" s="84">
        <f t="shared" si="67"/>
        <v>0</v>
      </c>
      <c r="N255" s="84">
        <f t="shared" si="67"/>
        <v>0</v>
      </c>
      <c r="O255" s="84">
        <f t="shared" si="67"/>
        <v>0</v>
      </c>
      <c r="P255" s="3"/>
    </row>
    <row r="256" spans="1:16" ht="15.75" customHeight="1" outlineLevel="1" x14ac:dyDescent="0.3">
      <c r="A256" s="3"/>
      <c r="B256" s="138" t="s">
        <v>354</v>
      </c>
      <c r="C256" s="10">
        <f t="shared" ref="C256:C264" si="68">SUM(D256:O256)</f>
        <v>0</v>
      </c>
      <c r="D256" s="11">
        <v>0</v>
      </c>
      <c r="E256" s="11">
        <v>0</v>
      </c>
      <c r="F256" s="11">
        <v>0</v>
      </c>
      <c r="G256" s="11">
        <v>0</v>
      </c>
      <c r="H256" s="11">
        <v>0</v>
      </c>
      <c r="I256" s="11">
        <v>0</v>
      </c>
      <c r="J256" s="11">
        <v>0</v>
      </c>
      <c r="K256" s="11">
        <v>0</v>
      </c>
      <c r="L256" s="11">
        <v>0</v>
      </c>
      <c r="M256" s="11">
        <v>0</v>
      </c>
      <c r="N256" s="11">
        <v>0</v>
      </c>
      <c r="O256" s="11">
        <v>0</v>
      </c>
      <c r="P256" s="3"/>
    </row>
    <row r="257" spans="1:16" ht="15.75" customHeight="1" outlineLevel="1" x14ac:dyDescent="0.3">
      <c r="A257" s="3"/>
      <c r="B257" s="138" t="s">
        <v>355</v>
      </c>
      <c r="C257" s="10">
        <f t="shared" si="68"/>
        <v>0</v>
      </c>
      <c r="D257" s="11">
        <v>0</v>
      </c>
      <c r="E257" s="11">
        <v>0</v>
      </c>
      <c r="F257" s="11">
        <v>0</v>
      </c>
      <c r="G257" s="11">
        <v>0</v>
      </c>
      <c r="H257" s="11">
        <v>0</v>
      </c>
      <c r="I257" s="11">
        <v>0</v>
      </c>
      <c r="J257" s="11">
        <v>0</v>
      </c>
      <c r="K257" s="11">
        <v>0</v>
      </c>
      <c r="L257" s="11">
        <v>0</v>
      </c>
      <c r="M257" s="11">
        <v>0</v>
      </c>
      <c r="N257" s="11">
        <v>0</v>
      </c>
      <c r="O257" s="11">
        <v>0</v>
      </c>
      <c r="P257" s="3"/>
    </row>
    <row r="258" spans="1:16" ht="15.75" customHeight="1" outlineLevel="1" x14ac:dyDescent="0.3">
      <c r="A258" s="3"/>
      <c r="B258" s="138" t="s">
        <v>356</v>
      </c>
      <c r="C258" s="10">
        <f t="shared" si="68"/>
        <v>0</v>
      </c>
      <c r="D258" s="11">
        <v>0</v>
      </c>
      <c r="E258" s="11">
        <v>0</v>
      </c>
      <c r="F258" s="11">
        <v>0</v>
      </c>
      <c r="G258" s="11">
        <v>0</v>
      </c>
      <c r="H258" s="11">
        <v>0</v>
      </c>
      <c r="I258" s="11">
        <v>0</v>
      </c>
      <c r="J258" s="11">
        <v>0</v>
      </c>
      <c r="K258" s="11">
        <v>0</v>
      </c>
      <c r="L258" s="11">
        <v>0</v>
      </c>
      <c r="M258" s="11">
        <v>0</v>
      </c>
      <c r="N258" s="11">
        <v>0</v>
      </c>
      <c r="O258" s="11">
        <v>0</v>
      </c>
      <c r="P258" s="3"/>
    </row>
    <row r="259" spans="1:16" ht="15.75" customHeight="1" outlineLevel="1" x14ac:dyDescent="0.3">
      <c r="A259" s="3"/>
      <c r="B259" s="138" t="s">
        <v>370</v>
      </c>
      <c r="C259" s="10">
        <f t="shared" si="68"/>
        <v>0</v>
      </c>
      <c r="D259" s="11">
        <v>0</v>
      </c>
      <c r="E259" s="11">
        <v>0</v>
      </c>
      <c r="F259" s="11">
        <v>0</v>
      </c>
      <c r="G259" s="11">
        <v>0</v>
      </c>
      <c r="H259" s="11">
        <v>0</v>
      </c>
      <c r="I259" s="11">
        <v>0</v>
      </c>
      <c r="J259" s="11">
        <v>0</v>
      </c>
      <c r="K259" s="11">
        <v>0</v>
      </c>
      <c r="L259" s="11">
        <v>0</v>
      </c>
      <c r="M259" s="11">
        <v>0</v>
      </c>
      <c r="N259" s="11">
        <v>0</v>
      </c>
      <c r="O259" s="11">
        <v>0</v>
      </c>
      <c r="P259" s="3"/>
    </row>
    <row r="260" spans="1:16" ht="15.75" customHeight="1" outlineLevel="1" x14ac:dyDescent="0.3">
      <c r="A260" s="3"/>
      <c r="B260" s="138" t="s">
        <v>328</v>
      </c>
      <c r="C260" s="10">
        <f t="shared" si="68"/>
        <v>0</v>
      </c>
      <c r="D260" s="11">
        <v>0</v>
      </c>
      <c r="E260" s="11">
        <v>0</v>
      </c>
      <c r="F260" s="11">
        <v>0</v>
      </c>
      <c r="G260" s="11">
        <v>0</v>
      </c>
      <c r="H260" s="11">
        <v>0</v>
      </c>
      <c r="I260" s="11">
        <v>0</v>
      </c>
      <c r="J260" s="11">
        <v>0</v>
      </c>
      <c r="K260" s="11">
        <v>0</v>
      </c>
      <c r="L260" s="11">
        <v>0</v>
      </c>
      <c r="M260" s="11">
        <v>0</v>
      </c>
      <c r="N260" s="11">
        <v>0</v>
      </c>
      <c r="O260" s="11">
        <v>0</v>
      </c>
      <c r="P260" s="3"/>
    </row>
    <row r="261" spans="1:16" ht="15.75" customHeight="1" outlineLevel="1" x14ac:dyDescent="0.3">
      <c r="A261" s="3"/>
      <c r="B261" s="138" t="s">
        <v>329</v>
      </c>
      <c r="C261" s="10">
        <f t="shared" si="68"/>
        <v>0</v>
      </c>
      <c r="D261" s="11">
        <v>0</v>
      </c>
      <c r="E261" s="11">
        <v>0</v>
      </c>
      <c r="F261" s="11">
        <v>0</v>
      </c>
      <c r="G261" s="11">
        <v>0</v>
      </c>
      <c r="H261" s="11">
        <v>0</v>
      </c>
      <c r="I261" s="11">
        <v>0</v>
      </c>
      <c r="J261" s="11">
        <v>0</v>
      </c>
      <c r="K261" s="11">
        <v>0</v>
      </c>
      <c r="L261" s="11">
        <v>0</v>
      </c>
      <c r="M261" s="11">
        <v>0</v>
      </c>
      <c r="N261" s="11">
        <v>0</v>
      </c>
      <c r="O261" s="11">
        <v>0</v>
      </c>
      <c r="P261" s="3"/>
    </row>
    <row r="262" spans="1:16" ht="15.75" customHeight="1" outlineLevel="1" x14ac:dyDescent="0.3">
      <c r="A262" s="3"/>
      <c r="B262" s="138" t="s">
        <v>371</v>
      </c>
      <c r="C262" s="10">
        <f t="shared" si="68"/>
        <v>0</v>
      </c>
      <c r="D262" s="11">
        <v>0</v>
      </c>
      <c r="E262" s="11">
        <v>0</v>
      </c>
      <c r="F262" s="11">
        <v>0</v>
      </c>
      <c r="G262" s="11">
        <v>0</v>
      </c>
      <c r="H262" s="11">
        <v>0</v>
      </c>
      <c r="I262" s="11">
        <v>0</v>
      </c>
      <c r="J262" s="11">
        <v>0</v>
      </c>
      <c r="K262" s="11">
        <v>0</v>
      </c>
      <c r="L262" s="11">
        <v>0</v>
      </c>
      <c r="M262" s="11">
        <v>0</v>
      </c>
      <c r="N262" s="11">
        <v>0</v>
      </c>
      <c r="O262" s="11">
        <v>0</v>
      </c>
      <c r="P262" s="3"/>
    </row>
    <row r="263" spans="1:16" ht="15.75" customHeight="1" outlineLevel="1" x14ac:dyDescent="0.3">
      <c r="A263" s="3"/>
      <c r="B263" s="138" t="s">
        <v>372</v>
      </c>
      <c r="C263" s="10">
        <f t="shared" si="68"/>
        <v>0</v>
      </c>
      <c r="D263" s="11">
        <v>0</v>
      </c>
      <c r="E263" s="11">
        <v>0</v>
      </c>
      <c r="F263" s="11">
        <v>0</v>
      </c>
      <c r="G263" s="11">
        <v>0</v>
      </c>
      <c r="H263" s="11">
        <v>0</v>
      </c>
      <c r="I263" s="11">
        <v>0</v>
      </c>
      <c r="J263" s="11">
        <v>0</v>
      </c>
      <c r="K263" s="11">
        <v>0</v>
      </c>
      <c r="L263" s="11">
        <v>0</v>
      </c>
      <c r="M263" s="11">
        <v>0</v>
      </c>
      <c r="N263" s="11">
        <v>0</v>
      </c>
      <c r="O263" s="11">
        <v>0</v>
      </c>
      <c r="P263" s="3"/>
    </row>
    <row r="264" spans="1:16" ht="15.75" customHeight="1" outlineLevel="1" x14ac:dyDescent="0.3">
      <c r="A264" s="3"/>
      <c r="B264" s="138" t="s">
        <v>373</v>
      </c>
      <c r="C264" s="10">
        <f t="shared" si="68"/>
        <v>0</v>
      </c>
      <c r="D264" s="11">
        <v>0</v>
      </c>
      <c r="E264" s="11">
        <v>0</v>
      </c>
      <c r="F264" s="11">
        <v>0</v>
      </c>
      <c r="G264" s="11">
        <v>0</v>
      </c>
      <c r="H264" s="11">
        <v>0</v>
      </c>
      <c r="I264" s="11">
        <v>0</v>
      </c>
      <c r="J264" s="11">
        <v>0</v>
      </c>
      <c r="K264" s="11">
        <v>0</v>
      </c>
      <c r="L264" s="11">
        <v>0</v>
      </c>
      <c r="M264" s="11">
        <v>0</v>
      </c>
      <c r="N264" s="11">
        <v>0</v>
      </c>
      <c r="O264" s="11">
        <v>0</v>
      </c>
      <c r="P264" s="3"/>
    </row>
    <row r="265" spans="1:16" ht="15.75" customHeight="1" outlineLevel="1" x14ac:dyDescent="0.3">
      <c r="A265" s="3"/>
      <c r="B265" s="82" t="s">
        <v>239</v>
      </c>
      <c r="C265" s="84">
        <f t="shared" ref="C265:O265" si="69">SUM(C266:C274)</f>
        <v>0</v>
      </c>
      <c r="D265" s="84">
        <f t="shared" si="69"/>
        <v>0</v>
      </c>
      <c r="E265" s="84">
        <f t="shared" si="69"/>
        <v>0</v>
      </c>
      <c r="F265" s="84">
        <f t="shared" si="69"/>
        <v>0</v>
      </c>
      <c r="G265" s="84">
        <f t="shared" si="69"/>
        <v>0</v>
      </c>
      <c r="H265" s="84">
        <f t="shared" si="69"/>
        <v>0</v>
      </c>
      <c r="I265" s="84">
        <f t="shared" si="69"/>
        <v>0</v>
      </c>
      <c r="J265" s="84">
        <f t="shared" si="69"/>
        <v>0</v>
      </c>
      <c r="K265" s="84">
        <f t="shared" si="69"/>
        <v>0</v>
      </c>
      <c r="L265" s="84">
        <f t="shared" si="69"/>
        <v>0</v>
      </c>
      <c r="M265" s="84">
        <f t="shared" si="69"/>
        <v>0</v>
      </c>
      <c r="N265" s="84">
        <f t="shared" si="69"/>
        <v>0</v>
      </c>
      <c r="O265" s="84">
        <f t="shared" si="69"/>
        <v>0</v>
      </c>
      <c r="P265" s="3"/>
    </row>
    <row r="266" spans="1:16" ht="15.75" customHeight="1" outlineLevel="1" x14ac:dyDescent="0.3">
      <c r="A266" s="3"/>
      <c r="B266" s="138" t="s">
        <v>354</v>
      </c>
      <c r="C266" s="10">
        <f t="shared" ref="C266:C274" si="70">SUM(D266:O266)</f>
        <v>0</v>
      </c>
      <c r="D266" s="11">
        <v>0</v>
      </c>
      <c r="E266" s="11">
        <v>0</v>
      </c>
      <c r="F266" s="11">
        <v>0</v>
      </c>
      <c r="G266" s="11">
        <v>0</v>
      </c>
      <c r="H266" s="11">
        <v>0</v>
      </c>
      <c r="I266" s="11">
        <v>0</v>
      </c>
      <c r="J266" s="11">
        <v>0</v>
      </c>
      <c r="K266" s="11">
        <v>0</v>
      </c>
      <c r="L266" s="11">
        <v>0</v>
      </c>
      <c r="M266" s="11">
        <v>0</v>
      </c>
      <c r="N266" s="11">
        <v>0</v>
      </c>
      <c r="O266" s="11">
        <v>0</v>
      </c>
      <c r="P266" s="3"/>
    </row>
    <row r="267" spans="1:16" ht="15.75" customHeight="1" outlineLevel="1" x14ac:dyDescent="0.3">
      <c r="A267" s="3"/>
      <c r="B267" s="138" t="s">
        <v>355</v>
      </c>
      <c r="C267" s="10">
        <f t="shared" si="70"/>
        <v>0</v>
      </c>
      <c r="D267" s="11">
        <v>0</v>
      </c>
      <c r="E267" s="11">
        <v>0</v>
      </c>
      <c r="F267" s="11">
        <v>0</v>
      </c>
      <c r="G267" s="11">
        <v>0</v>
      </c>
      <c r="H267" s="11">
        <v>0</v>
      </c>
      <c r="I267" s="11">
        <v>0</v>
      </c>
      <c r="J267" s="11">
        <v>0</v>
      </c>
      <c r="K267" s="11">
        <v>0</v>
      </c>
      <c r="L267" s="11">
        <v>0</v>
      </c>
      <c r="M267" s="11">
        <v>0</v>
      </c>
      <c r="N267" s="11">
        <v>0</v>
      </c>
      <c r="O267" s="11">
        <v>0</v>
      </c>
      <c r="P267" s="3"/>
    </row>
    <row r="268" spans="1:16" ht="15.75" customHeight="1" outlineLevel="1" x14ac:dyDescent="0.3">
      <c r="A268" s="3"/>
      <c r="B268" s="138" t="s">
        <v>356</v>
      </c>
      <c r="C268" s="10">
        <f t="shared" si="70"/>
        <v>0</v>
      </c>
      <c r="D268" s="11">
        <v>0</v>
      </c>
      <c r="E268" s="11">
        <v>0</v>
      </c>
      <c r="F268" s="11">
        <v>0</v>
      </c>
      <c r="G268" s="11">
        <v>0</v>
      </c>
      <c r="H268" s="11">
        <v>0</v>
      </c>
      <c r="I268" s="11">
        <v>0</v>
      </c>
      <c r="J268" s="11">
        <v>0</v>
      </c>
      <c r="K268" s="11">
        <v>0</v>
      </c>
      <c r="L268" s="11">
        <v>0</v>
      </c>
      <c r="M268" s="11">
        <v>0</v>
      </c>
      <c r="N268" s="11">
        <v>0</v>
      </c>
      <c r="O268" s="11">
        <v>0</v>
      </c>
      <c r="P268" s="3"/>
    </row>
    <row r="269" spans="1:16" ht="15.75" customHeight="1" outlineLevel="1" x14ac:dyDescent="0.3">
      <c r="A269" s="3"/>
      <c r="B269" s="138" t="s">
        <v>370</v>
      </c>
      <c r="C269" s="10">
        <f t="shared" si="70"/>
        <v>0</v>
      </c>
      <c r="D269" s="11">
        <v>0</v>
      </c>
      <c r="E269" s="11">
        <v>0</v>
      </c>
      <c r="F269" s="11">
        <v>0</v>
      </c>
      <c r="G269" s="11">
        <v>0</v>
      </c>
      <c r="H269" s="11">
        <v>0</v>
      </c>
      <c r="I269" s="11">
        <v>0</v>
      </c>
      <c r="J269" s="11">
        <v>0</v>
      </c>
      <c r="K269" s="11">
        <v>0</v>
      </c>
      <c r="L269" s="11">
        <v>0</v>
      </c>
      <c r="M269" s="11">
        <v>0</v>
      </c>
      <c r="N269" s="11">
        <v>0</v>
      </c>
      <c r="O269" s="11">
        <v>0</v>
      </c>
      <c r="P269" s="3"/>
    </row>
    <row r="270" spans="1:16" ht="15.75" customHeight="1" outlineLevel="1" x14ac:dyDescent="0.3">
      <c r="A270" s="3"/>
      <c r="B270" s="138" t="s">
        <v>328</v>
      </c>
      <c r="C270" s="10">
        <f t="shared" si="70"/>
        <v>0</v>
      </c>
      <c r="D270" s="11">
        <v>0</v>
      </c>
      <c r="E270" s="11">
        <v>0</v>
      </c>
      <c r="F270" s="11">
        <v>0</v>
      </c>
      <c r="G270" s="11">
        <v>0</v>
      </c>
      <c r="H270" s="11">
        <v>0</v>
      </c>
      <c r="I270" s="11">
        <v>0</v>
      </c>
      <c r="J270" s="11">
        <v>0</v>
      </c>
      <c r="K270" s="11">
        <v>0</v>
      </c>
      <c r="L270" s="11">
        <v>0</v>
      </c>
      <c r="M270" s="11">
        <v>0</v>
      </c>
      <c r="N270" s="11">
        <v>0</v>
      </c>
      <c r="O270" s="11">
        <v>0</v>
      </c>
      <c r="P270" s="3"/>
    </row>
    <row r="271" spans="1:16" ht="15.75" customHeight="1" outlineLevel="1" x14ac:dyDescent="0.3">
      <c r="A271" s="3"/>
      <c r="B271" s="138" t="s">
        <v>329</v>
      </c>
      <c r="C271" s="10">
        <f t="shared" si="70"/>
        <v>0</v>
      </c>
      <c r="D271" s="11">
        <v>0</v>
      </c>
      <c r="E271" s="11">
        <v>0</v>
      </c>
      <c r="F271" s="11">
        <v>0</v>
      </c>
      <c r="G271" s="11">
        <v>0</v>
      </c>
      <c r="H271" s="11">
        <v>0</v>
      </c>
      <c r="I271" s="11">
        <v>0</v>
      </c>
      <c r="J271" s="11">
        <v>0</v>
      </c>
      <c r="K271" s="11">
        <v>0</v>
      </c>
      <c r="L271" s="11">
        <v>0</v>
      </c>
      <c r="M271" s="11">
        <v>0</v>
      </c>
      <c r="N271" s="11">
        <v>0</v>
      </c>
      <c r="O271" s="11">
        <v>0</v>
      </c>
      <c r="P271" s="3"/>
    </row>
    <row r="272" spans="1:16" ht="15.75" customHeight="1" outlineLevel="1" x14ac:dyDescent="0.3">
      <c r="A272" s="3"/>
      <c r="B272" s="138" t="s">
        <v>371</v>
      </c>
      <c r="C272" s="10">
        <f t="shared" si="70"/>
        <v>0</v>
      </c>
      <c r="D272" s="11">
        <v>0</v>
      </c>
      <c r="E272" s="11">
        <v>0</v>
      </c>
      <c r="F272" s="11">
        <v>0</v>
      </c>
      <c r="G272" s="11">
        <v>0</v>
      </c>
      <c r="H272" s="11">
        <v>0</v>
      </c>
      <c r="I272" s="11">
        <v>0</v>
      </c>
      <c r="J272" s="11">
        <v>0</v>
      </c>
      <c r="K272" s="11">
        <v>0</v>
      </c>
      <c r="L272" s="11">
        <v>0</v>
      </c>
      <c r="M272" s="11">
        <v>0</v>
      </c>
      <c r="N272" s="11">
        <v>0</v>
      </c>
      <c r="O272" s="11">
        <v>0</v>
      </c>
      <c r="P272" s="3"/>
    </row>
    <row r="273" spans="1:16" ht="15.75" customHeight="1" outlineLevel="1" x14ac:dyDescent="0.3">
      <c r="A273" s="3"/>
      <c r="B273" s="138" t="s">
        <v>372</v>
      </c>
      <c r="C273" s="10">
        <f t="shared" si="70"/>
        <v>0</v>
      </c>
      <c r="D273" s="11">
        <v>0</v>
      </c>
      <c r="E273" s="11">
        <v>0</v>
      </c>
      <c r="F273" s="11">
        <v>0</v>
      </c>
      <c r="G273" s="11">
        <v>0</v>
      </c>
      <c r="H273" s="11">
        <v>0</v>
      </c>
      <c r="I273" s="11">
        <v>0</v>
      </c>
      <c r="J273" s="11">
        <v>0</v>
      </c>
      <c r="K273" s="11">
        <v>0</v>
      </c>
      <c r="L273" s="11">
        <v>0</v>
      </c>
      <c r="M273" s="11">
        <v>0</v>
      </c>
      <c r="N273" s="11">
        <v>0</v>
      </c>
      <c r="O273" s="11">
        <v>0</v>
      </c>
      <c r="P273" s="3"/>
    </row>
    <row r="274" spans="1:16" ht="15.75" customHeight="1" outlineLevel="1" x14ac:dyDescent="0.3">
      <c r="A274" s="3"/>
      <c r="B274" s="138" t="s">
        <v>373</v>
      </c>
      <c r="C274" s="10">
        <f t="shared" si="70"/>
        <v>0</v>
      </c>
      <c r="D274" s="11">
        <v>0</v>
      </c>
      <c r="E274" s="11">
        <v>0</v>
      </c>
      <c r="F274" s="11">
        <v>0</v>
      </c>
      <c r="G274" s="11">
        <v>0</v>
      </c>
      <c r="H274" s="11">
        <v>0</v>
      </c>
      <c r="I274" s="11">
        <v>0</v>
      </c>
      <c r="J274" s="11">
        <v>0</v>
      </c>
      <c r="K274" s="11">
        <v>0</v>
      </c>
      <c r="L274" s="11">
        <v>0</v>
      </c>
      <c r="M274" s="11">
        <v>0</v>
      </c>
      <c r="N274" s="11">
        <v>0</v>
      </c>
      <c r="O274" s="11">
        <v>0</v>
      </c>
      <c r="P274" s="3"/>
    </row>
    <row r="275" spans="1:16" ht="15.75" customHeight="1" x14ac:dyDescent="0.3">
      <c r="A275" s="3"/>
      <c r="B275" s="75" t="s">
        <v>412</v>
      </c>
      <c r="C275" s="77">
        <f t="shared" ref="C275:O275" si="71">SUM(C276:C285)</f>
        <v>0</v>
      </c>
      <c r="D275" s="77">
        <f t="shared" si="71"/>
        <v>0</v>
      </c>
      <c r="E275" s="77">
        <f t="shared" si="71"/>
        <v>0</v>
      </c>
      <c r="F275" s="77">
        <f t="shared" si="71"/>
        <v>0</v>
      </c>
      <c r="G275" s="77">
        <f t="shared" si="71"/>
        <v>0</v>
      </c>
      <c r="H275" s="77">
        <f t="shared" si="71"/>
        <v>0</v>
      </c>
      <c r="I275" s="77">
        <f t="shared" si="71"/>
        <v>0</v>
      </c>
      <c r="J275" s="77">
        <f t="shared" si="71"/>
        <v>0</v>
      </c>
      <c r="K275" s="77">
        <f t="shared" si="71"/>
        <v>0</v>
      </c>
      <c r="L275" s="77">
        <f t="shared" si="71"/>
        <v>0</v>
      </c>
      <c r="M275" s="77">
        <f t="shared" si="71"/>
        <v>0</v>
      </c>
      <c r="N275" s="77">
        <f t="shared" si="71"/>
        <v>0</v>
      </c>
      <c r="O275" s="77">
        <f t="shared" si="71"/>
        <v>0</v>
      </c>
      <c r="P275" s="3"/>
    </row>
    <row r="276" spans="1:16" ht="15.75" customHeight="1" outlineLevel="1" x14ac:dyDescent="0.3">
      <c r="A276" s="3"/>
      <c r="B276" s="138" t="s">
        <v>413</v>
      </c>
      <c r="C276" s="10">
        <f t="shared" ref="C276:C285" si="72">SUM(D276:O276)</f>
        <v>0</v>
      </c>
      <c r="D276" s="11">
        <v>0</v>
      </c>
      <c r="E276" s="11">
        <v>0</v>
      </c>
      <c r="F276" s="11">
        <v>0</v>
      </c>
      <c r="G276" s="11">
        <v>0</v>
      </c>
      <c r="H276" s="11">
        <v>0</v>
      </c>
      <c r="I276" s="11">
        <v>0</v>
      </c>
      <c r="J276" s="11">
        <v>0</v>
      </c>
      <c r="K276" s="11">
        <v>0</v>
      </c>
      <c r="L276" s="11">
        <v>0</v>
      </c>
      <c r="M276" s="11">
        <v>0</v>
      </c>
      <c r="N276" s="11">
        <v>0</v>
      </c>
      <c r="O276" s="11">
        <v>0</v>
      </c>
      <c r="P276" s="3"/>
    </row>
    <row r="277" spans="1:16" ht="15.75" customHeight="1" outlineLevel="1" x14ac:dyDescent="0.3">
      <c r="A277" s="3"/>
      <c r="B277" s="138" t="s">
        <v>414</v>
      </c>
      <c r="C277" s="10">
        <f t="shared" si="72"/>
        <v>0</v>
      </c>
      <c r="D277" s="11">
        <v>0</v>
      </c>
      <c r="E277" s="11">
        <v>0</v>
      </c>
      <c r="F277" s="11">
        <v>0</v>
      </c>
      <c r="G277" s="11">
        <v>0</v>
      </c>
      <c r="H277" s="11">
        <v>0</v>
      </c>
      <c r="I277" s="11">
        <v>0</v>
      </c>
      <c r="J277" s="11">
        <v>0</v>
      </c>
      <c r="K277" s="11">
        <v>0</v>
      </c>
      <c r="L277" s="11">
        <v>0</v>
      </c>
      <c r="M277" s="11">
        <v>0</v>
      </c>
      <c r="N277" s="11">
        <v>0</v>
      </c>
      <c r="O277" s="11">
        <v>0</v>
      </c>
      <c r="P277" s="3"/>
    </row>
    <row r="278" spans="1:16" ht="15.75" customHeight="1" outlineLevel="1" x14ac:dyDescent="0.3">
      <c r="A278" s="3"/>
      <c r="B278" s="138" t="s">
        <v>415</v>
      </c>
      <c r="C278" s="10">
        <f t="shared" si="72"/>
        <v>0</v>
      </c>
      <c r="D278" s="11">
        <v>0</v>
      </c>
      <c r="E278" s="11">
        <v>0</v>
      </c>
      <c r="F278" s="11">
        <v>0</v>
      </c>
      <c r="G278" s="11">
        <v>0</v>
      </c>
      <c r="H278" s="11">
        <v>0</v>
      </c>
      <c r="I278" s="11">
        <v>0</v>
      </c>
      <c r="J278" s="11">
        <v>0</v>
      </c>
      <c r="K278" s="11">
        <v>0</v>
      </c>
      <c r="L278" s="11">
        <v>0</v>
      </c>
      <c r="M278" s="11">
        <v>0</v>
      </c>
      <c r="N278" s="11">
        <v>0</v>
      </c>
      <c r="O278" s="11">
        <v>0</v>
      </c>
      <c r="P278" s="3"/>
    </row>
    <row r="279" spans="1:16" ht="15.75" customHeight="1" outlineLevel="1" x14ac:dyDescent="0.3">
      <c r="A279" s="3"/>
      <c r="B279" s="138" t="s">
        <v>416</v>
      </c>
      <c r="C279" s="10">
        <f t="shared" si="72"/>
        <v>0</v>
      </c>
      <c r="D279" s="11">
        <v>0</v>
      </c>
      <c r="E279" s="11">
        <v>0</v>
      </c>
      <c r="F279" s="11">
        <v>0</v>
      </c>
      <c r="G279" s="11">
        <v>0</v>
      </c>
      <c r="H279" s="11">
        <v>0</v>
      </c>
      <c r="I279" s="11">
        <v>0</v>
      </c>
      <c r="J279" s="11">
        <v>0</v>
      </c>
      <c r="K279" s="11">
        <v>0</v>
      </c>
      <c r="L279" s="11">
        <v>0</v>
      </c>
      <c r="M279" s="11">
        <v>0</v>
      </c>
      <c r="N279" s="11">
        <v>0</v>
      </c>
      <c r="O279" s="11">
        <v>0</v>
      </c>
      <c r="P279" s="3"/>
    </row>
    <row r="280" spans="1:16" ht="15.75" customHeight="1" outlineLevel="1" x14ac:dyDescent="0.3">
      <c r="A280" s="3"/>
      <c r="B280" s="138" t="s">
        <v>417</v>
      </c>
      <c r="C280" s="10">
        <f t="shared" si="72"/>
        <v>0</v>
      </c>
      <c r="D280" s="11">
        <v>0</v>
      </c>
      <c r="E280" s="11">
        <v>0</v>
      </c>
      <c r="F280" s="11">
        <v>0</v>
      </c>
      <c r="G280" s="11">
        <v>0</v>
      </c>
      <c r="H280" s="11">
        <v>0</v>
      </c>
      <c r="I280" s="11">
        <v>0</v>
      </c>
      <c r="J280" s="11">
        <v>0</v>
      </c>
      <c r="K280" s="11">
        <v>0</v>
      </c>
      <c r="L280" s="11">
        <v>0</v>
      </c>
      <c r="M280" s="11">
        <v>0</v>
      </c>
      <c r="N280" s="11">
        <v>0</v>
      </c>
      <c r="O280" s="11">
        <v>0</v>
      </c>
      <c r="P280" s="3"/>
    </row>
    <row r="281" spans="1:16" ht="15.75" customHeight="1" outlineLevel="1" x14ac:dyDescent="0.3">
      <c r="A281" s="3"/>
      <c r="B281" s="138" t="s">
        <v>418</v>
      </c>
      <c r="C281" s="10">
        <f t="shared" si="72"/>
        <v>0</v>
      </c>
      <c r="D281" s="11">
        <v>0</v>
      </c>
      <c r="E281" s="11">
        <v>0</v>
      </c>
      <c r="F281" s="11">
        <v>0</v>
      </c>
      <c r="G281" s="11">
        <v>0</v>
      </c>
      <c r="H281" s="11">
        <v>0</v>
      </c>
      <c r="I281" s="11">
        <v>0</v>
      </c>
      <c r="J281" s="11">
        <v>0</v>
      </c>
      <c r="K281" s="11">
        <v>0</v>
      </c>
      <c r="L281" s="11">
        <v>0</v>
      </c>
      <c r="M281" s="11">
        <v>0</v>
      </c>
      <c r="N281" s="11">
        <v>0</v>
      </c>
      <c r="O281" s="11">
        <v>0</v>
      </c>
      <c r="P281" s="3"/>
    </row>
    <row r="282" spans="1:16" ht="15.75" customHeight="1" outlineLevel="1" x14ac:dyDescent="0.3">
      <c r="A282" s="3"/>
      <c r="B282" s="138" t="s">
        <v>419</v>
      </c>
      <c r="C282" s="10">
        <f t="shared" si="72"/>
        <v>0</v>
      </c>
      <c r="D282" s="11">
        <v>0</v>
      </c>
      <c r="E282" s="11">
        <v>0</v>
      </c>
      <c r="F282" s="11">
        <v>0</v>
      </c>
      <c r="G282" s="11">
        <v>0</v>
      </c>
      <c r="H282" s="11">
        <v>0</v>
      </c>
      <c r="I282" s="11">
        <v>0</v>
      </c>
      <c r="J282" s="11">
        <v>0</v>
      </c>
      <c r="K282" s="11">
        <v>0</v>
      </c>
      <c r="L282" s="11">
        <v>0</v>
      </c>
      <c r="M282" s="11">
        <v>0</v>
      </c>
      <c r="N282" s="11">
        <v>0</v>
      </c>
      <c r="O282" s="11">
        <v>0</v>
      </c>
      <c r="P282" s="3"/>
    </row>
    <row r="283" spans="1:16" ht="15.75" customHeight="1" outlineLevel="1" x14ac:dyDescent="0.3">
      <c r="A283" s="3"/>
      <c r="B283" s="138" t="s">
        <v>420</v>
      </c>
      <c r="C283" s="10">
        <f t="shared" si="72"/>
        <v>0</v>
      </c>
      <c r="D283" s="11">
        <v>0</v>
      </c>
      <c r="E283" s="11">
        <v>0</v>
      </c>
      <c r="F283" s="11">
        <v>0</v>
      </c>
      <c r="G283" s="11">
        <v>0</v>
      </c>
      <c r="H283" s="11">
        <v>0</v>
      </c>
      <c r="I283" s="11">
        <v>0</v>
      </c>
      <c r="J283" s="11">
        <v>0</v>
      </c>
      <c r="K283" s="11">
        <v>0</v>
      </c>
      <c r="L283" s="11">
        <v>0</v>
      </c>
      <c r="M283" s="11">
        <v>0</v>
      </c>
      <c r="N283" s="11">
        <v>0</v>
      </c>
      <c r="O283" s="11">
        <v>0</v>
      </c>
      <c r="P283" s="3"/>
    </row>
    <row r="284" spans="1:16" ht="15.75" customHeight="1" outlineLevel="1" x14ac:dyDescent="0.3">
      <c r="A284" s="3"/>
      <c r="B284" s="138" t="s">
        <v>421</v>
      </c>
      <c r="C284" s="10">
        <f t="shared" si="72"/>
        <v>0</v>
      </c>
      <c r="D284" s="11">
        <v>0</v>
      </c>
      <c r="E284" s="11">
        <v>0</v>
      </c>
      <c r="F284" s="11">
        <v>0</v>
      </c>
      <c r="G284" s="11">
        <v>0</v>
      </c>
      <c r="H284" s="11">
        <v>0</v>
      </c>
      <c r="I284" s="11">
        <v>0</v>
      </c>
      <c r="J284" s="11">
        <v>0</v>
      </c>
      <c r="K284" s="11">
        <v>0</v>
      </c>
      <c r="L284" s="11">
        <v>0</v>
      </c>
      <c r="M284" s="11">
        <v>0</v>
      </c>
      <c r="N284" s="11">
        <v>0</v>
      </c>
      <c r="O284" s="11">
        <v>0</v>
      </c>
      <c r="P284" s="3"/>
    </row>
    <row r="285" spans="1:16" ht="15.75" customHeight="1" outlineLevel="1" x14ac:dyDescent="0.3">
      <c r="A285" s="3"/>
      <c r="B285" s="138" t="s">
        <v>1297</v>
      </c>
      <c r="C285" s="10">
        <f t="shared" si="72"/>
        <v>0</v>
      </c>
      <c r="D285" s="11">
        <v>0</v>
      </c>
      <c r="E285" s="11">
        <v>0</v>
      </c>
      <c r="F285" s="11">
        <v>0</v>
      </c>
      <c r="G285" s="11">
        <v>0</v>
      </c>
      <c r="H285" s="11">
        <v>0</v>
      </c>
      <c r="I285" s="11">
        <v>0</v>
      </c>
      <c r="J285" s="11">
        <v>0</v>
      </c>
      <c r="K285" s="11">
        <v>0</v>
      </c>
      <c r="L285" s="11">
        <v>0</v>
      </c>
      <c r="M285" s="11">
        <v>0</v>
      </c>
      <c r="N285" s="11">
        <v>0</v>
      </c>
      <c r="O285" s="11">
        <v>0</v>
      </c>
      <c r="P285" s="3"/>
    </row>
    <row r="286" spans="1:16" ht="15.75" customHeight="1" x14ac:dyDescent="0.3">
      <c r="A286" s="3"/>
      <c r="B286" s="3"/>
      <c r="C286" s="137"/>
      <c r="D286" s="28"/>
      <c r="E286" s="28"/>
      <c r="F286" s="28"/>
      <c r="G286" s="28"/>
      <c r="H286" s="28"/>
      <c r="I286" s="28"/>
      <c r="J286" s="28"/>
      <c r="K286" s="28"/>
      <c r="L286" s="28"/>
      <c r="M286" s="28"/>
      <c r="N286" s="28"/>
      <c r="O286" s="28"/>
      <c r="P286" s="3"/>
    </row>
    <row r="287" spans="1:16" ht="15.75" customHeight="1" x14ac:dyDescent="0.3">
      <c r="A287" s="3"/>
      <c r="B287" s="3"/>
      <c r="C287" s="137"/>
      <c r="D287" s="28"/>
      <c r="E287" s="28"/>
      <c r="F287" s="28"/>
      <c r="G287" s="28"/>
      <c r="H287" s="28"/>
      <c r="I287" s="28"/>
      <c r="J287" s="28"/>
      <c r="K287" s="28"/>
      <c r="L287" s="28"/>
      <c r="M287" s="28"/>
      <c r="N287" s="28"/>
      <c r="O287" s="28"/>
      <c r="P287" s="3"/>
    </row>
    <row r="288" spans="1:16" ht="15.75" customHeight="1" x14ac:dyDescent="0.3">
      <c r="A288" s="3"/>
      <c r="B288" s="3"/>
      <c r="C288" s="137"/>
      <c r="D288" s="28"/>
      <c r="E288" s="28"/>
      <c r="F288" s="28"/>
      <c r="G288" s="28"/>
      <c r="H288" s="28"/>
      <c r="I288" s="28"/>
      <c r="J288" s="28"/>
      <c r="K288" s="28"/>
      <c r="L288" s="28"/>
      <c r="M288" s="28"/>
      <c r="N288" s="28"/>
      <c r="O288" s="28"/>
      <c r="P288" s="3"/>
    </row>
    <row r="289" spans="1:16" ht="15.75" customHeight="1" x14ac:dyDescent="0.3">
      <c r="A289" s="3"/>
      <c r="B289" s="3"/>
      <c r="C289" s="137"/>
      <c r="D289" s="28"/>
      <c r="E289" s="28"/>
      <c r="F289" s="28"/>
      <c r="G289" s="28"/>
      <c r="H289" s="28"/>
      <c r="I289" s="28"/>
      <c r="J289" s="28"/>
      <c r="K289" s="28"/>
      <c r="L289" s="28"/>
      <c r="M289" s="28"/>
      <c r="N289" s="28"/>
      <c r="O289" s="28"/>
      <c r="P289" s="3"/>
    </row>
    <row r="290" spans="1:16" ht="15.75" customHeight="1" x14ac:dyDescent="0.3">
      <c r="A290" s="3"/>
      <c r="B290" s="3"/>
      <c r="C290" s="137"/>
      <c r="D290" s="28"/>
      <c r="E290" s="28"/>
      <c r="F290" s="28"/>
      <c r="G290" s="28"/>
      <c r="H290" s="28"/>
      <c r="I290" s="28"/>
      <c r="J290" s="28"/>
      <c r="K290" s="28"/>
      <c r="L290" s="28"/>
      <c r="M290" s="28"/>
      <c r="N290" s="28"/>
      <c r="O290" s="28"/>
      <c r="P290" s="3"/>
    </row>
    <row r="291" spans="1:16" ht="15.75" customHeight="1" x14ac:dyDescent="0.3">
      <c r="A291" s="3"/>
      <c r="B291" s="3"/>
      <c r="C291" s="137"/>
      <c r="D291" s="28"/>
      <c r="E291" s="28"/>
      <c r="F291" s="28"/>
      <c r="G291" s="28"/>
      <c r="H291" s="28"/>
      <c r="I291" s="28"/>
      <c r="J291" s="28"/>
      <c r="K291" s="28"/>
      <c r="L291" s="28"/>
      <c r="M291" s="28"/>
      <c r="N291" s="28"/>
      <c r="O291" s="28"/>
      <c r="P291" s="3"/>
    </row>
    <row r="292" spans="1:16" ht="15.75" customHeight="1" x14ac:dyDescent="0.3">
      <c r="A292" s="3"/>
      <c r="B292" s="3"/>
      <c r="C292" s="137"/>
      <c r="D292" s="28"/>
      <c r="E292" s="28"/>
      <c r="F292" s="28"/>
      <c r="G292" s="28"/>
      <c r="H292" s="28"/>
      <c r="I292" s="28"/>
      <c r="J292" s="28"/>
      <c r="K292" s="28"/>
      <c r="L292" s="28"/>
      <c r="M292" s="28"/>
      <c r="N292" s="28"/>
      <c r="O292" s="28"/>
      <c r="P292" s="3"/>
    </row>
    <row r="293" spans="1:16" ht="15.75" customHeight="1" x14ac:dyDescent="0.3">
      <c r="A293" s="3"/>
      <c r="B293" s="3"/>
      <c r="C293" s="137"/>
      <c r="D293" s="28"/>
      <c r="E293" s="28"/>
      <c r="F293" s="28"/>
      <c r="G293" s="28"/>
      <c r="H293" s="28"/>
      <c r="I293" s="28"/>
      <c r="J293" s="28"/>
      <c r="K293" s="28"/>
      <c r="L293" s="28"/>
      <c r="M293" s="28"/>
      <c r="N293" s="28"/>
      <c r="O293" s="28"/>
      <c r="P293" s="3"/>
    </row>
    <row r="294" spans="1:16" ht="15.75" customHeight="1" x14ac:dyDescent="0.3">
      <c r="A294" s="3"/>
      <c r="B294" s="3"/>
      <c r="C294" s="137"/>
      <c r="D294" s="28"/>
      <c r="E294" s="28"/>
      <c r="F294" s="28"/>
      <c r="G294" s="28"/>
      <c r="H294" s="28"/>
      <c r="I294" s="28"/>
      <c r="J294" s="28"/>
      <c r="K294" s="28"/>
      <c r="L294" s="28"/>
      <c r="M294" s="28"/>
      <c r="N294" s="28"/>
      <c r="O294" s="28"/>
      <c r="P294" s="3"/>
    </row>
    <row r="295" spans="1:16" ht="15.75" customHeight="1" x14ac:dyDescent="0.3">
      <c r="A295" s="3"/>
      <c r="B295" s="3"/>
      <c r="C295" s="137"/>
      <c r="D295" s="28"/>
      <c r="E295" s="28"/>
      <c r="F295" s="28"/>
      <c r="G295" s="28"/>
      <c r="H295" s="28"/>
      <c r="I295" s="28"/>
      <c r="J295" s="28"/>
      <c r="K295" s="28"/>
      <c r="L295" s="28"/>
      <c r="M295" s="28"/>
      <c r="N295" s="28"/>
      <c r="O295" s="28"/>
      <c r="P295" s="3"/>
    </row>
    <row r="296" spans="1:16" ht="15.75" customHeight="1" x14ac:dyDescent="0.3">
      <c r="A296" s="3"/>
      <c r="B296" s="3"/>
      <c r="C296" s="137"/>
      <c r="D296" s="28"/>
      <c r="E296" s="28"/>
      <c r="F296" s="28"/>
      <c r="G296" s="28"/>
      <c r="H296" s="28"/>
      <c r="I296" s="28"/>
      <c r="J296" s="28"/>
      <c r="K296" s="28"/>
      <c r="L296" s="28"/>
      <c r="M296" s="28"/>
      <c r="N296" s="28"/>
      <c r="O296" s="28"/>
      <c r="P296" s="3"/>
    </row>
    <row r="297" spans="1:16" ht="15.75" customHeight="1" x14ac:dyDescent="0.3">
      <c r="A297" s="3"/>
      <c r="B297" s="3"/>
      <c r="C297" s="137"/>
      <c r="D297" s="28"/>
      <c r="E297" s="28"/>
      <c r="F297" s="28"/>
      <c r="G297" s="28"/>
      <c r="H297" s="28"/>
      <c r="I297" s="28"/>
      <c r="J297" s="28"/>
      <c r="K297" s="28"/>
      <c r="L297" s="28"/>
      <c r="M297" s="28"/>
      <c r="N297" s="28"/>
      <c r="O297" s="28"/>
      <c r="P297" s="3"/>
    </row>
    <row r="298" spans="1:16" ht="15.75" customHeight="1" x14ac:dyDescent="0.3">
      <c r="A298" s="3"/>
      <c r="B298" s="3"/>
      <c r="C298" s="137"/>
      <c r="D298" s="28"/>
      <c r="E298" s="28"/>
      <c r="F298" s="28"/>
      <c r="G298" s="28"/>
      <c r="H298" s="28"/>
      <c r="I298" s="28"/>
      <c r="J298" s="28"/>
      <c r="K298" s="28"/>
      <c r="L298" s="28"/>
      <c r="M298" s="28"/>
      <c r="N298" s="28"/>
      <c r="O298" s="28"/>
      <c r="P298" s="3"/>
    </row>
    <row r="299" spans="1:16" ht="15.75" customHeight="1" x14ac:dyDescent="0.3">
      <c r="A299" s="3"/>
      <c r="B299" s="3"/>
      <c r="C299" s="137"/>
      <c r="D299" s="28"/>
      <c r="E299" s="28"/>
      <c r="F299" s="28"/>
      <c r="G299" s="28"/>
      <c r="H299" s="28"/>
      <c r="I299" s="28"/>
      <c r="J299" s="28"/>
      <c r="K299" s="28"/>
      <c r="L299" s="28"/>
      <c r="M299" s="28"/>
      <c r="N299" s="28"/>
      <c r="O299" s="28"/>
      <c r="P299" s="3"/>
    </row>
    <row r="300" spans="1:16" ht="15.75" customHeight="1" x14ac:dyDescent="0.3">
      <c r="A300" s="3"/>
      <c r="B300" s="3"/>
      <c r="C300" s="137"/>
      <c r="D300" s="28"/>
      <c r="E300" s="28"/>
      <c r="F300" s="28"/>
      <c r="G300" s="28"/>
      <c r="H300" s="28"/>
      <c r="I300" s="28"/>
      <c r="J300" s="28"/>
      <c r="K300" s="28"/>
      <c r="L300" s="28"/>
      <c r="M300" s="28"/>
      <c r="N300" s="28"/>
      <c r="O300" s="28"/>
      <c r="P300" s="3"/>
    </row>
    <row r="301" spans="1:16" ht="15.75" customHeight="1" x14ac:dyDescent="0.3">
      <c r="A301" s="3"/>
      <c r="B301" s="3"/>
      <c r="C301" s="137"/>
      <c r="D301" s="28"/>
      <c r="E301" s="28"/>
      <c r="F301" s="28"/>
      <c r="G301" s="28"/>
      <c r="H301" s="28"/>
      <c r="I301" s="28"/>
      <c r="J301" s="28"/>
      <c r="K301" s="28"/>
      <c r="L301" s="28"/>
      <c r="M301" s="28"/>
      <c r="N301" s="28"/>
      <c r="O301" s="28"/>
      <c r="P301" s="3"/>
    </row>
    <row r="302" spans="1:16" ht="15.75" customHeight="1" x14ac:dyDescent="0.3">
      <c r="A302" s="3"/>
      <c r="B302" s="3"/>
      <c r="C302" s="137"/>
      <c r="D302" s="28"/>
      <c r="E302" s="28"/>
      <c r="F302" s="28"/>
      <c r="G302" s="28"/>
      <c r="H302" s="28"/>
      <c r="I302" s="28"/>
      <c r="J302" s="28"/>
      <c r="K302" s="28"/>
      <c r="L302" s="28"/>
      <c r="M302" s="28"/>
      <c r="N302" s="28"/>
      <c r="O302" s="28"/>
      <c r="P302" s="3"/>
    </row>
    <row r="303" spans="1:16" ht="15.75" customHeight="1" x14ac:dyDescent="0.3">
      <c r="A303" s="3"/>
      <c r="B303" s="3"/>
      <c r="C303" s="137"/>
      <c r="D303" s="28"/>
      <c r="E303" s="28"/>
      <c r="F303" s="28"/>
      <c r="G303" s="28"/>
      <c r="H303" s="28"/>
      <c r="I303" s="28"/>
      <c r="J303" s="28"/>
      <c r="K303" s="28"/>
      <c r="L303" s="28"/>
      <c r="M303" s="28"/>
      <c r="N303" s="28"/>
      <c r="O303" s="28"/>
      <c r="P303" s="3"/>
    </row>
    <row r="304" spans="1:16" ht="15.75" customHeight="1" x14ac:dyDescent="0.3">
      <c r="A304" s="3"/>
      <c r="B304" s="3"/>
      <c r="C304" s="137"/>
      <c r="D304" s="28"/>
      <c r="E304" s="28"/>
      <c r="F304" s="28"/>
      <c r="G304" s="28"/>
      <c r="H304" s="28"/>
      <c r="I304" s="28"/>
      <c r="J304" s="28"/>
      <c r="K304" s="28"/>
      <c r="L304" s="28"/>
      <c r="M304" s="28"/>
      <c r="N304" s="28"/>
      <c r="O304" s="28"/>
      <c r="P304" s="3"/>
    </row>
    <row r="305" spans="1:16" ht="15.75" customHeight="1" x14ac:dyDescent="0.3">
      <c r="A305" s="3"/>
      <c r="B305" s="3"/>
      <c r="C305" s="137"/>
      <c r="D305" s="28"/>
      <c r="E305" s="28"/>
      <c r="F305" s="28"/>
      <c r="G305" s="28"/>
      <c r="H305" s="28"/>
      <c r="I305" s="28"/>
      <c r="J305" s="28"/>
      <c r="K305" s="28"/>
      <c r="L305" s="28"/>
      <c r="M305" s="28"/>
      <c r="N305" s="28"/>
      <c r="O305" s="28"/>
      <c r="P305" s="3"/>
    </row>
    <row r="306" spans="1:16" ht="15.75" customHeight="1" x14ac:dyDescent="0.3">
      <c r="A306" s="3"/>
      <c r="B306" s="3"/>
      <c r="C306" s="137"/>
      <c r="D306" s="28"/>
      <c r="E306" s="28"/>
      <c r="F306" s="28"/>
      <c r="G306" s="28"/>
      <c r="H306" s="28"/>
      <c r="I306" s="28"/>
      <c r="J306" s="28"/>
      <c r="K306" s="28"/>
      <c r="L306" s="28"/>
      <c r="M306" s="28"/>
      <c r="N306" s="28"/>
      <c r="O306" s="28"/>
      <c r="P306" s="3"/>
    </row>
    <row r="307" spans="1:16" ht="15.75" customHeight="1" x14ac:dyDescent="0.3">
      <c r="A307" s="3"/>
      <c r="B307" s="3"/>
      <c r="C307" s="137"/>
      <c r="D307" s="28"/>
      <c r="E307" s="28"/>
      <c r="F307" s="28"/>
      <c r="G307" s="28"/>
      <c r="H307" s="28"/>
      <c r="I307" s="28"/>
      <c r="J307" s="28"/>
      <c r="K307" s="28"/>
      <c r="L307" s="28"/>
      <c r="M307" s="28"/>
      <c r="N307" s="28"/>
      <c r="O307" s="28"/>
      <c r="P307" s="3"/>
    </row>
    <row r="308" spans="1:16" ht="15.75" customHeight="1" x14ac:dyDescent="0.3">
      <c r="A308" s="3"/>
      <c r="B308" s="3"/>
      <c r="C308" s="137"/>
      <c r="D308" s="28"/>
      <c r="E308" s="28"/>
      <c r="F308" s="28"/>
      <c r="G308" s="28"/>
      <c r="H308" s="28"/>
      <c r="I308" s="28"/>
      <c r="J308" s="28"/>
      <c r="K308" s="28"/>
      <c r="L308" s="28"/>
      <c r="M308" s="28"/>
      <c r="N308" s="28"/>
      <c r="O308" s="28"/>
      <c r="P308" s="3"/>
    </row>
    <row r="309" spans="1:16" ht="15.75" customHeight="1" x14ac:dyDescent="0.3">
      <c r="A309" s="3"/>
      <c r="B309" s="3"/>
      <c r="C309" s="137"/>
      <c r="D309" s="28"/>
      <c r="E309" s="28"/>
      <c r="F309" s="28"/>
      <c r="G309" s="28"/>
      <c r="H309" s="28"/>
      <c r="I309" s="28"/>
      <c r="J309" s="28"/>
      <c r="K309" s="28"/>
      <c r="L309" s="28"/>
      <c r="M309" s="28"/>
      <c r="N309" s="28"/>
      <c r="O309" s="28"/>
      <c r="P309" s="3"/>
    </row>
    <row r="310" spans="1:16" ht="15.75" customHeight="1" x14ac:dyDescent="0.3">
      <c r="A310" s="3"/>
      <c r="B310" s="3"/>
      <c r="C310" s="137"/>
      <c r="D310" s="28"/>
      <c r="E310" s="28"/>
      <c r="F310" s="28"/>
      <c r="G310" s="28"/>
      <c r="H310" s="28"/>
      <c r="I310" s="28"/>
      <c r="J310" s="28"/>
      <c r="K310" s="28"/>
      <c r="L310" s="28"/>
      <c r="M310" s="28"/>
      <c r="N310" s="28"/>
      <c r="O310" s="28"/>
      <c r="P310" s="3"/>
    </row>
    <row r="311" spans="1:16" ht="15.75" customHeight="1" x14ac:dyDescent="0.3">
      <c r="A311" s="3"/>
      <c r="B311" s="3"/>
      <c r="C311" s="137"/>
      <c r="D311" s="28"/>
      <c r="E311" s="28"/>
      <c r="F311" s="28"/>
      <c r="G311" s="28"/>
      <c r="H311" s="28"/>
      <c r="I311" s="28"/>
      <c r="J311" s="28"/>
      <c r="K311" s="28"/>
      <c r="L311" s="28"/>
      <c r="M311" s="28"/>
      <c r="N311" s="28"/>
      <c r="O311" s="28"/>
      <c r="P311" s="3"/>
    </row>
    <row r="312" spans="1:16" ht="15.75" customHeight="1" x14ac:dyDescent="0.3">
      <c r="A312" s="3"/>
      <c r="B312" s="3"/>
      <c r="C312" s="137"/>
      <c r="D312" s="28"/>
      <c r="E312" s="28"/>
      <c r="F312" s="28"/>
      <c r="G312" s="28"/>
      <c r="H312" s="28"/>
      <c r="I312" s="28"/>
      <c r="J312" s="28"/>
      <c r="K312" s="28"/>
      <c r="L312" s="28"/>
      <c r="M312" s="28"/>
      <c r="N312" s="28"/>
      <c r="O312" s="28"/>
      <c r="P312" s="3"/>
    </row>
    <row r="313" spans="1:16" ht="15.75" customHeight="1" x14ac:dyDescent="0.3">
      <c r="A313" s="3"/>
      <c r="B313" s="3"/>
      <c r="C313" s="137"/>
      <c r="D313" s="28"/>
      <c r="E313" s="28"/>
      <c r="F313" s="28"/>
      <c r="G313" s="28"/>
      <c r="H313" s="28"/>
      <c r="I313" s="28"/>
      <c r="J313" s="28"/>
      <c r="K313" s="28"/>
      <c r="L313" s="28"/>
      <c r="M313" s="28"/>
      <c r="N313" s="28"/>
      <c r="O313" s="28"/>
      <c r="P313" s="3"/>
    </row>
    <row r="314" spans="1:16" ht="15.75" customHeight="1" x14ac:dyDescent="0.3">
      <c r="A314" s="3"/>
      <c r="B314" s="3"/>
      <c r="C314" s="137"/>
      <c r="D314" s="28"/>
      <c r="E314" s="28"/>
      <c r="F314" s="28"/>
      <c r="G314" s="28"/>
      <c r="H314" s="28"/>
      <c r="I314" s="28"/>
      <c r="J314" s="28"/>
      <c r="K314" s="28"/>
      <c r="L314" s="28"/>
      <c r="M314" s="28"/>
      <c r="N314" s="28"/>
      <c r="O314" s="28"/>
      <c r="P314" s="3"/>
    </row>
    <row r="315" spans="1:16" ht="15.75" customHeight="1" x14ac:dyDescent="0.3">
      <c r="A315" s="3"/>
      <c r="B315" s="3"/>
      <c r="C315" s="137"/>
      <c r="D315" s="28"/>
      <c r="E315" s="28"/>
      <c r="F315" s="28"/>
      <c r="G315" s="28"/>
      <c r="H315" s="28"/>
      <c r="I315" s="28"/>
      <c r="J315" s="28"/>
      <c r="K315" s="28"/>
      <c r="L315" s="28"/>
      <c r="M315" s="28"/>
      <c r="N315" s="28"/>
      <c r="O315" s="28"/>
      <c r="P315" s="3"/>
    </row>
    <row r="316" spans="1:16" ht="15.75" customHeight="1" x14ac:dyDescent="0.3">
      <c r="A316" s="3"/>
      <c r="B316" s="3"/>
      <c r="C316" s="137"/>
      <c r="D316" s="28"/>
      <c r="E316" s="28"/>
      <c r="F316" s="28"/>
      <c r="G316" s="28"/>
      <c r="H316" s="28"/>
      <c r="I316" s="28"/>
      <c r="J316" s="28"/>
      <c r="K316" s="28"/>
      <c r="L316" s="28"/>
      <c r="M316" s="28"/>
      <c r="N316" s="28"/>
      <c r="O316" s="28"/>
      <c r="P316" s="3"/>
    </row>
    <row r="317" spans="1:16" ht="15.75" customHeight="1" x14ac:dyDescent="0.3">
      <c r="A317" s="3"/>
      <c r="B317" s="3"/>
      <c r="C317" s="137"/>
      <c r="D317" s="28"/>
      <c r="E317" s="28"/>
      <c r="F317" s="28"/>
      <c r="G317" s="28"/>
      <c r="H317" s="28"/>
      <c r="I317" s="28"/>
      <c r="J317" s="28"/>
      <c r="K317" s="28"/>
      <c r="L317" s="28"/>
      <c r="M317" s="28"/>
      <c r="N317" s="28"/>
      <c r="O317" s="28"/>
      <c r="P317" s="3"/>
    </row>
    <row r="318" spans="1:16" ht="15.75" customHeight="1" x14ac:dyDescent="0.3">
      <c r="A318" s="3"/>
      <c r="B318" s="3"/>
      <c r="C318" s="137"/>
      <c r="D318" s="28"/>
      <c r="E318" s="28"/>
      <c r="F318" s="28"/>
      <c r="G318" s="28"/>
      <c r="H318" s="28"/>
      <c r="I318" s="28"/>
      <c r="J318" s="28"/>
      <c r="K318" s="28"/>
      <c r="L318" s="28"/>
      <c r="M318" s="28"/>
      <c r="N318" s="28"/>
      <c r="O318" s="28"/>
      <c r="P318" s="3"/>
    </row>
    <row r="319" spans="1:16" ht="15.75" customHeight="1" x14ac:dyDescent="0.3">
      <c r="A319" s="3"/>
      <c r="B319" s="3"/>
      <c r="C319" s="137"/>
      <c r="D319" s="28"/>
      <c r="E319" s="28"/>
      <c r="F319" s="28"/>
      <c r="G319" s="28"/>
      <c r="H319" s="28"/>
      <c r="I319" s="28"/>
      <c r="J319" s="28"/>
      <c r="K319" s="28"/>
      <c r="L319" s="28"/>
      <c r="M319" s="28"/>
      <c r="N319" s="28"/>
      <c r="O319" s="28"/>
      <c r="P319" s="3"/>
    </row>
    <row r="320" spans="1:16" ht="15.75" customHeight="1" x14ac:dyDescent="0.3">
      <c r="A320" s="3"/>
      <c r="B320" s="3"/>
      <c r="C320" s="137"/>
      <c r="D320" s="28"/>
      <c r="E320" s="28"/>
      <c r="F320" s="28"/>
      <c r="G320" s="28"/>
      <c r="H320" s="28"/>
      <c r="I320" s="28"/>
      <c r="J320" s="28"/>
      <c r="K320" s="28"/>
      <c r="L320" s="28"/>
      <c r="M320" s="28"/>
      <c r="N320" s="28"/>
      <c r="O320" s="28"/>
      <c r="P320" s="3"/>
    </row>
    <row r="321" spans="1:16" ht="15.75" customHeight="1" x14ac:dyDescent="0.3">
      <c r="A321" s="3"/>
      <c r="B321" s="3"/>
      <c r="C321" s="137"/>
      <c r="D321" s="28"/>
      <c r="E321" s="28"/>
      <c r="F321" s="28"/>
      <c r="G321" s="28"/>
      <c r="H321" s="28"/>
      <c r="I321" s="28"/>
      <c r="J321" s="28"/>
      <c r="K321" s="28"/>
      <c r="L321" s="28"/>
      <c r="M321" s="28"/>
      <c r="N321" s="28"/>
      <c r="O321" s="28"/>
      <c r="P321" s="3"/>
    </row>
    <row r="322" spans="1:16" ht="15.75" customHeight="1" x14ac:dyDescent="0.3">
      <c r="A322" s="3"/>
      <c r="B322" s="3"/>
      <c r="C322" s="137"/>
      <c r="D322" s="28"/>
      <c r="E322" s="28"/>
      <c r="F322" s="28"/>
      <c r="G322" s="28"/>
      <c r="H322" s="28"/>
      <c r="I322" s="28"/>
      <c r="J322" s="28"/>
      <c r="K322" s="28"/>
      <c r="L322" s="28"/>
      <c r="M322" s="28"/>
      <c r="N322" s="28"/>
      <c r="O322" s="28"/>
      <c r="P322" s="3"/>
    </row>
    <row r="323" spans="1:16" ht="15.75" customHeight="1" x14ac:dyDescent="0.3">
      <c r="A323" s="3"/>
      <c r="B323" s="3"/>
      <c r="C323" s="137"/>
      <c r="D323" s="28"/>
      <c r="E323" s="28"/>
      <c r="F323" s="28"/>
      <c r="G323" s="28"/>
      <c r="H323" s="28"/>
      <c r="I323" s="28"/>
      <c r="J323" s="28"/>
      <c r="K323" s="28"/>
      <c r="L323" s="28"/>
      <c r="M323" s="28"/>
      <c r="N323" s="28"/>
      <c r="O323" s="28"/>
      <c r="P323" s="3"/>
    </row>
    <row r="324" spans="1:16" ht="15.75" customHeight="1" x14ac:dyDescent="0.3">
      <c r="A324" s="3"/>
      <c r="B324" s="3"/>
      <c r="C324" s="137"/>
      <c r="D324" s="28"/>
      <c r="E324" s="28"/>
      <c r="F324" s="28"/>
      <c r="G324" s="28"/>
      <c r="H324" s="28"/>
      <c r="I324" s="28"/>
      <c r="J324" s="28"/>
      <c r="K324" s="28"/>
      <c r="L324" s="28"/>
      <c r="M324" s="28"/>
      <c r="N324" s="28"/>
      <c r="O324" s="28"/>
      <c r="P324" s="3"/>
    </row>
    <row r="325" spans="1:16" ht="15.75" customHeight="1" x14ac:dyDescent="0.3">
      <c r="A325" s="3"/>
      <c r="B325" s="3"/>
      <c r="C325" s="137"/>
      <c r="D325" s="28"/>
      <c r="E325" s="28"/>
      <c r="F325" s="28"/>
      <c r="G325" s="28"/>
      <c r="H325" s="28"/>
      <c r="I325" s="28"/>
      <c r="J325" s="28"/>
      <c r="K325" s="28"/>
      <c r="L325" s="28"/>
      <c r="M325" s="28"/>
      <c r="N325" s="28"/>
      <c r="O325" s="28"/>
      <c r="P325" s="3"/>
    </row>
    <row r="326" spans="1:16" ht="15.75" customHeight="1" x14ac:dyDescent="0.3">
      <c r="A326" s="3"/>
      <c r="B326" s="3"/>
      <c r="C326" s="137"/>
      <c r="D326" s="28"/>
      <c r="E326" s="28"/>
      <c r="F326" s="28"/>
      <c r="G326" s="28"/>
      <c r="H326" s="28"/>
      <c r="I326" s="28"/>
      <c r="J326" s="28"/>
      <c r="K326" s="28"/>
      <c r="L326" s="28"/>
      <c r="M326" s="28"/>
      <c r="N326" s="28"/>
      <c r="O326" s="28"/>
      <c r="P326" s="3"/>
    </row>
    <row r="327" spans="1:16" ht="15.75" customHeight="1" x14ac:dyDescent="0.3">
      <c r="A327" s="3"/>
      <c r="B327" s="3"/>
      <c r="C327" s="137"/>
      <c r="D327" s="28"/>
      <c r="E327" s="28"/>
      <c r="F327" s="28"/>
      <c r="G327" s="28"/>
      <c r="H327" s="28"/>
      <c r="I327" s="28"/>
      <c r="J327" s="28"/>
      <c r="K327" s="28"/>
      <c r="L327" s="28"/>
      <c r="M327" s="28"/>
      <c r="N327" s="28"/>
      <c r="O327" s="28"/>
      <c r="P327" s="3"/>
    </row>
    <row r="328" spans="1:16" ht="15.75" customHeight="1" x14ac:dyDescent="0.3">
      <c r="A328" s="3"/>
      <c r="B328" s="3"/>
      <c r="C328" s="137"/>
      <c r="D328" s="28"/>
      <c r="E328" s="28"/>
      <c r="F328" s="28"/>
      <c r="G328" s="28"/>
      <c r="H328" s="28"/>
      <c r="I328" s="28"/>
      <c r="J328" s="28"/>
      <c r="K328" s="28"/>
      <c r="L328" s="28"/>
      <c r="M328" s="28"/>
      <c r="N328" s="28"/>
      <c r="O328" s="28"/>
      <c r="P328" s="3"/>
    </row>
    <row r="329" spans="1:16" ht="15.75" customHeight="1" x14ac:dyDescent="0.3">
      <c r="A329" s="3"/>
      <c r="B329" s="3"/>
      <c r="C329" s="137"/>
      <c r="D329" s="28"/>
      <c r="E329" s="28"/>
      <c r="F329" s="28"/>
      <c r="G329" s="28"/>
      <c r="H329" s="28"/>
      <c r="I329" s="28"/>
      <c r="J329" s="28"/>
      <c r="K329" s="28"/>
      <c r="L329" s="28"/>
      <c r="M329" s="28"/>
      <c r="N329" s="28"/>
      <c r="O329" s="28"/>
      <c r="P329" s="3"/>
    </row>
    <row r="330" spans="1:16" ht="15.75" customHeight="1" x14ac:dyDescent="0.3">
      <c r="A330" s="3"/>
      <c r="B330" s="3"/>
      <c r="C330" s="137"/>
      <c r="D330" s="28"/>
      <c r="E330" s="28"/>
      <c r="F330" s="28"/>
      <c r="G330" s="28"/>
      <c r="H330" s="28"/>
      <c r="I330" s="28"/>
      <c r="J330" s="28"/>
      <c r="K330" s="28"/>
      <c r="L330" s="28"/>
      <c r="M330" s="28"/>
      <c r="N330" s="28"/>
      <c r="O330" s="28"/>
      <c r="P330" s="3"/>
    </row>
    <row r="331" spans="1:16" ht="15.75" customHeight="1" x14ac:dyDescent="0.3">
      <c r="A331" s="3"/>
      <c r="B331" s="3"/>
      <c r="C331" s="137"/>
      <c r="D331" s="28"/>
      <c r="E331" s="28"/>
      <c r="F331" s="28"/>
      <c r="G331" s="28"/>
      <c r="H331" s="28"/>
      <c r="I331" s="28"/>
      <c r="J331" s="28"/>
      <c r="K331" s="28"/>
      <c r="L331" s="28"/>
      <c r="M331" s="28"/>
      <c r="N331" s="28"/>
      <c r="O331" s="28"/>
      <c r="P331" s="3"/>
    </row>
    <row r="332" spans="1:16" ht="15.75" customHeight="1" x14ac:dyDescent="0.3">
      <c r="A332" s="3"/>
      <c r="B332" s="3"/>
      <c r="C332" s="137"/>
      <c r="D332" s="28"/>
      <c r="E332" s="28"/>
      <c r="F332" s="28"/>
      <c r="G332" s="28"/>
      <c r="H332" s="28"/>
      <c r="I332" s="28"/>
      <c r="J332" s="28"/>
      <c r="K332" s="28"/>
      <c r="L332" s="28"/>
      <c r="M332" s="28"/>
      <c r="N332" s="28"/>
      <c r="O332" s="28"/>
      <c r="P332" s="3"/>
    </row>
    <row r="333" spans="1:16" ht="15.75" customHeight="1" x14ac:dyDescent="0.3">
      <c r="A333" s="3"/>
      <c r="B333" s="3"/>
      <c r="C333" s="137"/>
      <c r="D333" s="28"/>
      <c r="E333" s="28"/>
      <c r="F333" s="28"/>
      <c r="G333" s="28"/>
      <c r="H333" s="28"/>
      <c r="I333" s="28"/>
      <c r="J333" s="28"/>
      <c r="K333" s="28"/>
      <c r="L333" s="28"/>
      <c r="M333" s="28"/>
      <c r="N333" s="28"/>
      <c r="O333" s="28"/>
      <c r="P333" s="3"/>
    </row>
    <row r="334" spans="1:16" ht="15.75" customHeight="1" x14ac:dyDescent="0.3">
      <c r="A334" s="3"/>
      <c r="B334" s="3"/>
      <c r="C334" s="137"/>
      <c r="D334" s="28"/>
      <c r="E334" s="28"/>
      <c r="F334" s="28"/>
      <c r="G334" s="28"/>
      <c r="H334" s="28"/>
      <c r="I334" s="28"/>
      <c r="J334" s="28"/>
      <c r="K334" s="28"/>
      <c r="L334" s="28"/>
      <c r="M334" s="28"/>
      <c r="N334" s="28"/>
      <c r="O334" s="28"/>
      <c r="P334" s="3"/>
    </row>
    <row r="335" spans="1:16" ht="15.75" customHeight="1" x14ac:dyDescent="0.3">
      <c r="A335" s="3"/>
      <c r="B335" s="3"/>
      <c r="C335" s="137"/>
      <c r="D335" s="28"/>
      <c r="E335" s="28"/>
      <c r="F335" s="28"/>
      <c r="G335" s="28"/>
      <c r="H335" s="28"/>
      <c r="I335" s="28"/>
      <c r="J335" s="28"/>
      <c r="K335" s="28"/>
      <c r="L335" s="28"/>
      <c r="M335" s="28"/>
      <c r="N335" s="28"/>
      <c r="O335" s="28"/>
      <c r="P335" s="3"/>
    </row>
    <row r="336" spans="1:16" ht="15.75" customHeight="1" x14ac:dyDescent="0.3">
      <c r="A336" s="3"/>
      <c r="B336" s="3"/>
      <c r="C336" s="137"/>
      <c r="D336" s="28"/>
      <c r="E336" s="28"/>
      <c r="F336" s="28"/>
      <c r="G336" s="28"/>
      <c r="H336" s="28"/>
      <c r="I336" s="28"/>
      <c r="J336" s="28"/>
      <c r="K336" s="28"/>
      <c r="L336" s="28"/>
      <c r="M336" s="28"/>
      <c r="N336" s="28"/>
      <c r="O336" s="28"/>
      <c r="P336" s="3"/>
    </row>
    <row r="337" spans="1:16" ht="15.75" customHeight="1" x14ac:dyDescent="0.3">
      <c r="A337" s="3"/>
      <c r="B337" s="3"/>
      <c r="C337" s="137"/>
      <c r="D337" s="28"/>
      <c r="E337" s="28"/>
      <c r="F337" s="28"/>
      <c r="G337" s="28"/>
      <c r="H337" s="28"/>
      <c r="I337" s="28"/>
      <c r="J337" s="28"/>
      <c r="K337" s="28"/>
      <c r="L337" s="28"/>
      <c r="M337" s="28"/>
      <c r="N337" s="28"/>
      <c r="O337" s="28"/>
      <c r="P337" s="3"/>
    </row>
    <row r="338" spans="1:16" ht="15.75" customHeight="1" x14ac:dyDescent="0.3">
      <c r="A338" s="3"/>
      <c r="B338" s="3"/>
      <c r="C338" s="137"/>
      <c r="D338" s="28"/>
      <c r="E338" s="28"/>
      <c r="F338" s="28"/>
      <c r="G338" s="28"/>
      <c r="H338" s="28"/>
      <c r="I338" s="28"/>
      <c r="J338" s="28"/>
      <c r="K338" s="28"/>
      <c r="L338" s="28"/>
      <c r="M338" s="28"/>
      <c r="N338" s="28"/>
      <c r="O338" s="28"/>
      <c r="P338" s="3"/>
    </row>
    <row r="339" spans="1:16" ht="15.75" customHeight="1" x14ac:dyDescent="0.3">
      <c r="A339" s="3"/>
      <c r="B339" s="3"/>
      <c r="C339" s="137"/>
      <c r="D339" s="28"/>
      <c r="E339" s="28"/>
      <c r="F339" s="28"/>
      <c r="G339" s="28"/>
      <c r="H339" s="28"/>
      <c r="I339" s="28"/>
      <c r="J339" s="28"/>
      <c r="K339" s="28"/>
      <c r="L339" s="28"/>
      <c r="M339" s="28"/>
      <c r="N339" s="28"/>
      <c r="O339" s="28"/>
      <c r="P339" s="3"/>
    </row>
    <row r="340" spans="1:16" ht="15.75" customHeight="1" x14ac:dyDescent="0.3">
      <c r="A340" s="3"/>
      <c r="B340" s="3"/>
      <c r="C340" s="137"/>
      <c r="D340" s="28"/>
      <c r="E340" s="28"/>
      <c r="F340" s="28"/>
      <c r="G340" s="28"/>
      <c r="H340" s="28"/>
      <c r="I340" s="28"/>
      <c r="J340" s="28"/>
      <c r="K340" s="28"/>
      <c r="L340" s="28"/>
      <c r="M340" s="28"/>
      <c r="N340" s="28"/>
      <c r="O340" s="28"/>
      <c r="P340" s="3"/>
    </row>
    <row r="341" spans="1:16" ht="15.75" customHeight="1" x14ac:dyDescent="0.3">
      <c r="A341" s="3"/>
      <c r="B341" s="3"/>
      <c r="C341" s="137"/>
      <c r="D341" s="28"/>
      <c r="E341" s="28"/>
      <c r="F341" s="28"/>
      <c r="G341" s="28"/>
      <c r="H341" s="28"/>
      <c r="I341" s="28"/>
      <c r="J341" s="28"/>
      <c r="K341" s="28"/>
      <c r="L341" s="28"/>
      <c r="M341" s="28"/>
      <c r="N341" s="28"/>
      <c r="O341" s="28"/>
      <c r="P341" s="3"/>
    </row>
    <row r="342" spans="1:16" ht="15.75" customHeight="1" x14ac:dyDescent="0.3">
      <c r="A342" s="3"/>
      <c r="B342" s="3"/>
      <c r="C342" s="137"/>
      <c r="D342" s="28"/>
      <c r="E342" s="28"/>
      <c r="F342" s="28"/>
      <c r="G342" s="28"/>
      <c r="H342" s="28"/>
      <c r="I342" s="28"/>
      <c r="J342" s="28"/>
      <c r="K342" s="28"/>
      <c r="L342" s="28"/>
      <c r="M342" s="28"/>
      <c r="N342" s="28"/>
      <c r="O342" s="28"/>
      <c r="P342" s="3"/>
    </row>
    <row r="343" spans="1:16" ht="15.75" customHeight="1" x14ac:dyDescent="0.3">
      <c r="A343" s="3"/>
      <c r="B343" s="3"/>
      <c r="C343" s="137"/>
      <c r="D343" s="28"/>
      <c r="E343" s="28"/>
      <c r="F343" s="28"/>
      <c r="G343" s="28"/>
      <c r="H343" s="28"/>
      <c r="I343" s="28"/>
      <c r="J343" s="28"/>
      <c r="K343" s="28"/>
      <c r="L343" s="28"/>
      <c r="M343" s="28"/>
      <c r="N343" s="28"/>
      <c r="O343" s="28"/>
      <c r="P343" s="3"/>
    </row>
    <row r="344" spans="1:16" ht="15.75" customHeight="1" x14ac:dyDescent="0.3">
      <c r="A344" s="3"/>
      <c r="B344" s="3"/>
      <c r="C344" s="137"/>
      <c r="D344" s="28"/>
      <c r="E344" s="28"/>
      <c r="F344" s="28"/>
      <c r="G344" s="28"/>
      <c r="H344" s="28"/>
      <c r="I344" s="28"/>
      <c r="J344" s="28"/>
      <c r="K344" s="28"/>
      <c r="L344" s="28"/>
      <c r="M344" s="28"/>
      <c r="N344" s="28"/>
      <c r="O344" s="28"/>
      <c r="P344" s="3"/>
    </row>
    <row r="345" spans="1:16" ht="15.75" customHeight="1" x14ac:dyDescent="0.3">
      <c r="A345" s="3"/>
      <c r="B345" s="3"/>
      <c r="C345" s="137"/>
      <c r="D345" s="28"/>
      <c r="E345" s="28"/>
      <c r="F345" s="28"/>
      <c r="G345" s="28"/>
      <c r="H345" s="28"/>
      <c r="I345" s="28"/>
      <c r="J345" s="28"/>
      <c r="K345" s="28"/>
      <c r="L345" s="28"/>
      <c r="M345" s="28"/>
      <c r="N345" s="28"/>
      <c r="O345" s="28"/>
      <c r="P345" s="3"/>
    </row>
    <row r="346" spans="1:16" ht="15.75" customHeight="1" x14ac:dyDescent="0.3">
      <c r="A346" s="3"/>
      <c r="B346" s="3"/>
      <c r="C346" s="137"/>
      <c r="D346" s="28"/>
      <c r="E346" s="28"/>
      <c r="F346" s="28"/>
      <c r="G346" s="28"/>
      <c r="H346" s="28"/>
      <c r="I346" s="28"/>
      <c r="J346" s="28"/>
      <c r="K346" s="28"/>
      <c r="L346" s="28"/>
      <c r="M346" s="28"/>
      <c r="N346" s="28"/>
      <c r="O346" s="28"/>
      <c r="P346" s="3"/>
    </row>
    <row r="347" spans="1:16" ht="15.75" customHeight="1" x14ac:dyDescent="0.3">
      <c r="A347" s="3"/>
      <c r="B347" s="3"/>
      <c r="C347" s="137"/>
      <c r="D347" s="28"/>
      <c r="E347" s="28"/>
      <c r="F347" s="28"/>
      <c r="G347" s="28"/>
      <c r="H347" s="28"/>
      <c r="I347" s="28"/>
      <c r="J347" s="28"/>
      <c r="K347" s="28"/>
      <c r="L347" s="28"/>
      <c r="M347" s="28"/>
      <c r="N347" s="28"/>
      <c r="O347" s="28"/>
      <c r="P347" s="3"/>
    </row>
    <row r="348" spans="1:16" ht="15.75" customHeight="1" x14ac:dyDescent="0.3">
      <c r="A348" s="3"/>
      <c r="B348" s="3"/>
      <c r="C348" s="137"/>
      <c r="D348" s="28"/>
      <c r="E348" s="28"/>
      <c r="F348" s="28"/>
      <c r="G348" s="28"/>
      <c r="H348" s="28"/>
      <c r="I348" s="28"/>
      <c r="J348" s="28"/>
      <c r="K348" s="28"/>
      <c r="L348" s="28"/>
      <c r="M348" s="28"/>
      <c r="N348" s="28"/>
      <c r="O348" s="28"/>
      <c r="P348" s="3"/>
    </row>
    <row r="349" spans="1:16" ht="15.75" customHeight="1" x14ac:dyDescent="0.3">
      <c r="A349" s="3"/>
      <c r="B349" s="3"/>
      <c r="C349" s="137"/>
      <c r="D349" s="28"/>
      <c r="E349" s="28"/>
      <c r="F349" s="28"/>
      <c r="G349" s="28"/>
      <c r="H349" s="28"/>
      <c r="I349" s="28"/>
      <c r="J349" s="28"/>
      <c r="K349" s="28"/>
      <c r="L349" s="28"/>
      <c r="M349" s="28"/>
      <c r="N349" s="28"/>
      <c r="O349" s="28"/>
      <c r="P349" s="3"/>
    </row>
    <row r="350" spans="1:16" ht="15.75" customHeight="1" x14ac:dyDescent="0.3">
      <c r="A350" s="3"/>
      <c r="B350" s="3"/>
      <c r="C350" s="137"/>
      <c r="D350" s="28"/>
      <c r="E350" s="28"/>
      <c r="F350" s="28"/>
      <c r="G350" s="28"/>
      <c r="H350" s="28"/>
      <c r="I350" s="28"/>
      <c r="J350" s="28"/>
      <c r="K350" s="28"/>
      <c r="L350" s="28"/>
      <c r="M350" s="28"/>
      <c r="N350" s="28"/>
      <c r="O350" s="28"/>
      <c r="P350" s="3"/>
    </row>
    <row r="351" spans="1:16" ht="15.75" customHeight="1" x14ac:dyDescent="0.3">
      <c r="A351" s="3"/>
      <c r="B351" s="3"/>
      <c r="C351" s="137"/>
      <c r="D351" s="28"/>
      <c r="E351" s="28"/>
      <c r="F351" s="28"/>
      <c r="G351" s="28"/>
      <c r="H351" s="28"/>
      <c r="I351" s="28"/>
      <c r="J351" s="28"/>
      <c r="K351" s="28"/>
      <c r="L351" s="28"/>
      <c r="M351" s="28"/>
      <c r="N351" s="28"/>
      <c r="O351" s="28"/>
      <c r="P351" s="3"/>
    </row>
    <row r="352" spans="1:16" ht="15.75" customHeight="1" x14ac:dyDescent="0.3">
      <c r="A352" s="3"/>
      <c r="B352" s="3"/>
      <c r="C352" s="137"/>
      <c r="D352" s="28"/>
      <c r="E352" s="28"/>
      <c r="F352" s="28"/>
      <c r="G352" s="28"/>
      <c r="H352" s="28"/>
      <c r="I352" s="28"/>
      <c r="J352" s="28"/>
      <c r="K352" s="28"/>
      <c r="L352" s="28"/>
      <c r="M352" s="28"/>
      <c r="N352" s="28"/>
      <c r="O352" s="28"/>
      <c r="P352" s="3"/>
    </row>
    <row r="353" spans="1:16" ht="15.75" customHeight="1" x14ac:dyDescent="0.3">
      <c r="A353" s="3"/>
      <c r="B353" s="3"/>
      <c r="C353" s="137"/>
      <c r="D353" s="28"/>
      <c r="E353" s="28"/>
      <c r="F353" s="28"/>
      <c r="G353" s="28"/>
      <c r="H353" s="28"/>
      <c r="I353" s="28"/>
      <c r="J353" s="28"/>
      <c r="K353" s="28"/>
      <c r="L353" s="28"/>
      <c r="M353" s="28"/>
      <c r="N353" s="28"/>
      <c r="O353" s="28"/>
      <c r="P353" s="3"/>
    </row>
    <row r="354" spans="1:16" ht="15.75" customHeight="1" x14ac:dyDescent="0.3">
      <c r="A354" s="3"/>
      <c r="B354" s="3"/>
      <c r="C354" s="137"/>
      <c r="D354" s="28"/>
      <c r="E354" s="28"/>
      <c r="F354" s="28"/>
      <c r="G354" s="28"/>
      <c r="H354" s="28"/>
      <c r="I354" s="28"/>
      <c r="J354" s="28"/>
      <c r="K354" s="28"/>
      <c r="L354" s="28"/>
      <c r="M354" s="28"/>
      <c r="N354" s="28"/>
      <c r="O354" s="28"/>
      <c r="P354" s="3"/>
    </row>
    <row r="355" spans="1:16" ht="15.75" customHeight="1" x14ac:dyDescent="0.3">
      <c r="A355" s="3"/>
      <c r="B355" s="3"/>
      <c r="C355" s="137"/>
      <c r="D355" s="28"/>
      <c r="E355" s="28"/>
      <c r="F355" s="28"/>
      <c r="G355" s="28"/>
      <c r="H355" s="28"/>
      <c r="I355" s="28"/>
      <c r="J355" s="28"/>
      <c r="K355" s="28"/>
      <c r="L355" s="28"/>
      <c r="M355" s="28"/>
      <c r="N355" s="28"/>
      <c r="O355" s="28"/>
      <c r="P355" s="3"/>
    </row>
    <row r="356" spans="1:16" ht="15.75" customHeight="1" x14ac:dyDescent="0.3">
      <c r="A356" s="3"/>
      <c r="B356" s="3"/>
      <c r="C356" s="137"/>
      <c r="D356" s="28"/>
      <c r="E356" s="28"/>
      <c r="F356" s="28"/>
      <c r="G356" s="28"/>
      <c r="H356" s="28"/>
      <c r="I356" s="28"/>
      <c r="J356" s="28"/>
      <c r="K356" s="28"/>
      <c r="L356" s="28"/>
      <c r="M356" s="28"/>
      <c r="N356" s="28"/>
      <c r="O356" s="28"/>
      <c r="P356" s="3"/>
    </row>
    <row r="357" spans="1:16" ht="15.75" customHeight="1" x14ac:dyDescent="0.3">
      <c r="A357" s="3"/>
      <c r="B357" s="3"/>
      <c r="C357" s="137"/>
      <c r="D357" s="28"/>
      <c r="E357" s="28"/>
      <c r="F357" s="28"/>
      <c r="G357" s="28"/>
      <c r="H357" s="28"/>
      <c r="I357" s="28"/>
      <c r="J357" s="28"/>
      <c r="K357" s="28"/>
      <c r="L357" s="28"/>
      <c r="M357" s="28"/>
      <c r="N357" s="28"/>
      <c r="O357" s="28"/>
      <c r="P357" s="3"/>
    </row>
    <row r="358" spans="1:16" ht="15.75" customHeight="1" x14ac:dyDescent="0.3">
      <c r="A358" s="3"/>
      <c r="B358" s="3"/>
      <c r="C358" s="137"/>
      <c r="D358" s="28"/>
      <c r="E358" s="28"/>
      <c r="F358" s="28"/>
      <c r="G358" s="28"/>
      <c r="H358" s="28"/>
      <c r="I358" s="28"/>
      <c r="J358" s="28"/>
      <c r="K358" s="28"/>
      <c r="L358" s="28"/>
      <c r="M358" s="28"/>
      <c r="N358" s="28"/>
      <c r="O358" s="28"/>
      <c r="P358" s="3"/>
    </row>
    <row r="359" spans="1:16" ht="15.75" customHeight="1" x14ac:dyDescent="0.3">
      <c r="A359" s="3"/>
      <c r="B359" s="3"/>
      <c r="C359" s="137"/>
      <c r="D359" s="28"/>
      <c r="E359" s="28"/>
      <c r="F359" s="28"/>
      <c r="G359" s="28"/>
      <c r="H359" s="28"/>
      <c r="I359" s="28"/>
      <c r="J359" s="28"/>
      <c r="K359" s="28"/>
      <c r="L359" s="28"/>
      <c r="M359" s="28"/>
      <c r="N359" s="28"/>
      <c r="O359" s="28"/>
      <c r="P359" s="3"/>
    </row>
    <row r="360" spans="1:16" ht="15.75" customHeight="1" x14ac:dyDescent="0.3">
      <c r="A360" s="3"/>
      <c r="B360" s="3"/>
      <c r="C360" s="137"/>
      <c r="D360" s="28"/>
      <c r="E360" s="28"/>
      <c r="F360" s="28"/>
      <c r="G360" s="28"/>
      <c r="H360" s="28"/>
      <c r="I360" s="28"/>
      <c r="J360" s="28"/>
      <c r="K360" s="28"/>
      <c r="L360" s="28"/>
      <c r="M360" s="28"/>
      <c r="N360" s="28"/>
      <c r="O360" s="28"/>
      <c r="P360" s="3"/>
    </row>
    <row r="361" spans="1:16" ht="15.75" customHeight="1" x14ac:dyDescent="0.3">
      <c r="A361" s="3"/>
      <c r="B361" s="3"/>
      <c r="C361" s="137"/>
      <c r="D361" s="28"/>
      <c r="E361" s="28"/>
      <c r="F361" s="28"/>
      <c r="G361" s="28"/>
      <c r="H361" s="28"/>
      <c r="I361" s="28"/>
      <c r="J361" s="28"/>
      <c r="K361" s="28"/>
      <c r="L361" s="28"/>
      <c r="M361" s="28"/>
      <c r="N361" s="28"/>
      <c r="O361" s="28"/>
      <c r="P361" s="3"/>
    </row>
    <row r="362" spans="1:16" ht="15.75" customHeight="1" x14ac:dyDescent="0.3">
      <c r="A362" s="3"/>
      <c r="B362" s="3"/>
      <c r="C362" s="137"/>
      <c r="D362" s="28"/>
      <c r="E362" s="28"/>
      <c r="F362" s="28"/>
      <c r="G362" s="28"/>
      <c r="H362" s="28"/>
      <c r="I362" s="28"/>
      <c r="J362" s="28"/>
      <c r="K362" s="28"/>
      <c r="L362" s="28"/>
      <c r="M362" s="28"/>
      <c r="N362" s="28"/>
      <c r="O362" s="28"/>
      <c r="P362" s="3"/>
    </row>
    <row r="363" spans="1:16" ht="15.75" customHeight="1" x14ac:dyDescent="0.3">
      <c r="A363" s="3"/>
      <c r="B363" s="3"/>
      <c r="C363" s="137"/>
      <c r="D363" s="28"/>
      <c r="E363" s="28"/>
      <c r="F363" s="28"/>
      <c r="G363" s="28"/>
      <c r="H363" s="28"/>
      <c r="I363" s="28"/>
      <c r="J363" s="28"/>
      <c r="K363" s="28"/>
      <c r="L363" s="28"/>
      <c r="M363" s="28"/>
      <c r="N363" s="28"/>
      <c r="O363" s="28"/>
      <c r="P363" s="3"/>
    </row>
    <row r="364" spans="1:16" ht="15.75" customHeight="1" x14ac:dyDescent="0.3">
      <c r="A364" s="3"/>
      <c r="B364" s="3"/>
      <c r="C364" s="137"/>
      <c r="D364" s="28"/>
      <c r="E364" s="28"/>
      <c r="F364" s="28"/>
      <c r="G364" s="28"/>
      <c r="H364" s="28"/>
      <c r="I364" s="28"/>
      <c r="J364" s="28"/>
      <c r="K364" s="28"/>
      <c r="L364" s="28"/>
      <c r="M364" s="28"/>
      <c r="N364" s="28"/>
      <c r="O364" s="28"/>
      <c r="P364" s="3"/>
    </row>
    <row r="365" spans="1:16" ht="15.75" customHeight="1" x14ac:dyDescent="0.3">
      <c r="A365" s="3"/>
      <c r="B365" s="3"/>
      <c r="C365" s="137"/>
      <c r="D365" s="28"/>
      <c r="E365" s="28"/>
      <c r="F365" s="28"/>
      <c r="G365" s="28"/>
      <c r="H365" s="28"/>
      <c r="I365" s="28"/>
      <c r="J365" s="28"/>
      <c r="K365" s="28"/>
      <c r="L365" s="28"/>
      <c r="M365" s="28"/>
      <c r="N365" s="28"/>
      <c r="O365" s="28"/>
      <c r="P365" s="3"/>
    </row>
    <row r="366" spans="1:16" ht="15.75" customHeight="1" x14ac:dyDescent="0.3">
      <c r="A366" s="3"/>
      <c r="B366" s="3"/>
      <c r="C366" s="137"/>
      <c r="D366" s="28"/>
      <c r="E366" s="28"/>
      <c r="F366" s="28"/>
      <c r="G366" s="28"/>
      <c r="H366" s="28"/>
      <c r="I366" s="28"/>
      <c r="J366" s="28"/>
      <c r="K366" s="28"/>
      <c r="L366" s="28"/>
      <c r="M366" s="28"/>
      <c r="N366" s="28"/>
      <c r="O366" s="28"/>
      <c r="P366" s="3"/>
    </row>
    <row r="367" spans="1:16" ht="15.75" customHeight="1" x14ac:dyDescent="0.3">
      <c r="A367" s="3"/>
      <c r="B367" s="3"/>
      <c r="C367" s="137"/>
      <c r="D367" s="28"/>
      <c r="E367" s="28"/>
      <c r="F367" s="28"/>
      <c r="G367" s="28"/>
      <c r="H367" s="28"/>
      <c r="I367" s="28"/>
      <c r="J367" s="28"/>
      <c r="K367" s="28"/>
      <c r="L367" s="28"/>
      <c r="M367" s="28"/>
      <c r="N367" s="28"/>
      <c r="O367" s="28"/>
      <c r="P367" s="3"/>
    </row>
    <row r="368" spans="1:16" ht="15.75" customHeight="1" x14ac:dyDescent="0.3">
      <c r="A368" s="3"/>
      <c r="B368" s="3"/>
      <c r="C368" s="137"/>
      <c r="D368" s="28"/>
      <c r="E368" s="28"/>
      <c r="F368" s="28"/>
      <c r="G368" s="28"/>
      <c r="H368" s="28"/>
      <c r="I368" s="28"/>
      <c r="J368" s="28"/>
      <c r="K368" s="28"/>
      <c r="L368" s="28"/>
      <c r="M368" s="28"/>
      <c r="N368" s="28"/>
      <c r="O368" s="28"/>
      <c r="P368" s="3"/>
    </row>
    <row r="369" spans="1:16" ht="15.75" customHeight="1" x14ac:dyDescent="0.3">
      <c r="A369" s="3"/>
      <c r="B369" s="3"/>
      <c r="C369" s="137"/>
      <c r="D369" s="28"/>
      <c r="E369" s="28"/>
      <c r="F369" s="28"/>
      <c r="G369" s="28"/>
      <c r="H369" s="28"/>
      <c r="I369" s="28"/>
      <c r="J369" s="28"/>
      <c r="K369" s="28"/>
      <c r="L369" s="28"/>
      <c r="M369" s="28"/>
      <c r="N369" s="28"/>
      <c r="O369" s="28"/>
      <c r="P369" s="3"/>
    </row>
    <row r="370" spans="1:16" ht="15.75" customHeight="1" x14ac:dyDescent="0.3">
      <c r="A370" s="3"/>
      <c r="B370" s="3"/>
      <c r="C370" s="137"/>
      <c r="D370" s="28"/>
      <c r="E370" s="28"/>
      <c r="F370" s="28"/>
      <c r="G370" s="28"/>
      <c r="H370" s="28"/>
      <c r="I370" s="28"/>
      <c r="J370" s="28"/>
      <c r="K370" s="28"/>
      <c r="L370" s="28"/>
      <c r="M370" s="28"/>
      <c r="N370" s="28"/>
      <c r="O370" s="28"/>
      <c r="P370" s="3"/>
    </row>
    <row r="371" spans="1:16" ht="15.75" customHeight="1" x14ac:dyDescent="0.3">
      <c r="A371" s="3"/>
      <c r="B371" s="3"/>
      <c r="C371" s="137"/>
      <c r="D371" s="28"/>
      <c r="E371" s="28"/>
      <c r="F371" s="28"/>
      <c r="G371" s="28"/>
      <c r="H371" s="28"/>
      <c r="I371" s="28"/>
      <c r="J371" s="28"/>
      <c r="K371" s="28"/>
      <c r="L371" s="28"/>
      <c r="M371" s="28"/>
      <c r="N371" s="28"/>
      <c r="O371" s="28"/>
      <c r="P371" s="3"/>
    </row>
    <row r="372" spans="1:16" ht="15.75" customHeight="1" x14ac:dyDescent="0.3">
      <c r="A372" s="3"/>
      <c r="B372" s="3"/>
      <c r="C372" s="137"/>
      <c r="D372" s="28"/>
      <c r="E372" s="28"/>
      <c r="F372" s="28"/>
      <c r="G372" s="28"/>
      <c r="H372" s="28"/>
      <c r="I372" s="28"/>
      <c r="J372" s="28"/>
      <c r="K372" s="28"/>
      <c r="L372" s="28"/>
      <c r="M372" s="28"/>
      <c r="N372" s="28"/>
      <c r="O372" s="28"/>
      <c r="P372" s="3"/>
    </row>
    <row r="373" spans="1:16" ht="15.75" customHeight="1" x14ac:dyDescent="0.3">
      <c r="A373" s="3"/>
      <c r="B373" s="3"/>
      <c r="C373" s="137"/>
      <c r="D373" s="28"/>
      <c r="E373" s="28"/>
      <c r="F373" s="28"/>
      <c r="G373" s="28"/>
      <c r="H373" s="28"/>
      <c r="I373" s="28"/>
      <c r="J373" s="28"/>
      <c r="K373" s="28"/>
      <c r="L373" s="28"/>
      <c r="M373" s="28"/>
      <c r="N373" s="28"/>
      <c r="O373" s="28"/>
      <c r="P373" s="3"/>
    </row>
    <row r="374" spans="1:16" ht="15.75" customHeight="1" x14ac:dyDescent="0.3">
      <c r="A374" s="3"/>
      <c r="B374" s="3"/>
      <c r="C374" s="137"/>
      <c r="D374" s="28"/>
      <c r="E374" s="28"/>
      <c r="F374" s="28"/>
      <c r="G374" s="28"/>
      <c r="H374" s="28"/>
      <c r="I374" s="28"/>
      <c r="J374" s="28"/>
      <c r="K374" s="28"/>
      <c r="L374" s="28"/>
      <c r="M374" s="28"/>
      <c r="N374" s="28"/>
      <c r="O374" s="28"/>
      <c r="P374" s="3"/>
    </row>
    <row r="375" spans="1:16" ht="15.75" customHeight="1" x14ac:dyDescent="0.3">
      <c r="A375" s="3"/>
      <c r="B375" s="3"/>
      <c r="C375" s="137"/>
      <c r="D375" s="28"/>
      <c r="E375" s="28"/>
      <c r="F375" s="28"/>
      <c r="G375" s="28"/>
      <c r="H375" s="28"/>
      <c r="I375" s="28"/>
      <c r="J375" s="28"/>
      <c r="K375" s="28"/>
      <c r="L375" s="28"/>
      <c r="M375" s="28"/>
      <c r="N375" s="28"/>
      <c r="O375" s="28"/>
      <c r="P375" s="3"/>
    </row>
    <row r="376" spans="1:16" ht="15.75" customHeight="1" x14ac:dyDescent="0.3">
      <c r="A376" s="3"/>
      <c r="B376" s="3"/>
      <c r="C376" s="137"/>
      <c r="D376" s="28"/>
      <c r="E376" s="28"/>
      <c r="F376" s="28"/>
      <c r="G376" s="28"/>
      <c r="H376" s="28"/>
      <c r="I376" s="28"/>
      <c r="J376" s="28"/>
      <c r="K376" s="28"/>
      <c r="L376" s="28"/>
      <c r="M376" s="28"/>
      <c r="N376" s="28"/>
      <c r="O376" s="28"/>
      <c r="P376" s="3"/>
    </row>
    <row r="377" spans="1:16" ht="15.75" customHeight="1" x14ac:dyDescent="0.3">
      <c r="A377" s="3"/>
      <c r="B377" s="3"/>
      <c r="C377" s="137"/>
      <c r="D377" s="28"/>
      <c r="E377" s="28"/>
      <c r="F377" s="28"/>
      <c r="G377" s="28"/>
      <c r="H377" s="28"/>
      <c r="I377" s="28"/>
      <c r="J377" s="28"/>
      <c r="K377" s="28"/>
      <c r="L377" s="28"/>
      <c r="M377" s="28"/>
      <c r="N377" s="28"/>
      <c r="O377" s="28"/>
      <c r="P377" s="3"/>
    </row>
    <row r="378" spans="1:16" ht="15.75" customHeight="1" x14ac:dyDescent="0.3">
      <c r="A378" s="3"/>
      <c r="B378" s="3"/>
      <c r="C378" s="137"/>
      <c r="D378" s="28"/>
      <c r="E378" s="28"/>
      <c r="F378" s="28"/>
      <c r="G378" s="28"/>
      <c r="H378" s="28"/>
      <c r="I378" s="28"/>
      <c r="J378" s="28"/>
      <c r="K378" s="28"/>
      <c r="L378" s="28"/>
      <c r="M378" s="28"/>
      <c r="N378" s="28"/>
      <c r="O378" s="28"/>
      <c r="P378" s="3"/>
    </row>
    <row r="379" spans="1:16" ht="15.75" customHeight="1" x14ac:dyDescent="0.3">
      <c r="A379" s="3"/>
      <c r="B379" s="3"/>
      <c r="C379" s="137"/>
      <c r="D379" s="28"/>
      <c r="E379" s="28"/>
      <c r="F379" s="28"/>
      <c r="G379" s="28"/>
      <c r="H379" s="28"/>
      <c r="I379" s="28"/>
      <c r="J379" s="28"/>
      <c r="K379" s="28"/>
      <c r="L379" s="28"/>
      <c r="M379" s="28"/>
      <c r="N379" s="28"/>
      <c r="O379" s="28"/>
      <c r="P379" s="3"/>
    </row>
    <row r="380" spans="1:16" ht="15.75" customHeight="1" x14ac:dyDescent="0.3">
      <c r="A380" s="3"/>
      <c r="B380" s="3"/>
      <c r="C380" s="137"/>
      <c r="D380" s="28"/>
      <c r="E380" s="28"/>
      <c r="F380" s="28"/>
      <c r="G380" s="28"/>
      <c r="H380" s="28"/>
      <c r="I380" s="28"/>
      <c r="J380" s="28"/>
      <c r="K380" s="28"/>
      <c r="L380" s="28"/>
      <c r="M380" s="28"/>
      <c r="N380" s="28"/>
      <c r="O380" s="28"/>
      <c r="P380" s="3"/>
    </row>
    <row r="381" spans="1:16" ht="15.75" customHeight="1" x14ac:dyDescent="0.3">
      <c r="A381" s="3"/>
      <c r="B381" s="3"/>
      <c r="C381" s="137"/>
      <c r="D381" s="28"/>
      <c r="E381" s="28"/>
      <c r="F381" s="28"/>
      <c r="G381" s="28"/>
      <c r="H381" s="28"/>
      <c r="I381" s="28"/>
      <c r="J381" s="28"/>
      <c r="K381" s="28"/>
      <c r="L381" s="28"/>
      <c r="M381" s="28"/>
      <c r="N381" s="28"/>
      <c r="O381" s="28"/>
      <c r="P381" s="3"/>
    </row>
    <row r="382" spans="1:16" ht="15.75" customHeight="1" x14ac:dyDescent="0.3">
      <c r="A382" s="3"/>
      <c r="B382" s="3"/>
      <c r="C382" s="137"/>
      <c r="D382" s="28"/>
      <c r="E382" s="28"/>
      <c r="F382" s="28"/>
      <c r="G382" s="28"/>
      <c r="H382" s="28"/>
      <c r="I382" s="28"/>
      <c r="J382" s="28"/>
      <c r="K382" s="28"/>
      <c r="L382" s="28"/>
      <c r="M382" s="28"/>
      <c r="N382" s="28"/>
      <c r="O382" s="28"/>
      <c r="P382" s="3"/>
    </row>
    <row r="383" spans="1:16" ht="15.75" customHeight="1" x14ac:dyDescent="0.3">
      <c r="A383" s="3"/>
      <c r="B383" s="3"/>
      <c r="C383" s="137"/>
      <c r="D383" s="28"/>
      <c r="E383" s="28"/>
      <c r="F383" s="28"/>
      <c r="G383" s="28"/>
      <c r="H383" s="28"/>
      <c r="I383" s="28"/>
      <c r="J383" s="28"/>
      <c r="K383" s="28"/>
      <c r="L383" s="28"/>
      <c r="M383" s="28"/>
      <c r="N383" s="28"/>
      <c r="O383" s="28"/>
      <c r="P383" s="3"/>
    </row>
    <row r="384" spans="1:16" ht="15.75" customHeight="1" x14ac:dyDescent="0.3">
      <c r="A384" s="3"/>
      <c r="B384" s="3"/>
      <c r="C384" s="137"/>
      <c r="D384" s="28"/>
      <c r="E384" s="28"/>
      <c r="F384" s="28"/>
      <c r="G384" s="28"/>
      <c r="H384" s="28"/>
      <c r="I384" s="28"/>
      <c r="J384" s="28"/>
      <c r="K384" s="28"/>
      <c r="L384" s="28"/>
      <c r="M384" s="28"/>
      <c r="N384" s="28"/>
      <c r="O384" s="28"/>
      <c r="P384" s="3"/>
    </row>
    <row r="385" spans="1:16" ht="15.75" customHeight="1" x14ac:dyDescent="0.3">
      <c r="A385" s="3"/>
      <c r="B385" s="3"/>
      <c r="C385" s="137"/>
      <c r="D385" s="28"/>
      <c r="E385" s="28"/>
      <c r="F385" s="28"/>
      <c r="G385" s="28"/>
      <c r="H385" s="28"/>
      <c r="I385" s="28"/>
      <c r="J385" s="28"/>
      <c r="K385" s="28"/>
      <c r="L385" s="28"/>
      <c r="M385" s="28"/>
      <c r="N385" s="28"/>
      <c r="O385" s="28"/>
      <c r="P385" s="3"/>
    </row>
    <row r="386" spans="1:16" ht="15.75" customHeight="1" x14ac:dyDescent="0.3">
      <c r="A386" s="3"/>
      <c r="B386" s="3"/>
      <c r="C386" s="137"/>
      <c r="D386" s="28"/>
      <c r="E386" s="28"/>
      <c r="F386" s="28"/>
      <c r="G386" s="28"/>
      <c r="H386" s="28"/>
      <c r="I386" s="28"/>
      <c r="J386" s="28"/>
      <c r="K386" s="28"/>
      <c r="L386" s="28"/>
      <c r="M386" s="28"/>
      <c r="N386" s="28"/>
      <c r="O386" s="28"/>
      <c r="P386" s="3"/>
    </row>
    <row r="387" spans="1:16" ht="15.75" customHeight="1" x14ac:dyDescent="0.3">
      <c r="A387" s="3"/>
      <c r="B387" s="3"/>
      <c r="C387" s="137"/>
      <c r="D387" s="28"/>
      <c r="E387" s="28"/>
      <c r="F387" s="28"/>
      <c r="G387" s="28"/>
      <c r="H387" s="28"/>
      <c r="I387" s="28"/>
      <c r="J387" s="28"/>
      <c r="K387" s="28"/>
      <c r="L387" s="28"/>
      <c r="M387" s="28"/>
      <c r="N387" s="28"/>
      <c r="O387" s="28"/>
      <c r="P387" s="3"/>
    </row>
    <row r="388" spans="1:16" ht="15.75" customHeight="1" x14ac:dyDescent="0.3">
      <c r="A388" s="3"/>
      <c r="B388" s="3"/>
      <c r="C388" s="137"/>
      <c r="D388" s="28"/>
      <c r="E388" s="28"/>
      <c r="F388" s="28"/>
      <c r="G388" s="28"/>
      <c r="H388" s="28"/>
      <c r="I388" s="28"/>
      <c r="J388" s="28"/>
      <c r="K388" s="28"/>
      <c r="L388" s="28"/>
      <c r="M388" s="28"/>
      <c r="N388" s="28"/>
      <c r="O388" s="28"/>
      <c r="P388" s="3"/>
    </row>
    <row r="389" spans="1:16" ht="15.75" customHeight="1" x14ac:dyDescent="0.3">
      <c r="A389" s="3"/>
      <c r="B389" s="3"/>
      <c r="C389" s="137"/>
      <c r="D389" s="28"/>
      <c r="E389" s="28"/>
      <c r="F389" s="28"/>
      <c r="G389" s="28"/>
      <c r="H389" s="28"/>
      <c r="I389" s="28"/>
      <c r="J389" s="28"/>
      <c r="K389" s="28"/>
      <c r="L389" s="28"/>
      <c r="M389" s="28"/>
      <c r="N389" s="28"/>
      <c r="O389" s="28"/>
      <c r="P389" s="3"/>
    </row>
    <row r="390" spans="1:16" ht="15.75" customHeight="1" x14ac:dyDescent="0.3">
      <c r="A390" s="3"/>
      <c r="B390" s="3"/>
      <c r="C390" s="137"/>
      <c r="D390" s="28"/>
      <c r="E390" s="28"/>
      <c r="F390" s="28"/>
      <c r="G390" s="28"/>
      <c r="H390" s="28"/>
      <c r="I390" s="28"/>
      <c r="J390" s="28"/>
      <c r="K390" s="28"/>
      <c r="L390" s="28"/>
      <c r="M390" s="28"/>
      <c r="N390" s="28"/>
      <c r="O390" s="28"/>
      <c r="P390" s="3"/>
    </row>
    <row r="391" spans="1:16" ht="15.75" customHeight="1" x14ac:dyDescent="0.3">
      <c r="A391" s="3"/>
      <c r="B391" s="3"/>
      <c r="C391" s="137"/>
      <c r="D391" s="28"/>
      <c r="E391" s="28"/>
      <c r="F391" s="28"/>
      <c r="G391" s="28"/>
      <c r="H391" s="28"/>
      <c r="I391" s="28"/>
      <c r="J391" s="28"/>
      <c r="K391" s="28"/>
      <c r="L391" s="28"/>
      <c r="M391" s="28"/>
      <c r="N391" s="28"/>
      <c r="O391" s="28"/>
      <c r="P391" s="3"/>
    </row>
    <row r="392" spans="1:16" ht="15.75" customHeight="1" x14ac:dyDescent="0.3">
      <c r="A392" s="3"/>
      <c r="B392" s="3"/>
      <c r="C392" s="137"/>
      <c r="D392" s="28"/>
      <c r="E392" s="28"/>
      <c r="F392" s="28"/>
      <c r="G392" s="28"/>
      <c r="H392" s="28"/>
      <c r="I392" s="28"/>
      <c r="J392" s="28"/>
      <c r="K392" s="28"/>
      <c r="L392" s="28"/>
      <c r="M392" s="28"/>
      <c r="N392" s="28"/>
      <c r="O392" s="28"/>
      <c r="P392" s="3"/>
    </row>
    <row r="393" spans="1:16" ht="15.75" customHeight="1" x14ac:dyDescent="0.3">
      <c r="A393" s="3"/>
      <c r="B393" s="3"/>
      <c r="C393" s="137"/>
      <c r="D393" s="28"/>
      <c r="E393" s="28"/>
      <c r="F393" s="28"/>
      <c r="G393" s="28"/>
      <c r="H393" s="28"/>
      <c r="I393" s="28"/>
      <c r="J393" s="28"/>
      <c r="K393" s="28"/>
      <c r="L393" s="28"/>
      <c r="M393" s="28"/>
      <c r="N393" s="28"/>
      <c r="O393" s="28"/>
      <c r="P393" s="3"/>
    </row>
    <row r="394" spans="1:16" ht="15.75" customHeight="1" x14ac:dyDescent="0.3">
      <c r="A394" s="3"/>
      <c r="B394" s="3"/>
      <c r="C394" s="137"/>
      <c r="D394" s="28"/>
      <c r="E394" s="28"/>
      <c r="F394" s="28"/>
      <c r="G394" s="28"/>
      <c r="H394" s="28"/>
      <c r="I394" s="28"/>
      <c r="J394" s="28"/>
      <c r="K394" s="28"/>
      <c r="L394" s="28"/>
      <c r="M394" s="28"/>
      <c r="N394" s="28"/>
      <c r="O394" s="28"/>
      <c r="P394" s="3"/>
    </row>
    <row r="395" spans="1:16" ht="15.75" customHeight="1" x14ac:dyDescent="0.3">
      <c r="A395" s="3"/>
      <c r="B395" s="3"/>
      <c r="C395" s="137"/>
      <c r="D395" s="28"/>
      <c r="E395" s="28"/>
      <c r="F395" s="28"/>
      <c r="G395" s="28"/>
      <c r="H395" s="28"/>
      <c r="I395" s="28"/>
      <c r="J395" s="28"/>
      <c r="K395" s="28"/>
      <c r="L395" s="28"/>
      <c r="M395" s="28"/>
      <c r="N395" s="28"/>
      <c r="O395" s="28"/>
      <c r="P395" s="3"/>
    </row>
    <row r="396" spans="1:16" ht="15.75" customHeight="1" x14ac:dyDescent="0.3">
      <c r="A396" s="3"/>
      <c r="B396" s="3"/>
      <c r="C396" s="137"/>
      <c r="D396" s="28"/>
      <c r="E396" s="28"/>
      <c r="F396" s="28"/>
      <c r="G396" s="28"/>
      <c r="H396" s="28"/>
      <c r="I396" s="28"/>
      <c r="J396" s="28"/>
      <c r="K396" s="28"/>
      <c r="L396" s="28"/>
      <c r="M396" s="28"/>
      <c r="N396" s="28"/>
      <c r="O396" s="28"/>
      <c r="P396" s="3"/>
    </row>
    <row r="397" spans="1:16" ht="15.75" customHeight="1" x14ac:dyDescent="0.3">
      <c r="A397" s="3"/>
      <c r="B397" s="3"/>
      <c r="C397" s="137"/>
      <c r="D397" s="28"/>
      <c r="E397" s="28"/>
      <c r="F397" s="28"/>
      <c r="G397" s="28"/>
      <c r="H397" s="28"/>
      <c r="I397" s="28"/>
      <c r="J397" s="28"/>
      <c r="K397" s="28"/>
      <c r="L397" s="28"/>
      <c r="M397" s="28"/>
      <c r="N397" s="28"/>
      <c r="O397" s="28"/>
      <c r="P397" s="3"/>
    </row>
    <row r="398" spans="1:16" ht="15.75" customHeight="1" x14ac:dyDescent="0.3">
      <c r="A398" s="3"/>
      <c r="B398" s="3"/>
      <c r="C398" s="137"/>
      <c r="D398" s="28"/>
      <c r="E398" s="28"/>
      <c r="F398" s="28"/>
      <c r="G398" s="28"/>
      <c r="H398" s="28"/>
      <c r="I398" s="28"/>
      <c r="J398" s="28"/>
      <c r="K398" s="28"/>
      <c r="L398" s="28"/>
      <c r="M398" s="28"/>
      <c r="N398" s="28"/>
      <c r="O398" s="28"/>
      <c r="P398" s="3"/>
    </row>
    <row r="399" spans="1:16" ht="15.75" customHeight="1" x14ac:dyDescent="0.3">
      <c r="A399" s="3"/>
      <c r="B399" s="3"/>
      <c r="C399" s="137"/>
      <c r="D399" s="28"/>
      <c r="E399" s="28"/>
      <c r="F399" s="28"/>
      <c r="G399" s="28"/>
      <c r="H399" s="28"/>
      <c r="I399" s="28"/>
      <c r="J399" s="28"/>
      <c r="K399" s="28"/>
      <c r="L399" s="28"/>
      <c r="M399" s="28"/>
      <c r="N399" s="28"/>
      <c r="O399" s="28"/>
      <c r="P399" s="3"/>
    </row>
    <row r="400" spans="1:16" ht="15.75" customHeight="1" x14ac:dyDescent="0.3">
      <c r="A400" s="3"/>
      <c r="B400" s="3"/>
      <c r="C400" s="137"/>
      <c r="D400" s="28"/>
      <c r="E400" s="28"/>
      <c r="F400" s="28"/>
      <c r="G400" s="28"/>
      <c r="H400" s="28"/>
      <c r="I400" s="28"/>
      <c r="J400" s="28"/>
      <c r="K400" s="28"/>
      <c r="L400" s="28"/>
      <c r="M400" s="28"/>
      <c r="N400" s="28"/>
      <c r="O400" s="28"/>
      <c r="P400" s="3"/>
    </row>
    <row r="401" spans="1:16" ht="15.75" customHeight="1" x14ac:dyDescent="0.3">
      <c r="A401" s="3"/>
      <c r="B401" s="3"/>
      <c r="C401" s="137"/>
      <c r="D401" s="28"/>
      <c r="E401" s="28"/>
      <c r="F401" s="28"/>
      <c r="G401" s="28"/>
      <c r="H401" s="28"/>
      <c r="I401" s="28"/>
      <c r="J401" s="28"/>
      <c r="K401" s="28"/>
      <c r="L401" s="28"/>
      <c r="M401" s="28"/>
      <c r="N401" s="28"/>
      <c r="O401" s="28"/>
      <c r="P401" s="3"/>
    </row>
    <row r="402" spans="1:16" ht="15.75" customHeight="1" x14ac:dyDescent="0.3">
      <c r="A402" s="3"/>
      <c r="B402" s="3"/>
      <c r="C402" s="137"/>
      <c r="D402" s="28"/>
      <c r="E402" s="28"/>
      <c r="F402" s="28"/>
      <c r="G402" s="28"/>
      <c r="H402" s="28"/>
      <c r="I402" s="28"/>
      <c r="J402" s="28"/>
      <c r="K402" s="28"/>
      <c r="L402" s="28"/>
      <c r="M402" s="28"/>
      <c r="N402" s="28"/>
      <c r="O402" s="28"/>
      <c r="P402" s="3"/>
    </row>
    <row r="403" spans="1:16" ht="15.75" customHeight="1" x14ac:dyDescent="0.3">
      <c r="A403" s="3"/>
      <c r="B403" s="3"/>
      <c r="C403" s="137"/>
      <c r="D403" s="28"/>
      <c r="E403" s="28"/>
      <c r="F403" s="28"/>
      <c r="G403" s="28"/>
      <c r="H403" s="28"/>
      <c r="I403" s="28"/>
      <c r="J403" s="28"/>
      <c r="K403" s="28"/>
      <c r="L403" s="28"/>
      <c r="M403" s="28"/>
      <c r="N403" s="28"/>
      <c r="O403" s="28"/>
      <c r="P403" s="3"/>
    </row>
    <row r="404" spans="1:16" ht="15.75" customHeight="1" x14ac:dyDescent="0.3">
      <c r="A404" s="3"/>
      <c r="B404" s="3"/>
      <c r="C404" s="137"/>
      <c r="D404" s="28"/>
      <c r="E404" s="28"/>
      <c r="F404" s="28"/>
      <c r="G404" s="28"/>
      <c r="H404" s="28"/>
      <c r="I404" s="28"/>
      <c r="J404" s="28"/>
      <c r="K404" s="28"/>
      <c r="L404" s="28"/>
      <c r="M404" s="28"/>
      <c r="N404" s="28"/>
      <c r="O404" s="28"/>
      <c r="P404" s="3"/>
    </row>
    <row r="405" spans="1:16" ht="15.75" customHeight="1" x14ac:dyDescent="0.3">
      <c r="A405" s="3"/>
      <c r="B405" s="3"/>
      <c r="C405" s="137"/>
      <c r="D405" s="28"/>
      <c r="E405" s="28"/>
      <c r="F405" s="28"/>
      <c r="G405" s="28"/>
      <c r="H405" s="28"/>
      <c r="I405" s="28"/>
      <c r="J405" s="28"/>
      <c r="K405" s="28"/>
      <c r="L405" s="28"/>
      <c r="M405" s="28"/>
      <c r="N405" s="28"/>
      <c r="O405" s="28"/>
      <c r="P405" s="3"/>
    </row>
    <row r="406" spans="1:16" ht="15.75" customHeight="1" x14ac:dyDescent="0.3">
      <c r="A406" s="3"/>
      <c r="B406" s="3"/>
      <c r="C406" s="137"/>
      <c r="D406" s="28"/>
      <c r="E406" s="28"/>
      <c r="F406" s="28"/>
      <c r="G406" s="28"/>
      <c r="H406" s="28"/>
      <c r="I406" s="28"/>
      <c r="J406" s="28"/>
      <c r="K406" s="28"/>
      <c r="L406" s="28"/>
      <c r="M406" s="28"/>
      <c r="N406" s="28"/>
      <c r="O406" s="28"/>
      <c r="P406" s="3"/>
    </row>
    <row r="407" spans="1:16" ht="15.75" customHeight="1" x14ac:dyDescent="0.3">
      <c r="A407" s="3"/>
      <c r="B407" s="3"/>
      <c r="C407" s="137"/>
      <c r="D407" s="28"/>
      <c r="E407" s="28"/>
      <c r="F407" s="28"/>
      <c r="G407" s="28"/>
      <c r="H407" s="28"/>
      <c r="I407" s="28"/>
      <c r="J407" s="28"/>
      <c r="K407" s="28"/>
      <c r="L407" s="28"/>
      <c r="M407" s="28"/>
      <c r="N407" s="28"/>
      <c r="O407" s="28"/>
      <c r="P407" s="3"/>
    </row>
    <row r="408" spans="1:16" ht="15.75" customHeight="1" x14ac:dyDescent="0.3">
      <c r="A408" s="3"/>
      <c r="B408" s="3"/>
      <c r="C408" s="137"/>
      <c r="D408" s="28"/>
      <c r="E408" s="28"/>
      <c r="F408" s="28"/>
      <c r="G408" s="28"/>
      <c r="H408" s="28"/>
      <c r="I408" s="28"/>
      <c r="J408" s="28"/>
      <c r="K408" s="28"/>
      <c r="L408" s="28"/>
      <c r="M408" s="28"/>
      <c r="N408" s="28"/>
      <c r="O408" s="28"/>
      <c r="P408" s="3"/>
    </row>
    <row r="409" spans="1:16" ht="15.75" customHeight="1" x14ac:dyDescent="0.3">
      <c r="A409" s="3"/>
      <c r="B409" s="3"/>
      <c r="C409" s="137"/>
      <c r="D409" s="28"/>
      <c r="E409" s="28"/>
      <c r="F409" s="28"/>
      <c r="G409" s="28"/>
      <c r="H409" s="28"/>
      <c r="I409" s="28"/>
      <c r="J409" s="28"/>
      <c r="K409" s="28"/>
      <c r="L409" s="28"/>
      <c r="M409" s="28"/>
      <c r="N409" s="28"/>
      <c r="O409" s="28"/>
      <c r="P409" s="3"/>
    </row>
    <row r="410" spans="1:16" ht="15.75" customHeight="1" x14ac:dyDescent="0.3">
      <c r="A410" s="3"/>
      <c r="B410" s="3"/>
      <c r="C410" s="137"/>
      <c r="D410" s="28"/>
      <c r="E410" s="28"/>
      <c r="F410" s="28"/>
      <c r="G410" s="28"/>
      <c r="H410" s="28"/>
      <c r="I410" s="28"/>
      <c r="J410" s="28"/>
      <c r="K410" s="28"/>
      <c r="L410" s="28"/>
      <c r="M410" s="28"/>
      <c r="N410" s="28"/>
      <c r="O410" s="28"/>
      <c r="P410" s="3"/>
    </row>
    <row r="411" spans="1:16" ht="15.75" customHeight="1" x14ac:dyDescent="0.3">
      <c r="A411" s="3"/>
      <c r="B411" s="3"/>
      <c r="C411" s="137"/>
      <c r="D411" s="28"/>
      <c r="E411" s="28"/>
      <c r="F411" s="28"/>
      <c r="G411" s="28"/>
      <c r="H411" s="28"/>
      <c r="I411" s="28"/>
      <c r="J411" s="28"/>
      <c r="K411" s="28"/>
      <c r="L411" s="28"/>
      <c r="M411" s="28"/>
      <c r="N411" s="28"/>
      <c r="O411" s="28"/>
      <c r="P411" s="3"/>
    </row>
    <row r="412" spans="1:16" ht="15.75" customHeight="1" x14ac:dyDescent="0.3">
      <c r="A412" s="3"/>
      <c r="B412" s="3"/>
      <c r="C412" s="137"/>
      <c r="D412" s="28"/>
      <c r="E412" s="28"/>
      <c r="F412" s="28"/>
      <c r="G412" s="28"/>
      <c r="H412" s="28"/>
      <c r="I412" s="28"/>
      <c r="J412" s="28"/>
      <c r="K412" s="28"/>
      <c r="L412" s="28"/>
      <c r="M412" s="28"/>
      <c r="N412" s="28"/>
      <c r="O412" s="28"/>
      <c r="P412" s="3"/>
    </row>
    <row r="413" spans="1:16" ht="15.75" customHeight="1" x14ac:dyDescent="0.3">
      <c r="A413" s="3"/>
      <c r="B413" s="3"/>
      <c r="C413" s="137"/>
      <c r="D413" s="28"/>
      <c r="E413" s="28"/>
      <c r="F413" s="28"/>
      <c r="G413" s="28"/>
      <c r="H413" s="28"/>
      <c r="I413" s="28"/>
      <c r="J413" s="28"/>
      <c r="K413" s="28"/>
      <c r="L413" s="28"/>
      <c r="M413" s="28"/>
      <c r="N413" s="28"/>
      <c r="O413" s="28"/>
      <c r="P413" s="3"/>
    </row>
    <row r="414" spans="1:16" ht="15.75" customHeight="1" x14ac:dyDescent="0.3">
      <c r="A414" s="3"/>
      <c r="B414" s="3"/>
      <c r="C414" s="137"/>
      <c r="D414" s="28"/>
      <c r="E414" s="28"/>
      <c r="F414" s="28"/>
      <c r="G414" s="28"/>
      <c r="H414" s="28"/>
      <c r="I414" s="28"/>
      <c r="J414" s="28"/>
      <c r="K414" s="28"/>
      <c r="L414" s="28"/>
      <c r="M414" s="28"/>
      <c r="N414" s="28"/>
      <c r="O414" s="28"/>
      <c r="P414" s="3"/>
    </row>
    <row r="415" spans="1:16" ht="15.75" customHeight="1" x14ac:dyDescent="0.3">
      <c r="A415" s="3"/>
      <c r="B415" s="3"/>
      <c r="C415" s="137"/>
      <c r="D415" s="28"/>
      <c r="E415" s="28"/>
      <c r="F415" s="28"/>
      <c r="G415" s="28"/>
      <c r="H415" s="28"/>
      <c r="I415" s="28"/>
      <c r="J415" s="28"/>
      <c r="K415" s="28"/>
      <c r="L415" s="28"/>
      <c r="M415" s="28"/>
      <c r="N415" s="28"/>
      <c r="O415" s="28"/>
      <c r="P415" s="3"/>
    </row>
    <row r="416" spans="1:16" ht="15.75" customHeight="1" x14ac:dyDescent="0.3">
      <c r="A416" s="3"/>
      <c r="B416" s="3"/>
      <c r="C416" s="137"/>
      <c r="D416" s="28"/>
      <c r="E416" s="28"/>
      <c r="F416" s="28"/>
      <c r="G416" s="28"/>
      <c r="H416" s="28"/>
      <c r="I416" s="28"/>
      <c r="J416" s="28"/>
      <c r="K416" s="28"/>
      <c r="L416" s="28"/>
      <c r="M416" s="28"/>
      <c r="N416" s="28"/>
      <c r="O416" s="28"/>
      <c r="P416" s="3"/>
    </row>
    <row r="417" spans="1:16" ht="15.75" customHeight="1" x14ac:dyDescent="0.3">
      <c r="A417" s="3"/>
      <c r="B417" s="3"/>
      <c r="C417" s="137"/>
      <c r="D417" s="28"/>
      <c r="E417" s="28"/>
      <c r="F417" s="28"/>
      <c r="G417" s="28"/>
      <c r="H417" s="28"/>
      <c r="I417" s="28"/>
      <c r="J417" s="28"/>
      <c r="K417" s="28"/>
      <c r="L417" s="28"/>
      <c r="M417" s="28"/>
      <c r="N417" s="28"/>
      <c r="O417" s="28"/>
      <c r="P417" s="3"/>
    </row>
    <row r="418" spans="1:16" ht="15.75" customHeight="1" x14ac:dyDescent="0.3">
      <c r="A418" s="3"/>
      <c r="B418" s="3"/>
      <c r="C418" s="137"/>
      <c r="D418" s="28"/>
      <c r="E418" s="28"/>
      <c r="F418" s="28"/>
      <c r="G418" s="28"/>
      <c r="H418" s="28"/>
      <c r="I418" s="28"/>
      <c r="J418" s="28"/>
      <c r="K418" s="28"/>
      <c r="L418" s="28"/>
      <c r="M418" s="28"/>
      <c r="N418" s="28"/>
      <c r="O418" s="28"/>
      <c r="P418" s="3"/>
    </row>
    <row r="419" spans="1:16" ht="15.75" customHeight="1" x14ac:dyDescent="0.3">
      <c r="A419" s="3"/>
      <c r="B419" s="3"/>
      <c r="C419" s="137"/>
      <c r="D419" s="28"/>
      <c r="E419" s="28"/>
      <c r="F419" s="28"/>
      <c r="G419" s="28"/>
      <c r="H419" s="28"/>
      <c r="I419" s="28"/>
      <c r="J419" s="28"/>
      <c r="K419" s="28"/>
      <c r="L419" s="28"/>
      <c r="M419" s="28"/>
      <c r="N419" s="28"/>
      <c r="O419" s="28"/>
      <c r="P419" s="3"/>
    </row>
    <row r="420" spans="1:16" ht="15.75" customHeight="1" x14ac:dyDescent="0.3">
      <c r="A420" s="3"/>
      <c r="B420" s="3"/>
      <c r="C420" s="137"/>
      <c r="D420" s="28"/>
      <c r="E420" s="28"/>
      <c r="F420" s="28"/>
      <c r="G420" s="28"/>
      <c r="H420" s="28"/>
      <c r="I420" s="28"/>
      <c r="J420" s="28"/>
      <c r="K420" s="28"/>
      <c r="L420" s="28"/>
      <c r="M420" s="28"/>
      <c r="N420" s="28"/>
      <c r="O420" s="28"/>
      <c r="P420" s="3"/>
    </row>
    <row r="421" spans="1:16" ht="15.75" customHeight="1" x14ac:dyDescent="0.3">
      <c r="A421" s="3"/>
      <c r="B421" s="3"/>
      <c r="C421" s="137"/>
      <c r="D421" s="28"/>
      <c r="E421" s="28"/>
      <c r="F421" s="28"/>
      <c r="G421" s="28"/>
      <c r="H421" s="28"/>
      <c r="I421" s="28"/>
      <c r="J421" s="28"/>
      <c r="K421" s="28"/>
      <c r="L421" s="28"/>
      <c r="M421" s="28"/>
      <c r="N421" s="28"/>
      <c r="O421" s="28"/>
      <c r="P421" s="3"/>
    </row>
    <row r="422" spans="1:16" ht="15.75" customHeight="1" x14ac:dyDescent="0.3">
      <c r="A422" s="3"/>
      <c r="B422" s="3"/>
      <c r="C422" s="137"/>
      <c r="D422" s="28"/>
      <c r="E422" s="28"/>
      <c r="F422" s="28"/>
      <c r="G422" s="28"/>
      <c r="H422" s="28"/>
      <c r="I422" s="28"/>
      <c r="J422" s="28"/>
      <c r="K422" s="28"/>
      <c r="L422" s="28"/>
      <c r="M422" s="28"/>
      <c r="N422" s="28"/>
      <c r="O422" s="28"/>
      <c r="P422" s="3"/>
    </row>
    <row r="423" spans="1:16" ht="15.75" customHeight="1" x14ac:dyDescent="0.3">
      <c r="A423" s="3"/>
      <c r="B423" s="3"/>
      <c r="C423" s="137"/>
      <c r="D423" s="28"/>
      <c r="E423" s="28"/>
      <c r="F423" s="28"/>
      <c r="G423" s="28"/>
      <c r="H423" s="28"/>
      <c r="I423" s="28"/>
      <c r="J423" s="28"/>
      <c r="K423" s="28"/>
      <c r="L423" s="28"/>
      <c r="M423" s="28"/>
      <c r="N423" s="28"/>
      <c r="O423" s="28"/>
      <c r="P423" s="3"/>
    </row>
    <row r="424" spans="1:16" ht="15.75" customHeight="1" x14ac:dyDescent="0.3">
      <c r="A424" s="3"/>
      <c r="B424" s="3"/>
      <c r="C424" s="137"/>
      <c r="D424" s="28"/>
      <c r="E424" s="28"/>
      <c r="F424" s="28"/>
      <c r="G424" s="28"/>
      <c r="H424" s="28"/>
      <c r="I424" s="28"/>
      <c r="J424" s="28"/>
      <c r="K424" s="28"/>
      <c r="L424" s="28"/>
      <c r="M424" s="28"/>
      <c r="N424" s="28"/>
      <c r="O424" s="28"/>
      <c r="P424" s="3"/>
    </row>
    <row r="425" spans="1:16" ht="15.75" customHeight="1" x14ac:dyDescent="0.3">
      <c r="A425" s="3"/>
      <c r="B425" s="3"/>
      <c r="C425" s="137"/>
      <c r="D425" s="28"/>
      <c r="E425" s="28"/>
      <c r="F425" s="28"/>
      <c r="G425" s="28"/>
      <c r="H425" s="28"/>
      <c r="I425" s="28"/>
      <c r="J425" s="28"/>
      <c r="K425" s="28"/>
      <c r="L425" s="28"/>
      <c r="M425" s="28"/>
      <c r="N425" s="28"/>
      <c r="O425" s="28"/>
      <c r="P425" s="3"/>
    </row>
    <row r="426" spans="1:16" ht="15.75" customHeight="1" x14ac:dyDescent="0.3">
      <c r="A426" s="3"/>
      <c r="B426" s="3"/>
      <c r="C426" s="137"/>
      <c r="D426" s="28"/>
      <c r="E426" s="28"/>
      <c r="F426" s="28"/>
      <c r="G426" s="28"/>
      <c r="H426" s="28"/>
      <c r="I426" s="28"/>
      <c r="J426" s="28"/>
      <c r="K426" s="28"/>
      <c r="L426" s="28"/>
      <c r="M426" s="28"/>
      <c r="N426" s="28"/>
      <c r="O426" s="28"/>
      <c r="P426" s="3"/>
    </row>
    <row r="427" spans="1:16" ht="15.75" customHeight="1" x14ac:dyDescent="0.3">
      <c r="A427" s="3"/>
      <c r="B427" s="3"/>
      <c r="C427" s="137"/>
      <c r="D427" s="28"/>
      <c r="E427" s="28"/>
      <c r="F427" s="28"/>
      <c r="G427" s="28"/>
      <c r="H427" s="28"/>
      <c r="I427" s="28"/>
      <c r="J427" s="28"/>
      <c r="K427" s="28"/>
      <c r="L427" s="28"/>
      <c r="M427" s="28"/>
      <c r="N427" s="28"/>
      <c r="O427" s="28"/>
      <c r="P427" s="3"/>
    </row>
    <row r="428" spans="1:16" ht="15.75" customHeight="1" x14ac:dyDescent="0.3">
      <c r="A428" s="3"/>
      <c r="B428" s="3"/>
      <c r="C428" s="137"/>
      <c r="D428" s="28"/>
      <c r="E428" s="28"/>
      <c r="F428" s="28"/>
      <c r="G428" s="28"/>
      <c r="H428" s="28"/>
      <c r="I428" s="28"/>
      <c r="J428" s="28"/>
      <c r="K428" s="28"/>
      <c r="L428" s="28"/>
      <c r="M428" s="28"/>
      <c r="N428" s="28"/>
      <c r="O428" s="28"/>
      <c r="P428" s="3"/>
    </row>
    <row r="429" spans="1:16" ht="15.75" customHeight="1" x14ac:dyDescent="0.3">
      <c r="A429" s="3"/>
      <c r="B429" s="3"/>
      <c r="C429" s="137"/>
      <c r="D429" s="28"/>
      <c r="E429" s="28"/>
      <c r="F429" s="28"/>
      <c r="G429" s="28"/>
      <c r="H429" s="28"/>
      <c r="I429" s="28"/>
      <c r="J429" s="28"/>
      <c r="K429" s="28"/>
      <c r="L429" s="28"/>
      <c r="M429" s="28"/>
      <c r="N429" s="28"/>
      <c r="O429" s="28"/>
      <c r="P429" s="3"/>
    </row>
    <row r="430" spans="1:16" ht="15.75" customHeight="1" x14ac:dyDescent="0.3">
      <c r="A430" s="3"/>
      <c r="B430" s="3"/>
      <c r="C430" s="137"/>
      <c r="D430" s="28"/>
      <c r="E430" s="28"/>
      <c r="F430" s="28"/>
      <c r="G430" s="28"/>
      <c r="H430" s="28"/>
      <c r="I430" s="28"/>
      <c r="J430" s="28"/>
      <c r="K430" s="28"/>
      <c r="L430" s="28"/>
      <c r="M430" s="28"/>
      <c r="N430" s="28"/>
      <c r="O430" s="28"/>
      <c r="P430" s="3"/>
    </row>
    <row r="431" spans="1:16" ht="15.75" customHeight="1" x14ac:dyDescent="0.3">
      <c r="A431" s="3"/>
      <c r="B431" s="3"/>
      <c r="C431" s="137"/>
      <c r="D431" s="28"/>
      <c r="E431" s="28"/>
      <c r="F431" s="28"/>
      <c r="G431" s="28"/>
      <c r="H431" s="28"/>
      <c r="I431" s="28"/>
      <c r="J431" s="28"/>
      <c r="K431" s="28"/>
      <c r="L431" s="28"/>
      <c r="M431" s="28"/>
      <c r="N431" s="28"/>
      <c r="O431" s="28"/>
      <c r="P431" s="3"/>
    </row>
    <row r="432" spans="1:16" ht="15.75" customHeight="1" x14ac:dyDescent="0.3">
      <c r="A432" s="3"/>
      <c r="B432" s="3"/>
      <c r="C432" s="137"/>
      <c r="D432" s="28"/>
      <c r="E432" s="28"/>
      <c r="F432" s="28"/>
      <c r="G432" s="28"/>
      <c r="H432" s="28"/>
      <c r="I432" s="28"/>
      <c r="J432" s="28"/>
      <c r="K432" s="28"/>
      <c r="L432" s="28"/>
      <c r="M432" s="28"/>
      <c r="N432" s="28"/>
      <c r="O432" s="28"/>
      <c r="P432" s="3"/>
    </row>
    <row r="433" spans="1:16" ht="15.75" customHeight="1" x14ac:dyDescent="0.3">
      <c r="A433" s="3"/>
      <c r="B433" s="3"/>
      <c r="C433" s="137"/>
      <c r="D433" s="28"/>
      <c r="E433" s="28"/>
      <c r="F433" s="28"/>
      <c r="G433" s="28"/>
      <c r="H433" s="28"/>
      <c r="I433" s="28"/>
      <c r="J433" s="28"/>
      <c r="K433" s="28"/>
      <c r="L433" s="28"/>
      <c r="M433" s="28"/>
      <c r="N433" s="28"/>
      <c r="O433" s="28"/>
      <c r="P433" s="3"/>
    </row>
    <row r="434" spans="1:16" ht="15.75" customHeight="1" x14ac:dyDescent="0.3">
      <c r="A434" s="3"/>
      <c r="B434" s="3"/>
      <c r="C434" s="137"/>
      <c r="D434" s="28"/>
      <c r="E434" s="28"/>
      <c r="F434" s="28"/>
      <c r="G434" s="28"/>
      <c r="H434" s="28"/>
      <c r="I434" s="28"/>
      <c r="J434" s="28"/>
      <c r="K434" s="28"/>
      <c r="L434" s="28"/>
      <c r="M434" s="28"/>
      <c r="N434" s="28"/>
      <c r="O434" s="28"/>
      <c r="P434" s="3"/>
    </row>
    <row r="435" spans="1:16" ht="15.75" customHeight="1" x14ac:dyDescent="0.3">
      <c r="A435" s="3"/>
      <c r="B435" s="3"/>
      <c r="C435" s="137"/>
      <c r="D435" s="28"/>
      <c r="E435" s="28"/>
      <c r="F435" s="28"/>
      <c r="G435" s="28"/>
      <c r="H435" s="28"/>
      <c r="I435" s="28"/>
      <c r="J435" s="28"/>
      <c r="K435" s="28"/>
      <c r="L435" s="28"/>
      <c r="M435" s="28"/>
      <c r="N435" s="28"/>
      <c r="O435" s="28"/>
      <c r="P435" s="3"/>
    </row>
    <row r="436" spans="1:16" ht="15.75" customHeight="1" x14ac:dyDescent="0.3">
      <c r="A436" s="3"/>
      <c r="B436" s="3"/>
      <c r="C436" s="137"/>
      <c r="D436" s="28"/>
      <c r="E436" s="28"/>
      <c r="F436" s="28"/>
      <c r="G436" s="28"/>
      <c r="H436" s="28"/>
      <c r="I436" s="28"/>
      <c r="J436" s="28"/>
      <c r="K436" s="28"/>
      <c r="L436" s="28"/>
      <c r="M436" s="28"/>
      <c r="N436" s="28"/>
      <c r="O436" s="28"/>
      <c r="P436" s="3"/>
    </row>
    <row r="437" spans="1:16" ht="15.75" customHeight="1" x14ac:dyDescent="0.3">
      <c r="A437" s="3"/>
      <c r="B437" s="3"/>
      <c r="C437" s="137"/>
      <c r="D437" s="28"/>
      <c r="E437" s="28"/>
      <c r="F437" s="28"/>
      <c r="G437" s="28"/>
      <c r="H437" s="28"/>
      <c r="I437" s="28"/>
      <c r="J437" s="28"/>
      <c r="K437" s="28"/>
      <c r="L437" s="28"/>
      <c r="M437" s="28"/>
      <c r="N437" s="28"/>
      <c r="O437" s="28"/>
      <c r="P437" s="3"/>
    </row>
    <row r="438" spans="1:16" ht="15.75" customHeight="1" x14ac:dyDescent="0.3">
      <c r="A438" s="3"/>
      <c r="B438" s="3"/>
      <c r="C438" s="137"/>
      <c r="D438" s="28"/>
      <c r="E438" s="28"/>
      <c r="F438" s="28"/>
      <c r="G438" s="28"/>
      <c r="H438" s="28"/>
      <c r="I438" s="28"/>
      <c r="J438" s="28"/>
      <c r="K438" s="28"/>
      <c r="L438" s="28"/>
      <c r="M438" s="28"/>
      <c r="N438" s="28"/>
      <c r="O438" s="28"/>
      <c r="P438" s="3"/>
    </row>
    <row r="439" spans="1:16" ht="15.75" customHeight="1" x14ac:dyDescent="0.3">
      <c r="A439" s="3"/>
      <c r="B439" s="3"/>
      <c r="C439" s="137"/>
      <c r="D439" s="28"/>
      <c r="E439" s="28"/>
      <c r="F439" s="28"/>
      <c r="G439" s="28"/>
      <c r="H439" s="28"/>
      <c r="I439" s="28"/>
      <c r="J439" s="28"/>
      <c r="K439" s="28"/>
      <c r="L439" s="28"/>
      <c r="M439" s="28"/>
      <c r="N439" s="28"/>
      <c r="O439" s="28"/>
      <c r="P439" s="3"/>
    </row>
    <row r="440" spans="1:16" ht="15.75" customHeight="1" x14ac:dyDescent="0.3">
      <c r="A440" s="3"/>
      <c r="B440" s="3"/>
      <c r="C440" s="137"/>
      <c r="D440" s="28"/>
      <c r="E440" s="28"/>
      <c r="F440" s="28"/>
      <c r="G440" s="28"/>
      <c r="H440" s="28"/>
      <c r="I440" s="28"/>
      <c r="J440" s="28"/>
      <c r="K440" s="28"/>
      <c r="L440" s="28"/>
      <c r="M440" s="28"/>
      <c r="N440" s="28"/>
      <c r="O440" s="28"/>
      <c r="P440" s="3"/>
    </row>
    <row r="441" spans="1:16" ht="15.75" customHeight="1" x14ac:dyDescent="0.3">
      <c r="A441" s="3"/>
      <c r="B441" s="3"/>
      <c r="C441" s="137"/>
      <c r="D441" s="28"/>
      <c r="E441" s="28"/>
      <c r="F441" s="28"/>
      <c r="G441" s="28"/>
      <c r="H441" s="28"/>
      <c r="I441" s="28"/>
      <c r="J441" s="28"/>
      <c r="K441" s="28"/>
      <c r="L441" s="28"/>
      <c r="M441" s="28"/>
      <c r="N441" s="28"/>
      <c r="O441" s="28"/>
      <c r="P441" s="3"/>
    </row>
    <row r="442" spans="1:16" ht="15.75" customHeight="1" x14ac:dyDescent="0.3">
      <c r="A442" s="3"/>
      <c r="B442" s="3"/>
      <c r="C442" s="137"/>
      <c r="D442" s="28"/>
      <c r="E442" s="28"/>
      <c r="F442" s="28"/>
      <c r="G442" s="28"/>
      <c r="H442" s="28"/>
      <c r="I442" s="28"/>
      <c r="J442" s="28"/>
      <c r="K442" s="28"/>
      <c r="L442" s="28"/>
      <c r="M442" s="28"/>
      <c r="N442" s="28"/>
      <c r="O442" s="28"/>
      <c r="P442" s="3"/>
    </row>
    <row r="443" spans="1:16" ht="15.75" customHeight="1" x14ac:dyDescent="0.3">
      <c r="A443" s="3"/>
      <c r="B443" s="3"/>
      <c r="C443" s="137"/>
      <c r="D443" s="28"/>
      <c r="E443" s="28"/>
      <c r="F443" s="28"/>
      <c r="G443" s="28"/>
      <c r="H443" s="28"/>
      <c r="I443" s="28"/>
      <c r="J443" s="28"/>
      <c r="K443" s="28"/>
      <c r="L443" s="28"/>
      <c r="M443" s="28"/>
      <c r="N443" s="28"/>
      <c r="O443" s="28"/>
      <c r="P443" s="3"/>
    </row>
    <row r="444" spans="1:16" ht="15.75" customHeight="1" x14ac:dyDescent="0.3">
      <c r="A444" s="3"/>
      <c r="B444" s="3"/>
      <c r="C444" s="137"/>
      <c r="D444" s="28"/>
      <c r="E444" s="28"/>
      <c r="F444" s="28"/>
      <c r="G444" s="28"/>
      <c r="H444" s="28"/>
      <c r="I444" s="28"/>
      <c r="J444" s="28"/>
      <c r="K444" s="28"/>
      <c r="L444" s="28"/>
      <c r="M444" s="28"/>
      <c r="N444" s="28"/>
      <c r="O444" s="28"/>
      <c r="P444" s="3"/>
    </row>
    <row r="445" spans="1:16" ht="15.75" customHeight="1" x14ac:dyDescent="0.3">
      <c r="A445" s="3"/>
      <c r="B445" s="3"/>
      <c r="C445" s="137"/>
      <c r="D445" s="28"/>
      <c r="E445" s="28"/>
      <c r="F445" s="28"/>
      <c r="G445" s="28"/>
      <c r="H445" s="28"/>
      <c r="I445" s="28"/>
      <c r="J445" s="28"/>
      <c r="K445" s="28"/>
      <c r="L445" s="28"/>
      <c r="M445" s="28"/>
      <c r="N445" s="28"/>
      <c r="O445" s="28"/>
      <c r="P445" s="3"/>
    </row>
    <row r="446" spans="1:16" ht="15.75" customHeight="1" x14ac:dyDescent="0.3">
      <c r="A446" s="3"/>
      <c r="B446" s="3"/>
      <c r="C446" s="137"/>
      <c r="D446" s="28"/>
      <c r="E446" s="28"/>
      <c r="F446" s="28"/>
      <c r="G446" s="28"/>
      <c r="H446" s="28"/>
      <c r="I446" s="28"/>
      <c r="J446" s="28"/>
      <c r="K446" s="28"/>
      <c r="L446" s="28"/>
      <c r="M446" s="28"/>
      <c r="N446" s="28"/>
      <c r="O446" s="28"/>
      <c r="P446" s="3"/>
    </row>
    <row r="447" spans="1:16" ht="15.75" customHeight="1" x14ac:dyDescent="0.3">
      <c r="A447" s="3"/>
      <c r="B447" s="3"/>
      <c r="C447" s="137"/>
      <c r="D447" s="28"/>
      <c r="E447" s="28"/>
      <c r="F447" s="28"/>
      <c r="G447" s="28"/>
      <c r="H447" s="28"/>
      <c r="I447" s="28"/>
      <c r="J447" s="28"/>
      <c r="K447" s="28"/>
      <c r="L447" s="28"/>
      <c r="M447" s="28"/>
      <c r="N447" s="28"/>
      <c r="O447" s="28"/>
      <c r="P447" s="3"/>
    </row>
    <row r="448" spans="1:16" ht="15.75" customHeight="1" x14ac:dyDescent="0.3">
      <c r="A448" s="3"/>
      <c r="B448" s="3"/>
      <c r="C448" s="137"/>
      <c r="D448" s="28"/>
      <c r="E448" s="28"/>
      <c r="F448" s="28"/>
      <c r="G448" s="28"/>
      <c r="H448" s="28"/>
      <c r="I448" s="28"/>
      <c r="J448" s="28"/>
      <c r="K448" s="28"/>
      <c r="L448" s="28"/>
      <c r="M448" s="28"/>
      <c r="N448" s="28"/>
      <c r="O448" s="28"/>
      <c r="P448" s="3"/>
    </row>
    <row r="449" spans="1:16" ht="15.75" customHeight="1" x14ac:dyDescent="0.3">
      <c r="A449" s="3"/>
      <c r="B449" s="3"/>
      <c r="C449" s="137"/>
      <c r="D449" s="28"/>
      <c r="E449" s="28"/>
      <c r="F449" s="28"/>
      <c r="G449" s="28"/>
      <c r="H449" s="28"/>
      <c r="I449" s="28"/>
      <c r="J449" s="28"/>
      <c r="K449" s="28"/>
      <c r="L449" s="28"/>
      <c r="M449" s="28"/>
      <c r="N449" s="28"/>
      <c r="O449" s="28"/>
      <c r="P449" s="3"/>
    </row>
    <row r="450" spans="1:16" ht="15.75" customHeight="1" x14ac:dyDescent="0.3">
      <c r="A450" s="3"/>
      <c r="B450" s="3"/>
      <c r="C450" s="137"/>
      <c r="D450" s="28"/>
      <c r="E450" s="28"/>
      <c r="F450" s="28"/>
      <c r="G450" s="28"/>
      <c r="H450" s="28"/>
      <c r="I450" s="28"/>
      <c r="J450" s="28"/>
      <c r="K450" s="28"/>
      <c r="L450" s="28"/>
      <c r="M450" s="28"/>
      <c r="N450" s="28"/>
      <c r="O450" s="28"/>
      <c r="P450" s="3"/>
    </row>
    <row r="451" spans="1:16" ht="15.75" customHeight="1" x14ac:dyDescent="0.3">
      <c r="A451" s="3"/>
      <c r="B451" s="3"/>
      <c r="C451" s="137"/>
      <c r="D451" s="28"/>
      <c r="E451" s="28"/>
      <c r="F451" s="28"/>
      <c r="G451" s="28"/>
      <c r="H451" s="28"/>
      <c r="I451" s="28"/>
      <c r="J451" s="28"/>
      <c r="K451" s="28"/>
      <c r="L451" s="28"/>
      <c r="M451" s="28"/>
      <c r="N451" s="28"/>
      <c r="O451" s="28"/>
      <c r="P451" s="3"/>
    </row>
    <row r="452" spans="1:16" ht="15.75" customHeight="1" x14ac:dyDescent="0.3">
      <c r="A452" s="3"/>
      <c r="B452" s="3"/>
      <c r="C452" s="137"/>
      <c r="D452" s="28"/>
      <c r="E452" s="28"/>
      <c r="F452" s="28"/>
      <c r="G452" s="28"/>
      <c r="H452" s="28"/>
      <c r="I452" s="28"/>
      <c r="J452" s="28"/>
      <c r="K452" s="28"/>
      <c r="L452" s="28"/>
      <c r="M452" s="28"/>
      <c r="N452" s="28"/>
      <c r="O452" s="28"/>
      <c r="P452" s="3"/>
    </row>
    <row r="453" spans="1:16" ht="15.75" customHeight="1" x14ac:dyDescent="0.3">
      <c r="A453" s="3"/>
      <c r="B453" s="3"/>
      <c r="C453" s="137"/>
      <c r="D453" s="28"/>
      <c r="E453" s="28"/>
      <c r="F453" s="28"/>
      <c r="G453" s="28"/>
      <c r="H453" s="28"/>
      <c r="I453" s="28"/>
      <c r="J453" s="28"/>
      <c r="K453" s="28"/>
      <c r="L453" s="28"/>
      <c r="M453" s="28"/>
      <c r="N453" s="28"/>
      <c r="O453" s="28"/>
      <c r="P453" s="3"/>
    </row>
    <row r="454" spans="1:16" ht="15.75" customHeight="1" x14ac:dyDescent="0.3">
      <c r="A454" s="3"/>
      <c r="B454" s="3"/>
      <c r="C454" s="137"/>
      <c r="D454" s="28"/>
      <c r="E454" s="28"/>
      <c r="F454" s="28"/>
      <c r="G454" s="28"/>
      <c r="H454" s="28"/>
      <c r="I454" s="28"/>
      <c r="J454" s="28"/>
      <c r="K454" s="28"/>
      <c r="L454" s="28"/>
      <c r="M454" s="28"/>
      <c r="N454" s="28"/>
      <c r="O454" s="28"/>
      <c r="P454" s="3"/>
    </row>
    <row r="455" spans="1:16" ht="15.75" customHeight="1" x14ac:dyDescent="0.3">
      <c r="A455" s="3"/>
      <c r="B455" s="3"/>
      <c r="C455" s="137"/>
      <c r="D455" s="28"/>
      <c r="E455" s="28"/>
      <c r="F455" s="28"/>
      <c r="G455" s="28"/>
      <c r="H455" s="28"/>
      <c r="I455" s="28"/>
      <c r="J455" s="28"/>
      <c r="K455" s="28"/>
      <c r="L455" s="28"/>
      <c r="M455" s="28"/>
      <c r="N455" s="28"/>
      <c r="O455" s="28"/>
      <c r="P455" s="3"/>
    </row>
    <row r="456" spans="1:16" ht="15.75" customHeight="1" x14ac:dyDescent="0.3">
      <c r="A456" s="3"/>
      <c r="B456" s="3"/>
      <c r="C456" s="137"/>
      <c r="D456" s="28"/>
      <c r="E456" s="28"/>
      <c r="F456" s="28"/>
      <c r="G456" s="28"/>
      <c r="H456" s="28"/>
      <c r="I456" s="28"/>
      <c r="J456" s="28"/>
      <c r="K456" s="28"/>
      <c r="L456" s="28"/>
      <c r="M456" s="28"/>
      <c r="N456" s="28"/>
      <c r="O456" s="28"/>
      <c r="P456" s="3"/>
    </row>
    <row r="457" spans="1:16" ht="15.75" customHeight="1" x14ac:dyDescent="0.3">
      <c r="A457" s="3"/>
      <c r="B457" s="3"/>
      <c r="C457" s="137"/>
      <c r="D457" s="28"/>
      <c r="E457" s="28"/>
      <c r="F457" s="28"/>
      <c r="G457" s="28"/>
      <c r="H457" s="28"/>
      <c r="I457" s="28"/>
      <c r="J457" s="28"/>
      <c r="K457" s="28"/>
      <c r="L457" s="28"/>
      <c r="M457" s="28"/>
      <c r="N457" s="28"/>
      <c r="O457" s="28"/>
      <c r="P457" s="3"/>
    </row>
    <row r="458" spans="1:16" ht="15.75" customHeight="1" x14ac:dyDescent="0.3">
      <c r="A458" s="3"/>
      <c r="B458" s="3"/>
      <c r="C458" s="137"/>
      <c r="D458" s="28"/>
      <c r="E458" s="28"/>
      <c r="F458" s="28"/>
      <c r="G458" s="28"/>
      <c r="H458" s="28"/>
      <c r="I458" s="28"/>
      <c r="J458" s="28"/>
      <c r="K458" s="28"/>
      <c r="L458" s="28"/>
      <c r="M458" s="28"/>
      <c r="N458" s="28"/>
      <c r="O458" s="28"/>
      <c r="P458" s="3"/>
    </row>
    <row r="459" spans="1:16" ht="15.75" customHeight="1" x14ac:dyDescent="0.3">
      <c r="A459" s="3"/>
      <c r="B459" s="3"/>
      <c r="C459" s="137"/>
      <c r="D459" s="28"/>
      <c r="E459" s="28"/>
      <c r="F459" s="28"/>
      <c r="G459" s="28"/>
      <c r="H459" s="28"/>
      <c r="I459" s="28"/>
      <c r="J459" s="28"/>
      <c r="K459" s="28"/>
      <c r="L459" s="28"/>
      <c r="M459" s="28"/>
      <c r="N459" s="28"/>
      <c r="O459" s="28"/>
      <c r="P459" s="3"/>
    </row>
    <row r="460" spans="1:16" ht="15.75" customHeight="1" x14ac:dyDescent="0.3">
      <c r="A460" s="3"/>
      <c r="B460" s="3"/>
      <c r="C460" s="137"/>
      <c r="D460" s="28"/>
      <c r="E460" s="28"/>
      <c r="F460" s="28"/>
      <c r="G460" s="28"/>
      <c r="H460" s="28"/>
      <c r="I460" s="28"/>
      <c r="J460" s="28"/>
      <c r="K460" s="28"/>
      <c r="L460" s="28"/>
      <c r="M460" s="28"/>
      <c r="N460" s="28"/>
      <c r="O460" s="28"/>
      <c r="P460" s="3"/>
    </row>
    <row r="461" spans="1:16" ht="15.75" customHeight="1" x14ac:dyDescent="0.3">
      <c r="A461" s="3"/>
      <c r="B461" s="3"/>
      <c r="C461" s="137"/>
      <c r="D461" s="28"/>
      <c r="E461" s="28"/>
      <c r="F461" s="28"/>
      <c r="G461" s="28"/>
      <c r="H461" s="28"/>
      <c r="I461" s="28"/>
      <c r="J461" s="28"/>
      <c r="K461" s="28"/>
      <c r="L461" s="28"/>
      <c r="M461" s="28"/>
      <c r="N461" s="28"/>
      <c r="O461" s="28"/>
      <c r="P461" s="3"/>
    </row>
    <row r="462" spans="1:16" ht="15.75" customHeight="1" x14ac:dyDescent="0.3">
      <c r="A462" s="3"/>
      <c r="B462" s="3"/>
      <c r="C462" s="137"/>
      <c r="D462" s="28"/>
      <c r="E462" s="28"/>
      <c r="F462" s="28"/>
      <c r="G462" s="28"/>
      <c r="H462" s="28"/>
      <c r="I462" s="28"/>
      <c r="J462" s="28"/>
      <c r="K462" s="28"/>
      <c r="L462" s="28"/>
      <c r="M462" s="28"/>
      <c r="N462" s="28"/>
      <c r="O462" s="28"/>
      <c r="P462" s="3"/>
    </row>
    <row r="463" spans="1:16" ht="15.75" customHeight="1" x14ac:dyDescent="0.3">
      <c r="A463" s="3"/>
      <c r="B463" s="3"/>
      <c r="C463" s="137"/>
      <c r="D463" s="28"/>
      <c r="E463" s="28"/>
      <c r="F463" s="28"/>
      <c r="G463" s="28"/>
      <c r="H463" s="28"/>
      <c r="I463" s="28"/>
      <c r="J463" s="28"/>
      <c r="K463" s="28"/>
      <c r="L463" s="28"/>
      <c r="M463" s="28"/>
      <c r="N463" s="28"/>
      <c r="O463" s="28"/>
      <c r="P463" s="3"/>
    </row>
    <row r="464" spans="1:16" ht="15.75" customHeight="1" x14ac:dyDescent="0.3">
      <c r="A464" s="3"/>
      <c r="B464" s="3"/>
      <c r="C464" s="137"/>
      <c r="D464" s="28"/>
      <c r="E464" s="28"/>
      <c r="F464" s="28"/>
      <c r="G464" s="28"/>
      <c r="H464" s="28"/>
      <c r="I464" s="28"/>
      <c r="J464" s="28"/>
      <c r="K464" s="28"/>
      <c r="L464" s="28"/>
      <c r="M464" s="28"/>
      <c r="N464" s="28"/>
      <c r="O464" s="28"/>
      <c r="P464" s="3"/>
    </row>
    <row r="465" spans="1:16" ht="15.75" customHeight="1" x14ac:dyDescent="0.3">
      <c r="A465" s="3"/>
      <c r="B465" s="3"/>
      <c r="C465" s="137"/>
      <c r="D465" s="28"/>
      <c r="E465" s="28"/>
      <c r="F465" s="28"/>
      <c r="G465" s="28"/>
      <c r="H465" s="28"/>
      <c r="I465" s="28"/>
      <c r="J465" s="28"/>
      <c r="K465" s="28"/>
      <c r="L465" s="28"/>
      <c r="M465" s="28"/>
      <c r="N465" s="28"/>
      <c r="O465" s="28"/>
      <c r="P465" s="3"/>
    </row>
    <row r="466" spans="1:16" ht="15.75" customHeight="1" x14ac:dyDescent="0.3">
      <c r="A466" s="3"/>
      <c r="B466" s="3"/>
      <c r="C466" s="137"/>
      <c r="D466" s="28"/>
      <c r="E466" s="28"/>
      <c r="F466" s="28"/>
      <c r="G466" s="28"/>
      <c r="H466" s="28"/>
      <c r="I466" s="28"/>
      <c r="J466" s="28"/>
      <c r="K466" s="28"/>
      <c r="L466" s="28"/>
      <c r="M466" s="28"/>
      <c r="N466" s="28"/>
      <c r="O466" s="28"/>
      <c r="P466" s="3"/>
    </row>
    <row r="467" spans="1:16" ht="15.75" customHeight="1" x14ac:dyDescent="0.3">
      <c r="A467" s="3"/>
      <c r="B467" s="3"/>
      <c r="C467" s="137"/>
      <c r="D467" s="28"/>
      <c r="E467" s="28"/>
      <c r="F467" s="28"/>
      <c r="G467" s="28"/>
      <c r="H467" s="28"/>
      <c r="I467" s="28"/>
      <c r="J467" s="28"/>
      <c r="K467" s="28"/>
      <c r="L467" s="28"/>
      <c r="M467" s="28"/>
      <c r="N467" s="28"/>
      <c r="O467" s="28"/>
      <c r="P467" s="3"/>
    </row>
    <row r="468" spans="1:16" ht="15.75" customHeight="1" x14ac:dyDescent="0.3">
      <c r="A468" s="3"/>
      <c r="B468" s="3"/>
      <c r="C468" s="137"/>
      <c r="D468" s="28"/>
      <c r="E468" s="28"/>
      <c r="F468" s="28"/>
      <c r="G468" s="28"/>
      <c r="H468" s="28"/>
      <c r="I468" s="28"/>
      <c r="J468" s="28"/>
      <c r="K468" s="28"/>
      <c r="L468" s="28"/>
      <c r="M468" s="28"/>
      <c r="N468" s="28"/>
      <c r="O468" s="28"/>
      <c r="P468" s="3"/>
    </row>
    <row r="469" spans="1:16" ht="15.75" customHeight="1" x14ac:dyDescent="0.3">
      <c r="A469" s="3"/>
      <c r="B469" s="3"/>
      <c r="C469" s="137"/>
      <c r="D469" s="28"/>
      <c r="E469" s="28"/>
      <c r="F469" s="28"/>
      <c r="G469" s="28"/>
      <c r="H469" s="28"/>
      <c r="I469" s="28"/>
      <c r="J469" s="28"/>
      <c r="K469" s="28"/>
      <c r="L469" s="28"/>
      <c r="M469" s="28"/>
      <c r="N469" s="28"/>
      <c r="O469" s="28"/>
      <c r="P469" s="3"/>
    </row>
    <row r="470" spans="1:16" ht="15.75" customHeight="1" x14ac:dyDescent="0.3">
      <c r="A470" s="3"/>
      <c r="B470" s="3"/>
      <c r="C470" s="137"/>
      <c r="D470" s="28"/>
      <c r="E470" s="28"/>
      <c r="F470" s="28"/>
      <c r="G470" s="28"/>
      <c r="H470" s="28"/>
      <c r="I470" s="28"/>
      <c r="J470" s="28"/>
      <c r="K470" s="28"/>
      <c r="L470" s="28"/>
      <c r="M470" s="28"/>
      <c r="N470" s="28"/>
      <c r="O470" s="28"/>
      <c r="P470" s="3"/>
    </row>
    <row r="471" spans="1:16" ht="15.75" customHeight="1" x14ac:dyDescent="0.3">
      <c r="A471" s="3"/>
      <c r="B471" s="3"/>
      <c r="C471" s="137"/>
      <c r="D471" s="28"/>
      <c r="E471" s="28"/>
      <c r="F471" s="28"/>
      <c r="G471" s="28"/>
      <c r="H471" s="28"/>
      <c r="I471" s="28"/>
      <c r="J471" s="28"/>
      <c r="K471" s="28"/>
      <c r="L471" s="28"/>
      <c r="M471" s="28"/>
      <c r="N471" s="28"/>
      <c r="O471" s="28"/>
      <c r="P471" s="3"/>
    </row>
    <row r="472" spans="1:16" ht="15.75" customHeight="1" x14ac:dyDescent="0.3">
      <c r="A472" s="3"/>
      <c r="B472" s="3"/>
      <c r="C472" s="137"/>
      <c r="D472" s="28"/>
      <c r="E472" s="28"/>
      <c r="F472" s="28"/>
      <c r="G472" s="28"/>
      <c r="H472" s="28"/>
      <c r="I472" s="28"/>
      <c r="J472" s="28"/>
      <c r="K472" s="28"/>
      <c r="L472" s="28"/>
      <c r="M472" s="28"/>
      <c r="N472" s="28"/>
      <c r="O472" s="28"/>
      <c r="P472" s="3"/>
    </row>
    <row r="473" spans="1:16" ht="15.75" customHeight="1" x14ac:dyDescent="0.3">
      <c r="A473" s="3"/>
      <c r="B473" s="3"/>
      <c r="C473" s="137"/>
      <c r="D473" s="28"/>
      <c r="E473" s="28"/>
      <c r="F473" s="28"/>
      <c r="G473" s="28"/>
      <c r="H473" s="28"/>
      <c r="I473" s="28"/>
      <c r="J473" s="28"/>
      <c r="K473" s="28"/>
      <c r="L473" s="28"/>
      <c r="M473" s="28"/>
      <c r="N473" s="28"/>
      <c r="O473" s="28"/>
      <c r="P473" s="3"/>
    </row>
    <row r="474" spans="1:16" ht="15.75" customHeight="1" x14ac:dyDescent="0.3">
      <c r="A474" s="3"/>
      <c r="B474" s="3"/>
      <c r="C474" s="137"/>
      <c r="D474" s="28"/>
      <c r="E474" s="28"/>
      <c r="F474" s="28"/>
      <c r="G474" s="28"/>
      <c r="H474" s="28"/>
      <c r="I474" s="28"/>
      <c r="J474" s="28"/>
      <c r="K474" s="28"/>
      <c r="L474" s="28"/>
      <c r="M474" s="28"/>
      <c r="N474" s="28"/>
      <c r="O474" s="28"/>
      <c r="P474" s="3"/>
    </row>
    <row r="475" spans="1:16" ht="15.75" customHeight="1" x14ac:dyDescent="0.3">
      <c r="A475" s="3"/>
      <c r="B475" s="3"/>
      <c r="C475" s="137"/>
      <c r="D475" s="28"/>
      <c r="E475" s="28"/>
      <c r="F475" s="28"/>
      <c r="G475" s="28"/>
      <c r="H475" s="28"/>
      <c r="I475" s="28"/>
      <c r="J475" s="28"/>
      <c r="K475" s="28"/>
      <c r="L475" s="28"/>
      <c r="M475" s="28"/>
      <c r="N475" s="28"/>
      <c r="O475" s="28"/>
      <c r="P475" s="3"/>
    </row>
    <row r="476" spans="1:16" ht="15.75" customHeight="1" x14ac:dyDescent="0.3">
      <c r="A476" s="3"/>
      <c r="B476" s="3"/>
      <c r="C476" s="137"/>
      <c r="D476" s="28"/>
      <c r="E476" s="28"/>
      <c r="F476" s="28"/>
      <c r="G476" s="28"/>
      <c r="H476" s="28"/>
      <c r="I476" s="28"/>
      <c r="J476" s="28"/>
      <c r="K476" s="28"/>
      <c r="L476" s="28"/>
      <c r="M476" s="28"/>
      <c r="N476" s="28"/>
      <c r="O476" s="28"/>
      <c r="P476" s="3"/>
    </row>
    <row r="477" spans="1:16" ht="15.75" customHeight="1" x14ac:dyDescent="0.3">
      <c r="A477" s="3"/>
      <c r="B477" s="3"/>
      <c r="C477" s="137"/>
      <c r="D477" s="28"/>
      <c r="E477" s="28"/>
      <c r="F477" s="28"/>
      <c r="G477" s="28"/>
      <c r="H477" s="28"/>
      <c r="I477" s="28"/>
      <c r="J477" s="28"/>
      <c r="K477" s="28"/>
      <c r="L477" s="28"/>
      <c r="M477" s="28"/>
      <c r="N477" s="28"/>
      <c r="O477" s="28"/>
      <c r="P477" s="3"/>
    </row>
    <row r="478" spans="1:16" ht="15.75" customHeight="1" x14ac:dyDescent="0.3">
      <c r="A478" s="3"/>
      <c r="B478" s="3"/>
      <c r="C478" s="137"/>
      <c r="D478" s="28"/>
      <c r="E478" s="28"/>
      <c r="F478" s="28"/>
      <c r="G478" s="28"/>
      <c r="H478" s="28"/>
      <c r="I478" s="28"/>
      <c r="J478" s="28"/>
      <c r="K478" s="28"/>
      <c r="L478" s="28"/>
      <c r="M478" s="28"/>
      <c r="N478" s="28"/>
      <c r="O478" s="28"/>
      <c r="P478" s="3"/>
    </row>
    <row r="479" spans="1:16" ht="15.75" customHeight="1" x14ac:dyDescent="0.3">
      <c r="A479" s="3"/>
      <c r="B479" s="3"/>
      <c r="C479" s="137"/>
      <c r="D479" s="28"/>
      <c r="E479" s="28"/>
      <c r="F479" s="28"/>
      <c r="G479" s="28"/>
      <c r="H479" s="28"/>
      <c r="I479" s="28"/>
      <c r="J479" s="28"/>
      <c r="K479" s="28"/>
      <c r="L479" s="28"/>
      <c r="M479" s="28"/>
      <c r="N479" s="28"/>
      <c r="O479" s="28"/>
      <c r="P479" s="3"/>
    </row>
    <row r="480" spans="1:16" ht="15.75" customHeight="1" x14ac:dyDescent="0.3">
      <c r="A480" s="3"/>
      <c r="B480" s="3"/>
      <c r="C480" s="137"/>
      <c r="D480" s="28"/>
      <c r="E480" s="28"/>
      <c r="F480" s="28"/>
      <c r="G480" s="28"/>
      <c r="H480" s="28"/>
      <c r="I480" s="28"/>
      <c r="J480" s="28"/>
      <c r="K480" s="28"/>
      <c r="L480" s="28"/>
      <c r="M480" s="28"/>
      <c r="N480" s="28"/>
      <c r="O480" s="28"/>
      <c r="P480" s="3"/>
    </row>
    <row r="481" spans="1:16" ht="15.75" customHeight="1" x14ac:dyDescent="0.3">
      <c r="A481" s="3"/>
      <c r="B481" s="3"/>
      <c r="C481" s="137"/>
      <c r="D481" s="28"/>
      <c r="E481" s="28"/>
      <c r="F481" s="28"/>
      <c r="G481" s="28"/>
      <c r="H481" s="28"/>
      <c r="I481" s="28"/>
      <c r="J481" s="28"/>
      <c r="K481" s="28"/>
      <c r="L481" s="28"/>
      <c r="M481" s="28"/>
      <c r="N481" s="28"/>
      <c r="O481" s="28"/>
      <c r="P481" s="3"/>
    </row>
    <row r="482" spans="1:16" ht="15.75" customHeight="1" x14ac:dyDescent="0.3">
      <c r="A482" s="3"/>
      <c r="B482" s="3"/>
      <c r="C482" s="137"/>
      <c r="D482" s="28"/>
      <c r="E482" s="28"/>
      <c r="F482" s="28"/>
      <c r="G482" s="28"/>
      <c r="H482" s="28"/>
      <c r="I482" s="28"/>
      <c r="J482" s="28"/>
      <c r="K482" s="28"/>
      <c r="L482" s="28"/>
      <c r="M482" s="28"/>
      <c r="N482" s="28"/>
      <c r="O482" s="28"/>
      <c r="P482" s="3"/>
    </row>
    <row r="483" spans="1:16" ht="15.75" customHeight="1" x14ac:dyDescent="0.3">
      <c r="A483" s="3"/>
      <c r="B483" s="3"/>
      <c r="C483" s="137"/>
      <c r="D483" s="28"/>
      <c r="E483" s="28"/>
      <c r="F483" s="28"/>
      <c r="G483" s="28"/>
      <c r="H483" s="28"/>
      <c r="I483" s="28"/>
      <c r="J483" s="28"/>
      <c r="K483" s="28"/>
      <c r="L483" s="28"/>
      <c r="M483" s="28"/>
      <c r="N483" s="28"/>
      <c r="O483" s="28"/>
      <c r="P483" s="3"/>
    </row>
    <row r="484" spans="1:16" ht="15.75" customHeight="1" x14ac:dyDescent="0.3">
      <c r="A484" s="3"/>
      <c r="B484" s="3"/>
      <c r="C484" s="137"/>
      <c r="D484" s="28"/>
      <c r="E484" s="28"/>
      <c r="F484" s="28"/>
      <c r="G484" s="28"/>
      <c r="H484" s="28"/>
      <c r="I484" s="28"/>
      <c r="J484" s="28"/>
      <c r="K484" s="28"/>
      <c r="L484" s="28"/>
      <c r="M484" s="28"/>
      <c r="N484" s="28"/>
      <c r="O484" s="28"/>
      <c r="P484" s="3"/>
    </row>
    <row r="485" spans="1:16" ht="15.75" customHeight="1" x14ac:dyDescent="0.3">
      <c r="A485" s="3"/>
      <c r="B485" s="3"/>
      <c r="C485" s="137"/>
      <c r="D485" s="28"/>
      <c r="E485" s="28"/>
      <c r="F485" s="28"/>
      <c r="G485" s="28"/>
      <c r="H485" s="28"/>
      <c r="I485" s="28"/>
      <c r="J485" s="28"/>
      <c r="K485" s="28"/>
      <c r="L485" s="28"/>
      <c r="M485" s="28"/>
      <c r="N485" s="28"/>
      <c r="O485" s="28"/>
      <c r="P485" s="3"/>
    </row>
    <row r="486" spans="1:16" ht="15.75" customHeight="1" x14ac:dyDescent="0.3"/>
    <row r="487" spans="1:16" ht="15.75" customHeight="1" x14ac:dyDescent="0.3"/>
    <row r="488" spans="1:16" ht="15.75" customHeight="1" x14ac:dyDescent="0.3"/>
    <row r="489" spans="1:16" ht="15.75" customHeight="1" x14ac:dyDescent="0.3"/>
    <row r="490" spans="1:16" ht="15.75" customHeight="1" x14ac:dyDescent="0.3"/>
    <row r="491" spans="1:16" ht="15.75" customHeight="1" x14ac:dyDescent="0.3"/>
    <row r="492" spans="1:16" ht="15.75" customHeight="1" x14ac:dyDescent="0.3"/>
    <row r="493" spans="1:16" ht="15.75" customHeight="1" x14ac:dyDescent="0.3"/>
    <row r="494" spans="1:16" ht="15.75" customHeight="1" x14ac:dyDescent="0.3"/>
    <row r="495" spans="1:16" ht="15.75" customHeight="1" x14ac:dyDescent="0.3"/>
    <row r="496" spans="1:1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
    <mergeCell ref="C44:C45"/>
    <mergeCell ref="D44:O44"/>
    <mergeCell ref="B2:B3"/>
    <mergeCell ref="C2:F2"/>
    <mergeCell ref="C4:F4"/>
    <mergeCell ref="B20:B21"/>
    <mergeCell ref="C20:C21"/>
    <mergeCell ref="D20:O20"/>
    <mergeCell ref="B44:B45"/>
  </mergeCells>
  <conditionalFormatting sqref="C4">
    <cfRule type="cellIs" dxfId="21" priority="1" operator="greaterThan">
      <formula>0</formula>
    </cfRule>
    <cfRule type="cellIs" dxfId="20" priority="2" operator="lessThan">
      <formula>0</formula>
    </cfRule>
  </conditionalFormatting>
  <conditionalFormatting sqref="E5:F16">
    <cfRule type="cellIs" dxfId="19" priority="3" operator="greaterThan">
      <formula>0</formula>
    </cfRule>
    <cfRule type="cellIs" dxfId="18" priority="4" operator="lessThan">
      <formula>0</formula>
    </cfRule>
  </conditionalFormatting>
  <pageMargins left="0.511811024" right="0.511811024" top="0.78740157499999996" bottom="0.78740157499999996"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SUM(E6,E126,E152,E182,E186)</f>
        <v>16914.009999999998</v>
      </c>
      <c r="F4" s="18">
        <f t="shared" si="0"/>
        <v>46977.33</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SUM(E7:E125)</f>
        <v>16914.009999999998</v>
      </c>
      <c r="F6" s="48">
        <f>SUMIF(D7:D125,"OK",F7:F125)+SUMIF(D7:D125,"Parcial",F7:F125)</f>
        <v>18103.919999999998</v>
      </c>
      <c r="G6" s="107" t="s">
        <v>44</v>
      </c>
      <c r="H6" s="50"/>
      <c r="I6" s="50"/>
      <c r="J6" s="51">
        <f>(COUNTIF(D7:D125,"Pendente")+COUNTIF(D7:D125,"Parcial"))/COUNTA(B7:B125)</f>
        <v>0.14285714285714285</v>
      </c>
      <c r="K6" s="51">
        <f>IFERROR(-(X6/E6),"Pendente info")</f>
        <v>0.11254930084586684</v>
      </c>
      <c r="L6" s="91">
        <f>SUM(L7:L104)/COUNTA(B7:B104)</f>
        <v>0.23469387755102042</v>
      </c>
      <c r="M6" s="48">
        <f t="shared" ref="M6:U6" si="1">SUMIF($D$7:$D$125,"OK",M7:M125)+SUMIF($D$7:$D$125,"Parcial",M7:M125)</f>
        <v>9606.9600000000009</v>
      </c>
      <c r="N6" s="48">
        <f t="shared" si="1"/>
        <v>2506.1400000000012</v>
      </c>
      <c r="O6" s="48">
        <f t="shared" si="1"/>
        <v>1224</v>
      </c>
      <c r="P6" s="48">
        <f t="shared" si="1"/>
        <v>212.31999999999994</v>
      </c>
      <c r="Q6" s="48">
        <f t="shared" si="1"/>
        <v>195</v>
      </c>
      <c r="R6" s="48">
        <f t="shared" si="1"/>
        <v>195</v>
      </c>
      <c r="S6" s="48">
        <f t="shared" si="1"/>
        <v>307</v>
      </c>
      <c r="T6" s="48">
        <f t="shared" si="1"/>
        <v>740</v>
      </c>
      <c r="U6" s="48">
        <f t="shared" si="1"/>
        <v>3117.5</v>
      </c>
      <c r="V6" s="47" t="s">
        <v>44</v>
      </c>
      <c r="W6" s="35" t="str">
        <f t="shared" ref="W6:W125" si="2">IF(F6=SUM(M6:U6),"OK","Diferente")</f>
        <v>OK</v>
      </c>
      <c r="X6" s="38">
        <f>SUM(X7:X125)</f>
        <v>-1903.66</v>
      </c>
      <c r="Y6" s="14">
        <f>SUM(M6:U6)-F6</f>
        <v>0</v>
      </c>
      <c r="Z6" s="3"/>
    </row>
    <row r="7" spans="1:26" ht="14.4" hidden="1" outlineLevel="1" x14ac:dyDescent="0.3">
      <c r="A7" s="3"/>
      <c r="B7" s="139" t="s">
        <v>423</v>
      </c>
      <c r="C7" s="53"/>
      <c r="D7" s="53" t="s">
        <v>95</v>
      </c>
      <c r="E7" s="11">
        <f t="shared" ref="E7:E12" si="3">SUM(M7:U7)</f>
        <v>0</v>
      </c>
      <c r="F7" s="92"/>
      <c r="G7" s="58"/>
      <c r="H7" s="54"/>
      <c r="I7" s="54"/>
      <c r="J7" s="55"/>
      <c r="K7" s="53"/>
      <c r="L7" s="53" t="str">
        <f t="shared" ref="L7:L125" si="4">IF(C7&gt;=13,1,"")</f>
        <v/>
      </c>
      <c r="M7" s="11"/>
      <c r="N7" s="11"/>
      <c r="O7" s="11"/>
      <c r="P7" s="11"/>
      <c r="Q7" s="11"/>
      <c r="R7" s="11"/>
      <c r="S7" s="11"/>
      <c r="T7" s="11"/>
      <c r="U7" s="11"/>
      <c r="V7" s="56" t="s">
        <v>1298</v>
      </c>
      <c r="W7" s="35" t="str">
        <f t="shared" si="2"/>
        <v>OK</v>
      </c>
      <c r="X7" s="38" t="str">
        <f t="shared" ref="X7:X125" si="5">IF(W7="Diferente",F7-SUM(M7:U7),"")</f>
        <v/>
      </c>
      <c r="Y7" s="3"/>
      <c r="Z7" s="116"/>
    </row>
    <row r="8" spans="1:26" ht="14.4" hidden="1" outlineLevel="1" x14ac:dyDescent="0.3">
      <c r="A8" s="3"/>
      <c r="B8" s="139" t="s">
        <v>425</v>
      </c>
      <c r="C8" s="53"/>
      <c r="D8" s="53" t="s">
        <v>95</v>
      </c>
      <c r="E8" s="11">
        <f t="shared" si="3"/>
        <v>0</v>
      </c>
      <c r="F8" s="92"/>
      <c r="G8" s="58"/>
      <c r="H8" s="54"/>
      <c r="I8" s="54"/>
      <c r="J8" s="55"/>
      <c r="K8" s="53"/>
      <c r="L8" s="53" t="str">
        <f t="shared" si="4"/>
        <v/>
      </c>
      <c r="M8" s="11"/>
      <c r="N8" s="11"/>
      <c r="O8" s="11"/>
      <c r="P8" s="11"/>
      <c r="Q8" s="11"/>
      <c r="R8" s="11"/>
      <c r="S8" s="11"/>
      <c r="T8" s="11"/>
      <c r="U8" s="11"/>
      <c r="V8" s="56" t="s">
        <v>1298</v>
      </c>
      <c r="W8" s="35" t="str">
        <f t="shared" si="2"/>
        <v>OK</v>
      </c>
      <c r="X8" s="38" t="str">
        <f t="shared" si="5"/>
        <v/>
      </c>
      <c r="Y8" s="3"/>
      <c r="Z8" s="116"/>
    </row>
    <row r="9" spans="1:26" ht="14.4" hidden="1" outlineLevel="1" x14ac:dyDescent="0.3">
      <c r="A9" s="3"/>
      <c r="B9" s="139" t="s">
        <v>426</v>
      </c>
      <c r="C9" s="53"/>
      <c r="D9" s="53" t="s">
        <v>95</v>
      </c>
      <c r="E9" s="11">
        <f t="shared" si="3"/>
        <v>0</v>
      </c>
      <c r="F9" s="92"/>
      <c r="G9" s="58"/>
      <c r="H9" s="54"/>
      <c r="I9" s="54"/>
      <c r="J9" s="55"/>
      <c r="K9" s="53"/>
      <c r="L9" s="53" t="str">
        <f t="shared" si="4"/>
        <v/>
      </c>
      <c r="M9" s="11"/>
      <c r="N9" s="11"/>
      <c r="O9" s="11"/>
      <c r="P9" s="11"/>
      <c r="Q9" s="11"/>
      <c r="R9" s="11"/>
      <c r="S9" s="11"/>
      <c r="T9" s="11"/>
      <c r="U9" s="11"/>
      <c r="V9" s="56" t="s">
        <v>1298</v>
      </c>
      <c r="W9" s="35" t="str">
        <f t="shared" si="2"/>
        <v>OK</v>
      </c>
      <c r="X9" s="38" t="str">
        <f t="shared" si="5"/>
        <v/>
      </c>
      <c r="Y9" s="3"/>
      <c r="Z9" s="116"/>
    </row>
    <row r="10" spans="1:26" ht="14.4" hidden="1" outlineLevel="1" x14ac:dyDescent="0.3">
      <c r="A10" s="3"/>
      <c r="B10" s="139" t="s">
        <v>427</v>
      </c>
      <c r="C10" s="53"/>
      <c r="D10" s="53" t="s">
        <v>95</v>
      </c>
      <c r="E10" s="11">
        <f t="shared" si="3"/>
        <v>0</v>
      </c>
      <c r="F10" s="92"/>
      <c r="G10" s="58"/>
      <c r="H10" s="54"/>
      <c r="I10" s="54"/>
      <c r="J10" s="55"/>
      <c r="K10" s="53"/>
      <c r="L10" s="53" t="str">
        <f t="shared" si="4"/>
        <v/>
      </c>
      <c r="M10" s="11"/>
      <c r="N10" s="11"/>
      <c r="O10" s="11"/>
      <c r="P10" s="11"/>
      <c r="Q10" s="11"/>
      <c r="R10" s="11"/>
      <c r="S10" s="11"/>
      <c r="T10" s="11"/>
      <c r="U10" s="11"/>
      <c r="V10" s="56" t="s">
        <v>1298</v>
      </c>
      <c r="W10" s="35" t="str">
        <f t="shared" si="2"/>
        <v>OK</v>
      </c>
      <c r="X10" s="38" t="str">
        <f t="shared" si="5"/>
        <v/>
      </c>
      <c r="Y10" s="3"/>
      <c r="Z10" s="116"/>
    </row>
    <row r="11" spans="1:26" ht="14.4" hidden="1" outlineLevel="1" x14ac:dyDescent="0.3">
      <c r="A11" s="3"/>
      <c r="B11" s="99" t="s">
        <v>428</v>
      </c>
      <c r="C11" s="53">
        <v>9</v>
      </c>
      <c r="D11" s="53" t="s">
        <v>95</v>
      </c>
      <c r="E11" s="11">
        <f t="shared" si="3"/>
        <v>247.43</v>
      </c>
      <c r="F11" s="92">
        <f t="shared" ref="F11:F12" si="6">E11</f>
        <v>247.43</v>
      </c>
      <c r="G11" s="58"/>
      <c r="H11" s="54" t="s">
        <v>37</v>
      </c>
      <c r="I11" s="54"/>
      <c r="J11" s="55"/>
      <c r="K11" s="53"/>
      <c r="L11" s="53" t="str">
        <f t="shared" si="4"/>
        <v/>
      </c>
      <c r="M11" s="11">
        <v>130</v>
      </c>
      <c r="N11" s="11">
        <v>24.57</v>
      </c>
      <c r="O11" s="11">
        <v>12</v>
      </c>
      <c r="P11" s="11">
        <v>3.86</v>
      </c>
      <c r="Q11" s="11">
        <v>5</v>
      </c>
      <c r="R11" s="11"/>
      <c r="S11" s="11"/>
      <c r="T11" s="11"/>
      <c r="U11" s="11">
        <v>72</v>
      </c>
      <c r="V11" s="56" t="s">
        <v>1299</v>
      </c>
      <c r="W11" s="35" t="str">
        <f t="shared" si="2"/>
        <v>OK</v>
      </c>
      <c r="X11" s="38" t="str">
        <f t="shared" si="5"/>
        <v/>
      </c>
      <c r="Y11" s="3"/>
      <c r="Z11" s="116"/>
    </row>
    <row r="12" spans="1:26" ht="14.4" hidden="1" outlineLevel="1" x14ac:dyDescent="0.3">
      <c r="A12" s="3"/>
      <c r="B12" s="99" t="s">
        <v>429</v>
      </c>
      <c r="C12" s="53">
        <v>9</v>
      </c>
      <c r="D12" s="53" t="s">
        <v>95</v>
      </c>
      <c r="E12" s="11">
        <f t="shared" si="3"/>
        <v>183.57</v>
      </c>
      <c r="F12" s="92">
        <f t="shared" si="6"/>
        <v>183.57</v>
      </c>
      <c r="G12" s="58"/>
      <c r="H12" s="54" t="s">
        <v>37</v>
      </c>
      <c r="I12" s="54"/>
      <c r="J12" s="55"/>
      <c r="K12" s="53"/>
      <c r="L12" s="53" t="str">
        <f t="shared" si="4"/>
        <v/>
      </c>
      <c r="M12" s="11">
        <v>130</v>
      </c>
      <c r="N12" s="11">
        <v>24.57</v>
      </c>
      <c r="O12" s="11">
        <v>12</v>
      </c>
      <c r="P12" s="11">
        <v>2</v>
      </c>
      <c r="Q12" s="11"/>
      <c r="R12" s="11"/>
      <c r="S12" s="11"/>
      <c r="T12" s="11"/>
      <c r="U12" s="11">
        <v>15</v>
      </c>
      <c r="V12" s="56" t="s">
        <v>1298</v>
      </c>
      <c r="W12" s="35" t="str">
        <f t="shared" si="2"/>
        <v>OK</v>
      </c>
      <c r="X12" s="38" t="str">
        <f t="shared" si="5"/>
        <v/>
      </c>
      <c r="Y12" s="3"/>
      <c r="Z12" s="116"/>
    </row>
    <row r="13" spans="1:26" ht="14.4" hidden="1" outlineLevel="1" x14ac:dyDescent="0.3">
      <c r="A13" s="3"/>
      <c r="B13" s="139" t="s">
        <v>430</v>
      </c>
      <c r="C13" s="53">
        <v>21</v>
      </c>
      <c r="D13" s="53" t="s">
        <v>95</v>
      </c>
      <c r="E13" s="11">
        <v>313.49</v>
      </c>
      <c r="F13" s="92">
        <f t="shared" ref="F13:F14" si="7">SUM(M13:U13)</f>
        <v>641.98</v>
      </c>
      <c r="G13" s="58"/>
      <c r="H13" s="54" t="s">
        <v>37</v>
      </c>
      <c r="I13" s="54"/>
      <c r="J13" s="55"/>
      <c r="K13" s="53"/>
      <c r="L13" s="53">
        <f t="shared" si="4"/>
        <v>1</v>
      </c>
      <c r="M13" s="11">
        <f>130.48*2</f>
        <v>260.95999999999998</v>
      </c>
      <c r="N13" s="11">
        <f t="shared" ref="N13:N14" si="8">24.57*2</f>
        <v>49.14</v>
      </c>
      <c r="O13" s="11">
        <f t="shared" ref="O13:O14" si="9">12*2</f>
        <v>24</v>
      </c>
      <c r="P13" s="11">
        <f t="shared" ref="P13:P14" si="10">1.44*2</f>
        <v>2.88</v>
      </c>
      <c r="Q13" s="11">
        <f>10*2</f>
        <v>20</v>
      </c>
      <c r="R13" s="11">
        <f>20*2</f>
        <v>40</v>
      </c>
      <c r="S13" s="11">
        <f t="shared" ref="S13:T13" si="11">50*2</f>
        <v>100</v>
      </c>
      <c r="T13" s="11">
        <f t="shared" si="11"/>
        <v>100</v>
      </c>
      <c r="U13" s="11">
        <f t="shared" ref="U13:U14" si="12">15*3</f>
        <v>45</v>
      </c>
      <c r="V13" s="56" t="s">
        <v>1298</v>
      </c>
      <c r="W13" s="35" t="str">
        <f t="shared" si="2"/>
        <v>OK</v>
      </c>
      <c r="X13" s="38" t="str">
        <f t="shared" si="5"/>
        <v/>
      </c>
      <c r="Y13" s="3"/>
      <c r="Z13" s="116"/>
    </row>
    <row r="14" spans="1:26" ht="14.4" hidden="1" outlineLevel="1" x14ac:dyDescent="0.3">
      <c r="A14" s="3"/>
      <c r="B14" s="139" t="s">
        <v>432</v>
      </c>
      <c r="C14" s="53">
        <v>21</v>
      </c>
      <c r="D14" s="53" t="s">
        <v>95</v>
      </c>
      <c r="E14" s="11">
        <v>206.29</v>
      </c>
      <c r="F14" s="92">
        <f t="shared" si="7"/>
        <v>427.58</v>
      </c>
      <c r="G14" s="58"/>
      <c r="H14" s="54" t="s">
        <v>37</v>
      </c>
      <c r="I14" s="54"/>
      <c r="J14" s="55"/>
      <c r="K14" s="53"/>
      <c r="L14" s="53">
        <f t="shared" si="4"/>
        <v>1</v>
      </c>
      <c r="M14" s="11">
        <f>98.28*2</f>
        <v>196.56</v>
      </c>
      <c r="N14" s="11">
        <f t="shared" si="8"/>
        <v>49.14</v>
      </c>
      <c r="O14" s="11">
        <f t="shared" si="9"/>
        <v>24</v>
      </c>
      <c r="P14" s="11">
        <f t="shared" si="10"/>
        <v>2.88</v>
      </c>
      <c r="Q14" s="11">
        <f>5*2</f>
        <v>10</v>
      </c>
      <c r="R14" s="11"/>
      <c r="S14" s="11"/>
      <c r="T14" s="11">
        <f>50*2</f>
        <v>100</v>
      </c>
      <c r="U14" s="11">
        <f t="shared" si="12"/>
        <v>45</v>
      </c>
      <c r="V14" s="56" t="s">
        <v>1298</v>
      </c>
      <c r="W14" s="35" t="str">
        <f t="shared" si="2"/>
        <v>OK</v>
      </c>
      <c r="X14" s="38" t="str">
        <f t="shared" si="5"/>
        <v/>
      </c>
      <c r="Y14" s="3"/>
      <c r="Z14" s="116"/>
    </row>
    <row r="15" spans="1:26" ht="14.4" hidden="1" outlineLevel="1" x14ac:dyDescent="0.3">
      <c r="A15" s="3"/>
      <c r="B15" s="99" t="s">
        <v>433</v>
      </c>
      <c r="C15" s="53">
        <v>6</v>
      </c>
      <c r="D15" s="53" t="s">
        <v>95</v>
      </c>
      <c r="E15" s="11">
        <f t="shared" ref="E15:E20" si="13">SUM(M15:U15)</f>
        <v>183.5</v>
      </c>
      <c r="F15" s="92">
        <f t="shared" ref="F15:F20" si="14">E15</f>
        <v>183.5</v>
      </c>
      <c r="G15" s="58"/>
      <c r="H15" s="54" t="s">
        <v>37</v>
      </c>
      <c r="I15" s="54"/>
      <c r="J15" s="55"/>
      <c r="K15" s="53"/>
      <c r="L15" s="53" t="str">
        <f t="shared" si="4"/>
        <v/>
      </c>
      <c r="M15" s="11">
        <v>61.99</v>
      </c>
      <c r="N15" s="11">
        <v>24.57</v>
      </c>
      <c r="O15" s="11">
        <v>12</v>
      </c>
      <c r="P15" s="11">
        <v>1.44</v>
      </c>
      <c r="Q15" s="11">
        <v>0</v>
      </c>
      <c r="R15" s="11">
        <v>0</v>
      </c>
      <c r="S15" s="11">
        <v>0</v>
      </c>
      <c r="T15" s="11"/>
      <c r="U15" s="11">
        <v>83.5</v>
      </c>
      <c r="V15" s="56" t="s">
        <v>1300</v>
      </c>
      <c r="W15" s="35" t="str">
        <f t="shared" si="2"/>
        <v>OK</v>
      </c>
      <c r="X15" s="38" t="str">
        <f t="shared" si="5"/>
        <v/>
      </c>
      <c r="Y15" s="3"/>
      <c r="Z15" s="116"/>
    </row>
    <row r="16" spans="1:26" ht="14.4" hidden="1" outlineLevel="1" x14ac:dyDescent="0.3">
      <c r="A16" s="3"/>
      <c r="B16" s="99" t="s">
        <v>434</v>
      </c>
      <c r="C16" s="53">
        <v>6</v>
      </c>
      <c r="D16" s="53" t="s">
        <v>95</v>
      </c>
      <c r="E16" s="11">
        <f t="shared" si="13"/>
        <v>115</v>
      </c>
      <c r="F16" s="92">
        <f t="shared" si="14"/>
        <v>115</v>
      </c>
      <c r="G16" s="58"/>
      <c r="H16" s="54" t="s">
        <v>37</v>
      </c>
      <c r="I16" s="54"/>
      <c r="J16" s="55"/>
      <c r="K16" s="53"/>
      <c r="L16" s="53" t="str">
        <f t="shared" si="4"/>
        <v/>
      </c>
      <c r="M16" s="11">
        <v>61.99</v>
      </c>
      <c r="N16" s="11">
        <v>24.57</v>
      </c>
      <c r="O16" s="11">
        <v>12</v>
      </c>
      <c r="P16" s="11">
        <v>1.44</v>
      </c>
      <c r="Q16" s="11">
        <v>0</v>
      </c>
      <c r="R16" s="11">
        <v>0</v>
      </c>
      <c r="S16" s="11"/>
      <c r="T16" s="11"/>
      <c r="U16" s="11">
        <v>15</v>
      </c>
      <c r="V16" s="56" t="s">
        <v>1298</v>
      </c>
      <c r="W16" s="35" t="str">
        <f t="shared" si="2"/>
        <v>OK</v>
      </c>
      <c r="X16" s="38" t="str">
        <f t="shared" si="5"/>
        <v/>
      </c>
      <c r="Y16" s="3"/>
      <c r="Z16" s="116"/>
    </row>
    <row r="17" spans="1:26" ht="14.4" hidden="1" outlineLevel="1" x14ac:dyDescent="0.3">
      <c r="A17" s="3"/>
      <c r="B17" s="139" t="s">
        <v>435</v>
      </c>
      <c r="C17" s="53">
        <v>5</v>
      </c>
      <c r="D17" s="53" t="s">
        <v>95</v>
      </c>
      <c r="E17" s="11">
        <f t="shared" si="13"/>
        <v>371.19</v>
      </c>
      <c r="F17" s="92">
        <f t="shared" si="14"/>
        <v>371.19</v>
      </c>
      <c r="G17" s="58"/>
      <c r="H17" s="54" t="s">
        <v>37</v>
      </c>
      <c r="I17" s="54"/>
      <c r="J17" s="55"/>
      <c r="K17" s="53"/>
      <c r="L17" s="53" t="str">
        <f t="shared" si="4"/>
        <v/>
      </c>
      <c r="M17" s="11">
        <v>191.18</v>
      </c>
      <c r="N17" s="11">
        <v>24.57</v>
      </c>
      <c r="O17" s="11">
        <v>12</v>
      </c>
      <c r="P17" s="11">
        <v>1.44</v>
      </c>
      <c r="Q17" s="11">
        <v>5</v>
      </c>
      <c r="R17" s="11"/>
      <c r="S17" s="11"/>
      <c r="T17" s="11"/>
      <c r="U17" s="11">
        <v>137</v>
      </c>
      <c r="V17" s="56" t="s">
        <v>1301</v>
      </c>
      <c r="W17" s="35" t="str">
        <f t="shared" si="2"/>
        <v>OK</v>
      </c>
      <c r="X17" s="38" t="str">
        <f t="shared" si="5"/>
        <v/>
      </c>
      <c r="Y17" s="3"/>
      <c r="Z17" s="116"/>
    </row>
    <row r="18" spans="1:26" ht="14.4" hidden="1" outlineLevel="1" x14ac:dyDescent="0.3">
      <c r="A18" s="3"/>
      <c r="B18" s="139" t="s">
        <v>436</v>
      </c>
      <c r="C18" s="53">
        <v>5</v>
      </c>
      <c r="D18" s="53" t="s">
        <v>95</v>
      </c>
      <c r="E18" s="11">
        <f t="shared" si="13"/>
        <v>188.98999999999998</v>
      </c>
      <c r="F18" s="92">
        <f t="shared" si="14"/>
        <v>188.98999999999998</v>
      </c>
      <c r="G18" s="58"/>
      <c r="H18" s="54" t="s">
        <v>37</v>
      </c>
      <c r="I18" s="54"/>
      <c r="J18" s="55"/>
      <c r="K18" s="53"/>
      <c r="L18" s="53" t="str">
        <f t="shared" si="4"/>
        <v/>
      </c>
      <c r="M18" s="11">
        <v>135.97999999999999</v>
      </c>
      <c r="N18" s="11">
        <v>24.57</v>
      </c>
      <c r="O18" s="11">
        <v>12</v>
      </c>
      <c r="P18" s="11">
        <v>1.44</v>
      </c>
      <c r="Q18" s="11"/>
      <c r="R18" s="11"/>
      <c r="S18" s="11"/>
      <c r="T18" s="11"/>
      <c r="U18" s="11">
        <v>15</v>
      </c>
      <c r="V18" s="56" t="s">
        <v>1298</v>
      </c>
      <c r="W18" s="35" t="str">
        <f t="shared" si="2"/>
        <v>OK</v>
      </c>
      <c r="X18" s="38" t="str">
        <f t="shared" si="5"/>
        <v/>
      </c>
      <c r="Y18" s="3"/>
      <c r="Z18" s="116"/>
    </row>
    <row r="19" spans="1:26" ht="14.4" hidden="1" outlineLevel="1" x14ac:dyDescent="0.3">
      <c r="A19" s="3"/>
      <c r="B19" s="99" t="s">
        <v>437</v>
      </c>
      <c r="C19" s="53">
        <v>3</v>
      </c>
      <c r="D19" s="53" t="s">
        <v>95</v>
      </c>
      <c r="E19" s="11">
        <f t="shared" si="13"/>
        <v>456.28999999999996</v>
      </c>
      <c r="F19" s="92">
        <f t="shared" si="14"/>
        <v>456.28999999999996</v>
      </c>
      <c r="G19" s="58"/>
      <c r="H19" s="54" t="s">
        <v>37</v>
      </c>
      <c r="I19" s="54"/>
      <c r="J19" s="55"/>
      <c r="K19" s="53"/>
      <c r="L19" s="53" t="str">
        <f t="shared" si="4"/>
        <v/>
      </c>
      <c r="M19" s="11">
        <v>328.28</v>
      </c>
      <c r="N19" s="11">
        <v>24.57</v>
      </c>
      <c r="O19" s="11">
        <v>12</v>
      </c>
      <c r="P19" s="11">
        <v>11.44</v>
      </c>
      <c r="Q19" s="11">
        <v>5</v>
      </c>
      <c r="R19" s="11">
        <v>10</v>
      </c>
      <c r="S19" s="11"/>
      <c r="T19" s="11">
        <v>50</v>
      </c>
      <c r="U19" s="11">
        <v>15</v>
      </c>
      <c r="V19" s="56" t="s">
        <v>1298</v>
      </c>
      <c r="W19" s="35" t="str">
        <f t="shared" si="2"/>
        <v>OK</v>
      </c>
      <c r="X19" s="38" t="str">
        <f t="shared" si="5"/>
        <v/>
      </c>
      <c r="Y19" s="3"/>
      <c r="Z19" s="116"/>
    </row>
    <row r="20" spans="1:26" ht="14.4" hidden="1" outlineLevel="1" x14ac:dyDescent="0.3">
      <c r="A20" s="3"/>
      <c r="B20" s="99" t="s">
        <v>438</v>
      </c>
      <c r="C20" s="53">
        <v>3</v>
      </c>
      <c r="D20" s="53" t="s">
        <v>95</v>
      </c>
      <c r="E20" s="11">
        <f t="shared" si="13"/>
        <v>446.28999999999996</v>
      </c>
      <c r="F20" s="92">
        <f t="shared" si="14"/>
        <v>446.28999999999996</v>
      </c>
      <c r="G20" s="58"/>
      <c r="H20" s="54" t="s">
        <v>37</v>
      </c>
      <c r="I20" s="54"/>
      <c r="J20" s="55"/>
      <c r="K20" s="53"/>
      <c r="L20" s="53" t="str">
        <f t="shared" si="4"/>
        <v/>
      </c>
      <c r="M20" s="11">
        <v>328.28</v>
      </c>
      <c r="N20" s="11">
        <v>24.57</v>
      </c>
      <c r="O20" s="11">
        <v>12</v>
      </c>
      <c r="P20" s="11">
        <v>1.44</v>
      </c>
      <c r="Q20" s="11">
        <v>5</v>
      </c>
      <c r="R20" s="11">
        <v>10</v>
      </c>
      <c r="S20" s="11"/>
      <c r="T20" s="11">
        <v>50</v>
      </c>
      <c r="U20" s="11">
        <v>15</v>
      </c>
      <c r="V20" s="56" t="s">
        <v>1298</v>
      </c>
      <c r="W20" s="35" t="str">
        <f t="shared" si="2"/>
        <v>OK</v>
      </c>
      <c r="X20" s="38" t="str">
        <f t="shared" si="5"/>
        <v/>
      </c>
      <c r="Y20" s="3"/>
      <c r="Z20" s="116"/>
    </row>
    <row r="21" spans="1:26" ht="14.4" hidden="1" outlineLevel="1" x14ac:dyDescent="0.3">
      <c r="A21" s="3"/>
      <c r="B21" s="139" t="s">
        <v>439</v>
      </c>
      <c r="C21" s="53" t="s">
        <v>1302</v>
      </c>
      <c r="D21" s="53" t="s">
        <v>95</v>
      </c>
      <c r="E21" s="11">
        <v>270.99</v>
      </c>
      <c r="F21" s="92">
        <f t="shared" ref="F21:F22" si="15">SUM(M21:U21)</f>
        <v>514.98</v>
      </c>
      <c r="G21" s="58"/>
      <c r="H21" s="54" t="s">
        <v>37</v>
      </c>
      <c r="I21" s="54"/>
      <c r="J21" s="55"/>
      <c r="K21" s="53"/>
      <c r="L21" s="53">
        <f t="shared" si="4"/>
        <v>1</v>
      </c>
      <c r="M21" s="11">
        <f>120.98*2</f>
        <v>241.96</v>
      </c>
      <c r="N21" s="11">
        <f t="shared" ref="N21:N22" si="16">24.57*2</f>
        <v>49.14</v>
      </c>
      <c r="O21" s="11">
        <f t="shared" ref="O21:O22" si="17">12*2</f>
        <v>24</v>
      </c>
      <c r="P21" s="11">
        <v>2.88</v>
      </c>
      <c r="Q21" s="11">
        <v>10</v>
      </c>
      <c r="R21" s="11">
        <v>10</v>
      </c>
      <c r="S21" s="11"/>
      <c r="T21" s="11">
        <v>60</v>
      </c>
      <c r="U21" s="11">
        <f>72+27+18</f>
        <v>117</v>
      </c>
      <c r="V21" s="56" t="s">
        <v>1299</v>
      </c>
      <c r="W21" s="35" t="str">
        <f t="shared" si="2"/>
        <v>OK</v>
      </c>
      <c r="X21" s="38" t="str">
        <f t="shared" si="5"/>
        <v/>
      </c>
      <c r="Y21" s="3"/>
      <c r="Z21" s="116"/>
    </row>
    <row r="22" spans="1:26" ht="14.4" hidden="1" outlineLevel="1" x14ac:dyDescent="0.3">
      <c r="A22" s="3"/>
      <c r="B22" s="139" t="s">
        <v>440</v>
      </c>
      <c r="C22" s="53" t="s">
        <v>1302</v>
      </c>
      <c r="D22" s="53" t="s">
        <v>95</v>
      </c>
      <c r="E22" s="11">
        <v>190.59</v>
      </c>
      <c r="F22" s="92">
        <f t="shared" si="15"/>
        <v>381.18</v>
      </c>
      <c r="G22" s="58"/>
      <c r="H22" s="54" t="s">
        <v>37</v>
      </c>
      <c r="I22" s="54"/>
      <c r="J22" s="55"/>
      <c r="K22" s="53"/>
      <c r="L22" s="53">
        <f t="shared" si="4"/>
        <v>1</v>
      </c>
      <c r="M22" s="11">
        <f>102.58*2</f>
        <v>205.16</v>
      </c>
      <c r="N22" s="11">
        <f t="shared" si="16"/>
        <v>49.14</v>
      </c>
      <c r="O22" s="11">
        <f t="shared" si="17"/>
        <v>24</v>
      </c>
      <c r="P22" s="11">
        <v>2.88</v>
      </c>
      <c r="Q22" s="11">
        <v>10</v>
      </c>
      <c r="R22" s="11"/>
      <c r="S22" s="11"/>
      <c r="T22" s="11">
        <v>60</v>
      </c>
      <c r="U22" s="11">
        <v>30</v>
      </c>
      <c r="V22" s="56" t="s">
        <v>1298</v>
      </c>
      <c r="W22" s="35" t="str">
        <f t="shared" si="2"/>
        <v>OK</v>
      </c>
      <c r="X22" s="38" t="str">
        <f t="shared" si="5"/>
        <v/>
      </c>
      <c r="Y22" s="3"/>
      <c r="Z22" s="116"/>
    </row>
    <row r="23" spans="1:26" ht="14.4" hidden="1" outlineLevel="1" x14ac:dyDescent="0.3">
      <c r="A23" s="3"/>
      <c r="B23" s="99" t="s">
        <v>443</v>
      </c>
      <c r="C23" s="53"/>
      <c r="D23" s="53" t="s">
        <v>105</v>
      </c>
      <c r="E23" s="11">
        <f t="shared" ref="E23:E41" si="18">SUM(M23:U23)</f>
        <v>200</v>
      </c>
      <c r="F23" s="92"/>
      <c r="G23" s="58"/>
      <c r="H23" s="54"/>
      <c r="I23" s="54"/>
      <c r="J23" s="55"/>
      <c r="K23" s="11"/>
      <c r="L23" s="53" t="str">
        <f t="shared" si="4"/>
        <v/>
      </c>
      <c r="M23" s="11">
        <v>131.99</v>
      </c>
      <c r="N23" s="11">
        <v>24.57</v>
      </c>
      <c r="O23" s="11">
        <v>12</v>
      </c>
      <c r="P23" s="11">
        <v>6.44</v>
      </c>
      <c r="Q23" s="11"/>
      <c r="R23" s="11">
        <v>10</v>
      </c>
      <c r="S23" s="11"/>
      <c r="T23" s="11"/>
      <c r="U23" s="11">
        <v>15</v>
      </c>
      <c r="V23" s="56" t="s">
        <v>1298</v>
      </c>
      <c r="W23" s="35" t="str">
        <f t="shared" si="2"/>
        <v>Diferente</v>
      </c>
      <c r="X23" s="38">
        <f t="shared" si="5"/>
        <v>-200</v>
      </c>
      <c r="Y23" s="3"/>
      <c r="Z23" s="116"/>
    </row>
    <row r="24" spans="1:26" ht="14.4" hidden="1" outlineLevel="1" x14ac:dyDescent="0.3">
      <c r="A24" s="3"/>
      <c r="B24" s="99" t="s">
        <v>444</v>
      </c>
      <c r="C24" s="53">
        <v>11</v>
      </c>
      <c r="D24" s="53" t="s">
        <v>95</v>
      </c>
      <c r="E24" s="11">
        <f t="shared" si="18"/>
        <v>50</v>
      </c>
      <c r="F24" s="92">
        <f t="shared" ref="F24:F28" si="19">E24</f>
        <v>50</v>
      </c>
      <c r="G24" s="58"/>
      <c r="H24" s="54" t="s">
        <v>37</v>
      </c>
      <c r="I24" s="54"/>
      <c r="J24" s="55"/>
      <c r="K24" s="11"/>
      <c r="L24" s="53" t="str">
        <f t="shared" si="4"/>
        <v/>
      </c>
      <c r="M24" s="11">
        <v>11.43</v>
      </c>
      <c r="N24" s="11">
        <v>24.57</v>
      </c>
      <c r="O24" s="11">
        <v>12</v>
      </c>
      <c r="P24" s="11">
        <v>2</v>
      </c>
      <c r="Q24" s="11"/>
      <c r="R24" s="11"/>
      <c r="S24" s="11"/>
      <c r="T24" s="11"/>
      <c r="U24" s="11"/>
      <c r="V24" s="56"/>
      <c r="W24" s="35" t="str">
        <f t="shared" si="2"/>
        <v>OK</v>
      </c>
      <c r="X24" s="38" t="str">
        <f t="shared" si="5"/>
        <v/>
      </c>
      <c r="Y24" s="3"/>
      <c r="Z24" s="116"/>
    </row>
    <row r="25" spans="1:26" ht="14.4" hidden="1" outlineLevel="1" x14ac:dyDescent="0.3">
      <c r="A25" s="3"/>
      <c r="B25" s="139" t="s">
        <v>445</v>
      </c>
      <c r="C25" s="53">
        <v>9</v>
      </c>
      <c r="D25" s="53" t="s">
        <v>95</v>
      </c>
      <c r="E25" s="11">
        <f t="shared" si="18"/>
        <v>397</v>
      </c>
      <c r="F25" s="92">
        <f t="shared" si="19"/>
        <v>397</v>
      </c>
      <c r="G25" s="58"/>
      <c r="H25" s="54" t="s">
        <v>37</v>
      </c>
      <c r="I25" s="54"/>
      <c r="J25" s="55"/>
      <c r="K25" s="11"/>
      <c r="L25" s="53" t="str">
        <f t="shared" si="4"/>
        <v/>
      </c>
      <c r="M25" s="11">
        <v>131.99</v>
      </c>
      <c r="N25" s="11">
        <v>24.57</v>
      </c>
      <c r="O25" s="11">
        <v>12</v>
      </c>
      <c r="P25" s="11">
        <v>11.44</v>
      </c>
      <c r="Q25" s="11">
        <v>5</v>
      </c>
      <c r="R25" s="11">
        <v>5</v>
      </c>
      <c r="S25" s="11">
        <v>10</v>
      </c>
      <c r="T25" s="11">
        <v>30</v>
      </c>
      <c r="U25" s="11">
        <v>167</v>
      </c>
      <c r="V25" s="56" t="s">
        <v>1303</v>
      </c>
      <c r="W25" s="35" t="str">
        <f t="shared" si="2"/>
        <v>OK</v>
      </c>
      <c r="X25" s="38" t="str">
        <f t="shared" si="5"/>
        <v/>
      </c>
      <c r="Y25" s="3"/>
      <c r="Z25" s="116"/>
    </row>
    <row r="26" spans="1:26" ht="14.4" hidden="1" outlineLevel="1" x14ac:dyDescent="0.3">
      <c r="A26" s="3"/>
      <c r="B26" s="99" t="s">
        <v>447</v>
      </c>
      <c r="C26" s="53">
        <v>9</v>
      </c>
      <c r="D26" s="53" t="s">
        <v>95</v>
      </c>
      <c r="E26" s="11">
        <f t="shared" si="18"/>
        <v>235</v>
      </c>
      <c r="F26" s="92">
        <f t="shared" si="19"/>
        <v>235</v>
      </c>
      <c r="G26" s="58"/>
      <c r="H26" s="54" t="s">
        <v>37</v>
      </c>
      <c r="I26" s="54"/>
      <c r="J26" s="55"/>
      <c r="K26" s="11"/>
      <c r="L26" s="53" t="str">
        <f t="shared" si="4"/>
        <v/>
      </c>
      <c r="M26" s="11">
        <v>131.99</v>
      </c>
      <c r="N26" s="11">
        <v>24.57</v>
      </c>
      <c r="O26" s="11">
        <v>12</v>
      </c>
      <c r="P26" s="11">
        <v>1.44</v>
      </c>
      <c r="Q26" s="11">
        <v>5</v>
      </c>
      <c r="R26" s="11">
        <v>5</v>
      </c>
      <c r="S26" s="11">
        <v>10</v>
      </c>
      <c r="T26" s="11">
        <v>30</v>
      </c>
      <c r="U26" s="11">
        <v>15</v>
      </c>
      <c r="V26" s="56" t="s">
        <v>1298</v>
      </c>
      <c r="W26" s="35" t="str">
        <f t="shared" si="2"/>
        <v>OK</v>
      </c>
      <c r="X26" s="38" t="str">
        <f t="shared" si="5"/>
        <v/>
      </c>
      <c r="Y26" s="3"/>
      <c r="Z26" s="116"/>
    </row>
    <row r="27" spans="1:26" ht="14.4" hidden="1" outlineLevel="1" x14ac:dyDescent="0.3">
      <c r="A27" s="3"/>
      <c r="B27" s="139" t="s">
        <v>448</v>
      </c>
      <c r="C27" s="53">
        <v>10</v>
      </c>
      <c r="D27" s="53" t="s">
        <v>95</v>
      </c>
      <c r="E27" s="11">
        <f t="shared" si="18"/>
        <v>224.69</v>
      </c>
      <c r="F27" s="92">
        <f t="shared" si="19"/>
        <v>224.69</v>
      </c>
      <c r="G27" s="58"/>
      <c r="H27" s="54" t="s">
        <v>37</v>
      </c>
      <c r="I27" s="54"/>
      <c r="J27" s="55"/>
      <c r="K27" s="11"/>
      <c r="L27" s="53" t="str">
        <f t="shared" si="4"/>
        <v/>
      </c>
      <c r="M27" s="11">
        <v>116.68</v>
      </c>
      <c r="N27" s="11">
        <v>24.57</v>
      </c>
      <c r="O27" s="11">
        <v>12</v>
      </c>
      <c r="P27" s="11">
        <v>1.44</v>
      </c>
      <c r="Q27" s="11">
        <v>5</v>
      </c>
      <c r="R27" s="11">
        <v>10</v>
      </c>
      <c r="S27" s="11">
        <v>10</v>
      </c>
      <c r="T27" s="11">
        <v>30</v>
      </c>
      <c r="U27" s="11">
        <v>15</v>
      </c>
      <c r="V27" s="56" t="s">
        <v>1298</v>
      </c>
      <c r="W27" s="35" t="str">
        <f t="shared" si="2"/>
        <v>OK</v>
      </c>
      <c r="X27" s="38" t="str">
        <f t="shared" si="5"/>
        <v/>
      </c>
      <c r="Y27" s="3"/>
      <c r="Z27" s="116"/>
    </row>
    <row r="28" spans="1:26" ht="14.4" hidden="1" outlineLevel="1" x14ac:dyDescent="0.3">
      <c r="A28" s="3"/>
      <c r="B28" s="139" t="s">
        <v>449</v>
      </c>
      <c r="C28" s="53">
        <v>10</v>
      </c>
      <c r="D28" s="53" t="s">
        <v>95</v>
      </c>
      <c r="E28" s="11">
        <f t="shared" si="18"/>
        <v>173.69</v>
      </c>
      <c r="F28" s="92">
        <f t="shared" si="19"/>
        <v>173.69</v>
      </c>
      <c r="G28" s="58"/>
      <c r="H28" s="54" t="s">
        <v>37</v>
      </c>
      <c r="I28" s="54"/>
      <c r="J28" s="55"/>
      <c r="K28" s="11"/>
      <c r="L28" s="53" t="str">
        <f t="shared" si="4"/>
        <v/>
      </c>
      <c r="M28" s="11">
        <v>70.680000000000007</v>
      </c>
      <c r="N28" s="11">
        <v>24.57</v>
      </c>
      <c r="O28" s="11">
        <v>12</v>
      </c>
      <c r="P28" s="11">
        <v>1.44</v>
      </c>
      <c r="Q28" s="11"/>
      <c r="R28" s="11">
        <v>10</v>
      </c>
      <c r="S28" s="11">
        <v>10</v>
      </c>
      <c r="T28" s="11">
        <v>30</v>
      </c>
      <c r="U28" s="11">
        <v>15</v>
      </c>
      <c r="V28" s="56" t="s">
        <v>1298</v>
      </c>
      <c r="W28" s="35" t="str">
        <f t="shared" si="2"/>
        <v>OK</v>
      </c>
      <c r="X28" s="38" t="str">
        <f t="shared" si="5"/>
        <v/>
      </c>
      <c r="Y28" s="3"/>
      <c r="Z28" s="116"/>
    </row>
    <row r="29" spans="1:26" ht="14.4" hidden="1" outlineLevel="1" x14ac:dyDescent="0.3">
      <c r="A29" s="3"/>
      <c r="B29" s="99" t="s">
        <v>450</v>
      </c>
      <c r="C29" s="53"/>
      <c r="D29" s="53" t="s">
        <v>105</v>
      </c>
      <c r="E29" s="11">
        <f t="shared" si="18"/>
        <v>182.44</v>
      </c>
      <c r="F29" s="92"/>
      <c r="G29" s="58"/>
      <c r="H29" s="54"/>
      <c r="I29" s="54"/>
      <c r="J29" s="55"/>
      <c r="K29" s="11"/>
      <c r="L29" s="53" t="str">
        <f t="shared" si="4"/>
        <v/>
      </c>
      <c r="M29" s="11">
        <v>104.43</v>
      </c>
      <c r="N29" s="11">
        <v>24.57</v>
      </c>
      <c r="O29" s="11">
        <v>12</v>
      </c>
      <c r="P29" s="11">
        <v>1.44</v>
      </c>
      <c r="Q29" s="11">
        <v>5</v>
      </c>
      <c r="R29" s="11"/>
      <c r="S29" s="11">
        <v>10</v>
      </c>
      <c r="T29" s="11">
        <v>10</v>
      </c>
      <c r="U29" s="11">
        <v>15</v>
      </c>
      <c r="V29" s="56" t="s">
        <v>1298</v>
      </c>
      <c r="W29" s="35" t="str">
        <f t="shared" si="2"/>
        <v>Diferente</v>
      </c>
      <c r="X29" s="38">
        <f t="shared" si="5"/>
        <v>-182.44</v>
      </c>
      <c r="Y29" s="3"/>
      <c r="Z29" s="116"/>
    </row>
    <row r="30" spans="1:26" ht="14.4" hidden="1" outlineLevel="1" x14ac:dyDescent="0.3">
      <c r="A30" s="3"/>
      <c r="B30" s="99" t="s">
        <v>451</v>
      </c>
      <c r="C30" s="53"/>
      <c r="D30" s="53" t="s">
        <v>105</v>
      </c>
      <c r="E30" s="11">
        <f t="shared" si="18"/>
        <v>182.44</v>
      </c>
      <c r="F30" s="92"/>
      <c r="G30" s="58"/>
      <c r="H30" s="54"/>
      <c r="I30" s="54"/>
      <c r="J30" s="55"/>
      <c r="K30" s="11"/>
      <c r="L30" s="53" t="str">
        <f t="shared" si="4"/>
        <v/>
      </c>
      <c r="M30" s="11">
        <v>104.43</v>
      </c>
      <c r="N30" s="11">
        <v>24.57</v>
      </c>
      <c r="O30" s="11">
        <v>12</v>
      </c>
      <c r="P30" s="11">
        <v>1.44</v>
      </c>
      <c r="Q30" s="11">
        <v>5</v>
      </c>
      <c r="R30" s="11"/>
      <c r="S30" s="11">
        <v>10</v>
      </c>
      <c r="T30" s="11">
        <v>10</v>
      </c>
      <c r="U30" s="11">
        <v>15</v>
      </c>
      <c r="V30" s="56" t="s">
        <v>1298</v>
      </c>
      <c r="W30" s="35" t="str">
        <f t="shared" si="2"/>
        <v>Diferente</v>
      </c>
      <c r="X30" s="38">
        <f t="shared" si="5"/>
        <v>-182.44</v>
      </c>
      <c r="Y30" s="3"/>
      <c r="Z30" s="116"/>
    </row>
    <row r="31" spans="1:26" ht="14.4" hidden="1" outlineLevel="1" x14ac:dyDescent="0.3">
      <c r="A31" s="3"/>
      <c r="B31" s="139" t="s">
        <v>452</v>
      </c>
      <c r="C31" s="53">
        <v>13</v>
      </c>
      <c r="D31" s="53" t="s">
        <v>95</v>
      </c>
      <c r="E31" s="11">
        <f t="shared" si="18"/>
        <v>214.01</v>
      </c>
      <c r="F31" s="92">
        <f t="shared" ref="F31:F32" si="20">E31</f>
        <v>214.01</v>
      </c>
      <c r="G31" s="58"/>
      <c r="H31" s="54" t="s">
        <v>37</v>
      </c>
      <c r="I31" s="54"/>
      <c r="J31" s="55"/>
      <c r="K31" s="11"/>
      <c r="L31" s="53">
        <f t="shared" si="4"/>
        <v>1</v>
      </c>
      <c r="M31" s="11">
        <v>156</v>
      </c>
      <c r="N31" s="11">
        <v>24.57</v>
      </c>
      <c r="O31" s="11">
        <v>12</v>
      </c>
      <c r="P31" s="11">
        <v>1.44</v>
      </c>
      <c r="Q31" s="11">
        <v>5</v>
      </c>
      <c r="R31" s="11"/>
      <c r="S31" s="11"/>
      <c r="T31" s="11"/>
      <c r="U31" s="11">
        <v>15</v>
      </c>
      <c r="V31" s="56" t="s">
        <v>1298</v>
      </c>
      <c r="W31" s="35" t="str">
        <f t="shared" si="2"/>
        <v>OK</v>
      </c>
      <c r="X31" s="38" t="str">
        <f t="shared" si="5"/>
        <v/>
      </c>
      <c r="Y31" s="3"/>
      <c r="Z31" s="116"/>
    </row>
    <row r="32" spans="1:26" ht="14.4" hidden="1" outlineLevel="1" x14ac:dyDescent="0.3">
      <c r="A32" s="3"/>
      <c r="B32" s="139" t="s">
        <v>453</v>
      </c>
      <c r="C32" s="53">
        <v>13</v>
      </c>
      <c r="D32" s="53" t="s">
        <v>95</v>
      </c>
      <c r="E32" s="11">
        <f t="shared" si="18"/>
        <v>234.01</v>
      </c>
      <c r="F32" s="92">
        <f t="shared" si="20"/>
        <v>234.01</v>
      </c>
      <c r="G32" s="58"/>
      <c r="H32" s="54" t="s">
        <v>37</v>
      </c>
      <c r="I32" s="54"/>
      <c r="J32" s="55"/>
      <c r="K32" s="11"/>
      <c r="L32" s="53">
        <f t="shared" si="4"/>
        <v>1</v>
      </c>
      <c r="M32" s="11">
        <v>156</v>
      </c>
      <c r="N32" s="11">
        <v>24.57</v>
      </c>
      <c r="O32" s="11">
        <v>12</v>
      </c>
      <c r="P32" s="11">
        <v>11.44</v>
      </c>
      <c r="Q32" s="11">
        <v>5</v>
      </c>
      <c r="R32" s="11">
        <v>10</v>
      </c>
      <c r="S32" s="11"/>
      <c r="T32" s="11"/>
      <c r="U32" s="11">
        <v>15</v>
      </c>
      <c r="V32" s="56" t="s">
        <v>1298</v>
      </c>
      <c r="W32" s="35" t="str">
        <f t="shared" si="2"/>
        <v>OK</v>
      </c>
      <c r="X32" s="38" t="str">
        <f t="shared" si="5"/>
        <v/>
      </c>
      <c r="Y32" s="3"/>
      <c r="Z32" s="116"/>
    </row>
    <row r="33" spans="1:26" ht="14.4" hidden="1" outlineLevel="1" x14ac:dyDescent="0.3">
      <c r="A33" s="3"/>
      <c r="B33" s="99" t="s">
        <v>454</v>
      </c>
      <c r="C33" s="53"/>
      <c r="D33" s="53" t="s">
        <v>105</v>
      </c>
      <c r="E33" s="11">
        <f t="shared" si="18"/>
        <v>102</v>
      </c>
      <c r="F33" s="92"/>
      <c r="G33" s="58"/>
      <c r="H33" s="54"/>
      <c r="I33" s="54"/>
      <c r="J33" s="55"/>
      <c r="K33" s="11"/>
      <c r="L33" s="53" t="str">
        <f t="shared" si="4"/>
        <v/>
      </c>
      <c r="M33" s="11">
        <v>48.43</v>
      </c>
      <c r="N33" s="11">
        <v>24.57</v>
      </c>
      <c r="O33" s="11">
        <v>12</v>
      </c>
      <c r="P33" s="11">
        <v>2</v>
      </c>
      <c r="Q33" s="11">
        <v>0</v>
      </c>
      <c r="R33" s="11">
        <v>0</v>
      </c>
      <c r="S33" s="11"/>
      <c r="T33" s="11"/>
      <c r="U33" s="11">
        <v>15</v>
      </c>
      <c r="V33" s="56" t="s">
        <v>1298</v>
      </c>
      <c r="W33" s="35" t="str">
        <f t="shared" si="2"/>
        <v>Diferente</v>
      </c>
      <c r="X33" s="38">
        <f t="shared" si="5"/>
        <v>-102</v>
      </c>
      <c r="Y33" s="3"/>
      <c r="Z33" s="116"/>
    </row>
    <row r="34" spans="1:26" ht="14.4" hidden="1" outlineLevel="1" x14ac:dyDescent="0.3">
      <c r="A34" s="3"/>
      <c r="B34" s="99" t="s">
        <v>455</v>
      </c>
      <c r="C34" s="53">
        <v>4</v>
      </c>
      <c r="D34" s="53" t="s">
        <v>95</v>
      </c>
      <c r="E34" s="11">
        <f t="shared" si="18"/>
        <v>243.76</v>
      </c>
      <c r="F34" s="92">
        <f t="shared" ref="F34:F40" si="21">E34</f>
        <v>243.76</v>
      </c>
      <c r="G34" s="58"/>
      <c r="H34" s="54" t="s">
        <v>37</v>
      </c>
      <c r="I34" s="54"/>
      <c r="J34" s="55"/>
      <c r="K34" s="11"/>
      <c r="L34" s="53" t="str">
        <f t="shared" si="4"/>
        <v/>
      </c>
      <c r="M34" s="11">
        <v>132.19</v>
      </c>
      <c r="N34" s="11">
        <v>24.57</v>
      </c>
      <c r="O34" s="11">
        <v>12</v>
      </c>
      <c r="P34" s="11">
        <v>5</v>
      </c>
      <c r="Q34" s="11">
        <v>5</v>
      </c>
      <c r="R34" s="11">
        <v>10</v>
      </c>
      <c r="S34" s="11">
        <v>10</v>
      </c>
      <c r="T34" s="11">
        <v>30</v>
      </c>
      <c r="U34" s="11">
        <v>15</v>
      </c>
      <c r="V34" s="56" t="s">
        <v>1298</v>
      </c>
      <c r="W34" s="35" t="str">
        <f t="shared" si="2"/>
        <v>OK</v>
      </c>
      <c r="X34" s="38" t="str">
        <f t="shared" si="5"/>
        <v/>
      </c>
      <c r="Y34" s="3"/>
      <c r="Z34" s="116"/>
    </row>
    <row r="35" spans="1:26" ht="14.4" hidden="1" outlineLevel="1" x14ac:dyDescent="0.3">
      <c r="A35" s="3"/>
      <c r="B35" s="139" t="s">
        <v>456</v>
      </c>
      <c r="C35" s="53">
        <v>3</v>
      </c>
      <c r="D35" s="53" t="s">
        <v>95</v>
      </c>
      <c r="E35" s="11">
        <f t="shared" si="18"/>
        <v>184.81</v>
      </c>
      <c r="F35" s="92">
        <f t="shared" si="21"/>
        <v>184.81</v>
      </c>
      <c r="G35" s="58"/>
      <c r="H35" s="54" t="s">
        <v>37</v>
      </c>
      <c r="I35" s="54"/>
      <c r="J35" s="55"/>
      <c r="K35" s="11"/>
      <c r="L35" s="53" t="str">
        <f t="shared" si="4"/>
        <v/>
      </c>
      <c r="M35" s="11">
        <v>74.739999999999995</v>
      </c>
      <c r="N35" s="11">
        <v>24.57</v>
      </c>
      <c r="O35" s="11">
        <v>12</v>
      </c>
      <c r="P35" s="11">
        <v>1.5</v>
      </c>
      <c r="Q35" s="11"/>
      <c r="R35" s="11"/>
      <c r="S35" s="11"/>
      <c r="T35" s="11"/>
      <c r="U35" s="11">
        <v>72</v>
      </c>
      <c r="V35" s="56" t="s">
        <v>1299</v>
      </c>
      <c r="W35" s="35" t="str">
        <f t="shared" si="2"/>
        <v>OK</v>
      </c>
      <c r="X35" s="38" t="str">
        <f t="shared" si="5"/>
        <v/>
      </c>
      <c r="Y35" s="3"/>
      <c r="Z35" s="116"/>
    </row>
    <row r="36" spans="1:26" ht="14.4" hidden="1" outlineLevel="1" x14ac:dyDescent="0.3">
      <c r="A36" s="3"/>
      <c r="B36" s="99" t="s">
        <v>457</v>
      </c>
      <c r="C36" s="53">
        <v>3</v>
      </c>
      <c r="D36" s="53" t="s">
        <v>95</v>
      </c>
      <c r="E36" s="11">
        <f t="shared" si="18"/>
        <v>127.81</v>
      </c>
      <c r="F36" s="92">
        <f t="shared" si="21"/>
        <v>127.81</v>
      </c>
      <c r="G36" s="58"/>
      <c r="H36" s="54" t="s">
        <v>37</v>
      </c>
      <c r="I36" s="54"/>
      <c r="J36" s="55"/>
      <c r="K36" s="11"/>
      <c r="L36" s="53" t="str">
        <f t="shared" si="4"/>
        <v/>
      </c>
      <c r="M36" s="11">
        <v>74.739999999999995</v>
      </c>
      <c r="N36" s="11">
        <v>24.57</v>
      </c>
      <c r="O36" s="11">
        <v>12</v>
      </c>
      <c r="P36" s="11">
        <v>1.5</v>
      </c>
      <c r="Q36" s="11"/>
      <c r="R36" s="11"/>
      <c r="S36" s="11"/>
      <c r="T36" s="11"/>
      <c r="U36" s="11">
        <v>15</v>
      </c>
      <c r="V36" s="56" t="s">
        <v>1298</v>
      </c>
      <c r="W36" s="35" t="str">
        <f t="shared" si="2"/>
        <v>OK</v>
      </c>
      <c r="X36" s="38" t="str">
        <f t="shared" si="5"/>
        <v/>
      </c>
      <c r="Y36" s="3"/>
      <c r="Z36" s="116"/>
    </row>
    <row r="37" spans="1:26" ht="14.4" hidden="1" outlineLevel="1" x14ac:dyDescent="0.3">
      <c r="A37" s="3"/>
      <c r="B37" s="139" t="s">
        <v>458</v>
      </c>
      <c r="C37" s="53">
        <v>11</v>
      </c>
      <c r="D37" s="53" t="s">
        <v>95</v>
      </c>
      <c r="E37" s="11">
        <f t="shared" si="18"/>
        <v>161.44</v>
      </c>
      <c r="F37" s="92">
        <f t="shared" si="21"/>
        <v>161.44</v>
      </c>
      <c r="G37" s="58"/>
      <c r="H37" s="54" t="s">
        <v>37</v>
      </c>
      <c r="I37" s="54"/>
      <c r="J37" s="55"/>
      <c r="K37" s="11"/>
      <c r="L37" s="53" t="str">
        <f t="shared" si="4"/>
        <v/>
      </c>
      <c r="M37" s="11">
        <v>103.43</v>
      </c>
      <c r="N37" s="11">
        <v>24.57</v>
      </c>
      <c r="O37" s="11">
        <v>12</v>
      </c>
      <c r="P37" s="11">
        <v>1.44</v>
      </c>
      <c r="Q37" s="11"/>
      <c r="R37" s="11">
        <v>5</v>
      </c>
      <c r="S37" s="11"/>
      <c r="T37" s="11"/>
      <c r="U37" s="11">
        <v>15</v>
      </c>
      <c r="V37" s="56" t="s">
        <v>1298</v>
      </c>
      <c r="W37" s="35" t="str">
        <f t="shared" si="2"/>
        <v>OK</v>
      </c>
      <c r="X37" s="38" t="str">
        <f t="shared" si="5"/>
        <v/>
      </c>
      <c r="Y37" s="3"/>
      <c r="Z37" s="116"/>
    </row>
    <row r="38" spans="1:26" ht="14.4" hidden="1" outlineLevel="1" x14ac:dyDescent="0.3">
      <c r="A38" s="3"/>
      <c r="B38" s="139" t="s">
        <v>459</v>
      </c>
      <c r="C38" s="53">
        <v>11</v>
      </c>
      <c r="D38" s="53" t="s">
        <v>95</v>
      </c>
      <c r="E38" s="11">
        <f t="shared" si="18"/>
        <v>166.44</v>
      </c>
      <c r="F38" s="92">
        <f t="shared" si="21"/>
        <v>166.44</v>
      </c>
      <c r="G38" s="58"/>
      <c r="H38" s="54" t="s">
        <v>37</v>
      </c>
      <c r="I38" s="54"/>
      <c r="J38" s="55"/>
      <c r="K38" s="11"/>
      <c r="L38" s="53" t="str">
        <f t="shared" si="4"/>
        <v/>
      </c>
      <c r="M38" s="11">
        <v>103.43</v>
      </c>
      <c r="N38" s="11">
        <v>24.57</v>
      </c>
      <c r="O38" s="11">
        <v>12</v>
      </c>
      <c r="P38" s="11">
        <v>1.44</v>
      </c>
      <c r="Q38" s="11">
        <v>5</v>
      </c>
      <c r="R38" s="11">
        <v>5</v>
      </c>
      <c r="S38" s="11"/>
      <c r="T38" s="11"/>
      <c r="U38" s="11">
        <v>15</v>
      </c>
      <c r="V38" s="56" t="s">
        <v>1298</v>
      </c>
      <c r="W38" s="35" t="str">
        <f t="shared" si="2"/>
        <v>OK</v>
      </c>
      <c r="X38" s="38" t="str">
        <f t="shared" si="5"/>
        <v/>
      </c>
      <c r="Y38" s="3"/>
      <c r="Z38" s="116"/>
    </row>
    <row r="39" spans="1:26" ht="14.4" hidden="1" outlineLevel="1" x14ac:dyDescent="0.3">
      <c r="A39" s="3"/>
      <c r="B39" s="99" t="s">
        <v>460</v>
      </c>
      <c r="C39" s="53">
        <v>11</v>
      </c>
      <c r="D39" s="53" t="s">
        <v>95</v>
      </c>
      <c r="E39" s="11">
        <f t="shared" si="18"/>
        <v>166.44</v>
      </c>
      <c r="F39" s="92">
        <f t="shared" si="21"/>
        <v>166.44</v>
      </c>
      <c r="G39" s="58"/>
      <c r="H39" s="54" t="s">
        <v>37</v>
      </c>
      <c r="I39" s="54"/>
      <c r="J39" s="55"/>
      <c r="K39" s="11"/>
      <c r="L39" s="53" t="str">
        <f t="shared" si="4"/>
        <v/>
      </c>
      <c r="M39" s="11">
        <v>103.43</v>
      </c>
      <c r="N39" s="11">
        <v>24.57</v>
      </c>
      <c r="O39" s="11">
        <v>12</v>
      </c>
      <c r="P39" s="11">
        <v>1.44</v>
      </c>
      <c r="Q39" s="11">
        <v>5</v>
      </c>
      <c r="R39" s="11">
        <v>5</v>
      </c>
      <c r="S39" s="11"/>
      <c r="T39" s="11"/>
      <c r="U39" s="11">
        <v>15</v>
      </c>
      <c r="V39" s="56" t="s">
        <v>1298</v>
      </c>
      <c r="W39" s="35" t="str">
        <f t="shared" si="2"/>
        <v>OK</v>
      </c>
      <c r="X39" s="38" t="str">
        <f t="shared" si="5"/>
        <v/>
      </c>
      <c r="Y39" s="3"/>
      <c r="Z39" s="116"/>
    </row>
    <row r="40" spans="1:26" ht="14.4" hidden="1" outlineLevel="1" x14ac:dyDescent="0.3">
      <c r="A40" s="3"/>
      <c r="B40" s="99" t="s">
        <v>461</v>
      </c>
      <c r="C40" s="53">
        <v>11</v>
      </c>
      <c r="D40" s="53" t="s">
        <v>95</v>
      </c>
      <c r="E40" s="11">
        <f t="shared" si="18"/>
        <v>84.59</v>
      </c>
      <c r="F40" s="92">
        <f t="shared" si="21"/>
        <v>84.59</v>
      </c>
      <c r="G40" s="58"/>
      <c r="H40" s="54" t="s">
        <v>37</v>
      </c>
      <c r="I40" s="54"/>
      <c r="J40" s="55"/>
      <c r="K40" s="11"/>
      <c r="L40" s="53" t="str">
        <f t="shared" si="4"/>
        <v/>
      </c>
      <c r="M40" s="11">
        <v>31.58</v>
      </c>
      <c r="N40" s="11">
        <v>24.57</v>
      </c>
      <c r="O40" s="11">
        <v>12</v>
      </c>
      <c r="P40" s="11">
        <v>1.44</v>
      </c>
      <c r="Q40" s="11"/>
      <c r="R40" s="11"/>
      <c r="S40" s="11"/>
      <c r="T40" s="11"/>
      <c r="U40" s="11">
        <v>15</v>
      </c>
      <c r="V40" s="56" t="s">
        <v>1298</v>
      </c>
      <c r="W40" s="35" t="str">
        <f t="shared" si="2"/>
        <v>OK</v>
      </c>
      <c r="X40" s="38" t="str">
        <f t="shared" si="5"/>
        <v/>
      </c>
      <c r="Y40" s="3"/>
      <c r="Z40" s="116"/>
    </row>
    <row r="41" spans="1:26" ht="14.4" hidden="1" outlineLevel="1" x14ac:dyDescent="0.3">
      <c r="A41" s="3"/>
      <c r="B41" s="99" t="s">
        <v>462</v>
      </c>
      <c r="C41" s="53"/>
      <c r="D41" s="53" t="s">
        <v>105</v>
      </c>
      <c r="E41" s="11">
        <f t="shared" si="18"/>
        <v>272</v>
      </c>
      <c r="F41" s="92"/>
      <c r="G41" s="58"/>
      <c r="H41" s="54"/>
      <c r="I41" s="54"/>
      <c r="J41" s="55"/>
      <c r="K41" s="11"/>
      <c r="L41" s="53" t="str">
        <f t="shared" si="4"/>
        <v/>
      </c>
      <c r="M41" s="11">
        <v>151.99</v>
      </c>
      <c r="N41" s="11">
        <v>24.57</v>
      </c>
      <c r="O41" s="11">
        <v>12</v>
      </c>
      <c r="P41" s="11">
        <v>1.44</v>
      </c>
      <c r="Q41" s="11"/>
      <c r="R41" s="11">
        <v>5</v>
      </c>
      <c r="S41" s="11">
        <v>5</v>
      </c>
      <c r="T41" s="11"/>
      <c r="U41" s="11">
        <v>72</v>
      </c>
      <c r="V41" s="56" t="s">
        <v>1299</v>
      </c>
      <c r="W41" s="35" t="str">
        <f t="shared" si="2"/>
        <v>Diferente</v>
      </c>
      <c r="X41" s="38">
        <f t="shared" si="5"/>
        <v>-272</v>
      </c>
      <c r="Y41" s="3"/>
      <c r="Z41" s="116"/>
    </row>
    <row r="42" spans="1:26" ht="14.4" hidden="1" outlineLevel="1" x14ac:dyDescent="0.3">
      <c r="A42" s="3"/>
      <c r="B42" s="99" t="s">
        <v>463</v>
      </c>
      <c r="C42" s="53" t="s">
        <v>1304</v>
      </c>
      <c r="D42" s="53" t="s">
        <v>95</v>
      </c>
      <c r="E42" s="11">
        <v>313.89</v>
      </c>
      <c r="F42" s="92">
        <f t="shared" ref="F42:F43" si="22">SUM(M42:U42)</f>
        <v>579.54</v>
      </c>
      <c r="G42" s="58"/>
      <c r="H42" s="54" t="s">
        <v>37</v>
      </c>
      <c r="I42" s="54"/>
      <c r="J42" s="55"/>
      <c r="K42" s="11"/>
      <c r="L42" s="53">
        <f t="shared" si="4"/>
        <v>1</v>
      </c>
      <c r="M42" s="11">
        <f>125.88+265.65</f>
        <v>391.53</v>
      </c>
      <c r="N42" s="11">
        <v>24.57</v>
      </c>
      <c r="O42" s="11">
        <v>12</v>
      </c>
      <c r="P42" s="11">
        <v>1.44</v>
      </c>
      <c r="Q42" s="11">
        <v>5</v>
      </c>
      <c r="R42" s="11">
        <v>10</v>
      </c>
      <c r="S42" s="11">
        <v>20</v>
      </c>
      <c r="T42" s="11">
        <v>100</v>
      </c>
      <c r="U42" s="11">
        <v>15</v>
      </c>
      <c r="V42" s="56" t="s">
        <v>1298</v>
      </c>
      <c r="W42" s="35" t="str">
        <f t="shared" si="2"/>
        <v>OK</v>
      </c>
      <c r="X42" s="38" t="str">
        <f t="shared" si="5"/>
        <v/>
      </c>
      <c r="Y42" s="3"/>
      <c r="Z42" s="116"/>
    </row>
    <row r="43" spans="1:26" ht="14.4" hidden="1" outlineLevel="1" x14ac:dyDescent="0.3">
      <c r="A43" s="3"/>
      <c r="B43" s="139" t="s">
        <v>464</v>
      </c>
      <c r="C43" s="53" t="s">
        <v>1304</v>
      </c>
      <c r="D43" s="53" t="s">
        <v>95</v>
      </c>
      <c r="E43" s="11">
        <v>177.44</v>
      </c>
      <c r="F43" s="92">
        <f t="shared" si="22"/>
        <v>443.09</v>
      </c>
      <c r="G43" s="58"/>
      <c r="H43" s="54" t="s">
        <v>37</v>
      </c>
      <c r="I43" s="54"/>
      <c r="J43" s="55"/>
      <c r="K43" s="11"/>
      <c r="L43" s="53">
        <f t="shared" si="4"/>
        <v>1</v>
      </c>
      <c r="M43" s="11">
        <f>99.43+265.65</f>
        <v>365.08</v>
      </c>
      <c r="N43" s="11">
        <v>24.57</v>
      </c>
      <c r="O43" s="11">
        <v>12</v>
      </c>
      <c r="P43" s="11">
        <v>1.44</v>
      </c>
      <c r="Q43" s="11">
        <v>5</v>
      </c>
      <c r="R43" s="11"/>
      <c r="S43" s="11">
        <v>20</v>
      </c>
      <c r="T43" s="11"/>
      <c r="U43" s="11">
        <v>15</v>
      </c>
      <c r="V43" s="56" t="s">
        <v>1298</v>
      </c>
      <c r="W43" s="35" t="str">
        <f t="shared" si="2"/>
        <v>OK</v>
      </c>
      <c r="X43" s="38" t="str">
        <f t="shared" si="5"/>
        <v/>
      </c>
      <c r="Y43" s="3"/>
      <c r="Z43" s="116"/>
    </row>
    <row r="44" spans="1:26" ht="14.4" hidden="1" outlineLevel="1" x14ac:dyDescent="0.3">
      <c r="A44" s="3"/>
      <c r="B44" s="99" t="s">
        <v>465</v>
      </c>
      <c r="C44" s="53"/>
      <c r="D44" s="53" t="s">
        <v>95</v>
      </c>
      <c r="E44" s="11">
        <v>0</v>
      </c>
      <c r="F44" s="92"/>
      <c r="G44" s="58"/>
      <c r="H44" s="54"/>
      <c r="I44" s="54"/>
      <c r="J44" s="55"/>
      <c r="K44" s="11"/>
      <c r="L44" s="53" t="str">
        <f t="shared" si="4"/>
        <v/>
      </c>
      <c r="M44" s="11"/>
      <c r="N44" s="11"/>
      <c r="O44" s="11"/>
      <c r="P44" s="11"/>
      <c r="Q44" s="11"/>
      <c r="R44" s="11"/>
      <c r="S44" s="11"/>
      <c r="T44" s="11"/>
      <c r="U44" s="11"/>
      <c r="V44" s="56" t="s">
        <v>1298</v>
      </c>
      <c r="W44" s="35" t="str">
        <f t="shared" si="2"/>
        <v>OK</v>
      </c>
      <c r="X44" s="38" t="str">
        <f t="shared" si="5"/>
        <v/>
      </c>
      <c r="Y44" s="3"/>
      <c r="Z44" s="116"/>
    </row>
    <row r="45" spans="1:26" ht="14.4" hidden="1" outlineLevel="1" x14ac:dyDescent="0.3">
      <c r="A45" s="3"/>
      <c r="B45" s="99" t="s">
        <v>466</v>
      </c>
      <c r="C45" s="53"/>
      <c r="D45" s="53" t="s">
        <v>95</v>
      </c>
      <c r="E45" s="11">
        <v>0</v>
      </c>
      <c r="F45" s="92"/>
      <c r="G45" s="58"/>
      <c r="H45" s="54"/>
      <c r="I45" s="54"/>
      <c r="J45" s="55"/>
      <c r="K45" s="11"/>
      <c r="L45" s="53" t="str">
        <f t="shared" si="4"/>
        <v/>
      </c>
      <c r="M45" s="11"/>
      <c r="N45" s="11"/>
      <c r="O45" s="11"/>
      <c r="P45" s="11"/>
      <c r="Q45" s="11"/>
      <c r="R45" s="11"/>
      <c r="S45" s="11"/>
      <c r="T45" s="11"/>
      <c r="U45" s="11"/>
      <c r="V45" s="56" t="s">
        <v>1305</v>
      </c>
      <c r="W45" s="35" t="str">
        <f t="shared" si="2"/>
        <v>OK</v>
      </c>
      <c r="X45" s="38" t="str">
        <f t="shared" si="5"/>
        <v/>
      </c>
      <c r="Y45" s="3"/>
      <c r="Z45" s="116"/>
    </row>
    <row r="46" spans="1:26" ht="14.4" hidden="1" outlineLevel="1" x14ac:dyDescent="0.3">
      <c r="A46" s="3"/>
      <c r="B46" s="139" t="s">
        <v>467</v>
      </c>
      <c r="C46" s="53">
        <v>18</v>
      </c>
      <c r="D46" s="53" t="s">
        <v>95</v>
      </c>
      <c r="E46" s="11">
        <f t="shared" ref="E46:E54" si="23">SUM(M46:U46)</f>
        <v>333.99</v>
      </c>
      <c r="F46" s="92">
        <f t="shared" ref="F46:F52" si="24">E46</f>
        <v>333.99</v>
      </c>
      <c r="G46" s="58"/>
      <c r="H46" s="54" t="s">
        <v>37</v>
      </c>
      <c r="I46" s="54"/>
      <c r="J46" s="55"/>
      <c r="K46" s="11"/>
      <c r="L46" s="53">
        <f t="shared" si="4"/>
        <v>1</v>
      </c>
      <c r="M46" s="11">
        <v>118.98</v>
      </c>
      <c r="N46" s="11">
        <v>24.57</v>
      </c>
      <c r="O46" s="11">
        <v>12</v>
      </c>
      <c r="P46" s="11">
        <v>11.44</v>
      </c>
      <c r="Q46" s="11">
        <v>5</v>
      </c>
      <c r="R46" s="11">
        <v>10</v>
      </c>
      <c r="S46" s="11"/>
      <c r="T46" s="11"/>
      <c r="U46" s="11">
        <v>152</v>
      </c>
      <c r="V46" s="56" t="s">
        <v>1306</v>
      </c>
      <c r="W46" s="35" t="str">
        <f t="shared" si="2"/>
        <v>OK</v>
      </c>
      <c r="X46" s="38" t="str">
        <f t="shared" si="5"/>
        <v/>
      </c>
      <c r="Y46" s="3"/>
      <c r="Z46" s="116"/>
    </row>
    <row r="47" spans="1:26" ht="14.4" hidden="1" outlineLevel="1" x14ac:dyDescent="0.3">
      <c r="A47" s="3"/>
      <c r="B47" s="139" t="s">
        <v>468</v>
      </c>
      <c r="C47" s="53">
        <v>18</v>
      </c>
      <c r="D47" s="53" t="s">
        <v>95</v>
      </c>
      <c r="E47" s="11">
        <f t="shared" si="23"/>
        <v>108.74</v>
      </c>
      <c r="F47" s="92">
        <f t="shared" si="24"/>
        <v>108.74</v>
      </c>
      <c r="G47" s="58"/>
      <c r="H47" s="54" t="s">
        <v>37</v>
      </c>
      <c r="I47" s="54"/>
      <c r="J47" s="55"/>
      <c r="K47" s="11"/>
      <c r="L47" s="53">
        <f t="shared" si="4"/>
        <v>1</v>
      </c>
      <c r="M47" s="11">
        <v>55.73</v>
      </c>
      <c r="N47" s="11">
        <v>24.57</v>
      </c>
      <c r="O47" s="11">
        <v>12</v>
      </c>
      <c r="P47" s="11">
        <v>1.44</v>
      </c>
      <c r="Q47" s="11"/>
      <c r="R47" s="11"/>
      <c r="S47" s="11"/>
      <c r="T47" s="11"/>
      <c r="U47" s="11">
        <v>15</v>
      </c>
      <c r="V47" s="56" t="s">
        <v>1298</v>
      </c>
      <c r="W47" s="35" t="str">
        <f t="shared" si="2"/>
        <v>OK</v>
      </c>
      <c r="X47" s="38" t="str">
        <f t="shared" si="5"/>
        <v/>
      </c>
      <c r="Y47" s="3"/>
      <c r="Z47" s="116"/>
    </row>
    <row r="48" spans="1:26" ht="14.4" hidden="1" outlineLevel="1" x14ac:dyDescent="0.3">
      <c r="A48" s="3"/>
      <c r="B48" s="99" t="s">
        <v>469</v>
      </c>
      <c r="C48" s="53">
        <v>16</v>
      </c>
      <c r="D48" s="53" t="s">
        <v>95</v>
      </c>
      <c r="E48" s="11">
        <f t="shared" si="23"/>
        <v>216.76</v>
      </c>
      <c r="F48" s="92">
        <f t="shared" si="24"/>
        <v>216.76</v>
      </c>
      <c r="G48" s="58"/>
      <c r="H48" s="54" t="s">
        <v>37</v>
      </c>
      <c r="I48" s="54"/>
      <c r="J48" s="55"/>
      <c r="K48" s="11"/>
      <c r="L48" s="53">
        <f t="shared" si="4"/>
        <v>1</v>
      </c>
      <c r="M48" s="11">
        <v>58.19</v>
      </c>
      <c r="N48" s="11">
        <v>24.57</v>
      </c>
      <c r="O48" s="11">
        <v>12</v>
      </c>
      <c r="P48" s="11" t="s">
        <v>44</v>
      </c>
      <c r="Q48" s="11" t="s">
        <v>44</v>
      </c>
      <c r="R48" s="11" t="s">
        <v>44</v>
      </c>
      <c r="S48" s="11" t="s">
        <v>44</v>
      </c>
      <c r="T48" s="11"/>
      <c r="U48" s="11">
        <v>122</v>
      </c>
      <c r="V48" s="56" t="s">
        <v>1307</v>
      </c>
      <c r="W48" s="35" t="str">
        <f t="shared" si="2"/>
        <v>OK</v>
      </c>
      <c r="X48" s="38" t="str">
        <f t="shared" si="5"/>
        <v/>
      </c>
      <c r="Y48" s="3"/>
      <c r="Z48" s="116"/>
    </row>
    <row r="49" spans="1:26" ht="14.4" hidden="1" outlineLevel="1" x14ac:dyDescent="0.3">
      <c r="A49" s="3"/>
      <c r="B49" s="99" t="s">
        <v>470</v>
      </c>
      <c r="C49" s="53">
        <v>16</v>
      </c>
      <c r="D49" s="53" t="s">
        <v>95</v>
      </c>
      <c r="E49" s="11">
        <f t="shared" si="23"/>
        <v>85.45</v>
      </c>
      <c r="F49" s="92">
        <f t="shared" si="24"/>
        <v>85.45</v>
      </c>
      <c r="G49" s="58"/>
      <c r="H49" s="54" t="s">
        <v>37</v>
      </c>
      <c r="I49" s="54"/>
      <c r="J49" s="55"/>
      <c r="K49" s="11"/>
      <c r="L49" s="53">
        <f t="shared" si="4"/>
        <v>1</v>
      </c>
      <c r="M49" s="11">
        <v>33.880000000000003</v>
      </c>
      <c r="N49" s="11">
        <v>24.57</v>
      </c>
      <c r="O49" s="11">
        <v>12</v>
      </c>
      <c r="P49" s="11" t="s">
        <v>44</v>
      </c>
      <c r="Q49" s="11"/>
      <c r="R49" s="11" t="s">
        <v>44</v>
      </c>
      <c r="S49" s="11"/>
      <c r="T49" s="11"/>
      <c r="U49" s="11">
        <v>15</v>
      </c>
      <c r="V49" s="56" t="s">
        <v>1298</v>
      </c>
      <c r="W49" s="35" t="str">
        <f t="shared" si="2"/>
        <v>OK</v>
      </c>
      <c r="X49" s="38" t="str">
        <f t="shared" si="5"/>
        <v/>
      </c>
      <c r="Y49" s="3"/>
      <c r="Z49" s="116"/>
    </row>
    <row r="50" spans="1:26" ht="14.4" hidden="1" outlineLevel="1" x14ac:dyDescent="0.3">
      <c r="A50" s="3"/>
      <c r="B50" s="139" t="s">
        <v>471</v>
      </c>
      <c r="C50" s="53">
        <v>26</v>
      </c>
      <c r="D50" s="53" t="s">
        <v>95</v>
      </c>
      <c r="E50" s="11">
        <f t="shared" si="23"/>
        <v>293.69</v>
      </c>
      <c r="F50" s="92">
        <f t="shared" si="24"/>
        <v>293.69</v>
      </c>
      <c r="G50" s="58"/>
      <c r="H50" s="54" t="s">
        <v>37</v>
      </c>
      <c r="I50" s="54"/>
      <c r="J50" s="55"/>
      <c r="K50" s="11"/>
      <c r="L50" s="53">
        <f t="shared" si="4"/>
        <v>1</v>
      </c>
      <c r="M50" s="11">
        <v>93.62</v>
      </c>
      <c r="N50" s="11">
        <v>24.57</v>
      </c>
      <c r="O50" s="11">
        <v>12</v>
      </c>
      <c r="P50" s="11">
        <v>1.5</v>
      </c>
      <c r="Q50" s="11"/>
      <c r="R50" s="11"/>
      <c r="S50" s="11">
        <v>10</v>
      </c>
      <c r="T50" s="11"/>
      <c r="U50" s="11">
        <v>152</v>
      </c>
      <c r="V50" s="56" t="s">
        <v>1306</v>
      </c>
      <c r="W50" s="35" t="str">
        <f t="shared" si="2"/>
        <v>OK</v>
      </c>
      <c r="X50" s="38" t="str">
        <f t="shared" si="5"/>
        <v/>
      </c>
      <c r="Y50" s="3"/>
      <c r="Z50" s="116"/>
    </row>
    <row r="51" spans="1:26" ht="14.4" hidden="1" outlineLevel="1" x14ac:dyDescent="0.3">
      <c r="A51" s="3"/>
      <c r="B51" s="139" t="s">
        <v>473</v>
      </c>
      <c r="C51" s="53">
        <v>26</v>
      </c>
      <c r="D51" s="53" t="s">
        <v>95</v>
      </c>
      <c r="E51" s="11">
        <f t="shared" si="23"/>
        <v>146.69</v>
      </c>
      <c r="F51" s="92">
        <f t="shared" si="24"/>
        <v>146.69</v>
      </c>
      <c r="G51" s="58"/>
      <c r="H51" s="54" t="s">
        <v>37</v>
      </c>
      <c r="I51" s="54"/>
      <c r="J51" s="55"/>
      <c r="K51" s="11"/>
      <c r="L51" s="53">
        <f t="shared" si="4"/>
        <v>1</v>
      </c>
      <c r="M51" s="11">
        <v>93.62</v>
      </c>
      <c r="N51" s="11">
        <v>24.57</v>
      </c>
      <c r="O51" s="11">
        <v>12</v>
      </c>
      <c r="P51" s="11">
        <v>1.5</v>
      </c>
      <c r="Q51" s="11"/>
      <c r="R51" s="11"/>
      <c r="S51" s="11"/>
      <c r="T51" s="11"/>
      <c r="U51" s="11">
        <v>15</v>
      </c>
      <c r="V51" s="56" t="s">
        <v>1298</v>
      </c>
      <c r="W51" s="35" t="str">
        <f t="shared" si="2"/>
        <v>OK</v>
      </c>
      <c r="X51" s="38" t="str">
        <f t="shared" si="5"/>
        <v/>
      </c>
      <c r="Y51" s="3"/>
      <c r="Z51" s="116"/>
    </row>
    <row r="52" spans="1:26" ht="14.4" hidden="1" outlineLevel="1" x14ac:dyDescent="0.3">
      <c r="A52" s="3"/>
      <c r="B52" s="99" t="s">
        <v>474</v>
      </c>
      <c r="C52" s="53">
        <v>4</v>
      </c>
      <c r="D52" s="53" t="s">
        <v>95</v>
      </c>
      <c r="E52" s="11">
        <f t="shared" si="23"/>
        <v>197.44</v>
      </c>
      <c r="F52" s="92">
        <f t="shared" si="24"/>
        <v>197.44</v>
      </c>
      <c r="G52" s="58"/>
      <c r="H52" s="54" t="s">
        <v>37</v>
      </c>
      <c r="I52" s="54"/>
      <c r="J52" s="55"/>
      <c r="K52" s="11"/>
      <c r="L52" s="53" t="str">
        <f t="shared" si="4"/>
        <v/>
      </c>
      <c r="M52" s="11">
        <v>139.43</v>
      </c>
      <c r="N52" s="11">
        <v>24.57</v>
      </c>
      <c r="O52" s="11">
        <v>12</v>
      </c>
      <c r="P52" s="11">
        <v>1.44</v>
      </c>
      <c r="Q52" s="11">
        <v>5</v>
      </c>
      <c r="R52" s="11"/>
      <c r="S52" s="11"/>
      <c r="T52" s="11"/>
      <c r="U52" s="11">
        <v>15</v>
      </c>
      <c r="V52" s="80" t="s">
        <v>1298</v>
      </c>
      <c r="W52" s="35" t="str">
        <f t="shared" si="2"/>
        <v>OK</v>
      </c>
      <c r="X52" s="38" t="str">
        <f t="shared" si="5"/>
        <v/>
      </c>
      <c r="Y52" s="3"/>
      <c r="Z52" s="116"/>
    </row>
    <row r="53" spans="1:26" ht="14.4" hidden="1" outlineLevel="1" x14ac:dyDescent="0.3">
      <c r="A53" s="3"/>
      <c r="B53" s="99" t="s">
        <v>475</v>
      </c>
      <c r="C53" s="53"/>
      <c r="D53" s="53" t="s">
        <v>105</v>
      </c>
      <c r="E53" s="11">
        <f t="shared" si="23"/>
        <v>326.28999999999996</v>
      </c>
      <c r="F53" s="92"/>
      <c r="G53" s="58"/>
      <c r="H53" s="54"/>
      <c r="I53" s="54"/>
      <c r="J53" s="55"/>
      <c r="K53" s="11"/>
      <c r="L53" s="53" t="str">
        <f t="shared" si="4"/>
        <v/>
      </c>
      <c r="M53" s="11">
        <v>98.28</v>
      </c>
      <c r="N53" s="11">
        <v>24.57</v>
      </c>
      <c r="O53" s="11">
        <v>12</v>
      </c>
      <c r="P53" s="11">
        <v>1.44</v>
      </c>
      <c r="Q53" s="11"/>
      <c r="R53" s="11">
        <v>10</v>
      </c>
      <c r="S53" s="11"/>
      <c r="T53" s="11">
        <v>100</v>
      </c>
      <c r="U53" s="11">
        <v>80</v>
      </c>
      <c r="V53" s="56" t="s">
        <v>1308</v>
      </c>
      <c r="W53" s="35" t="str">
        <f t="shared" si="2"/>
        <v>Diferente</v>
      </c>
      <c r="X53" s="38">
        <f t="shared" si="5"/>
        <v>-326.28999999999996</v>
      </c>
      <c r="Y53" s="3"/>
      <c r="Z53" s="116"/>
    </row>
    <row r="54" spans="1:26" ht="14.4" hidden="1" outlineLevel="1" x14ac:dyDescent="0.3">
      <c r="A54" s="3"/>
      <c r="B54" s="139" t="s">
        <v>477</v>
      </c>
      <c r="C54" s="53"/>
      <c r="D54" s="53" t="s">
        <v>105</v>
      </c>
      <c r="E54" s="11">
        <f t="shared" si="23"/>
        <v>161.29</v>
      </c>
      <c r="F54" s="92"/>
      <c r="G54" s="58"/>
      <c r="H54" s="54"/>
      <c r="I54" s="54"/>
      <c r="J54" s="55"/>
      <c r="K54" s="11"/>
      <c r="L54" s="53" t="str">
        <f t="shared" si="4"/>
        <v/>
      </c>
      <c r="M54" s="11">
        <v>98.28</v>
      </c>
      <c r="N54" s="11">
        <v>24.57</v>
      </c>
      <c r="O54" s="11">
        <v>12</v>
      </c>
      <c r="P54" s="11">
        <v>1.44</v>
      </c>
      <c r="Q54" s="11"/>
      <c r="R54" s="11">
        <v>10</v>
      </c>
      <c r="S54" s="11"/>
      <c r="T54" s="11"/>
      <c r="U54" s="11">
        <v>15</v>
      </c>
      <c r="V54" s="56" t="s">
        <v>1298</v>
      </c>
      <c r="W54" s="35" t="str">
        <f t="shared" si="2"/>
        <v>Diferente</v>
      </c>
      <c r="X54" s="38">
        <f t="shared" si="5"/>
        <v>-161.29</v>
      </c>
      <c r="Y54" s="3"/>
      <c r="Z54" s="116"/>
    </row>
    <row r="55" spans="1:26" ht="14.4" hidden="1" outlineLevel="1" x14ac:dyDescent="0.3">
      <c r="A55" s="3"/>
      <c r="B55" s="99" t="s">
        <v>478</v>
      </c>
      <c r="C55" s="53">
        <v>26</v>
      </c>
      <c r="D55" s="53" t="s">
        <v>95</v>
      </c>
      <c r="E55" s="11">
        <v>72</v>
      </c>
      <c r="F55" s="92">
        <f>SUM(M55:U55)</f>
        <v>172</v>
      </c>
      <c r="G55" s="58"/>
      <c r="H55" s="54" t="s">
        <v>37</v>
      </c>
      <c r="I55" s="54"/>
      <c r="J55" s="55"/>
      <c r="K55" s="11"/>
      <c r="L55" s="53">
        <f t="shared" si="4"/>
        <v>1</v>
      </c>
      <c r="M55" s="11">
        <f>13.93+28+72</f>
        <v>113.93</v>
      </c>
      <c r="N55" s="11">
        <v>24.57</v>
      </c>
      <c r="O55" s="11">
        <v>12</v>
      </c>
      <c r="P55" s="11">
        <v>1.5</v>
      </c>
      <c r="Q55" s="11">
        <v>5</v>
      </c>
      <c r="R55" s="11"/>
      <c r="S55" s="11"/>
      <c r="T55" s="11"/>
      <c r="U55" s="11">
        <v>15</v>
      </c>
      <c r="V55" s="56" t="s">
        <v>1298</v>
      </c>
      <c r="W55" s="35" t="str">
        <f t="shared" si="2"/>
        <v>OK</v>
      </c>
      <c r="X55" s="38" t="str">
        <f t="shared" si="5"/>
        <v/>
      </c>
      <c r="Y55" s="3"/>
      <c r="Z55" s="116"/>
    </row>
    <row r="56" spans="1:26" ht="14.4" hidden="1" outlineLevel="1" x14ac:dyDescent="0.3">
      <c r="A56" s="3"/>
      <c r="B56" s="99" t="s">
        <v>479</v>
      </c>
      <c r="C56" s="53">
        <v>5</v>
      </c>
      <c r="D56" s="53" t="s">
        <v>95</v>
      </c>
      <c r="E56" s="11">
        <f t="shared" ref="E56:E57" si="25">SUM(M56:U56)</f>
        <v>155.5</v>
      </c>
      <c r="F56" s="92">
        <f t="shared" ref="F56:F57" si="26">E56</f>
        <v>155.5</v>
      </c>
      <c r="G56" s="58"/>
      <c r="H56" s="54" t="s">
        <v>37</v>
      </c>
      <c r="I56" s="54"/>
      <c r="J56" s="55"/>
      <c r="K56" s="11"/>
      <c r="L56" s="53" t="str">
        <f t="shared" si="4"/>
        <v/>
      </c>
      <c r="M56" s="11">
        <v>93.43</v>
      </c>
      <c r="N56" s="11">
        <v>24.57</v>
      </c>
      <c r="O56" s="11">
        <v>12</v>
      </c>
      <c r="P56" s="11">
        <v>1.5</v>
      </c>
      <c r="Q56" s="11"/>
      <c r="R56" s="11">
        <v>0</v>
      </c>
      <c r="S56" s="11">
        <v>4</v>
      </c>
      <c r="T56" s="11">
        <v>5</v>
      </c>
      <c r="U56" s="11">
        <v>15</v>
      </c>
      <c r="V56" s="56" t="s">
        <v>1298</v>
      </c>
      <c r="W56" s="35" t="str">
        <f t="shared" si="2"/>
        <v>OK</v>
      </c>
      <c r="X56" s="38" t="str">
        <f t="shared" si="5"/>
        <v/>
      </c>
      <c r="Y56" s="3"/>
      <c r="Z56" s="116"/>
    </row>
    <row r="57" spans="1:26" ht="14.4" hidden="1" outlineLevel="1" x14ac:dyDescent="0.3">
      <c r="A57" s="3"/>
      <c r="B57" s="139" t="s">
        <v>480</v>
      </c>
      <c r="C57" s="53">
        <v>5</v>
      </c>
      <c r="D57" s="53" t="s">
        <v>95</v>
      </c>
      <c r="E57" s="11">
        <f t="shared" si="25"/>
        <v>154.5</v>
      </c>
      <c r="F57" s="92">
        <f t="shared" si="26"/>
        <v>154.5</v>
      </c>
      <c r="G57" s="58"/>
      <c r="H57" s="54" t="s">
        <v>37</v>
      </c>
      <c r="I57" s="54"/>
      <c r="J57" s="55"/>
      <c r="K57" s="11"/>
      <c r="L57" s="53" t="str">
        <f t="shared" si="4"/>
        <v/>
      </c>
      <c r="M57" s="11">
        <v>93.43</v>
      </c>
      <c r="N57" s="11">
        <v>24.57</v>
      </c>
      <c r="O57" s="11">
        <v>12</v>
      </c>
      <c r="P57" s="11">
        <v>1.5</v>
      </c>
      <c r="Q57" s="11"/>
      <c r="R57" s="11">
        <v>0</v>
      </c>
      <c r="S57" s="11">
        <v>3</v>
      </c>
      <c r="T57" s="11">
        <v>5</v>
      </c>
      <c r="U57" s="11">
        <v>15</v>
      </c>
      <c r="V57" s="56" t="s">
        <v>1298</v>
      </c>
      <c r="W57" s="35" t="str">
        <f t="shared" si="2"/>
        <v>OK</v>
      </c>
      <c r="X57" s="38" t="str">
        <f t="shared" si="5"/>
        <v/>
      </c>
      <c r="Y57" s="3"/>
      <c r="Z57" s="116"/>
    </row>
    <row r="58" spans="1:26" ht="14.4" hidden="1" outlineLevel="1" x14ac:dyDescent="0.3">
      <c r="A58" s="3"/>
      <c r="B58" s="99" t="s">
        <v>482</v>
      </c>
      <c r="C58" s="53">
        <v>19</v>
      </c>
      <c r="D58" s="53" t="s">
        <v>130</v>
      </c>
      <c r="E58" s="11">
        <v>102.37</v>
      </c>
      <c r="F58" s="92">
        <f>SUM(M58:U58)</f>
        <v>354.28</v>
      </c>
      <c r="G58" s="58"/>
      <c r="H58" s="54" t="s">
        <v>38</v>
      </c>
      <c r="I58" s="54"/>
      <c r="J58" s="55"/>
      <c r="K58" s="11"/>
      <c r="L58" s="53">
        <f t="shared" si="4"/>
        <v>1</v>
      </c>
      <c r="M58" s="11">
        <f>19.36+251.91</f>
        <v>271.27</v>
      </c>
      <c r="N58" s="11">
        <v>24.57</v>
      </c>
      <c r="O58" s="11">
        <v>12</v>
      </c>
      <c r="P58" s="11">
        <v>1.44</v>
      </c>
      <c r="Q58" s="11">
        <v>5</v>
      </c>
      <c r="R58" s="11"/>
      <c r="S58" s="11"/>
      <c r="T58" s="11"/>
      <c r="U58" s="11">
        <v>40</v>
      </c>
      <c r="V58" s="56" t="s">
        <v>1309</v>
      </c>
      <c r="W58" s="35" t="str">
        <f t="shared" si="2"/>
        <v>OK</v>
      </c>
      <c r="X58" s="38" t="str">
        <f t="shared" si="5"/>
        <v/>
      </c>
      <c r="Y58" s="3"/>
      <c r="Z58" s="116"/>
    </row>
    <row r="59" spans="1:26" ht="14.4" hidden="1" outlineLevel="1" x14ac:dyDescent="0.3">
      <c r="A59" s="3"/>
      <c r="B59" s="99" t="s">
        <v>483</v>
      </c>
      <c r="C59" s="53">
        <v>11</v>
      </c>
      <c r="D59" s="53" t="s">
        <v>95</v>
      </c>
      <c r="E59" s="11">
        <f t="shared" ref="E59:E60" si="27">SUM(M59:U59)</f>
        <v>97.49</v>
      </c>
      <c r="F59" s="92">
        <f t="shared" ref="F59:F60" si="28">E59</f>
        <v>97.49</v>
      </c>
      <c r="G59" s="58"/>
      <c r="H59" s="54" t="s">
        <v>37</v>
      </c>
      <c r="I59" s="54"/>
      <c r="J59" s="55"/>
      <c r="K59" s="11"/>
      <c r="L59" s="53" t="str">
        <f t="shared" si="4"/>
        <v/>
      </c>
      <c r="M59" s="11">
        <f t="shared" ref="M59:M60" si="29">59.48</f>
        <v>59.48</v>
      </c>
      <c r="N59" s="11">
        <v>24.57</v>
      </c>
      <c r="O59" s="11">
        <v>12</v>
      </c>
      <c r="P59" s="11">
        <v>1.44</v>
      </c>
      <c r="Q59" s="11"/>
      <c r="R59" s="11"/>
      <c r="S59" s="11"/>
      <c r="T59" s="11"/>
      <c r="U59" s="11"/>
      <c r="V59" s="56" t="s">
        <v>1299</v>
      </c>
      <c r="W59" s="35" t="str">
        <f t="shared" si="2"/>
        <v>OK</v>
      </c>
      <c r="X59" s="38" t="str">
        <f t="shared" si="5"/>
        <v/>
      </c>
      <c r="Y59" s="3"/>
      <c r="Z59" s="116"/>
    </row>
    <row r="60" spans="1:26" ht="14.4" hidden="1" outlineLevel="1" x14ac:dyDescent="0.3">
      <c r="A60" s="3"/>
      <c r="B60" s="139" t="s">
        <v>484</v>
      </c>
      <c r="C60" s="53">
        <v>11</v>
      </c>
      <c r="D60" s="53" t="s">
        <v>95</v>
      </c>
      <c r="E60" s="11">
        <f t="shared" si="27"/>
        <v>97.55</v>
      </c>
      <c r="F60" s="92">
        <f t="shared" si="28"/>
        <v>97.55</v>
      </c>
      <c r="G60" s="58"/>
      <c r="H60" s="54" t="s">
        <v>37</v>
      </c>
      <c r="I60" s="54"/>
      <c r="J60" s="55"/>
      <c r="K60" s="11"/>
      <c r="L60" s="53" t="str">
        <f t="shared" si="4"/>
        <v/>
      </c>
      <c r="M60" s="11">
        <f t="shared" si="29"/>
        <v>59.48</v>
      </c>
      <c r="N60" s="11">
        <v>24.57</v>
      </c>
      <c r="O60" s="11">
        <v>12</v>
      </c>
      <c r="P60" s="11">
        <v>1.5</v>
      </c>
      <c r="Q60" s="11"/>
      <c r="R60" s="11"/>
      <c r="S60" s="11"/>
      <c r="T60" s="11"/>
      <c r="U60" s="11"/>
      <c r="V60" s="56" t="s">
        <v>1298</v>
      </c>
      <c r="W60" s="35" t="str">
        <f t="shared" si="2"/>
        <v>OK</v>
      </c>
      <c r="X60" s="38" t="str">
        <f t="shared" si="5"/>
        <v/>
      </c>
      <c r="Y60" s="3"/>
      <c r="Z60" s="116"/>
    </row>
    <row r="61" spans="1:26" ht="14.4" hidden="1" outlineLevel="1" x14ac:dyDescent="0.3">
      <c r="A61" s="3"/>
      <c r="B61" s="99" t="s">
        <v>485</v>
      </c>
      <c r="C61" s="53">
        <v>3</v>
      </c>
      <c r="D61" s="53" t="s">
        <v>130</v>
      </c>
      <c r="E61" s="11">
        <v>115</v>
      </c>
      <c r="F61" s="92">
        <f>SUM(M61:U61)</f>
        <v>130</v>
      </c>
      <c r="G61" s="61" t="s">
        <v>1310</v>
      </c>
      <c r="H61" s="54" t="s">
        <v>37</v>
      </c>
      <c r="I61" s="54"/>
      <c r="J61" s="55"/>
      <c r="K61" s="11"/>
      <c r="L61" s="53" t="str">
        <f t="shared" si="4"/>
        <v/>
      </c>
      <c r="M61" s="11">
        <v>61.99</v>
      </c>
      <c r="N61" s="11">
        <v>24.57</v>
      </c>
      <c r="O61" s="11">
        <v>12</v>
      </c>
      <c r="P61" s="11">
        <v>1.44</v>
      </c>
      <c r="Q61" s="11"/>
      <c r="R61" s="11"/>
      <c r="S61" s="11"/>
      <c r="T61" s="11"/>
      <c r="U61" s="11">
        <f>15+15</f>
        <v>30</v>
      </c>
      <c r="V61" s="56" t="s">
        <v>1298</v>
      </c>
      <c r="W61" s="35" t="str">
        <f t="shared" si="2"/>
        <v>OK</v>
      </c>
      <c r="X61" s="38" t="str">
        <f t="shared" si="5"/>
        <v/>
      </c>
      <c r="Y61" s="3"/>
      <c r="Z61" s="116"/>
    </row>
    <row r="62" spans="1:26" ht="14.4" hidden="1" outlineLevel="1" x14ac:dyDescent="0.3">
      <c r="A62" s="3"/>
      <c r="B62" s="139" t="s">
        <v>489</v>
      </c>
      <c r="C62" s="53"/>
      <c r="D62" s="53" t="s">
        <v>105</v>
      </c>
      <c r="E62" s="11">
        <f t="shared" ref="E62:E67" si="30">SUM(M62:U62)</f>
        <v>153.07</v>
      </c>
      <c r="F62" s="92"/>
      <c r="G62" s="58"/>
      <c r="H62" s="54"/>
      <c r="I62" s="54"/>
      <c r="J62" s="55"/>
      <c r="K62" s="11"/>
      <c r="L62" s="53" t="str">
        <f t="shared" si="4"/>
        <v/>
      </c>
      <c r="M62" s="11">
        <v>100</v>
      </c>
      <c r="N62" s="11">
        <v>24.57</v>
      </c>
      <c r="O62" s="11">
        <v>12</v>
      </c>
      <c r="P62" s="11">
        <v>1.5</v>
      </c>
      <c r="Q62" s="11"/>
      <c r="R62" s="11"/>
      <c r="S62" s="11"/>
      <c r="T62" s="11"/>
      <c r="U62" s="11">
        <v>15</v>
      </c>
      <c r="V62" s="56" t="s">
        <v>1298</v>
      </c>
      <c r="W62" s="35" t="str">
        <f t="shared" si="2"/>
        <v>Diferente</v>
      </c>
      <c r="X62" s="38">
        <f t="shared" si="5"/>
        <v>-153.07</v>
      </c>
      <c r="Y62" s="3"/>
      <c r="Z62" s="116"/>
    </row>
    <row r="63" spans="1:26" ht="14.4" hidden="1" outlineLevel="1" x14ac:dyDescent="0.3">
      <c r="A63" s="3"/>
      <c r="B63" s="139" t="s">
        <v>490</v>
      </c>
      <c r="C63" s="53">
        <v>3</v>
      </c>
      <c r="D63" s="53" t="s">
        <v>95</v>
      </c>
      <c r="E63" s="11">
        <f t="shared" si="30"/>
        <v>328.82</v>
      </c>
      <c r="F63" s="92">
        <f t="shared" ref="F63:F67" si="31">E63</f>
        <v>328.82</v>
      </c>
      <c r="G63" s="58"/>
      <c r="H63" s="54" t="s">
        <v>37</v>
      </c>
      <c r="I63" s="54"/>
      <c r="J63" s="55"/>
      <c r="K63" s="11"/>
      <c r="L63" s="53" t="str">
        <f t="shared" si="4"/>
        <v/>
      </c>
      <c r="M63" s="11">
        <v>122.25</v>
      </c>
      <c r="N63" s="11">
        <v>24.57</v>
      </c>
      <c r="O63" s="11">
        <v>12</v>
      </c>
      <c r="P63" s="11">
        <v>10</v>
      </c>
      <c r="Q63" s="11">
        <v>5</v>
      </c>
      <c r="R63" s="11">
        <v>5</v>
      </c>
      <c r="S63" s="11">
        <v>15</v>
      </c>
      <c r="T63" s="11">
        <v>25</v>
      </c>
      <c r="U63" s="11">
        <v>110</v>
      </c>
      <c r="V63" s="56" t="s">
        <v>1311</v>
      </c>
      <c r="W63" s="35" t="str">
        <f t="shared" si="2"/>
        <v>OK</v>
      </c>
      <c r="X63" s="38" t="str">
        <f t="shared" si="5"/>
        <v/>
      </c>
      <c r="Y63" s="3"/>
      <c r="Z63" s="116"/>
    </row>
    <row r="64" spans="1:26" ht="14.4" hidden="1" outlineLevel="1" x14ac:dyDescent="0.3">
      <c r="A64" s="3"/>
      <c r="B64" s="99" t="s">
        <v>491</v>
      </c>
      <c r="C64" s="53">
        <v>3</v>
      </c>
      <c r="D64" s="53" t="s">
        <v>95</v>
      </c>
      <c r="E64" s="11">
        <f t="shared" si="30"/>
        <v>233.82</v>
      </c>
      <c r="F64" s="92">
        <f t="shared" si="31"/>
        <v>233.82</v>
      </c>
      <c r="G64" s="58"/>
      <c r="H64" s="54" t="s">
        <v>37</v>
      </c>
      <c r="I64" s="54"/>
      <c r="J64" s="55"/>
      <c r="K64" s="11"/>
      <c r="L64" s="53" t="str">
        <f t="shared" si="4"/>
        <v/>
      </c>
      <c r="M64" s="11">
        <v>122.25</v>
      </c>
      <c r="N64" s="11">
        <v>24.57</v>
      </c>
      <c r="O64" s="11">
        <v>12</v>
      </c>
      <c r="P64" s="11">
        <v>10</v>
      </c>
      <c r="Q64" s="11">
        <v>5</v>
      </c>
      <c r="R64" s="11">
        <v>5</v>
      </c>
      <c r="S64" s="11">
        <v>15</v>
      </c>
      <c r="T64" s="11">
        <v>25</v>
      </c>
      <c r="U64" s="11">
        <v>15</v>
      </c>
      <c r="V64" s="56" t="s">
        <v>1298</v>
      </c>
      <c r="W64" s="35" t="str">
        <f t="shared" si="2"/>
        <v>OK</v>
      </c>
      <c r="X64" s="38" t="str">
        <f t="shared" si="5"/>
        <v/>
      </c>
      <c r="Y64" s="3"/>
      <c r="Z64" s="116"/>
    </row>
    <row r="65" spans="1:26" ht="14.4" hidden="1" outlineLevel="1" x14ac:dyDescent="0.3">
      <c r="A65" s="3"/>
      <c r="B65" s="139" t="s">
        <v>492</v>
      </c>
      <c r="C65" s="53">
        <v>3</v>
      </c>
      <c r="D65" s="53" t="s">
        <v>95</v>
      </c>
      <c r="E65" s="11">
        <f t="shared" si="30"/>
        <v>221.44</v>
      </c>
      <c r="F65" s="92">
        <f t="shared" si="31"/>
        <v>221.44</v>
      </c>
      <c r="G65" s="58"/>
      <c r="H65" s="54" t="s">
        <v>37</v>
      </c>
      <c r="I65" s="54"/>
      <c r="J65" s="55"/>
      <c r="K65" s="11"/>
      <c r="L65" s="53" t="str">
        <f t="shared" si="4"/>
        <v/>
      </c>
      <c r="M65" s="11">
        <v>113.43</v>
      </c>
      <c r="N65" s="11">
        <v>24.57</v>
      </c>
      <c r="O65" s="11">
        <v>12</v>
      </c>
      <c r="P65" s="11">
        <v>1.44</v>
      </c>
      <c r="Q65" s="11">
        <v>5</v>
      </c>
      <c r="R65" s="11">
        <v>20</v>
      </c>
      <c r="S65" s="11">
        <v>5</v>
      </c>
      <c r="T65" s="11"/>
      <c r="U65" s="11">
        <v>40</v>
      </c>
      <c r="V65" s="56" t="s">
        <v>1309</v>
      </c>
      <c r="W65" s="35" t="str">
        <f t="shared" si="2"/>
        <v>OK</v>
      </c>
      <c r="X65" s="38" t="str">
        <f t="shared" si="5"/>
        <v/>
      </c>
      <c r="Y65" s="3"/>
      <c r="Z65" s="116"/>
    </row>
    <row r="66" spans="1:26" ht="14.4" hidden="1" outlineLevel="1" x14ac:dyDescent="0.3">
      <c r="A66" s="3"/>
      <c r="B66" s="99" t="s">
        <v>493</v>
      </c>
      <c r="C66" s="53">
        <v>11</v>
      </c>
      <c r="D66" s="53" t="s">
        <v>95</v>
      </c>
      <c r="E66" s="11">
        <f t="shared" si="30"/>
        <v>80.67</v>
      </c>
      <c r="F66" s="92">
        <f t="shared" si="31"/>
        <v>80.67</v>
      </c>
      <c r="G66" s="58"/>
      <c r="H66" s="54" t="s">
        <v>37</v>
      </c>
      <c r="I66" s="54"/>
      <c r="J66" s="55"/>
      <c r="K66" s="11"/>
      <c r="L66" s="53" t="str">
        <f t="shared" si="4"/>
        <v/>
      </c>
      <c r="M66" s="11">
        <v>27.66</v>
      </c>
      <c r="N66" s="11">
        <v>24.57</v>
      </c>
      <c r="O66" s="11">
        <v>12</v>
      </c>
      <c r="P66" s="11">
        <v>1.44</v>
      </c>
      <c r="Q66" s="11"/>
      <c r="R66" s="11"/>
      <c r="S66" s="11"/>
      <c r="T66" s="11"/>
      <c r="U66" s="11">
        <v>15</v>
      </c>
      <c r="V66" s="56" t="s">
        <v>1298</v>
      </c>
      <c r="W66" s="35" t="str">
        <f t="shared" si="2"/>
        <v>OK</v>
      </c>
      <c r="X66" s="38" t="str">
        <f t="shared" si="5"/>
        <v/>
      </c>
      <c r="Y66" s="3"/>
      <c r="Z66" s="116"/>
    </row>
    <row r="67" spans="1:26" ht="14.4" hidden="1" outlineLevel="1" x14ac:dyDescent="0.3">
      <c r="A67" s="3"/>
      <c r="B67" s="139" t="s">
        <v>494</v>
      </c>
      <c r="C67" s="53">
        <v>10</v>
      </c>
      <c r="D67" s="53" t="s">
        <v>95</v>
      </c>
      <c r="E67" s="11">
        <f t="shared" si="30"/>
        <v>135</v>
      </c>
      <c r="F67" s="92">
        <f t="shared" si="31"/>
        <v>135</v>
      </c>
      <c r="G67" s="58"/>
      <c r="H67" s="54" t="s">
        <v>37</v>
      </c>
      <c r="I67" s="54"/>
      <c r="J67" s="55"/>
      <c r="K67" s="11"/>
      <c r="L67" s="53" t="str">
        <f t="shared" si="4"/>
        <v/>
      </c>
      <c r="M67" s="11">
        <v>81.93</v>
      </c>
      <c r="N67" s="11">
        <v>24.57</v>
      </c>
      <c r="O67" s="11">
        <v>12</v>
      </c>
      <c r="P67" s="11">
        <v>1.5</v>
      </c>
      <c r="Q67" s="11"/>
      <c r="R67" s="11"/>
      <c r="S67" s="11"/>
      <c r="T67" s="11"/>
      <c r="U67" s="11">
        <v>15</v>
      </c>
      <c r="V67" s="56" t="s">
        <v>1298</v>
      </c>
      <c r="W67" s="35" t="str">
        <f t="shared" si="2"/>
        <v>OK</v>
      </c>
      <c r="X67" s="38" t="str">
        <f t="shared" si="5"/>
        <v/>
      </c>
      <c r="Y67" s="3"/>
      <c r="Z67" s="116"/>
    </row>
    <row r="68" spans="1:26" ht="14.4" hidden="1" outlineLevel="1" x14ac:dyDescent="0.3">
      <c r="A68" s="3"/>
      <c r="B68" s="99" t="s">
        <v>495</v>
      </c>
      <c r="C68" s="53">
        <v>24</v>
      </c>
      <c r="D68" s="53" t="s">
        <v>95</v>
      </c>
      <c r="E68" s="11">
        <v>67</v>
      </c>
      <c r="F68" s="92">
        <f t="shared" ref="F68:F69" si="32">SUM(M68:U68)</f>
        <v>500</v>
      </c>
      <c r="G68" s="58"/>
      <c r="H68" s="54" t="s">
        <v>37</v>
      </c>
      <c r="I68" s="54"/>
      <c r="J68" s="55"/>
      <c r="K68" s="11"/>
      <c r="L68" s="53">
        <f t="shared" si="4"/>
        <v>1</v>
      </c>
      <c r="M68" s="11">
        <f t="shared" ref="M68:M69" si="33">13.93*9+2</f>
        <v>127.37</v>
      </c>
      <c r="N68" s="11">
        <f t="shared" ref="N68:N69" si="34">24.57*9</f>
        <v>221.13</v>
      </c>
      <c r="O68" s="11">
        <f t="shared" ref="O68:O69" si="35">12*9</f>
        <v>108</v>
      </c>
      <c r="P68" s="11">
        <f t="shared" ref="P68:P69" si="36">1.5*9</f>
        <v>13.5</v>
      </c>
      <c r="Q68" s="11"/>
      <c r="R68" s="11"/>
      <c r="S68" s="11"/>
      <c r="T68" s="11"/>
      <c r="U68" s="11">
        <f t="shared" ref="U68:U69" si="37">15*2</f>
        <v>30</v>
      </c>
      <c r="V68" s="56" t="s">
        <v>1298</v>
      </c>
      <c r="W68" s="35" t="str">
        <f t="shared" si="2"/>
        <v>OK</v>
      </c>
      <c r="X68" s="38" t="str">
        <f t="shared" si="5"/>
        <v/>
      </c>
      <c r="Y68" s="3"/>
      <c r="Z68" s="116"/>
    </row>
    <row r="69" spans="1:26" ht="14.4" hidden="1" outlineLevel="1" x14ac:dyDescent="0.3">
      <c r="A69" s="3"/>
      <c r="B69" s="99" t="s">
        <v>496</v>
      </c>
      <c r="C69" s="53">
        <v>24</v>
      </c>
      <c r="D69" s="53" t="s">
        <v>95</v>
      </c>
      <c r="E69" s="11">
        <v>67</v>
      </c>
      <c r="F69" s="92">
        <f t="shared" si="32"/>
        <v>500</v>
      </c>
      <c r="G69" s="58"/>
      <c r="H69" s="54" t="s">
        <v>37</v>
      </c>
      <c r="I69" s="54"/>
      <c r="J69" s="55"/>
      <c r="K69" s="11"/>
      <c r="L69" s="53">
        <f t="shared" si="4"/>
        <v>1</v>
      </c>
      <c r="M69" s="11">
        <f t="shared" si="33"/>
        <v>127.37</v>
      </c>
      <c r="N69" s="11">
        <f t="shared" si="34"/>
        <v>221.13</v>
      </c>
      <c r="O69" s="11">
        <f t="shared" si="35"/>
        <v>108</v>
      </c>
      <c r="P69" s="11">
        <f t="shared" si="36"/>
        <v>13.5</v>
      </c>
      <c r="Q69" s="11"/>
      <c r="R69" s="11"/>
      <c r="S69" s="11"/>
      <c r="T69" s="11"/>
      <c r="U69" s="11">
        <f t="shared" si="37"/>
        <v>30</v>
      </c>
      <c r="V69" s="56" t="s">
        <v>1298</v>
      </c>
      <c r="W69" s="35" t="str">
        <f t="shared" si="2"/>
        <v>OK</v>
      </c>
      <c r="X69" s="38" t="str">
        <f t="shared" si="5"/>
        <v/>
      </c>
      <c r="Y69" s="3"/>
      <c r="Z69" s="116"/>
    </row>
    <row r="70" spans="1:26" ht="14.4" hidden="1" outlineLevel="1" x14ac:dyDescent="0.3">
      <c r="A70" s="3"/>
      <c r="B70" s="139" t="s">
        <v>497</v>
      </c>
      <c r="C70" s="53">
        <v>10</v>
      </c>
      <c r="D70" s="53" t="s">
        <v>95</v>
      </c>
      <c r="E70" s="11">
        <f t="shared" ref="E70:E94" si="38">SUM(M70:U70)</f>
        <v>115</v>
      </c>
      <c r="F70" s="92">
        <f t="shared" ref="F70:F71" si="39">E70</f>
        <v>115</v>
      </c>
      <c r="G70" s="58"/>
      <c r="H70" s="54" t="s">
        <v>37</v>
      </c>
      <c r="I70" s="54"/>
      <c r="J70" s="55"/>
      <c r="K70" s="11"/>
      <c r="L70" s="53" t="str">
        <f t="shared" si="4"/>
        <v/>
      </c>
      <c r="M70" s="11">
        <v>56.93</v>
      </c>
      <c r="N70" s="11">
        <v>24.57</v>
      </c>
      <c r="O70" s="11">
        <v>12</v>
      </c>
      <c r="P70" s="11">
        <v>1.5</v>
      </c>
      <c r="Q70" s="11">
        <v>5</v>
      </c>
      <c r="R70" s="11"/>
      <c r="S70" s="11"/>
      <c r="T70" s="11"/>
      <c r="U70" s="11">
        <v>15</v>
      </c>
      <c r="V70" s="56" t="s">
        <v>1298</v>
      </c>
      <c r="W70" s="35" t="str">
        <f t="shared" si="2"/>
        <v>OK</v>
      </c>
      <c r="X70" s="38" t="str">
        <f t="shared" si="5"/>
        <v/>
      </c>
      <c r="Y70" s="3"/>
      <c r="Z70" s="116"/>
    </row>
    <row r="71" spans="1:26" ht="14.4" hidden="1" outlineLevel="1" x14ac:dyDescent="0.3">
      <c r="A71" s="3"/>
      <c r="B71" s="99" t="s">
        <v>498</v>
      </c>
      <c r="C71" s="53">
        <v>3</v>
      </c>
      <c r="D71" s="53" t="s">
        <v>95</v>
      </c>
      <c r="E71" s="11">
        <f t="shared" si="38"/>
        <v>215</v>
      </c>
      <c r="F71" s="92">
        <f t="shared" si="39"/>
        <v>215</v>
      </c>
      <c r="G71" s="58"/>
      <c r="H71" s="54" t="s">
        <v>37</v>
      </c>
      <c r="I71" s="54"/>
      <c r="J71" s="55"/>
      <c r="K71" s="11"/>
      <c r="L71" s="53" t="str">
        <f t="shared" si="4"/>
        <v/>
      </c>
      <c r="M71" s="11">
        <v>148.43</v>
      </c>
      <c r="N71" s="11">
        <v>24.57</v>
      </c>
      <c r="O71" s="11">
        <v>12</v>
      </c>
      <c r="P71" s="11">
        <v>5</v>
      </c>
      <c r="Q71" s="11">
        <v>10</v>
      </c>
      <c r="R71" s="11"/>
      <c r="S71" s="11"/>
      <c r="T71" s="11"/>
      <c r="U71" s="11">
        <v>15</v>
      </c>
      <c r="V71" s="56" t="s">
        <v>1298</v>
      </c>
      <c r="W71" s="35" t="str">
        <f t="shared" si="2"/>
        <v>OK</v>
      </c>
      <c r="X71" s="38" t="str">
        <f t="shared" si="5"/>
        <v/>
      </c>
      <c r="Y71" s="3"/>
      <c r="Z71" s="116"/>
    </row>
    <row r="72" spans="1:26" ht="14.4" hidden="1" outlineLevel="1" x14ac:dyDescent="0.3">
      <c r="A72" s="3"/>
      <c r="B72" s="139" t="s">
        <v>499</v>
      </c>
      <c r="C72" s="53"/>
      <c r="D72" s="53" t="s">
        <v>105</v>
      </c>
      <c r="E72" s="11">
        <f t="shared" si="38"/>
        <v>72.39</v>
      </c>
      <c r="F72" s="92"/>
      <c r="G72" s="58"/>
      <c r="H72" s="54"/>
      <c r="I72" s="54"/>
      <c r="J72" s="55"/>
      <c r="K72" s="11"/>
      <c r="L72" s="53" t="str">
        <f t="shared" si="4"/>
        <v/>
      </c>
      <c r="M72" s="11">
        <v>19.32</v>
      </c>
      <c r="N72" s="11">
        <v>24.57</v>
      </c>
      <c r="O72" s="11">
        <v>12</v>
      </c>
      <c r="P72" s="11">
        <v>1.5</v>
      </c>
      <c r="Q72" s="11"/>
      <c r="R72" s="11"/>
      <c r="S72" s="11"/>
      <c r="T72" s="11"/>
      <c r="U72" s="11">
        <v>15</v>
      </c>
      <c r="V72" s="56" t="s">
        <v>1298</v>
      </c>
      <c r="W72" s="35" t="str">
        <f t="shared" si="2"/>
        <v>Diferente</v>
      </c>
      <c r="X72" s="38">
        <f t="shared" si="5"/>
        <v>-72.39</v>
      </c>
      <c r="Y72" s="3"/>
      <c r="Z72" s="116"/>
    </row>
    <row r="73" spans="1:26" ht="14.4" hidden="1" outlineLevel="1" x14ac:dyDescent="0.3">
      <c r="A73" s="3"/>
      <c r="B73" s="99" t="s">
        <v>500</v>
      </c>
      <c r="C73" s="53"/>
      <c r="D73" s="53" t="s">
        <v>105</v>
      </c>
      <c r="E73" s="11">
        <f t="shared" si="38"/>
        <v>82.740000000000009</v>
      </c>
      <c r="F73" s="92"/>
      <c r="G73" s="58"/>
      <c r="H73" s="54"/>
      <c r="I73" s="54"/>
      <c r="J73" s="55"/>
      <c r="K73" s="11"/>
      <c r="L73" s="53" t="str">
        <f t="shared" si="4"/>
        <v/>
      </c>
      <c r="M73" s="11">
        <v>29.67</v>
      </c>
      <c r="N73" s="11">
        <v>24.57</v>
      </c>
      <c r="O73" s="11">
        <v>12</v>
      </c>
      <c r="P73" s="11">
        <v>1.5</v>
      </c>
      <c r="Q73" s="11"/>
      <c r="R73" s="11"/>
      <c r="S73" s="11"/>
      <c r="T73" s="11"/>
      <c r="U73" s="11">
        <v>15</v>
      </c>
      <c r="V73" s="56" t="s">
        <v>1298</v>
      </c>
      <c r="W73" s="35" t="str">
        <f t="shared" si="2"/>
        <v>Diferente</v>
      </c>
      <c r="X73" s="38">
        <f t="shared" si="5"/>
        <v>-82.740000000000009</v>
      </c>
      <c r="Y73" s="3"/>
      <c r="Z73" s="116"/>
    </row>
    <row r="74" spans="1:26" ht="14.4" hidden="1" outlineLevel="1" x14ac:dyDescent="0.3">
      <c r="A74" s="3"/>
      <c r="B74" s="99" t="s">
        <v>501</v>
      </c>
      <c r="C74" s="53">
        <v>3</v>
      </c>
      <c r="D74" s="53" t="s">
        <v>95</v>
      </c>
      <c r="E74" s="11">
        <f t="shared" si="38"/>
        <v>109.43</v>
      </c>
      <c r="F74" s="92">
        <f t="shared" ref="F74:F91" si="40">E74</f>
        <v>109.43</v>
      </c>
      <c r="G74" s="58"/>
      <c r="H74" s="54" t="s">
        <v>37</v>
      </c>
      <c r="I74" s="54"/>
      <c r="J74" s="55"/>
      <c r="K74" s="11"/>
      <c r="L74" s="53" t="str">
        <f t="shared" si="4"/>
        <v/>
      </c>
      <c r="M74" s="11">
        <v>50.86</v>
      </c>
      <c r="N74" s="11">
        <v>24.57</v>
      </c>
      <c r="O74" s="11">
        <v>12</v>
      </c>
      <c r="P74" s="11">
        <v>2</v>
      </c>
      <c r="Q74" s="11">
        <v>5</v>
      </c>
      <c r="R74" s="11"/>
      <c r="S74" s="11"/>
      <c r="T74" s="11"/>
      <c r="U74" s="11">
        <v>15</v>
      </c>
      <c r="V74" s="56" t="s">
        <v>1298</v>
      </c>
      <c r="W74" s="35" t="str">
        <f t="shared" si="2"/>
        <v>OK</v>
      </c>
      <c r="X74" s="38" t="str">
        <f t="shared" si="5"/>
        <v/>
      </c>
      <c r="Y74" s="3"/>
      <c r="Z74" s="116"/>
    </row>
    <row r="75" spans="1:26" ht="14.4" hidden="1" outlineLevel="1" x14ac:dyDescent="0.3">
      <c r="A75" s="3"/>
      <c r="B75" s="139" t="s">
        <v>502</v>
      </c>
      <c r="C75" s="53">
        <v>3</v>
      </c>
      <c r="D75" s="53" t="s">
        <v>95</v>
      </c>
      <c r="E75" s="11">
        <f t="shared" si="38"/>
        <v>108.57</v>
      </c>
      <c r="F75" s="92">
        <f t="shared" si="40"/>
        <v>108.57</v>
      </c>
      <c r="G75" s="58"/>
      <c r="H75" s="54" t="s">
        <v>37</v>
      </c>
      <c r="I75" s="54"/>
      <c r="J75" s="55"/>
      <c r="K75" s="11"/>
      <c r="L75" s="53" t="str">
        <f t="shared" si="4"/>
        <v/>
      </c>
      <c r="M75" s="11">
        <v>50</v>
      </c>
      <c r="N75" s="11">
        <v>24.57</v>
      </c>
      <c r="O75" s="11">
        <v>12</v>
      </c>
      <c r="P75" s="11">
        <v>2</v>
      </c>
      <c r="Q75" s="11">
        <v>5</v>
      </c>
      <c r="R75" s="11"/>
      <c r="S75" s="11"/>
      <c r="T75" s="11"/>
      <c r="U75" s="11">
        <v>15</v>
      </c>
      <c r="V75" s="56" t="s">
        <v>1298</v>
      </c>
      <c r="W75" s="35" t="str">
        <f t="shared" si="2"/>
        <v>OK</v>
      </c>
      <c r="X75" s="38" t="str">
        <f t="shared" si="5"/>
        <v/>
      </c>
      <c r="Y75" s="3"/>
      <c r="Z75" s="116"/>
    </row>
    <row r="76" spans="1:26" ht="14.4" hidden="1" outlineLevel="1" x14ac:dyDescent="0.3">
      <c r="A76" s="3"/>
      <c r="B76" s="99" t="s">
        <v>503</v>
      </c>
      <c r="C76" s="53">
        <v>5</v>
      </c>
      <c r="D76" s="53" t="s">
        <v>95</v>
      </c>
      <c r="E76" s="11">
        <f t="shared" si="38"/>
        <v>146.69</v>
      </c>
      <c r="F76" s="92">
        <f t="shared" si="40"/>
        <v>146.69</v>
      </c>
      <c r="G76" s="58"/>
      <c r="H76" s="54" t="s">
        <v>37</v>
      </c>
      <c r="I76" s="54"/>
      <c r="J76" s="55"/>
      <c r="K76" s="11"/>
      <c r="L76" s="53" t="str">
        <f t="shared" si="4"/>
        <v/>
      </c>
      <c r="M76" s="11">
        <v>93.62</v>
      </c>
      <c r="N76" s="11">
        <v>24.57</v>
      </c>
      <c r="O76" s="11">
        <v>12</v>
      </c>
      <c r="P76" s="11">
        <v>1.5</v>
      </c>
      <c r="Q76" s="11"/>
      <c r="R76" s="11"/>
      <c r="S76" s="11"/>
      <c r="T76" s="11"/>
      <c r="U76" s="11">
        <v>15</v>
      </c>
      <c r="V76" s="56" t="s">
        <v>1298</v>
      </c>
      <c r="W76" s="35" t="str">
        <f t="shared" si="2"/>
        <v>OK</v>
      </c>
      <c r="X76" s="38" t="str">
        <f t="shared" si="5"/>
        <v/>
      </c>
      <c r="Y76" s="3"/>
      <c r="Z76" s="116"/>
    </row>
    <row r="77" spans="1:26" ht="14.4" hidden="1" outlineLevel="1" x14ac:dyDescent="0.3">
      <c r="A77" s="3"/>
      <c r="B77" s="139" t="s">
        <v>504</v>
      </c>
      <c r="C77" s="53">
        <v>5</v>
      </c>
      <c r="D77" s="53" t="s">
        <v>95</v>
      </c>
      <c r="E77" s="11">
        <f t="shared" si="38"/>
        <v>146.69</v>
      </c>
      <c r="F77" s="92">
        <f t="shared" si="40"/>
        <v>146.69</v>
      </c>
      <c r="G77" s="58"/>
      <c r="H77" s="54" t="s">
        <v>37</v>
      </c>
      <c r="I77" s="54"/>
      <c r="J77" s="55"/>
      <c r="K77" s="11"/>
      <c r="L77" s="53" t="str">
        <f t="shared" si="4"/>
        <v/>
      </c>
      <c r="M77" s="11">
        <v>93.62</v>
      </c>
      <c r="N77" s="11">
        <v>24.57</v>
      </c>
      <c r="O77" s="11">
        <v>12</v>
      </c>
      <c r="P77" s="11">
        <v>1.5</v>
      </c>
      <c r="Q77" s="11"/>
      <c r="R77" s="11"/>
      <c r="S77" s="11"/>
      <c r="T77" s="11"/>
      <c r="U77" s="11">
        <v>15</v>
      </c>
      <c r="V77" s="56" t="s">
        <v>1298</v>
      </c>
      <c r="W77" s="35" t="str">
        <f t="shared" si="2"/>
        <v>OK</v>
      </c>
      <c r="X77" s="38" t="str">
        <f t="shared" si="5"/>
        <v/>
      </c>
      <c r="Y77" s="3"/>
      <c r="Z77" s="116"/>
    </row>
    <row r="78" spans="1:26" ht="14.4" hidden="1" outlineLevel="1" x14ac:dyDescent="0.3">
      <c r="A78" s="3"/>
      <c r="B78" s="99" t="s">
        <v>505</v>
      </c>
      <c r="C78" s="53">
        <v>11</v>
      </c>
      <c r="D78" s="53" t="s">
        <v>95</v>
      </c>
      <c r="E78" s="11">
        <f t="shared" si="38"/>
        <v>158.57</v>
      </c>
      <c r="F78" s="92">
        <f t="shared" si="40"/>
        <v>158.57</v>
      </c>
      <c r="G78" s="58"/>
      <c r="H78" s="54" t="s">
        <v>37</v>
      </c>
      <c r="I78" s="54"/>
      <c r="J78" s="55"/>
      <c r="K78" s="11"/>
      <c r="L78" s="53" t="str">
        <f t="shared" si="4"/>
        <v/>
      </c>
      <c r="M78" s="11">
        <v>100</v>
      </c>
      <c r="N78" s="11">
        <v>24.57</v>
      </c>
      <c r="O78" s="11">
        <v>12</v>
      </c>
      <c r="P78" s="11">
        <v>2</v>
      </c>
      <c r="Q78" s="11"/>
      <c r="R78" s="11"/>
      <c r="S78" s="11">
        <v>5</v>
      </c>
      <c r="T78" s="11"/>
      <c r="U78" s="11">
        <v>15</v>
      </c>
      <c r="V78" s="56" t="s">
        <v>1298</v>
      </c>
      <c r="W78" s="35" t="str">
        <f t="shared" si="2"/>
        <v>OK</v>
      </c>
      <c r="X78" s="38" t="str">
        <f t="shared" si="5"/>
        <v/>
      </c>
      <c r="Y78" s="3"/>
      <c r="Z78" s="116"/>
    </row>
    <row r="79" spans="1:26" ht="14.4" hidden="1" outlineLevel="1" x14ac:dyDescent="0.3">
      <c r="A79" s="3"/>
      <c r="B79" s="139" t="s">
        <v>507</v>
      </c>
      <c r="C79" s="53">
        <v>11</v>
      </c>
      <c r="D79" s="53" t="s">
        <v>95</v>
      </c>
      <c r="E79" s="11">
        <f t="shared" si="38"/>
        <v>158.57</v>
      </c>
      <c r="F79" s="92">
        <f t="shared" si="40"/>
        <v>158.57</v>
      </c>
      <c r="G79" s="58"/>
      <c r="H79" s="54" t="s">
        <v>37</v>
      </c>
      <c r="I79" s="54"/>
      <c r="J79" s="55"/>
      <c r="K79" s="11"/>
      <c r="L79" s="53" t="str">
        <f t="shared" si="4"/>
        <v/>
      </c>
      <c r="M79" s="11">
        <v>100</v>
      </c>
      <c r="N79" s="11">
        <v>24.57</v>
      </c>
      <c r="O79" s="11">
        <v>12</v>
      </c>
      <c r="P79" s="11">
        <v>2</v>
      </c>
      <c r="Q79" s="11"/>
      <c r="R79" s="11"/>
      <c r="S79" s="11">
        <v>5</v>
      </c>
      <c r="T79" s="11"/>
      <c r="U79" s="11">
        <v>15</v>
      </c>
      <c r="V79" s="56" t="s">
        <v>1298</v>
      </c>
      <c r="W79" s="35" t="str">
        <f t="shared" si="2"/>
        <v>OK</v>
      </c>
      <c r="X79" s="38" t="str">
        <f t="shared" si="5"/>
        <v/>
      </c>
      <c r="Y79" s="3"/>
      <c r="Z79" s="116"/>
    </row>
    <row r="80" spans="1:26" ht="14.4" hidden="1" outlineLevel="1" x14ac:dyDescent="0.3">
      <c r="A80" s="3"/>
      <c r="B80" s="139" t="s">
        <v>508</v>
      </c>
      <c r="C80" s="53">
        <v>9</v>
      </c>
      <c r="D80" s="53" t="s">
        <v>95</v>
      </c>
      <c r="E80" s="11">
        <f t="shared" si="38"/>
        <v>265</v>
      </c>
      <c r="F80" s="92">
        <f t="shared" si="40"/>
        <v>265</v>
      </c>
      <c r="G80" s="58"/>
      <c r="H80" s="54" t="s">
        <v>37</v>
      </c>
      <c r="I80" s="54"/>
      <c r="J80" s="55"/>
      <c r="K80" s="11"/>
      <c r="L80" s="53" t="str">
        <f t="shared" si="4"/>
        <v/>
      </c>
      <c r="M80" s="11">
        <v>196.43</v>
      </c>
      <c r="N80" s="11">
        <v>24.57</v>
      </c>
      <c r="O80" s="11">
        <v>12</v>
      </c>
      <c r="P80" s="11">
        <v>2</v>
      </c>
      <c r="Q80" s="11"/>
      <c r="R80" s="11"/>
      <c r="S80" s="11">
        <v>5</v>
      </c>
      <c r="T80" s="11">
        <v>10</v>
      </c>
      <c r="U80" s="11">
        <v>15</v>
      </c>
      <c r="V80" s="56" t="s">
        <v>1298</v>
      </c>
      <c r="W80" s="35" t="str">
        <f t="shared" si="2"/>
        <v>OK</v>
      </c>
      <c r="X80" s="38" t="str">
        <f t="shared" si="5"/>
        <v/>
      </c>
      <c r="Y80" s="3"/>
      <c r="Z80" s="116"/>
    </row>
    <row r="81" spans="1:26" ht="14.4" hidden="1" outlineLevel="1" x14ac:dyDescent="0.3">
      <c r="A81" s="3"/>
      <c r="B81" s="99" t="s">
        <v>1158</v>
      </c>
      <c r="C81" s="53">
        <v>9</v>
      </c>
      <c r="D81" s="53" t="s">
        <v>95</v>
      </c>
      <c r="E81" s="11">
        <f t="shared" si="38"/>
        <v>147.19</v>
      </c>
      <c r="F81" s="92">
        <f t="shared" si="40"/>
        <v>147.19</v>
      </c>
      <c r="G81" s="58"/>
      <c r="H81" s="54" t="s">
        <v>37</v>
      </c>
      <c r="I81" s="54"/>
      <c r="J81" s="55"/>
      <c r="K81" s="11"/>
      <c r="L81" s="53" t="str">
        <f t="shared" si="4"/>
        <v/>
      </c>
      <c r="M81" s="11">
        <v>93.62</v>
      </c>
      <c r="N81" s="11">
        <v>24.57</v>
      </c>
      <c r="O81" s="11">
        <v>12</v>
      </c>
      <c r="P81" s="11">
        <v>2</v>
      </c>
      <c r="Q81" s="11"/>
      <c r="R81" s="11"/>
      <c r="S81" s="11">
        <v>0</v>
      </c>
      <c r="T81" s="11">
        <v>0</v>
      </c>
      <c r="U81" s="11">
        <v>15</v>
      </c>
      <c r="V81" s="56" t="s">
        <v>1298</v>
      </c>
      <c r="W81" s="35" t="str">
        <f t="shared" si="2"/>
        <v>OK</v>
      </c>
      <c r="X81" s="38" t="str">
        <f t="shared" si="5"/>
        <v/>
      </c>
      <c r="Y81" s="3"/>
      <c r="Z81" s="116"/>
    </row>
    <row r="82" spans="1:26" ht="14.4" hidden="1" outlineLevel="1" x14ac:dyDescent="0.3">
      <c r="A82" s="3"/>
      <c r="B82" s="99" t="s">
        <v>509</v>
      </c>
      <c r="C82" s="53">
        <v>4</v>
      </c>
      <c r="D82" s="53" t="s">
        <v>95</v>
      </c>
      <c r="E82" s="11">
        <f t="shared" si="38"/>
        <v>364</v>
      </c>
      <c r="F82" s="92">
        <f t="shared" si="40"/>
        <v>364</v>
      </c>
      <c r="G82" s="58"/>
      <c r="H82" s="54" t="s">
        <v>37</v>
      </c>
      <c r="I82" s="54"/>
      <c r="J82" s="55"/>
      <c r="K82" s="11"/>
      <c r="L82" s="53" t="str">
        <f t="shared" si="4"/>
        <v/>
      </c>
      <c r="M82" s="11">
        <v>138.43</v>
      </c>
      <c r="N82" s="11">
        <v>24.57</v>
      </c>
      <c r="O82" s="11">
        <v>12</v>
      </c>
      <c r="P82" s="11">
        <v>2</v>
      </c>
      <c r="Q82" s="11">
        <v>5</v>
      </c>
      <c r="R82" s="11">
        <v>5</v>
      </c>
      <c r="S82" s="11">
        <v>10</v>
      </c>
      <c r="T82" s="11"/>
      <c r="U82" s="11">
        <v>167</v>
      </c>
      <c r="V82" s="56" t="s">
        <v>1303</v>
      </c>
      <c r="W82" s="35" t="str">
        <f t="shared" si="2"/>
        <v>OK</v>
      </c>
      <c r="X82" s="38" t="str">
        <f t="shared" si="5"/>
        <v/>
      </c>
      <c r="Y82" s="3"/>
      <c r="Z82" s="116"/>
    </row>
    <row r="83" spans="1:26" ht="14.4" hidden="1" outlineLevel="1" x14ac:dyDescent="0.3">
      <c r="A83" s="3"/>
      <c r="B83" s="139" t="s">
        <v>510</v>
      </c>
      <c r="C83" s="53">
        <v>4</v>
      </c>
      <c r="D83" s="53" t="s">
        <v>95</v>
      </c>
      <c r="E83" s="11">
        <f t="shared" si="38"/>
        <v>212</v>
      </c>
      <c r="F83" s="92">
        <f t="shared" si="40"/>
        <v>212</v>
      </c>
      <c r="G83" s="58"/>
      <c r="H83" s="54" t="s">
        <v>37</v>
      </c>
      <c r="I83" s="54"/>
      <c r="J83" s="55"/>
      <c r="K83" s="11"/>
      <c r="L83" s="53" t="str">
        <f t="shared" si="4"/>
        <v/>
      </c>
      <c r="M83" s="11">
        <v>138.43</v>
      </c>
      <c r="N83" s="11">
        <v>24.57</v>
      </c>
      <c r="O83" s="11">
        <v>12</v>
      </c>
      <c r="P83" s="11">
        <v>2</v>
      </c>
      <c r="Q83" s="11">
        <v>5</v>
      </c>
      <c r="R83" s="11">
        <v>5</v>
      </c>
      <c r="S83" s="11">
        <v>10</v>
      </c>
      <c r="T83" s="11"/>
      <c r="U83" s="11">
        <v>15</v>
      </c>
      <c r="V83" s="56" t="s">
        <v>1298</v>
      </c>
      <c r="W83" s="35" t="str">
        <f t="shared" si="2"/>
        <v>OK</v>
      </c>
      <c r="X83" s="38" t="str">
        <f t="shared" si="5"/>
        <v/>
      </c>
      <c r="Y83" s="3"/>
      <c r="Z83" s="116"/>
    </row>
    <row r="84" spans="1:26" ht="14.4" hidden="1" outlineLevel="1" x14ac:dyDescent="0.3">
      <c r="A84" s="3"/>
      <c r="B84" s="139" t="s">
        <v>513</v>
      </c>
      <c r="C84" s="53">
        <v>5</v>
      </c>
      <c r="D84" s="53" t="s">
        <v>95</v>
      </c>
      <c r="E84" s="11">
        <f t="shared" si="38"/>
        <v>178.57</v>
      </c>
      <c r="F84" s="92">
        <f t="shared" si="40"/>
        <v>178.57</v>
      </c>
      <c r="G84" s="58"/>
      <c r="H84" s="54" t="s">
        <v>38</v>
      </c>
      <c r="I84" s="54"/>
      <c r="J84" s="55"/>
      <c r="K84" s="11"/>
      <c r="L84" s="53" t="str">
        <f t="shared" si="4"/>
        <v/>
      </c>
      <c r="M84" s="11">
        <v>120</v>
      </c>
      <c r="N84" s="11">
        <v>24.57</v>
      </c>
      <c r="O84" s="11">
        <v>12</v>
      </c>
      <c r="P84" s="11">
        <v>2</v>
      </c>
      <c r="Q84" s="11"/>
      <c r="R84" s="11"/>
      <c r="S84" s="11">
        <v>5</v>
      </c>
      <c r="T84" s="11"/>
      <c r="U84" s="11">
        <v>15</v>
      </c>
      <c r="V84" s="56" t="s">
        <v>1298</v>
      </c>
      <c r="W84" s="35" t="str">
        <f t="shared" si="2"/>
        <v>OK</v>
      </c>
      <c r="X84" s="38" t="str">
        <f t="shared" si="5"/>
        <v/>
      </c>
      <c r="Y84" s="3"/>
      <c r="Z84" s="116"/>
    </row>
    <row r="85" spans="1:26" ht="14.4" hidden="1" outlineLevel="1" x14ac:dyDescent="0.3">
      <c r="A85" s="3"/>
      <c r="B85" s="139" t="s">
        <v>514</v>
      </c>
      <c r="C85" s="53">
        <v>5</v>
      </c>
      <c r="D85" s="53" t="s">
        <v>95</v>
      </c>
      <c r="E85" s="11">
        <f t="shared" si="38"/>
        <v>273.57</v>
      </c>
      <c r="F85" s="92">
        <f t="shared" si="40"/>
        <v>273.57</v>
      </c>
      <c r="G85" s="58"/>
      <c r="H85" s="54" t="s">
        <v>38</v>
      </c>
      <c r="I85" s="54"/>
      <c r="J85" s="55"/>
      <c r="K85" s="11"/>
      <c r="L85" s="53" t="str">
        <f t="shared" si="4"/>
        <v/>
      </c>
      <c r="M85" s="11">
        <v>120</v>
      </c>
      <c r="N85" s="11">
        <v>24.57</v>
      </c>
      <c r="O85" s="11">
        <v>12</v>
      </c>
      <c r="P85" s="11">
        <v>2</v>
      </c>
      <c r="Q85" s="11"/>
      <c r="R85" s="11"/>
      <c r="S85" s="11">
        <v>5</v>
      </c>
      <c r="T85" s="11"/>
      <c r="U85" s="11">
        <v>110</v>
      </c>
      <c r="V85" s="56" t="s">
        <v>1311</v>
      </c>
      <c r="W85" s="35" t="str">
        <f t="shared" si="2"/>
        <v>OK</v>
      </c>
      <c r="X85" s="38" t="str">
        <f t="shared" si="5"/>
        <v/>
      </c>
      <c r="Y85" s="3"/>
      <c r="Z85" s="116"/>
    </row>
    <row r="86" spans="1:26" ht="14.4" hidden="1" outlineLevel="1" x14ac:dyDescent="0.3">
      <c r="A86" s="3"/>
      <c r="B86" s="99" t="s">
        <v>515</v>
      </c>
      <c r="C86" s="53">
        <v>9</v>
      </c>
      <c r="D86" s="53" t="s">
        <v>95</v>
      </c>
      <c r="E86" s="11">
        <f t="shared" si="38"/>
        <v>167</v>
      </c>
      <c r="F86" s="92">
        <f t="shared" si="40"/>
        <v>167</v>
      </c>
      <c r="G86" s="58"/>
      <c r="H86" s="54" t="s">
        <v>37</v>
      </c>
      <c r="I86" s="54"/>
      <c r="J86" s="55"/>
      <c r="K86" s="11"/>
      <c r="L86" s="53" t="str">
        <f t="shared" si="4"/>
        <v/>
      </c>
      <c r="M86" s="11">
        <v>108.43</v>
      </c>
      <c r="N86" s="11">
        <v>24.57</v>
      </c>
      <c r="O86" s="11">
        <v>12</v>
      </c>
      <c r="P86" s="11">
        <v>2</v>
      </c>
      <c r="Q86" s="11"/>
      <c r="R86" s="11"/>
      <c r="S86" s="11">
        <v>5</v>
      </c>
      <c r="T86" s="11"/>
      <c r="U86" s="11">
        <v>15</v>
      </c>
      <c r="V86" s="56" t="s">
        <v>1298</v>
      </c>
      <c r="W86" s="35" t="str">
        <f t="shared" si="2"/>
        <v>OK</v>
      </c>
      <c r="X86" s="38" t="str">
        <f t="shared" si="5"/>
        <v/>
      </c>
      <c r="Y86" s="3"/>
      <c r="Z86" s="116"/>
    </row>
    <row r="87" spans="1:26" ht="14.4" hidden="1" outlineLevel="1" x14ac:dyDescent="0.3">
      <c r="A87" s="3"/>
      <c r="B87" s="139" t="s">
        <v>516</v>
      </c>
      <c r="C87" s="53">
        <v>4</v>
      </c>
      <c r="D87" s="53" t="s">
        <v>95</v>
      </c>
      <c r="E87" s="11">
        <f t="shared" si="38"/>
        <v>141.5</v>
      </c>
      <c r="F87" s="92">
        <f t="shared" si="40"/>
        <v>141.5</v>
      </c>
      <c r="G87" s="58"/>
      <c r="H87" s="54" t="s">
        <v>37</v>
      </c>
      <c r="I87" s="54"/>
      <c r="J87" s="55"/>
      <c r="K87" s="11"/>
      <c r="L87" s="53" t="str">
        <f t="shared" si="4"/>
        <v/>
      </c>
      <c r="M87" s="11">
        <v>88.43</v>
      </c>
      <c r="N87" s="11">
        <v>24.57</v>
      </c>
      <c r="O87" s="11">
        <v>12</v>
      </c>
      <c r="P87" s="11">
        <v>1.5</v>
      </c>
      <c r="Q87" s="11"/>
      <c r="R87" s="11"/>
      <c r="S87" s="11"/>
      <c r="T87" s="11"/>
      <c r="U87" s="11">
        <v>15</v>
      </c>
      <c r="V87" s="56" t="s">
        <v>1298</v>
      </c>
      <c r="W87" s="35" t="str">
        <f t="shared" si="2"/>
        <v>OK</v>
      </c>
      <c r="X87" s="38" t="str">
        <f t="shared" si="5"/>
        <v/>
      </c>
      <c r="Y87" s="3"/>
      <c r="Z87" s="116"/>
    </row>
    <row r="88" spans="1:26" ht="14.4" hidden="1" outlineLevel="1" x14ac:dyDescent="0.3">
      <c r="A88" s="3"/>
      <c r="B88" s="139" t="s">
        <v>517</v>
      </c>
      <c r="C88" s="53">
        <v>4</v>
      </c>
      <c r="D88" s="53" t="s">
        <v>95</v>
      </c>
      <c r="E88" s="11">
        <f t="shared" si="38"/>
        <v>206.5</v>
      </c>
      <c r="F88" s="92">
        <f t="shared" si="40"/>
        <v>206.5</v>
      </c>
      <c r="G88" s="58"/>
      <c r="H88" s="54" t="s">
        <v>37</v>
      </c>
      <c r="I88" s="54"/>
      <c r="J88" s="55"/>
      <c r="K88" s="11"/>
      <c r="L88" s="53" t="str">
        <f t="shared" si="4"/>
        <v/>
      </c>
      <c r="M88" s="11">
        <v>88.43</v>
      </c>
      <c r="N88" s="11">
        <v>24.57</v>
      </c>
      <c r="O88" s="11">
        <v>12</v>
      </c>
      <c r="P88" s="11">
        <v>1.5</v>
      </c>
      <c r="Q88" s="11"/>
      <c r="R88" s="11"/>
      <c r="S88" s="11"/>
      <c r="T88" s="11"/>
      <c r="U88" s="11">
        <v>80</v>
      </c>
      <c r="V88" s="56" t="s">
        <v>1308</v>
      </c>
      <c r="W88" s="35" t="str">
        <f t="shared" si="2"/>
        <v>OK</v>
      </c>
      <c r="X88" s="38" t="str">
        <f t="shared" si="5"/>
        <v/>
      </c>
      <c r="Y88" s="3"/>
      <c r="Z88" s="116"/>
    </row>
    <row r="89" spans="1:26" ht="14.4" hidden="1" outlineLevel="1" x14ac:dyDescent="0.3">
      <c r="A89" s="3"/>
      <c r="B89" s="99" t="s">
        <v>518</v>
      </c>
      <c r="C89" s="53">
        <v>9</v>
      </c>
      <c r="D89" s="53" t="s">
        <v>95</v>
      </c>
      <c r="E89" s="11">
        <f t="shared" si="38"/>
        <v>244</v>
      </c>
      <c r="F89" s="92">
        <f t="shared" si="40"/>
        <v>244</v>
      </c>
      <c r="G89" s="58"/>
      <c r="H89" s="54" t="s">
        <v>37</v>
      </c>
      <c r="I89" s="54"/>
      <c r="J89" s="55"/>
      <c r="K89" s="11"/>
      <c r="L89" s="53" t="str">
        <f t="shared" si="4"/>
        <v/>
      </c>
      <c r="M89" s="11">
        <v>93.93</v>
      </c>
      <c r="N89" s="11">
        <v>24.57</v>
      </c>
      <c r="O89" s="11">
        <v>12</v>
      </c>
      <c r="P89" s="11">
        <v>1.5</v>
      </c>
      <c r="Q89" s="11">
        <v>5</v>
      </c>
      <c r="R89" s="11"/>
      <c r="S89" s="11">
        <v>10</v>
      </c>
      <c r="T89" s="11"/>
      <c r="U89" s="11">
        <v>97</v>
      </c>
      <c r="V89" s="56" t="s">
        <v>1312</v>
      </c>
      <c r="W89" s="35" t="str">
        <f t="shared" si="2"/>
        <v>OK</v>
      </c>
      <c r="X89" s="38" t="str">
        <f t="shared" si="5"/>
        <v/>
      </c>
      <c r="Y89" s="3"/>
      <c r="Z89" s="116"/>
    </row>
    <row r="90" spans="1:26" ht="14.4" hidden="1" outlineLevel="1" x14ac:dyDescent="0.3">
      <c r="A90" s="3"/>
      <c r="B90" s="139" t="s">
        <v>519</v>
      </c>
      <c r="C90" s="53">
        <v>12</v>
      </c>
      <c r="D90" s="53" t="s">
        <v>95</v>
      </c>
      <c r="E90" s="11">
        <f t="shared" si="38"/>
        <v>207</v>
      </c>
      <c r="F90" s="92">
        <f t="shared" si="40"/>
        <v>207</v>
      </c>
      <c r="G90" s="58"/>
      <c r="H90" s="54" t="s">
        <v>37</v>
      </c>
      <c r="I90" s="54"/>
      <c r="J90" s="55"/>
      <c r="K90" s="11"/>
      <c r="L90" s="53" t="str">
        <f t="shared" si="4"/>
        <v/>
      </c>
      <c r="M90" s="11">
        <v>108.43</v>
      </c>
      <c r="N90" s="11">
        <v>24.57</v>
      </c>
      <c r="O90" s="11">
        <v>12</v>
      </c>
      <c r="P90" s="11">
        <v>2</v>
      </c>
      <c r="Q90" s="11"/>
      <c r="R90" s="11"/>
      <c r="S90" s="11">
        <v>5</v>
      </c>
      <c r="T90" s="11"/>
      <c r="U90" s="11">
        <v>55</v>
      </c>
      <c r="V90" s="56" t="s">
        <v>1313</v>
      </c>
      <c r="W90" s="35" t="str">
        <f t="shared" si="2"/>
        <v>OK</v>
      </c>
      <c r="X90" s="38" t="str">
        <f t="shared" si="5"/>
        <v/>
      </c>
      <c r="Y90" s="3"/>
      <c r="Z90" s="116"/>
    </row>
    <row r="91" spans="1:26" ht="14.4" hidden="1" outlineLevel="1" x14ac:dyDescent="0.3">
      <c r="A91" s="3"/>
      <c r="B91" s="99" t="s">
        <v>520</v>
      </c>
      <c r="C91" s="53">
        <v>3</v>
      </c>
      <c r="D91" s="53" t="s">
        <v>95</v>
      </c>
      <c r="E91" s="11">
        <f t="shared" si="38"/>
        <v>190</v>
      </c>
      <c r="F91" s="92">
        <f t="shared" si="40"/>
        <v>190</v>
      </c>
      <c r="G91" s="58"/>
      <c r="H91" s="54" t="s">
        <v>37</v>
      </c>
      <c r="I91" s="54"/>
      <c r="J91" s="55"/>
      <c r="K91" s="11"/>
      <c r="L91" s="53" t="str">
        <f t="shared" si="4"/>
        <v/>
      </c>
      <c r="M91" s="11">
        <v>113.43</v>
      </c>
      <c r="N91" s="11">
        <v>24.57</v>
      </c>
      <c r="O91" s="11">
        <v>12</v>
      </c>
      <c r="P91" s="11"/>
      <c r="Q91" s="11"/>
      <c r="R91" s="11"/>
      <c r="S91" s="11"/>
      <c r="T91" s="11"/>
      <c r="U91" s="11">
        <v>40</v>
      </c>
      <c r="V91" s="56" t="s">
        <v>1309</v>
      </c>
      <c r="W91" s="35" t="str">
        <f t="shared" si="2"/>
        <v>OK</v>
      </c>
      <c r="X91" s="38" t="str">
        <f t="shared" si="5"/>
        <v/>
      </c>
      <c r="Y91" s="3"/>
      <c r="Z91" s="116"/>
    </row>
    <row r="92" spans="1:26" ht="14.4" hidden="1" outlineLevel="1" x14ac:dyDescent="0.3">
      <c r="A92" s="3"/>
      <c r="B92" s="99" t="s">
        <v>521</v>
      </c>
      <c r="C92" s="53"/>
      <c r="D92" s="53" t="s">
        <v>105</v>
      </c>
      <c r="E92" s="11">
        <f t="shared" si="38"/>
        <v>24</v>
      </c>
      <c r="F92" s="92"/>
      <c r="G92" s="58"/>
      <c r="H92" s="54"/>
      <c r="I92" s="54"/>
      <c r="J92" s="55"/>
      <c r="K92" s="11"/>
      <c r="L92" s="53" t="str">
        <f t="shared" si="4"/>
        <v/>
      </c>
      <c r="M92" s="11">
        <v>-12.57</v>
      </c>
      <c r="N92" s="11">
        <v>24.57</v>
      </c>
      <c r="O92" s="11">
        <v>12</v>
      </c>
      <c r="P92" s="11"/>
      <c r="Q92" s="11"/>
      <c r="R92" s="11"/>
      <c r="S92" s="11"/>
      <c r="T92" s="11"/>
      <c r="U92" s="11"/>
      <c r="V92" s="56"/>
      <c r="W92" s="35" t="str">
        <f t="shared" si="2"/>
        <v>Diferente</v>
      </c>
      <c r="X92" s="38">
        <f t="shared" si="5"/>
        <v>-24</v>
      </c>
      <c r="Y92" s="3"/>
      <c r="Z92" s="116"/>
    </row>
    <row r="93" spans="1:26" ht="14.4" hidden="1" outlineLevel="1" x14ac:dyDescent="0.3">
      <c r="A93" s="3"/>
      <c r="B93" s="139" t="s">
        <v>523</v>
      </c>
      <c r="C93" s="53">
        <v>5</v>
      </c>
      <c r="D93" s="53" t="s">
        <v>95</v>
      </c>
      <c r="E93" s="11">
        <f t="shared" si="38"/>
        <v>140</v>
      </c>
      <c r="F93" s="92">
        <f t="shared" ref="F93:F94" si="41">E93</f>
        <v>140</v>
      </c>
      <c r="G93" s="58"/>
      <c r="H93" s="54" t="s">
        <v>37</v>
      </c>
      <c r="I93" s="54"/>
      <c r="J93" s="55"/>
      <c r="K93" s="11"/>
      <c r="L93" s="53" t="str">
        <f t="shared" si="4"/>
        <v/>
      </c>
      <c r="M93" s="11">
        <v>88.43</v>
      </c>
      <c r="N93" s="11">
        <v>24.57</v>
      </c>
      <c r="O93" s="11">
        <v>12</v>
      </c>
      <c r="P93" s="11"/>
      <c r="Q93" s="11"/>
      <c r="R93" s="11"/>
      <c r="S93" s="11"/>
      <c r="T93" s="11"/>
      <c r="U93" s="11">
        <v>15</v>
      </c>
      <c r="V93" s="56" t="s">
        <v>1298</v>
      </c>
      <c r="W93" s="35" t="str">
        <f t="shared" si="2"/>
        <v>OK</v>
      </c>
      <c r="X93" s="38" t="str">
        <f t="shared" si="5"/>
        <v/>
      </c>
      <c r="Y93" s="3"/>
      <c r="Z93" s="116"/>
    </row>
    <row r="94" spans="1:26" ht="14.4" hidden="1" outlineLevel="1" x14ac:dyDescent="0.3">
      <c r="A94" s="3"/>
      <c r="B94" s="99" t="s">
        <v>524</v>
      </c>
      <c r="C94" s="53">
        <v>12</v>
      </c>
      <c r="D94" s="53" t="s">
        <v>95</v>
      </c>
      <c r="E94" s="11">
        <f t="shared" si="38"/>
        <v>90</v>
      </c>
      <c r="F94" s="92">
        <f t="shared" si="41"/>
        <v>90</v>
      </c>
      <c r="G94" s="58"/>
      <c r="H94" s="54" t="s">
        <v>37</v>
      </c>
      <c r="I94" s="54"/>
      <c r="J94" s="55"/>
      <c r="K94" s="11"/>
      <c r="L94" s="53" t="str">
        <f t="shared" si="4"/>
        <v/>
      </c>
      <c r="M94" s="11">
        <v>13.43</v>
      </c>
      <c r="N94" s="11">
        <v>24.57</v>
      </c>
      <c r="O94" s="11">
        <v>12</v>
      </c>
      <c r="P94" s="11"/>
      <c r="Q94" s="11"/>
      <c r="R94" s="11"/>
      <c r="S94" s="11"/>
      <c r="T94" s="11"/>
      <c r="U94" s="11">
        <v>40</v>
      </c>
      <c r="V94" s="56" t="s">
        <v>1309</v>
      </c>
      <c r="W94" s="35" t="str">
        <f t="shared" si="2"/>
        <v>OK</v>
      </c>
      <c r="X94" s="38" t="str">
        <f t="shared" si="5"/>
        <v/>
      </c>
      <c r="Y94" s="3"/>
      <c r="Z94" s="116"/>
    </row>
    <row r="95" spans="1:26" ht="14.4" hidden="1" outlineLevel="1" x14ac:dyDescent="0.3">
      <c r="A95" s="3"/>
      <c r="B95" s="99" t="s">
        <v>525</v>
      </c>
      <c r="C95" s="53" t="s">
        <v>1314</v>
      </c>
      <c r="D95" s="53" t="s">
        <v>95</v>
      </c>
      <c r="E95" s="11">
        <v>202</v>
      </c>
      <c r="F95" s="92">
        <f t="shared" ref="F95:F96" si="42">SUM(M95:U95)</f>
        <v>362</v>
      </c>
      <c r="G95" s="61" t="s">
        <v>1315</v>
      </c>
      <c r="H95" s="54" t="s">
        <v>37</v>
      </c>
      <c r="I95" s="54"/>
      <c r="J95" s="55"/>
      <c r="K95" s="11"/>
      <c r="L95" s="53">
        <f t="shared" si="4"/>
        <v>1</v>
      </c>
      <c r="M95" s="11">
        <f t="shared" ref="M95:M96" si="43">91.93*2</f>
        <v>183.86</v>
      </c>
      <c r="N95" s="11">
        <f t="shared" ref="N95:N96" si="44">24.57*2</f>
        <v>49.14</v>
      </c>
      <c r="O95" s="11">
        <f t="shared" ref="O95:O96" si="45">12*2</f>
        <v>24</v>
      </c>
      <c r="P95" s="11">
        <f t="shared" ref="P95:P96" si="46">1.5*2</f>
        <v>3</v>
      </c>
      <c r="Q95" s="11"/>
      <c r="R95" s="11"/>
      <c r="S95" s="11"/>
      <c r="T95" s="11"/>
      <c r="U95" s="11">
        <f>72+15+15</f>
        <v>102</v>
      </c>
      <c r="V95" s="56" t="s">
        <v>1299</v>
      </c>
      <c r="W95" s="35" t="str">
        <f t="shared" si="2"/>
        <v>OK</v>
      </c>
      <c r="X95" s="38" t="str">
        <f t="shared" si="5"/>
        <v/>
      </c>
      <c r="Y95" s="3"/>
      <c r="Z95" s="116"/>
    </row>
    <row r="96" spans="1:26" ht="14.4" hidden="1" outlineLevel="1" x14ac:dyDescent="0.3">
      <c r="A96" s="3"/>
      <c r="B96" s="139" t="s">
        <v>526</v>
      </c>
      <c r="C96" s="53" t="s">
        <v>1314</v>
      </c>
      <c r="D96" s="53" t="s">
        <v>95</v>
      </c>
      <c r="E96" s="11">
        <v>145</v>
      </c>
      <c r="F96" s="92">
        <f t="shared" si="42"/>
        <v>305</v>
      </c>
      <c r="G96" s="61" t="s">
        <v>1315</v>
      </c>
      <c r="H96" s="54" t="s">
        <v>37</v>
      </c>
      <c r="I96" s="54"/>
      <c r="J96" s="55"/>
      <c r="K96" s="11"/>
      <c r="L96" s="53">
        <f t="shared" si="4"/>
        <v>1</v>
      </c>
      <c r="M96" s="11">
        <f t="shared" si="43"/>
        <v>183.86</v>
      </c>
      <c r="N96" s="11">
        <f t="shared" si="44"/>
        <v>49.14</v>
      </c>
      <c r="O96" s="11">
        <f t="shared" si="45"/>
        <v>24</v>
      </c>
      <c r="P96" s="11">
        <f t="shared" si="46"/>
        <v>3</v>
      </c>
      <c r="Q96" s="11"/>
      <c r="R96" s="11"/>
      <c r="S96" s="11"/>
      <c r="T96" s="11"/>
      <c r="U96" s="11">
        <f>15+15+15</f>
        <v>45</v>
      </c>
      <c r="V96" s="56" t="s">
        <v>1298</v>
      </c>
      <c r="W96" s="35" t="str">
        <f t="shared" si="2"/>
        <v>OK</v>
      </c>
      <c r="X96" s="38" t="str">
        <f t="shared" si="5"/>
        <v/>
      </c>
      <c r="Y96" s="3"/>
      <c r="Z96" s="116"/>
    </row>
    <row r="97" spans="1:26" ht="14.4" hidden="1" outlineLevel="1" x14ac:dyDescent="0.3">
      <c r="A97" s="3"/>
      <c r="B97" s="99" t="s">
        <v>527</v>
      </c>
      <c r="C97" s="53"/>
      <c r="D97" s="53" t="s">
        <v>105</v>
      </c>
      <c r="E97" s="11">
        <f t="shared" ref="E97:E103" si="47">SUM(M97:U97)</f>
        <v>145</v>
      </c>
      <c r="F97" s="92"/>
      <c r="G97" s="58"/>
      <c r="H97" s="54"/>
      <c r="I97" s="54"/>
      <c r="J97" s="55"/>
      <c r="K97" s="11"/>
      <c r="L97" s="53" t="str">
        <f t="shared" si="4"/>
        <v/>
      </c>
      <c r="M97" s="11">
        <v>26.43</v>
      </c>
      <c r="N97" s="11">
        <v>24.57</v>
      </c>
      <c r="O97" s="11">
        <v>12</v>
      </c>
      <c r="P97" s="11">
        <v>2</v>
      </c>
      <c r="Q97" s="11"/>
      <c r="R97" s="11"/>
      <c r="S97" s="11"/>
      <c r="T97" s="11"/>
      <c r="U97" s="11">
        <v>80</v>
      </c>
      <c r="V97" s="56" t="s">
        <v>1308</v>
      </c>
      <c r="W97" s="35" t="str">
        <f t="shared" si="2"/>
        <v>Diferente</v>
      </c>
      <c r="X97" s="38">
        <f t="shared" si="5"/>
        <v>-145</v>
      </c>
      <c r="Y97" s="3"/>
      <c r="Z97" s="116"/>
    </row>
    <row r="98" spans="1:26" ht="14.4" hidden="1" outlineLevel="1" x14ac:dyDescent="0.3">
      <c r="A98" s="3"/>
      <c r="B98" s="139" t="s">
        <v>528</v>
      </c>
      <c r="C98" s="53">
        <v>13</v>
      </c>
      <c r="D98" s="53" t="s">
        <v>95</v>
      </c>
      <c r="E98" s="11">
        <f t="shared" si="47"/>
        <v>154</v>
      </c>
      <c r="F98" s="92">
        <f t="shared" ref="F98:F103" si="48">E98</f>
        <v>154</v>
      </c>
      <c r="G98" s="58"/>
      <c r="H98" s="54" t="s">
        <v>37</v>
      </c>
      <c r="I98" s="54"/>
      <c r="J98" s="55"/>
      <c r="K98" s="11"/>
      <c r="L98" s="53">
        <f t="shared" si="4"/>
        <v>1</v>
      </c>
      <c r="M98" s="11">
        <v>100.43</v>
      </c>
      <c r="N98" s="11">
        <v>24.57</v>
      </c>
      <c r="O98" s="11">
        <v>12</v>
      </c>
      <c r="P98" s="11">
        <v>2</v>
      </c>
      <c r="Q98" s="11"/>
      <c r="R98" s="11"/>
      <c r="S98" s="11"/>
      <c r="T98" s="11"/>
      <c r="U98" s="11">
        <v>15</v>
      </c>
      <c r="V98" s="56" t="s">
        <v>1298</v>
      </c>
      <c r="W98" s="35" t="str">
        <f t="shared" si="2"/>
        <v>OK</v>
      </c>
      <c r="X98" s="38" t="str">
        <f t="shared" si="5"/>
        <v/>
      </c>
      <c r="Y98" s="3"/>
      <c r="Z98" s="116"/>
    </row>
    <row r="99" spans="1:26" ht="14.4" hidden="1" outlineLevel="1" x14ac:dyDescent="0.3">
      <c r="A99" s="3"/>
      <c r="B99" s="99" t="s">
        <v>713</v>
      </c>
      <c r="C99" s="53">
        <v>9</v>
      </c>
      <c r="D99" s="53" t="s">
        <v>95</v>
      </c>
      <c r="E99" s="11">
        <f t="shared" si="47"/>
        <v>135</v>
      </c>
      <c r="F99" s="92">
        <f t="shared" si="48"/>
        <v>135</v>
      </c>
      <c r="G99" s="58"/>
      <c r="H99" s="54" t="s">
        <v>37</v>
      </c>
      <c r="I99" s="54"/>
      <c r="J99" s="55"/>
      <c r="K99" s="11"/>
      <c r="L99" s="53" t="str">
        <f t="shared" si="4"/>
        <v/>
      </c>
      <c r="M99" s="11">
        <v>31.43</v>
      </c>
      <c r="N99" s="11">
        <v>24.57</v>
      </c>
      <c r="O99" s="11">
        <v>12</v>
      </c>
      <c r="P99" s="11">
        <v>2</v>
      </c>
      <c r="Q99" s="11"/>
      <c r="R99" s="11"/>
      <c r="S99" s="11"/>
      <c r="T99" s="11"/>
      <c r="U99" s="11">
        <v>65</v>
      </c>
      <c r="V99" s="56" t="s">
        <v>1316</v>
      </c>
      <c r="W99" s="35" t="str">
        <f t="shared" si="2"/>
        <v>OK</v>
      </c>
      <c r="X99" s="38" t="str">
        <f t="shared" si="5"/>
        <v/>
      </c>
      <c r="Y99" s="3"/>
      <c r="Z99" s="3"/>
    </row>
    <row r="100" spans="1:26" ht="14.4" hidden="1" outlineLevel="1" x14ac:dyDescent="0.3">
      <c r="A100" s="3"/>
      <c r="B100" s="99" t="s">
        <v>896</v>
      </c>
      <c r="C100" s="53">
        <v>17</v>
      </c>
      <c r="D100" s="53" t="s">
        <v>95</v>
      </c>
      <c r="E100" s="11">
        <f t="shared" si="47"/>
        <v>252.57</v>
      </c>
      <c r="F100" s="92">
        <f t="shared" si="48"/>
        <v>252.57</v>
      </c>
      <c r="G100" s="58"/>
      <c r="H100" s="54" t="s">
        <v>37</v>
      </c>
      <c r="I100" s="54"/>
      <c r="J100" s="55"/>
      <c r="K100" s="53"/>
      <c r="L100" s="53">
        <f t="shared" si="4"/>
        <v>1</v>
      </c>
      <c r="M100" s="11">
        <v>94</v>
      </c>
      <c r="N100" s="11">
        <v>24.57</v>
      </c>
      <c r="O100" s="11">
        <v>12</v>
      </c>
      <c r="P100" s="11">
        <v>0</v>
      </c>
      <c r="Q100" s="11"/>
      <c r="R100" s="11"/>
      <c r="S100" s="11"/>
      <c r="T100" s="11"/>
      <c r="U100" s="11">
        <v>122</v>
      </c>
      <c r="V100" s="56" t="s">
        <v>1307</v>
      </c>
      <c r="W100" s="35" t="str">
        <f t="shared" si="2"/>
        <v>OK</v>
      </c>
      <c r="X100" s="38" t="str">
        <f t="shared" si="5"/>
        <v/>
      </c>
      <c r="Y100" s="3"/>
      <c r="Z100" s="3"/>
    </row>
    <row r="101" spans="1:26" ht="14.4" hidden="1" outlineLevel="1" x14ac:dyDescent="0.3">
      <c r="A101" s="3"/>
      <c r="B101" s="139" t="s">
        <v>897</v>
      </c>
      <c r="C101" s="53">
        <v>17</v>
      </c>
      <c r="D101" s="53" t="s">
        <v>95</v>
      </c>
      <c r="E101" s="11">
        <f t="shared" si="47"/>
        <v>145.57</v>
      </c>
      <c r="F101" s="92">
        <f t="shared" si="48"/>
        <v>145.57</v>
      </c>
      <c r="G101" s="58"/>
      <c r="H101" s="54" t="s">
        <v>37</v>
      </c>
      <c r="I101" s="54"/>
      <c r="J101" s="55"/>
      <c r="K101" s="53"/>
      <c r="L101" s="53">
        <f t="shared" si="4"/>
        <v>1</v>
      </c>
      <c r="M101" s="11">
        <v>94</v>
      </c>
      <c r="N101" s="11">
        <v>24.57</v>
      </c>
      <c r="O101" s="11">
        <v>12</v>
      </c>
      <c r="P101" s="11">
        <v>0</v>
      </c>
      <c r="Q101" s="11"/>
      <c r="R101" s="11"/>
      <c r="S101" s="11"/>
      <c r="T101" s="11"/>
      <c r="U101" s="11">
        <v>15</v>
      </c>
      <c r="V101" s="56" t="s">
        <v>1298</v>
      </c>
      <c r="W101" s="35" t="str">
        <f t="shared" si="2"/>
        <v>OK</v>
      </c>
      <c r="X101" s="38" t="str">
        <f t="shared" si="5"/>
        <v/>
      </c>
      <c r="Y101" s="3"/>
      <c r="Z101" s="3"/>
    </row>
    <row r="102" spans="1:26" ht="14.4" hidden="1" outlineLevel="1" x14ac:dyDescent="0.3">
      <c r="A102" s="3"/>
      <c r="B102" s="99" t="s">
        <v>1317</v>
      </c>
      <c r="C102" s="53">
        <v>2</v>
      </c>
      <c r="D102" s="53" t="s">
        <v>95</v>
      </c>
      <c r="E102" s="11">
        <f t="shared" si="47"/>
        <v>151.80000000000001</v>
      </c>
      <c r="F102" s="11">
        <f t="shared" si="48"/>
        <v>151.80000000000001</v>
      </c>
      <c r="G102" s="58"/>
      <c r="H102" s="54" t="s">
        <v>37</v>
      </c>
      <c r="I102" s="54"/>
      <c r="J102" s="55"/>
      <c r="K102" s="53"/>
      <c r="L102" s="53" t="str">
        <f t="shared" si="4"/>
        <v/>
      </c>
      <c r="M102" s="11">
        <v>68.23</v>
      </c>
      <c r="N102" s="11">
        <v>24.57</v>
      </c>
      <c r="O102" s="11">
        <v>12</v>
      </c>
      <c r="P102" s="11">
        <v>2</v>
      </c>
      <c r="Q102" s="11"/>
      <c r="R102" s="11"/>
      <c r="S102" s="11"/>
      <c r="T102" s="11"/>
      <c r="U102" s="11">
        <v>45</v>
      </c>
      <c r="V102" s="56" t="s">
        <v>1318</v>
      </c>
      <c r="W102" s="35" t="str">
        <f t="shared" si="2"/>
        <v>OK</v>
      </c>
      <c r="X102" s="38" t="str">
        <f t="shared" si="5"/>
        <v/>
      </c>
      <c r="Y102" s="3"/>
      <c r="Z102" s="3"/>
    </row>
    <row r="103" spans="1:26" ht="14.4" hidden="1" outlineLevel="1" x14ac:dyDescent="0.3">
      <c r="A103" s="3"/>
      <c r="B103" s="99" t="s">
        <v>1319</v>
      </c>
      <c r="C103" s="53">
        <v>9</v>
      </c>
      <c r="D103" s="53" t="s">
        <v>95</v>
      </c>
      <c r="E103" s="11">
        <f t="shared" si="47"/>
        <v>130</v>
      </c>
      <c r="F103" s="11">
        <f t="shared" si="48"/>
        <v>130</v>
      </c>
      <c r="G103" s="58"/>
      <c r="H103" s="54" t="s">
        <v>37</v>
      </c>
      <c r="I103" s="54"/>
      <c r="J103" s="55"/>
      <c r="K103" s="53"/>
      <c r="L103" s="53" t="str">
        <f t="shared" si="4"/>
        <v/>
      </c>
      <c r="M103" s="11">
        <v>93.43</v>
      </c>
      <c r="N103" s="11">
        <v>24.57</v>
      </c>
      <c r="O103" s="11">
        <v>12</v>
      </c>
      <c r="P103" s="11">
        <v>0</v>
      </c>
      <c r="Q103" s="11"/>
      <c r="R103" s="11"/>
      <c r="S103" s="11"/>
      <c r="T103" s="11"/>
      <c r="U103" s="11"/>
      <c r="V103" s="56"/>
      <c r="W103" s="35" t="str">
        <f t="shared" si="2"/>
        <v>OK</v>
      </c>
      <c r="X103" s="38" t="str">
        <f t="shared" si="5"/>
        <v/>
      </c>
      <c r="Y103" s="3"/>
      <c r="Z103" s="3"/>
    </row>
    <row r="104" spans="1:26" ht="14.4" hidden="1" outlineLevel="1" x14ac:dyDescent="0.3">
      <c r="A104" s="3"/>
      <c r="B104" s="99" t="s">
        <v>487</v>
      </c>
      <c r="C104" s="53">
        <v>5</v>
      </c>
      <c r="D104" s="53" t="s">
        <v>95</v>
      </c>
      <c r="E104" s="11">
        <v>70</v>
      </c>
      <c r="F104" s="11">
        <f>SUM(M104:U104)</f>
        <v>95</v>
      </c>
      <c r="G104" s="58"/>
      <c r="H104" s="54" t="s">
        <v>37</v>
      </c>
      <c r="I104" s="54"/>
      <c r="J104" s="55"/>
      <c r="K104" s="53"/>
      <c r="L104" s="53" t="str">
        <f t="shared" si="4"/>
        <v/>
      </c>
      <c r="M104" s="11">
        <f>33.43+25</f>
        <v>58.43</v>
      </c>
      <c r="N104" s="11">
        <v>24.57</v>
      </c>
      <c r="O104" s="11">
        <v>12</v>
      </c>
      <c r="P104" s="11">
        <v>0</v>
      </c>
      <c r="Q104" s="11"/>
      <c r="R104" s="11"/>
      <c r="S104" s="11"/>
      <c r="T104" s="11"/>
      <c r="U104" s="11"/>
      <c r="V104" s="53"/>
      <c r="W104" s="35" t="str">
        <f t="shared" si="2"/>
        <v>OK</v>
      </c>
      <c r="X104" s="38" t="str">
        <f t="shared" si="5"/>
        <v/>
      </c>
      <c r="Y104" s="3"/>
      <c r="Z104" s="3"/>
    </row>
    <row r="105" spans="1:26" ht="14.4" hidden="1" outlineLevel="1" x14ac:dyDescent="0.3">
      <c r="A105" s="3"/>
      <c r="B105" s="9"/>
      <c r="C105" s="53"/>
      <c r="D105" s="53"/>
      <c r="E105" s="11"/>
      <c r="F105" s="11"/>
      <c r="G105" s="58"/>
      <c r="H105" s="54"/>
      <c r="I105" s="54"/>
      <c r="J105" s="55"/>
      <c r="K105" s="53"/>
      <c r="L105" s="53" t="str">
        <f t="shared" si="4"/>
        <v/>
      </c>
      <c r="M105" s="11"/>
      <c r="N105" s="11"/>
      <c r="O105" s="11"/>
      <c r="P105" s="11"/>
      <c r="Q105" s="11"/>
      <c r="R105" s="11"/>
      <c r="S105" s="11"/>
      <c r="T105" s="11"/>
      <c r="U105" s="11"/>
      <c r="V105" s="53"/>
      <c r="W105" s="35" t="str">
        <f t="shared" si="2"/>
        <v>OK</v>
      </c>
      <c r="X105" s="38" t="str">
        <f t="shared" si="5"/>
        <v/>
      </c>
      <c r="Y105" s="3"/>
      <c r="Z105" s="3"/>
    </row>
    <row r="106" spans="1:26" ht="14.4" hidden="1" outlineLevel="1" x14ac:dyDescent="0.3">
      <c r="A106" s="3"/>
      <c r="B106" s="9"/>
      <c r="C106" s="53"/>
      <c r="D106" s="53"/>
      <c r="E106" s="11"/>
      <c r="F106" s="11"/>
      <c r="G106" s="58"/>
      <c r="H106" s="54"/>
      <c r="I106" s="54"/>
      <c r="J106" s="55"/>
      <c r="K106" s="53"/>
      <c r="L106" s="53" t="str">
        <f t="shared" si="4"/>
        <v/>
      </c>
      <c r="M106" s="11"/>
      <c r="N106" s="11"/>
      <c r="O106" s="11"/>
      <c r="P106" s="11"/>
      <c r="Q106" s="11"/>
      <c r="R106" s="11"/>
      <c r="S106" s="11"/>
      <c r="T106" s="11"/>
      <c r="U106" s="11"/>
      <c r="V106" s="53"/>
      <c r="W106" s="35" t="str">
        <f t="shared" si="2"/>
        <v>OK</v>
      </c>
      <c r="X106" s="38" t="str">
        <f t="shared" si="5"/>
        <v/>
      </c>
      <c r="Y106" s="3"/>
      <c r="Z106" s="3"/>
    </row>
    <row r="107" spans="1:26" ht="14.4" hidden="1" outlineLevel="1" x14ac:dyDescent="0.3">
      <c r="A107" s="3"/>
      <c r="B107" s="9"/>
      <c r="C107" s="53"/>
      <c r="D107" s="53"/>
      <c r="E107" s="11"/>
      <c r="F107" s="11"/>
      <c r="G107" s="58"/>
      <c r="H107" s="54"/>
      <c r="I107" s="54"/>
      <c r="J107" s="55" t="s">
        <v>97</v>
      </c>
      <c r="K107" s="53"/>
      <c r="L107" s="53" t="str">
        <f t="shared" si="4"/>
        <v/>
      </c>
      <c r="M107" s="11"/>
      <c r="N107" s="11"/>
      <c r="O107" s="11"/>
      <c r="P107" s="11"/>
      <c r="Q107" s="11"/>
      <c r="R107" s="11"/>
      <c r="S107" s="11"/>
      <c r="T107" s="11"/>
      <c r="U107" s="11"/>
      <c r="V107" s="53"/>
      <c r="W107" s="35" t="str">
        <f t="shared" si="2"/>
        <v>OK</v>
      </c>
      <c r="X107" s="38" t="str">
        <f t="shared" si="5"/>
        <v/>
      </c>
      <c r="Y107" s="3"/>
      <c r="Z107" s="3"/>
    </row>
    <row r="108" spans="1:26" ht="14.4" hidden="1" outlineLevel="1" x14ac:dyDescent="0.3">
      <c r="A108" s="3"/>
      <c r="B108" s="9"/>
      <c r="C108" s="53"/>
      <c r="D108" s="53"/>
      <c r="E108" s="11"/>
      <c r="F108" s="11"/>
      <c r="G108" s="58"/>
      <c r="H108" s="54"/>
      <c r="I108" s="54"/>
      <c r="J108" s="55" t="s">
        <v>97</v>
      </c>
      <c r="K108" s="53"/>
      <c r="L108" s="53" t="str">
        <f t="shared" si="4"/>
        <v/>
      </c>
      <c r="M108" s="11"/>
      <c r="N108" s="11"/>
      <c r="O108" s="11"/>
      <c r="P108" s="11"/>
      <c r="Q108" s="11"/>
      <c r="R108" s="11"/>
      <c r="S108" s="11"/>
      <c r="T108" s="11"/>
      <c r="U108" s="11"/>
      <c r="V108" s="53"/>
      <c r="W108" s="35" t="str">
        <f t="shared" si="2"/>
        <v>OK</v>
      </c>
      <c r="X108" s="38" t="str">
        <f t="shared" si="5"/>
        <v/>
      </c>
      <c r="Y108" s="3"/>
      <c r="Z108" s="3"/>
    </row>
    <row r="109" spans="1:26" ht="14.4" hidden="1" outlineLevel="1" x14ac:dyDescent="0.3">
      <c r="A109" s="3"/>
      <c r="B109" s="9"/>
      <c r="C109" s="53"/>
      <c r="D109" s="53"/>
      <c r="E109" s="11"/>
      <c r="F109" s="11"/>
      <c r="G109" s="58"/>
      <c r="H109" s="54"/>
      <c r="I109" s="54"/>
      <c r="J109" s="55" t="s">
        <v>97</v>
      </c>
      <c r="K109" s="53"/>
      <c r="L109" s="53" t="str">
        <f t="shared" si="4"/>
        <v/>
      </c>
      <c r="M109" s="11"/>
      <c r="N109" s="11"/>
      <c r="O109" s="11"/>
      <c r="P109" s="11"/>
      <c r="Q109" s="11"/>
      <c r="R109" s="11"/>
      <c r="S109" s="11"/>
      <c r="T109" s="11"/>
      <c r="U109" s="11"/>
      <c r="V109" s="53"/>
      <c r="W109" s="35" t="str">
        <f t="shared" si="2"/>
        <v>OK</v>
      </c>
      <c r="X109" s="38" t="str">
        <f t="shared" si="5"/>
        <v/>
      </c>
      <c r="Y109" s="3"/>
      <c r="Z109" s="3"/>
    </row>
    <row r="110" spans="1:26" ht="14.4" hidden="1" outlineLevel="1" x14ac:dyDescent="0.3">
      <c r="A110" s="3"/>
      <c r="B110" s="9"/>
      <c r="C110" s="53"/>
      <c r="D110" s="53"/>
      <c r="E110" s="11"/>
      <c r="F110" s="11"/>
      <c r="G110" s="58"/>
      <c r="H110" s="54"/>
      <c r="I110" s="54"/>
      <c r="J110" s="55" t="s">
        <v>97</v>
      </c>
      <c r="K110" s="53"/>
      <c r="L110" s="53" t="str">
        <f t="shared" si="4"/>
        <v/>
      </c>
      <c r="M110" s="11"/>
      <c r="N110" s="11"/>
      <c r="O110" s="11"/>
      <c r="P110" s="11"/>
      <c r="Q110" s="11"/>
      <c r="R110" s="11"/>
      <c r="S110" s="11"/>
      <c r="T110" s="11"/>
      <c r="U110" s="11"/>
      <c r="V110" s="53"/>
      <c r="W110" s="35" t="str">
        <f t="shared" si="2"/>
        <v>OK</v>
      </c>
      <c r="X110" s="38" t="str">
        <f t="shared" si="5"/>
        <v/>
      </c>
      <c r="Y110" s="3"/>
      <c r="Z110" s="3"/>
    </row>
    <row r="111" spans="1:26" ht="14.4" hidden="1" outlineLevel="1" x14ac:dyDescent="0.3">
      <c r="A111" s="3"/>
      <c r="B111" s="9"/>
      <c r="C111" s="53"/>
      <c r="D111" s="53"/>
      <c r="E111" s="11"/>
      <c r="F111" s="11"/>
      <c r="G111" s="58"/>
      <c r="H111" s="54"/>
      <c r="I111" s="54"/>
      <c r="J111" s="55" t="s">
        <v>97</v>
      </c>
      <c r="K111" s="53"/>
      <c r="L111" s="53" t="str">
        <f t="shared" si="4"/>
        <v/>
      </c>
      <c r="M111" s="11"/>
      <c r="N111" s="11"/>
      <c r="O111" s="11"/>
      <c r="P111" s="11"/>
      <c r="Q111" s="11"/>
      <c r="R111" s="11"/>
      <c r="S111" s="11"/>
      <c r="T111" s="11"/>
      <c r="U111" s="11"/>
      <c r="V111" s="53"/>
      <c r="W111" s="35" t="str">
        <f t="shared" si="2"/>
        <v>OK</v>
      </c>
      <c r="X111" s="38" t="str">
        <f t="shared" si="5"/>
        <v/>
      </c>
      <c r="Y111" s="3"/>
      <c r="Z111" s="3"/>
    </row>
    <row r="112" spans="1:26" ht="14.4" hidden="1" outlineLevel="1" x14ac:dyDescent="0.3">
      <c r="A112" s="3"/>
      <c r="B112" s="9"/>
      <c r="C112" s="53"/>
      <c r="D112" s="53"/>
      <c r="E112" s="11"/>
      <c r="F112" s="11"/>
      <c r="G112" s="58"/>
      <c r="H112" s="54"/>
      <c r="I112" s="54"/>
      <c r="J112" s="55" t="s">
        <v>97</v>
      </c>
      <c r="K112" s="53"/>
      <c r="L112" s="53" t="str">
        <f t="shared" si="4"/>
        <v/>
      </c>
      <c r="M112" s="11"/>
      <c r="N112" s="11"/>
      <c r="O112" s="11"/>
      <c r="P112" s="11"/>
      <c r="Q112" s="11"/>
      <c r="R112" s="11"/>
      <c r="S112" s="11"/>
      <c r="T112" s="11"/>
      <c r="U112" s="11"/>
      <c r="V112" s="53"/>
      <c r="W112" s="35" t="str">
        <f t="shared" si="2"/>
        <v>OK</v>
      </c>
      <c r="X112" s="38" t="str">
        <f t="shared" si="5"/>
        <v/>
      </c>
      <c r="Y112" s="3"/>
      <c r="Z112" s="3"/>
    </row>
    <row r="113" spans="1:26" ht="14.4" hidden="1" outlineLevel="1" x14ac:dyDescent="0.3">
      <c r="A113" s="3"/>
      <c r="B113" s="9"/>
      <c r="C113" s="53"/>
      <c r="D113" s="53"/>
      <c r="E113" s="11"/>
      <c r="F113" s="11"/>
      <c r="G113" s="58"/>
      <c r="H113" s="54"/>
      <c r="I113" s="54"/>
      <c r="J113" s="55" t="s">
        <v>97</v>
      </c>
      <c r="K113" s="53"/>
      <c r="L113" s="53" t="str">
        <f t="shared" si="4"/>
        <v/>
      </c>
      <c r="M113" s="11"/>
      <c r="N113" s="11"/>
      <c r="O113" s="11"/>
      <c r="P113" s="11"/>
      <c r="Q113" s="11"/>
      <c r="R113" s="11"/>
      <c r="S113" s="11"/>
      <c r="T113" s="11"/>
      <c r="U113" s="11"/>
      <c r="V113" s="53"/>
      <c r="W113" s="35" t="str">
        <f t="shared" si="2"/>
        <v>OK</v>
      </c>
      <c r="X113" s="38" t="str">
        <f t="shared" si="5"/>
        <v/>
      </c>
      <c r="Y113" s="3"/>
      <c r="Z113" s="3"/>
    </row>
    <row r="114" spans="1:26" ht="14.4" hidden="1" outlineLevel="1" x14ac:dyDescent="0.3">
      <c r="A114" s="3"/>
      <c r="B114" s="9"/>
      <c r="C114" s="53"/>
      <c r="D114" s="53"/>
      <c r="E114" s="11"/>
      <c r="F114" s="11"/>
      <c r="G114" s="58"/>
      <c r="H114" s="54"/>
      <c r="I114" s="54"/>
      <c r="J114" s="55" t="s">
        <v>97</v>
      </c>
      <c r="K114" s="53"/>
      <c r="L114" s="53" t="str">
        <f t="shared" si="4"/>
        <v/>
      </c>
      <c r="M114" s="11"/>
      <c r="N114" s="11"/>
      <c r="O114" s="11"/>
      <c r="P114" s="11"/>
      <c r="Q114" s="11"/>
      <c r="R114" s="11"/>
      <c r="S114" s="11"/>
      <c r="T114" s="11"/>
      <c r="U114" s="11"/>
      <c r="V114" s="53"/>
      <c r="W114" s="35" t="str">
        <f t="shared" si="2"/>
        <v>OK</v>
      </c>
      <c r="X114" s="38" t="str">
        <f t="shared" si="5"/>
        <v/>
      </c>
      <c r="Y114" s="3"/>
      <c r="Z114" s="3"/>
    </row>
    <row r="115" spans="1:26" ht="14.4" hidden="1" outlineLevel="1" x14ac:dyDescent="0.3">
      <c r="A115" s="3"/>
      <c r="B115" s="9"/>
      <c r="C115" s="53"/>
      <c r="D115" s="53"/>
      <c r="E115" s="11"/>
      <c r="F115" s="11"/>
      <c r="G115" s="58"/>
      <c r="H115" s="54"/>
      <c r="I115" s="54"/>
      <c r="J115" s="55" t="s">
        <v>97</v>
      </c>
      <c r="K115" s="53"/>
      <c r="L115" s="53" t="str">
        <f t="shared" si="4"/>
        <v/>
      </c>
      <c r="M115" s="11"/>
      <c r="N115" s="11"/>
      <c r="O115" s="11"/>
      <c r="P115" s="11"/>
      <c r="Q115" s="11"/>
      <c r="R115" s="11"/>
      <c r="S115" s="11"/>
      <c r="T115" s="11"/>
      <c r="U115" s="11"/>
      <c r="V115" s="53"/>
      <c r="W115" s="35" t="str">
        <f t="shared" si="2"/>
        <v>OK</v>
      </c>
      <c r="X115" s="38" t="str">
        <f t="shared" si="5"/>
        <v/>
      </c>
      <c r="Y115" s="3"/>
      <c r="Z115" s="3"/>
    </row>
    <row r="116" spans="1:26" ht="14.4" hidden="1" outlineLevel="1" x14ac:dyDescent="0.3">
      <c r="A116" s="3"/>
      <c r="B116" s="9"/>
      <c r="C116" s="53"/>
      <c r="D116" s="53"/>
      <c r="E116" s="11"/>
      <c r="F116" s="11"/>
      <c r="G116" s="58"/>
      <c r="H116" s="54"/>
      <c r="I116" s="54"/>
      <c r="J116" s="55" t="s">
        <v>97</v>
      </c>
      <c r="K116" s="53"/>
      <c r="L116" s="53" t="str">
        <f t="shared" si="4"/>
        <v/>
      </c>
      <c r="M116" s="11"/>
      <c r="N116" s="11"/>
      <c r="O116" s="11"/>
      <c r="P116" s="11"/>
      <c r="Q116" s="11"/>
      <c r="R116" s="11"/>
      <c r="S116" s="11"/>
      <c r="T116" s="11"/>
      <c r="U116" s="11"/>
      <c r="V116" s="53"/>
      <c r="W116" s="35" t="str">
        <f t="shared" si="2"/>
        <v>OK</v>
      </c>
      <c r="X116" s="38" t="str">
        <f t="shared" si="5"/>
        <v/>
      </c>
      <c r="Y116" s="3"/>
      <c r="Z116" s="3"/>
    </row>
    <row r="117" spans="1:26" ht="14.4" hidden="1" outlineLevel="1" x14ac:dyDescent="0.3">
      <c r="A117" s="3"/>
      <c r="B117" s="9"/>
      <c r="C117" s="53"/>
      <c r="D117" s="53"/>
      <c r="E117" s="11"/>
      <c r="F117" s="11"/>
      <c r="G117" s="58"/>
      <c r="H117" s="54"/>
      <c r="I117" s="54"/>
      <c r="J117" s="55" t="s">
        <v>97</v>
      </c>
      <c r="K117" s="53"/>
      <c r="L117" s="53" t="str">
        <f t="shared" si="4"/>
        <v/>
      </c>
      <c r="M117" s="11"/>
      <c r="N117" s="11"/>
      <c r="O117" s="11"/>
      <c r="P117" s="11"/>
      <c r="Q117" s="11"/>
      <c r="R117" s="11"/>
      <c r="S117" s="11"/>
      <c r="T117" s="11"/>
      <c r="U117" s="11"/>
      <c r="V117" s="53"/>
      <c r="W117" s="35" t="str">
        <f t="shared" si="2"/>
        <v>OK</v>
      </c>
      <c r="X117" s="38" t="str">
        <f t="shared" si="5"/>
        <v/>
      </c>
      <c r="Y117" s="3"/>
      <c r="Z117" s="3"/>
    </row>
    <row r="118" spans="1:26" ht="14.4" hidden="1" outlineLevel="1" x14ac:dyDescent="0.3">
      <c r="A118" s="3"/>
      <c r="B118" s="9"/>
      <c r="C118" s="53"/>
      <c r="D118" s="53"/>
      <c r="E118" s="11"/>
      <c r="F118" s="11"/>
      <c r="G118" s="58"/>
      <c r="H118" s="54"/>
      <c r="I118" s="54"/>
      <c r="J118" s="55" t="s">
        <v>97</v>
      </c>
      <c r="K118" s="53"/>
      <c r="L118" s="53" t="str">
        <f t="shared" si="4"/>
        <v/>
      </c>
      <c r="M118" s="11"/>
      <c r="N118" s="11"/>
      <c r="O118" s="11"/>
      <c r="P118" s="11"/>
      <c r="Q118" s="11"/>
      <c r="R118" s="11"/>
      <c r="S118" s="11"/>
      <c r="T118" s="11"/>
      <c r="U118" s="11"/>
      <c r="V118" s="53"/>
      <c r="W118" s="35" t="str">
        <f t="shared" si="2"/>
        <v>OK</v>
      </c>
      <c r="X118" s="38" t="str">
        <f t="shared" si="5"/>
        <v/>
      </c>
      <c r="Y118" s="3"/>
      <c r="Z118" s="3"/>
    </row>
    <row r="119" spans="1:26" ht="14.4" hidden="1" outlineLevel="1" x14ac:dyDescent="0.3">
      <c r="A119" s="3"/>
      <c r="B119" s="9"/>
      <c r="C119" s="53"/>
      <c r="D119" s="53"/>
      <c r="E119" s="11"/>
      <c r="F119" s="11"/>
      <c r="G119" s="58"/>
      <c r="H119" s="54"/>
      <c r="I119" s="54"/>
      <c r="J119" s="55"/>
      <c r="K119" s="53"/>
      <c r="L119" s="53" t="str">
        <f t="shared" si="4"/>
        <v/>
      </c>
      <c r="M119" s="11"/>
      <c r="N119" s="11"/>
      <c r="O119" s="11"/>
      <c r="P119" s="11"/>
      <c r="Q119" s="11"/>
      <c r="R119" s="11"/>
      <c r="S119" s="11"/>
      <c r="T119" s="11"/>
      <c r="U119" s="11"/>
      <c r="V119" s="53"/>
      <c r="W119" s="35" t="str">
        <f t="shared" si="2"/>
        <v>OK</v>
      </c>
      <c r="X119" s="38" t="str">
        <f t="shared" si="5"/>
        <v/>
      </c>
      <c r="Y119" s="3"/>
      <c r="Z119" s="3"/>
    </row>
    <row r="120" spans="1:26" ht="14.4" hidden="1" outlineLevel="1" x14ac:dyDescent="0.3">
      <c r="A120" s="3"/>
      <c r="B120" s="9"/>
      <c r="C120" s="53"/>
      <c r="D120" s="53"/>
      <c r="E120" s="11"/>
      <c r="F120" s="11"/>
      <c r="G120" s="58"/>
      <c r="H120" s="54"/>
      <c r="I120" s="54"/>
      <c r="J120" s="55"/>
      <c r="K120" s="53"/>
      <c r="L120" s="53" t="str">
        <f t="shared" si="4"/>
        <v/>
      </c>
      <c r="M120" s="11"/>
      <c r="N120" s="11"/>
      <c r="O120" s="11"/>
      <c r="P120" s="11"/>
      <c r="Q120" s="11"/>
      <c r="R120" s="11"/>
      <c r="S120" s="11"/>
      <c r="T120" s="11"/>
      <c r="U120" s="11"/>
      <c r="V120" s="53"/>
      <c r="W120" s="35" t="str">
        <f t="shared" si="2"/>
        <v>OK</v>
      </c>
      <c r="X120" s="38" t="str">
        <f t="shared" si="5"/>
        <v/>
      </c>
      <c r="Y120" s="3"/>
      <c r="Z120" s="3"/>
    </row>
    <row r="121" spans="1:26" ht="14.4" hidden="1" outlineLevel="1" x14ac:dyDescent="0.3">
      <c r="A121" s="3"/>
      <c r="B121" s="9"/>
      <c r="C121" s="53"/>
      <c r="D121" s="53"/>
      <c r="E121" s="11"/>
      <c r="F121" s="11"/>
      <c r="G121" s="58"/>
      <c r="H121" s="54"/>
      <c r="I121" s="54"/>
      <c r="J121" s="55"/>
      <c r="K121" s="53"/>
      <c r="L121" s="53" t="str">
        <f t="shared" si="4"/>
        <v/>
      </c>
      <c r="M121" s="11"/>
      <c r="N121" s="11"/>
      <c r="O121" s="11"/>
      <c r="P121" s="11"/>
      <c r="Q121" s="11"/>
      <c r="R121" s="11"/>
      <c r="S121" s="11"/>
      <c r="T121" s="11"/>
      <c r="U121" s="11"/>
      <c r="V121" s="53"/>
      <c r="W121" s="35" t="str">
        <f t="shared" si="2"/>
        <v>OK</v>
      </c>
      <c r="X121" s="38" t="str">
        <f t="shared" si="5"/>
        <v/>
      </c>
      <c r="Y121" s="3"/>
      <c r="Z121" s="3"/>
    </row>
    <row r="122" spans="1:26" ht="14.4" hidden="1" outlineLevel="1" x14ac:dyDescent="0.3">
      <c r="A122" s="3"/>
      <c r="B122" s="9"/>
      <c r="C122" s="53"/>
      <c r="D122" s="53"/>
      <c r="E122" s="11"/>
      <c r="F122" s="11"/>
      <c r="G122" s="58"/>
      <c r="H122" s="54"/>
      <c r="I122" s="54"/>
      <c r="J122" s="55"/>
      <c r="K122" s="53"/>
      <c r="L122" s="53" t="str">
        <f t="shared" si="4"/>
        <v/>
      </c>
      <c r="M122" s="11"/>
      <c r="N122" s="11"/>
      <c r="O122" s="11"/>
      <c r="P122" s="11"/>
      <c r="Q122" s="11"/>
      <c r="R122" s="11"/>
      <c r="S122" s="11"/>
      <c r="T122" s="11"/>
      <c r="U122" s="11"/>
      <c r="V122" s="53"/>
      <c r="W122" s="35" t="str">
        <f t="shared" si="2"/>
        <v>OK</v>
      </c>
      <c r="X122" s="38" t="str">
        <f t="shared" si="5"/>
        <v/>
      </c>
      <c r="Y122" s="3"/>
      <c r="Z122" s="3"/>
    </row>
    <row r="123" spans="1:26" ht="14.4" hidden="1" outlineLevel="1" x14ac:dyDescent="0.3">
      <c r="A123" s="3"/>
      <c r="B123" s="9"/>
      <c r="C123" s="53"/>
      <c r="D123" s="53"/>
      <c r="E123" s="11"/>
      <c r="F123" s="11"/>
      <c r="G123" s="58"/>
      <c r="H123" s="54"/>
      <c r="I123" s="54"/>
      <c r="J123" s="55"/>
      <c r="K123" s="53"/>
      <c r="L123" s="53" t="str">
        <f t="shared" si="4"/>
        <v/>
      </c>
      <c r="M123" s="11"/>
      <c r="N123" s="11"/>
      <c r="O123" s="11"/>
      <c r="P123" s="11"/>
      <c r="Q123" s="11"/>
      <c r="R123" s="11"/>
      <c r="S123" s="11"/>
      <c r="T123" s="11"/>
      <c r="U123" s="11"/>
      <c r="V123" s="53"/>
      <c r="W123" s="35" t="str">
        <f t="shared" si="2"/>
        <v>OK</v>
      </c>
      <c r="X123" s="38" t="str">
        <f t="shared" si="5"/>
        <v/>
      </c>
      <c r="Y123" s="3"/>
      <c r="Z123" s="3"/>
    </row>
    <row r="124" spans="1:26" ht="14.4" hidden="1" outlineLevel="1" x14ac:dyDescent="0.3">
      <c r="A124" s="3"/>
      <c r="B124" s="9"/>
      <c r="C124" s="53"/>
      <c r="D124" s="53"/>
      <c r="E124" s="11"/>
      <c r="F124" s="11"/>
      <c r="G124" s="58"/>
      <c r="H124" s="54"/>
      <c r="I124" s="54"/>
      <c r="J124" s="55"/>
      <c r="K124" s="53"/>
      <c r="L124" s="53" t="str">
        <f t="shared" si="4"/>
        <v/>
      </c>
      <c r="M124" s="11"/>
      <c r="N124" s="11"/>
      <c r="O124" s="11"/>
      <c r="P124" s="11"/>
      <c r="Q124" s="11"/>
      <c r="R124" s="11"/>
      <c r="S124" s="11"/>
      <c r="T124" s="11"/>
      <c r="U124" s="11"/>
      <c r="V124" s="53"/>
      <c r="W124" s="35" t="str">
        <f t="shared" si="2"/>
        <v>OK</v>
      </c>
      <c r="X124" s="38" t="str">
        <f t="shared" si="5"/>
        <v/>
      </c>
      <c r="Y124" s="3"/>
      <c r="Z124" s="3"/>
    </row>
    <row r="125" spans="1:26" ht="14.4" hidden="1" outlineLevel="1" x14ac:dyDescent="0.3">
      <c r="A125" s="3"/>
      <c r="B125" s="9"/>
      <c r="C125" s="53"/>
      <c r="D125" s="53"/>
      <c r="E125" s="11"/>
      <c r="F125" s="11"/>
      <c r="G125" s="58"/>
      <c r="H125" s="54"/>
      <c r="I125" s="54"/>
      <c r="J125" s="55"/>
      <c r="K125" s="53"/>
      <c r="L125" s="53" t="str">
        <f t="shared" si="4"/>
        <v/>
      </c>
      <c r="M125" s="11"/>
      <c r="N125" s="11"/>
      <c r="O125" s="11"/>
      <c r="P125" s="11"/>
      <c r="Q125" s="11"/>
      <c r="R125" s="11"/>
      <c r="S125" s="11"/>
      <c r="T125" s="11"/>
      <c r="U125" s="11"/>
      <c r="V125" s="53"/>
      <c r="W125" s="35" t="str">
        <f t="shared" si="2"/>
        <v>OK</v>
      </c>
      <c r="X125" s="38" t="str">
        <f t="shared" si="5"/>
        <v/>
      </c>
      <c r="Y125" s="3"/>
      <c r="Z125" s="3"/>
    </row>
    <row r="126" spans="1:26" ht="20.399999999999999" collapsed="1" x14ac:dyDescent="0.3">
      <c r="A126" s="3"/>
      <c r="B126" s="64" t="s">
        <v>63</v>
      </c>
      <c r="C126" s="47" t="s">
        <v>44</v>
      </c>
      <c r="D126" s="47" t="s">
        <v>44</v>
      </c>
      <c r="E126" s="48">
        <f t="shared" ref="E126:F126" si="49">SUM(E127,E130,,E134,E139,E146)</f>
        <v>0</v>
      </c>
      <c r="F126" s="48">
        <f t="shared" si="49"/>
        <v>26966.410000000003</v>
      </c>
      <c r="G126" s="49" t="s">
        <v>44</v>
      </c>
      <c r="H126" s="65"/>
      <c r="I126" s="65"/>
      <c r="J126" s="3"/>
      <c r="K126" s="3"/>
      <c r="L126" s="3"/>
      <c r="M126" s="3"/>
      <c r="N126" s="3"/>
      <c r="O126" s="3"/>
      <c r="P126" s="3"/>
      <c r="Q126" s="3"/>
      <c r="R126" s="3"/>
      <c r="S126" s="3"/>
      <c r="T126" s="3"/>
      <c r="U126" s="3"/>
      <c r="V126" s="3"/>
      <c r="W126" s="35"/>
      <c r="X126" s="32"/>
      <c r="Y126" s="3"/>
      <c r="Z126" s="3"/>
    </row>
    <row r="127" spans="1:26" hidden="1" outlineLevel="1" x14ac:dyDescent="0.3">
      <c r="A127" s="3"/>
      <c r="B127" s="66" t="s">
        <v>231</v>
      </c>
      <c r="C127" s="67" t="s">
        <v>44</v>
      </c>
      <c r="D127" s="67" t="s">
        <v>44</v>
      </c>
      <c r="E127" s="68">
        <f>SUM(E128:E129)</f>
        <v>0</v>
      </c>
      <c r="F127" s="68">
        <f>SUMIF(D128:D129,"OK",F128:F129)</f>
        <v>367.82</v>
      </c>
      <c r="G127" s="69" t="s">
        <v>44</v>
      </c>
      <c r="H127" s="70"/>
      <c r="I127" s="70"/>
      <c r="J127" s="3"/>
      <c r="K127" s="3"/>
      <c r="L127" s="3"/>
      <c r="M127" s="3"/>
      <c r="N127" s="3"/>
      <c r="O127" s="3"/>
      <c r="P127" s="3"/>
      <c r="Q127" s="3"/>
      <c r="R127" s="3"/>
      <c r="S127" s="3"/>
      <c r="T127" s="3"/>
      <c r="U127" s="3"/>
      <c r="V127" s="3"/>
      <c r="W127" s="35"/>
      <c r="X127" s="32"/>
      <c r="Y127" s="3"/>
      <c r="Z127" s="3"/>
    </row>
    <row r="128" spans="1:26" ht="14.4" hidden="1" outlineLevel="1" x14ac:dyDescent="0.3">
      <c r="A128" s="3"/>
      <c r="B128" s="9" t="s">
        <v>232</v>
      </c>
      <c r="C128" s="53">
        <v>9</v>
      </c>
      <c r="D128" s="53" t="s">
        <v>95</v>
      </c>
      <c r="E128" s="11">
        <v>0</v>
      </c>
      <c r="F128" s="11">
        <v>367.82</v>
      </c>
      <c r="G128" s="58"/>
      <c r="H128" s="54" t="s">
        <v>37</v>
      </c>
      <c r="I128" s="54"/>
      <c r="J128" s="3"/>
      <c r="K128" s="3"/>
      <c r="L128" s="3"/>
      <c r="M128" s="3"/>
      <c r="N128" s="3"/>
      <c r="O128" s="3"/>
      <c r="P128" s="3"/>
      <c r="Q128" s="3"/>
      <c r="R128" s="3"/>
      <c r="S128" s="3"/>
      <c r="T128" s="3"/>
      <c r="U128" s="3"/>
      <c r="V128" s="3"/>
      <c r="W128" s="35"/>
      <c r="X128" s="32"/>
      <c r="Y128" s="3"/>
      <c r="Z128" s="3"/>
    </row>
    <row r="129" spans="1:26" ht="14.4" hidden="1" outlineLevel="1" x14ac:dyDescent="0.3">
      <c r="A129" s="3"/>
      <c r="B129" s="9" t="s">
        <v>62</v>
      </c>
      <c r="C129" s="53"/>
      <c r="D129" s="53"/>
      <c r="E129" s="11">
        <v>0</v>
      </c>
      <c r="F129" s="11">
        <v>0</v>
      </c>
      <c r="G129" s="58"/>
      <c r="H129" s="54"/>
      <c r="I129" s="54"/>
      <c r="J129" s="3"/>
      <c r="K129" s="3"/>
      <c r="L129" s="3"/>
      <c r="M129" s="3"/>
      <c r="N129" s="3"/>
      <c r="O129" s="3"/>
      <c r="P129" s="3"/>
      <c r="Q129" s="3"/>
      <c r="R129" s="3"/>
      <c r="S129" s="3"/>
      <c r="T129" s="3"/>
      <c r="U129" s="3"/>
      <c r="V129" s="3"/>
      <c r="W129" s="35"/>
      <c r="X129" s="32"/>
      <c r="Y129" s="3"/>
      <c r="Z129" s="3"/>
    </row>
    <row r="130" spans="1:26" hidden="1" outlineLevel="1" x14ac:dyDescent="0.3">
      <c r="A130" s="3"/>
      <c r="B130" s="66" t="s">
        <v>233</v>
      </c>
      <c r="C130" s="67" t="s">
        <v>44</v>
      </c>
      <c r="D130" s="67" t="s">
        <v>44</v>
      </c>
      <c r="E130" s="68">
        <f>SUM(E131:E133)</f>
        <v>0</v>
      </c>
      <c r="F130" s="68">
        <f>SUMIF(D131:D133,"OK",F131:F133)</f>
        <v>1305.1500000000001</v>
      </c>
      <c r="G130" s="69" t="s">
        <v>44</v>
      </c>
      <c r="H130" s="70"/>
      <c r="I130" s="70"/>
      <c r="J130" s="3"/>
      <c r="K130" s="3"/>
      <c r="L130" s="3"/>
      <c r="M130" s="3"/>
      <c r="N130" s="3"/>
      <c r="O130" s="3"/>
      <c r="P130" s="3"/>
      <c r="Q130" s="3"/>
      <c r="R130" s="3"/>
      <c r="S130" s="3"/>
      <c r="T130" s="3"/>
      <c r="U130" s="3"/>
      <c r="V130" s="3"/>
      <c r="W130" s="35"/>
      <c r="X130" s="32"/>
      <c r="Y130" s="3"/>
      <c r="Z130" s="3"/>
    </row>
    <row r="131" spans="1:26" ht="14.4" hidden="1" outlineLevel="1" x14ac:dyDescent="0.3">
      <c r="A131" s="3"/>
      <c r="B131" s="9" t="s">
        <v>716</v>
      </c>
      <c r="C131" s="53"/>
      <c r="D131" s="53"/>
      <c r="E131" s="11">
        <v>0</v>
      </c>
      <c r="F131" s="11">
        <v>0</v>
      </c>
      <c r="G131" s="60"/>
      <c r="H131" s="54"/>
      <c r="I131" s="54"/>
      <c r="J131" s="3"/>
      <c r="K131" s="3"/>
      <c r="L131" s="3"/>
      <c r="M131" s="3"/>
      <c r="N131" s="3"/>
      <c r="O131" s="3"/>
      <c r="P131" s="3"/>
      <c r="Q131" s="3"/>
      <c r="R131" s="3"/>
      <c r="S131" s="3"/>
      <c r="T131" s="3"/>
      <c r="U131" s="3"/>
      <c r="V131" s="3"/>
      <c r="W131" s="35"/>
      <c r="X131" s="32"/>
      <c r="Y131" s="3"/>
      <c r="Z131" s="3"/>
    </row>
    <row r="132" spans="1:26" ht="14.4" hidden="1" outlineLevel="1" x14ac:dyDescent="0.3">
      <c r="A132" s="3"/>
      <c r="B132" s="9" t="s">
        <v>530</v>
      </c>
      <c r="C132" s="53" t="s">
        <v>714</v>
      </c>
      <c r="D132" s="53" t="s">
        <v>95</v>
      </c>
      <c r="E132" s="11">
        <v>0</v>
      </c>
      <c r="F132" s="11">
        <v>1274.9000000000001</v>
      </c>
      <c r="G132" s="61"/>
      <c r="H132" s="54" t="s">
        <v>39</v>
      </c>
      <c r="I132" s="54"/>
      <c r="J132" s="3"/>
      <c r="K132" s="3"/>
      <c r="L132" s="3"/>
      <c r="M132" s="3"/>
      <c r="N132" s="3"/>
      <c r="O132" s="3"/>
      <c r="P132" s="3"/>
      <c r="Q132" s="3"/>
      <c r="R132" s="3"/>
      <c r="S132" s="3"/>
      <c r="T132" s="3"/>
      <c r="U132" s="3"/>
      <c r="V132" s="3"/>
      <c r="W132" s="35"/>
      <c r="X132" s="32"/>
      <c r="Y132" s="3"/>
      <c r="Z132" s="3"/>
    </row>
    <row r="133" spans="1:26" ht="14.4" hidden="1" outlineLevel="1" x14ac:dyDescent="0.3">
      <c r="A133" s="3"/>
      <c r="B133" s="9" t="s">
        <v>533</v>
      </c>
      <c r="C133" s="53">
        <v>8</v>
      </c>
      <c r="D133" s="53" t="s">
        <v>95</v>
      </c>
      <c r="E133" s="11">
        <v>0</v>
      </c>
      <c r="F133" s="11">
        <f>18.75+11.5</f>
        <v>30.25</v>
      </c>
      <c r="G133" s="60"/>
      <c r="H133" s="54" t="s">
        <v>38</v>
      </c>
      <c r="I133" s="54"/>
      <c r="J133" s="3"/>
      <c r="K133" s="3"/>
      <c r="L133" s="3"/>
      <c r="M133" s="3"/>
      <c r="N133" s="3"/>
      <c r="O133" s="3"/>
      <c r="P133" s="3"/>
      <c r="Q133" s="3"/>
      <c r="R133" s="3"/>
      <c r="S133" s="3"/>
      <c r="T133" s="3"/>
      <c r="U133" s="3"/>
      <c r="V133" s="3"/>
      <c r="W133" s="35"/>
      <c r="X133" s="32"/>
      <c r="Y133" s="3"/>
      <c r="Z133" s="3"/>
    </row>
    <row r="134" spans="1:26" hidden="1" outlineLevel="1" x14ac:dyDescent="0.3">
      <c r="A134" s="3"/>
      <c r="B134" s="66" t="s">
        <v>652</v>
      </c>
      <c r="C134" s="67" t="s">
        <v>44</v>
      </c>
      <c r="D134" s="67" t="s">
        <v>44</v>
      </c>
      <c r="E134" s="68">
        <f>SUM(E135:E137)</f>
        <v>0</v>
      </c>
      <c r="F134" s="68">
        <f>SUMIF(D135:D138,"OK",F135:F138)</f>
        <v>0</v>
      </c>
      <c r="G134" s="69" t="s">
        <v>44</v>
      </c>
      <c r="H134" s="70"/>
      <c r="I134" s="70"/>
      <c r="J134" s="3"/>
      <c r="K134" s="3"/>
      <c r="L134" s="3"/>
      <c r="M134" s="3"/>
      <c r="N134" s="3"/>
      <c r="O134" s="3"/>
      <c r="P134" s="3"/>
      <c r="Q134" s="3"/>
      <c r="R134" s="3"/>
      <c r="S134" s="3"/>
      <c r="T134" s="3"/>
      <c r="U134" s="3"/>
      <c r="V134" s="3"/>
      <c r="W134" s="35"/>
      <c r="X134" s="32"/>
      <c r="Y134" s="3"/>
      <c r="Z134" s="3"/>
    </row>
    <row r="135" spans="1:26" ht="14.4" hidden="1" outlineLevel="1" x14ac:dyDescent="0.3">
      <c r="A135" s="3"/>
      <c r="B135" s="9" t="s">
        <v>716</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4.4" hidden="1" outlineLevel="1" x14ac:dyDescent="0.3">
      <c r="A136" s="3"/>
      <c r="B136" s="9" t="s">
        <v>532</v>
      </c>
      <c r="C136" s="53"/>
      <c r="D136" s="53"/>
      <c r="E136" s="11">
        <v>0</v>
      </c>
      <c r="F136" s="11">
        <v>0</v>
      </c>
      <c r="G136" s="61"/>
      <c r="H136" s="54"/>
      <c r="I136" s="54"/>
      <c r="J136" s="3"/>
      <c r="K136" s="3"/>
      <c r="L136" s="3"/>
      <c r="M136" s="3"/>
      <c r="N136" s="3"/>
      <c r="O136" s="3"/>
      <c r="P136" s="3"/>
      <c r="Q136" s="3"/>
      <c r="R136" s="3"/>
      <c r="S136" s="3"/>
      <c r="T136" s="3"/>
      <c r="U136" s="3"/>
      <c r="V136" s="3"/>
      <c r="W136" s="35"/>
      <c r="X136" s="32"/>
      <c r="Y136" s="3"/>
      <c r="Z136" s="3"/>
    </row>
    <row r="137" spans="1:26" ht="14.4" hidden="1" outlineLevel="1" x14ac:dyDescent="0.3">
      <c r="A137" s="3"/>
      <c r="B137" s="9" t="s">
        <v>533</v>
      </c>
      <c r="C137" s="53"/>
      <c r="D137" s="53"/>
      <c r="E137" s="11">
        <v>0</v>
      </c>
      <c r="F137" s="11">
        <v>0</v>
      </c>
      <c r="G137" s="60"/>
      <c r="H137" s="54"/>
      <c r="I137" s="54"/>
      <c r="J137" s="3"/>
      <c r="K137" s="3"/>
      <c r="L137" s="3"/>
      <c r="M137" s="3"/>
      <c r="N137" s="3"/>
      <c r="O137" s="3"/>
      <c r="P137" s="3"/>
      <c r="Q137" s="3"/>
      <c r="R137" s="3"/>
      <c r="S137" s="3"/>
      <c r="T137" s="3"/>
      <c r="U137" s="3"/>
      <c r="V137" s="3"/>
      <c r="W137" s="35"/>
      <c r="X137" s="32"/>
      <c r="Y137" s="3"/>
      <c r="Z137" s="3"/>
    </row>
    <row r="138" spans="1:26" ht="14.4" hidden="1" outlineLevel="1" x14ac:dyDescent="0.3">
      <c r="A138" s="3"/>
      <c r="B138" s="9" t="s">
        <v>530</v>
      </c>
      <c r="C138" s="53"/>
      <c r="D138" s="53"/>
      <c r="E138" s="11">
        <v>0</v>
      </c>
      <c r="F138" s="11">
        <v>0</v>
      </c>
      <c r="G138" s="60"/>
      <c r="H138" s="54"/>
      <c r="I138" s="54"/>
      <c r="J138" s="3"/>
      <c r="K138" s="3"/>
      <c r="L138" s="3"/>
      <c r="M138" s="3"/>
      <c r="N138" s="3"/>
      <c r="O138" s="3"/>
      <c r="P138" s="3"/>
      <c r="Q138" s="3"/>
      <c r="R138" s="3"/>
      <c r="S138" s="3"/>
      <c r="T138" s="3"/>
      <c r="U138" s="3"/>
      <c r="V138" s="3"/>
      <c r="W138" s="35"/>
      <c r="X138" s="32"/>
      <c r="Y138" s="3"/>
      <c r="Z138" s="3"/>
    </row>
    <row r="139" spans="1:26" hidden="1" outlineLevel="1" x14ac:dyDescent="0.3">
      <c r="A139" s="3"/>
      <c r="B139" s="66" t="s">
        <v>902</v>
      </c>
      <c r="C139" s="67" t="s">
        <v>44</v>
      </c>
      <c r="D139" s="67" t="s">
        <v>44</v>
      </c>
      <c r="E139" s="68">
        <f>SUM(E140:E145)</f>
        <v>0</v>
      </c>
      <c r="F139" s="68">
        <f>SUMIF(D140:D145,"OK",F140:F145)</f>
        <v>160</v>
      </c>
      <c r="G139" s="69" t="s">
        <v>44</v>
      </c>
      <c r="H139" s="70"/>
      <c r="I139" s="70"/>
      <c r="J139" s="3"/>
      <c r="K139" s="3"/>
      <c r="L139" s="3"/>
      <c r="M139" s="3"/>
      <c r="N139" s="3"/>
      <c r="O139" s="3"/>
      <c r="P139" s="3"/>
      <c r="Q139" s="3"/>
      <c r="R139" s="3"/>
      <c r="S139" s="3"/>
      <c r="T139" s="3"/>
      <c r="U139" s="3"/>
      <c r="V139" s="3"/>
      <c r="W139" s="35"/>
      <c r="X139" s="32"/>
      <c r="Y139" s="3"/>
      <c r="Z139" s="3"/>
    </row>
    <row r="140" spans="1:26" ht="14.4" hidden="1" outlineLevel="1" x14ac:dyDescent="0.3">
      <c r="A140" s="3"/>
      <c r="B140" s="9" t="s">
        <v>1162</v>
      </c>
      <c r="C140" s="53"/>
      <c r="D140" s="53"/>
      <c r="E140" s="11">
        <v>0</v>
      </c>
      <c r="F140" s="11">
        <v>0</v>
      </c>
      <c r="G140" s="58"/>
      <c r="H140" s="54"/>
      <c r="I140" s="54"/>
      <c r="J140" s="3"/>
      <c r="K140" s="3"/>
      <c r="L140" s="3"/>
      <c r="M140" s="3"/>
      <c r="N140" s="3"/>
      <c r="O140" s="3"/>
      <c r="P140" s="3"/>
      <c r="Q140" s="3"/>
      <c r="R140" s="3"/>
      <c r="S140" s="3"/>
      <c r="T140" s="3"/>
      <c r="U140" s="3"/>
      <c r="V140" s="3"/>
      <c r="W140" s="35"/>
      <c r="X140" s="32"/>
      <c r="Y140" s="3"/>
      <c r="Z140" s="3"/>
    </row>
    <row r="141" spans="1:26" ht="14.4" hidden="1" outlineLevel="1" x14ac:dyDescent="0.3">
      <c r="A141" s="3"/>
      <c r="B141" s="9" t="s">
        <v>533</v>
      </c>
      <c r="C141" s="53">
        <v>3</v>
      </c>
      <c r="D141" s="53" t="s">
        <v>95</v>
      </c>
      <c r="E141" s="11">
        <v>0</v>
      </c>
      <c r="F141" s="11">
        <v>160</v>
      </c>
      <c r="G141" s="61" t="s">
        <v>1320</v>
      </c>
      <c r="H141" s="54" t="s">
        <v>38</v>
      </c>
      <c r="I141" s="54"/>
      <c r="J141" s="3"/>
      <c r="K141" s="3"/>
      <c r="L141" s="3"/>
      <c r="M141" s="3"/>
      <c r="N141" s="3"/>
      <c r="O141" s="3"/>
      <c r="P141" s="3"/>
      <c r="Q141" s="3"/>
      <c r="R141" s="3"/>
      <c r="S141" s="3"/>
      <c r="T141" s="3"/>
      <c r="U141" s="3"/>
      <c r="V141" s="3"/>
      <c r="W141" s="35"/>
      <c r="X141" s="32"/>
      <c r="Y141" s="3"/>
      <c r="Z141" s="3"/>
    </row>
    <row r="142" spans="1:26" ht="14.4" hidden="1" outlineLevel="1" x14ac:dyDescent="0.3">
      <c r="A142" s="3"/>
      <c r="B142" s="9" t="s">
        <v>43</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t="14.4" hidden="1" outlineLevel="1" x14ac:dyDescent="0.3">
      <c r="A143" s="3"/>
      <c r="B143" s="9" t="s">
        <v>43</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4.4" hidden="1" outlineLevel="1" x14ac:dyDescent="0.3">
      <c r="A144" s="3"/>
      <c r="B144" s="9" t="s">
        <v>43</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4.4" hidden="1" outlineLevel="1" x14ac:dyDescent="0.3">
      <c r="A145" s="3"/>
      <c r="B145" s="9" t="s">
        <v>43</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idden="1" outlineLevel="1" x14ac:dyDescent="0.3">
      <c r="A146" s="3"/>
      <c r="B146" s="66" t="s">
        <v>690</v>
      </c>
      <c r="C146" s="67" t="s">
        <v>44</v>
      </c>
      <c r="D146" s="67" t="s">
        <v>44</v>
      </c>
      <c r="E146" s="68">
        <f>SUM(E147:E150)</f>
        <v>0</v>
      </c>
      <c r="F146" s="68">
        <f>SUMIF(D147:D151,"OK",F147:F151)</f>
        <v>25133.440000000002</v>
      </c>
      <c r="G146" s="69" t="s">
        <v>44</v>
      </c>
      <c r="H146" s="70"/>
      <c r="I146" s="70"/>
      <c r="J146" s="3"/>
      <c r="K146" s="3"/>
      <c r="L146" s="3"/>
      <c r="M146" s="3"/>
      <c r="N146" s="3"/>
      <c r="O146" s="3"/>
      <c r="P146" s="3"/>
      <c r="Q146" s="3"/>
      <c r="R146" s="3"/>
      <c r="S146" s="3"/>
      <c r="T146" s="3"/>
      <c r="U146" s="3"/>
      <c r="V146" s="3"/>
      <c r="W146" s="35"/>
      <c r="X146" s="32"/>
      <c r="Y146" s="3"/>
      <c r="Z146" s="3"/>
    </row>
    <row r="147" spans="1:26" ht="14.4" hidden="1" outlineLevel="1" x14ac:dyDescent="0.3">
      <c r="A147" s="3"/>
      <c r="B147" s="9" t="s">
        <v>1321</v>
      </c>
      <c r="C147" s="53"/>
      <c r="D147" s="53"/>
      <c r="E147" s="11">
        <v>0</v>
      </c>
      <c r="F147" s="11">
        <v>0</v>
      </c>
      <c r="G147" s="60"/>
      <c r="H147" s="54"/>
      <c r="I147" s="54"/>
      <c r="J147" s="3"/>
      <c r="K147" s="3"/>
      <c r="L147" s="3"/>
      <c r="M147" s="3"/>
      <c r="N147" s="3"/>
      <c r="O147" s="3"/>
      <c r="P147" s="3"/>
      <c r="Q147" s="3"/>
      <c r="R147" s="3"/>
      <c r="S147" s="3"/>
      <c r="T147" s="3"/>
      <c r="U147" s="3"/>
      <c r="V147" s="3"/>
      <c r="W147" s="35"/>
      <c r="X147" s="32"/>
      <c r="Y147" s="3"/>
      <c r="Z147" s="3"/>
    </row>
    <row r="148" spans="1:26" ht="14.4" hidden="1" outlineLevel="1" x14ac:dyDescent="0.3">
      <c r="A148" s="3"/>
      <c r="B148" s="9" t="s">
        <v>1322</v>
      </c>
      <c r="C148" s="53"/>
      <c r="D148" s="53"/>
      <c r="E148" s="11">
        <v>0</v>
      </c>
      <c r="F148" s="11">
        <v>0</v>
      </c>
      <c r="G148" s="60"/>
      <c r="H148" s="54"/>
      <c r="I148" s="54"/>
      <c r="J148" s="3"/>
      <c r="K148" s="3"/>
      <c r="L148" s="3"/>
      <c r="M148" s="3"/>
      <c r="N148" s="3"/>
      <c r="O148" s="3"/>
      <c r="P148" s="3"/>
      <c r="Q148" s="3"/>
      <c r="R148" s="3"/>
      <c r="S148" s="3"/>
      <c r="T148" s="3"/>
      <c r="U148" s="3"/>
      <c r="V148" s="3"/>
      <c r="W148" s="35"/>
      <c r="X148" s="32"/>
      <c r="Y148" s="3"/>
      <c r="Z148" s="3"/>
    </row>
    <row r="149" spans="1:26" ht="14.4" hidden="1" outlineLevel="1" x14ac:dyDescent="0.3">
      <c r="A149" s="3"/>
      <c r="B149" s="9" t="s">
        <v>1323</v>
      </c>
      <c r="C149" s="53"/>
      <c r="D149" s="53"/>
      <c r="E149" s="11">
        <v>0</v>
      </c>
      <c r="F149" s="11">
        <v>0</v>
      </c>
      <c r="G149" s="60"/>
      <c r="H149" s="54"/>
      <c r="I149" s="54"/>
      <c r="J149" s="3"/>
      <c r="K149" s="3"/>
      <c r="L149" s="3"/>
      <c r="M149" s="3"/>
      <c r="N149" s="3"/>
      <c r="O149" s="3"/>
      <c r="P149" s="3"/>
      <c r="Q149" s="3"/>
      <c r="R149" s="3"/>
      <c r="S149" s="3"/>
      <c r="T149" s="3"/>
      <c r="U149" s="3"/>
      <c r="V149" s="3"/>
      <c r="W149" s="35"/>
      <c r="X149" s="32"/>
      <c r="Y149" s="3"/>
      <c r="Z149" s="3"/>
    </row>
    <row r="150" spans="1:26" ht="14.4" hidden="1" outlineLevel="1" x14ac:dyDescent="0.3">
      <c r="A150" s="3"/>
      <c r="B150" s="9" t="s">
        <v>1324</v>
      </c>
      <c r="C150" s="53" t="s">
        <v>714</v>
      </c>
      <c r="D150" s="53" t="s">
        <v>95</v>
      </c>
      <c r="E150" s="11">
        <v>0</v>
      </c>
      <c r="F150" s="11">
        <f>11980.44+13000</f>
        <v>24980.440000000002</v>
      </c>
      <c r="G150" s="60"/>
      <c r="H150" s="54" t="s">
        <v>38</v>
      </c>
      <c r="I150" s="54"/>
      <c r="J150" s="116"/>
      <c r="K150" s="3"/>
      <c r="L150" s="3"/>
      <c r="M150" s="3"/>
      <c r="N150" s="3"/>
      <c r="O150" s="3"/>
      <c r="P150" s="3"/>
      <c r="Q150" s="3"/>
      <c r="R150" s="3"/>
      <c r="S150" s="3"/>
      <c r="T150" s="3"/>
      <c r="U150" s="3"/>
      <c r="V150" s="3"/>
      <c r="W150" s="35"/>
      <c r="X150" s="32"/>
      <c r="Y150" s="3"/>
      <c r="Z150" s="3"/>
    </row>
    <row r="151" spans="1:26" ht="14.4" hidden="1" outlineLevel="1" x14ac:dyDescent="0.3">
      <c r="A151" s="3"/>
      <c r="B151" s="9" t="s">
        <v>1325</v>
      </c>
      <c r="C151" s="53" t="s">
        <v>1326</v>
      </c>
      <c r="D151" s="53" t="s">
        <v>95</v>
      </c>
      <c r="E151" s="11">
        <v>0</v>
      </c>
      <c r="F151" s="11">
        <f>50+103</f>
        <v>153</v>
      </c>
      <c r="G151" s="60"/>
      <c r="H151" s="54" t="s">
        <v>37</v>
      </c>
      <c r="I151" s="54"/>
      <c r="J151" s="3"/>
      <c r="K151" s="3"/>
      <c r="L151" s="3"/>
      <c r="M151" s="3"/>
      <c r="N151" s="3"/>
      <c r="O151" s="3"/>
      <c r="P151" s="3"/>
      <c r="Q151" s="3"/>
      <c r="R151" s="3"/>
      <c r="S151" s="3"/>
      <c r="T151" s="3"/>
      <c r="U151" s="3"/>
      <c r="V151" s="3"/>
      <c r="W151" s="35"/>
      <c r="X151" s="32"/>
      <c r="Y151" s="3"/>
      <c r="Z151" s="3"/>
    </row>
    <row r="152" spans="1:26" ht="20.399999999999999" collapsed="1" x14ac:dyDescent="0.3">
      <c r="A152" s="3"/>
      <c r="B152" s="64" t="s">
        <v>240</v>
      </c>
      <c r="C152" s="47" t="s">
        <v>44</v>
      </c>
      <c r="D152" s="47" t="s">
        <v>44</v>
      </c>
      <c r="E152" s="48">
        <f t="shared" ref="E152:F152" si="50">SUM(E153,E158,E163,E167)</f>
        <v>0</v>
      </c>
      <c r="F152" s="48">
        <f t="shared" si="50"/>
        <v>1907</v>
      </c>
      <c r="G152" s="49" t="s">
        <v>44</v>
      </c>
      <c r="H152" s="65"/>
      <c r="I152" s="65"/>
      <c r="J152" s="3"/>
      <c r="K152" s="3"/>
      <c r="L152" s="3"/>
      <c r="M152" s="3"/>
      <c r="N152" s="3"/>
      <c r="O152" s="3"/>
      <c r="P152" s="3"/>
      <c r="Q152" s="3"/>
      <c r="R152" s="3"/>
      <c r="S152" s="3"/>
      <c r="T152" s="3"/>
      <c r="U152" s="3"/>
      <c r="V152" s="3"/>
      <c r="W152" s="35"/>
      <c r="X152" s="32"/>
      <c r="Y152" s="3"/>
      <c r="Z152" s="3"/>
    </row>
    <row r="153" spans="1:26" hidden="1" outlineLevel="1" x14ac:dyDescent="0.3">
      <c r="A153" s="3"/>
      <c r="B153" s="66" t="s">
        <v>241</v>
      </c>
      <c r="C153" s="67" t="s">
        <v>44</v>
      </c>
      <c r="D153" s="67" t="s">
        <v>44</v>
      </c>
      <c r="E153" s="68">
        <f>SUM(E154:E157)</f>
        <v>0</v>
      </c>
      <c r="F153" s="68">
        <f>SUMIF(D154:D157,"OK",F154:F157)</f>
        <v>717</v>
      </c>
      <c r="G153" s="69" t="s">
        <v>44</v>
      </c>
      <c r="H153" s="70"/>
      <c r="I153" s="70"/>
      <c r="J153" s="3"/>
      <c r="K153" s="3"/>
      <c r="L153" s="3"/>
      <c r="M153" s="3"/>
      <c r="N153" s="3"/>
      <c r="O153" s="3"/>
      <c r="P153" s="3"/>
      <c r="Q153" s="3"/>
      <c r="R153" s="3"/>
      <c r="S153" s="3"/>
      <c r="T153" s="3"/>
      <c r="U153" s="3"/>
      <c r="V153" s="3"/>
      <c r="W153" s="35"/>
      <c r="X153" s="32"/>
      <c r="Y153" s="3"/>
      <c r="Z153" s="3"/>
    </row>
    <row r="154" spans="1:26" ht="14.4" hidden="1" outlineLevel="1" x14ac:dyDescent="0.3">
      <c r="A154" s="3"/>
      <c r="B154" s="9" t="s">
        <v>242</v>
      </c>
      <c r="C154" s="53">
        <v>7</v>
      </c>
      <c r="D154" s="53" t="s">
        <v>95</v>
      </c>
      <c r="E154" s="11">
        <v>0</v>
      </c>
      <c r="F154" s="11">
        <f>5+50+10+5+20+10+5+10+10+5+10+30+20+10+10+20+10+10+10+5+10+10</f>
        <v>285</v>
      </c>
      <c r="G154" s="58"/>
      <c r="H154" s="54" t="s">
        <v>37</v>
      </c>
      <c r="I154" s="54"/>
      <c r="J154" s="3"/>
      <c r="K154" s="3"/>
      <c r="L154" s="3"/>
      <c r="M154" s="3"/>
      <c r="N154" s="3"/>
      <c r="O154" s="3"/>
      <c r="P154" s="3"/>
      <c r="Q154" s="3"/>
      <c r="R154" s="3"/>
      <c r="S154" s="3"/>
      <c r="T154" s="3"/>
      <c r="U154" s="3"/>
      <c r="V154" s="3"/>
      <c r="W154" s="35"/>
      <c r="X154" s="32"/>
      <c r="Y154" s="3"/>
      <c r="Z154" s="3"/>
    </row>
    <row r="155" spans="1:26" ht="14.4" hidden="1" outlineLevel="1" x14ac:dyDescent="0.3">
      <c r="A155" s="3"/>
      <c r="B155" s="9" t="s">
        <v>243</v>
      </c>
      <c r="C155" s="53">
        <v>7</v>
      </c>
      <c r="D155" s="53" t="s">
        <v>95</v>
      </c>
      <c r="E155" s="11">
        <v>0</v>
      </c>
      <c r="F155" s="11">
        <v>40</v>
      </c>
      <c r="G155" s="58"/>
      <c r="H155" s="54" t="s">
        <v>36</v>
      </c>
      <c r="I155" s="54"/>
      <c r="J155" s="3"/>
      <c r="K155" s="3"/>
      <c r="L155" s="3"/>
      <c r="M155" s="3"/>
      <c r="N155" s="3"/>
      <c r="O155" s="3"/>
      <c r="P155" s="3"/>
      <c r="Q155" s="3"/>
      <c r="R155" s="3"/>
      <c r="S155" s="3"/>
      <c r="T155" s="3"/>
      <c r="U155" s="3"/>
      <c r="V155" s="3"/>
      <c r="W155" s="35"/>
      <c r="X155" s="32"/>
      <c r="Y155" s="3"/>
      <c r="Z155" s="3"/>
    </row>
    <row r="156" spans="1:26" ht="14.4" hidden="1" outlineLevel="1" x14ac:dyDescent="0.3">
      <c r="A156" s="3"/>
      <c r="B156" s="9" t="s">
        <v>244</v>
      </c>
      <c r="C156" s="53">
        <v>21</v>
      </c>
      <c r="D156" s="53" t="s">
        <v>95</v>
      </c>
      <c r="E156" s="11">
        <v>0</v>
      </c>
      <c r="F156" s="11">
        <f>10+50+10+25+10+7+20+30+20+10+20+10+10+160</f>
        <v>392</v>
      </c>
      <c r="G156" s="58"/>
      <c r="H156" s="54" t="s">
        <v>37</v>
      </c>
      <c r="I156" s="54"/>
      <c r="J156" s="3"/>
      <c r="K156" s="3"/>
      <c r="L156" s="3"/>
      <c r="M156" s="3"/>
      <c r="N156" s="3"/>
      <c r="O156" s="3"/>
      <c r="P156" s="3"/>
      <c r="Q156" s="3"/>
      <c r="R156" s="3"/>
      <c r="S156" s="3"/>
      <c r="T156" s="3"/>
      <c r="U156" s="3"/>
      <c r="V156" s="3"/>
      <c r="W156" s="35"/>
      <c r="X156" s="32"/>
      <c r="Y156" s="3"/>
      <c r="Z156" s="3"/>
    </row>
    <row r="157" spans="1:26" ht="14.4" hidden="1" outlineLevel="1" x14ac:dyDescent="0.3">
      <c r="A157" s="3"/>
      <c r="B157" s="9" t="s">
        <v>245</v>
      </c>
      <c r="C157" s="53"/>
      <c r="D157" s="53"/>
      <c r="E157" s="11">
        <v>0</v>
      </c>
      <c r="F157" s="11">
        <v>0</v>
      </c>
      <c r="G157" s="120"/>
      <c r="H157" s="54" t="s">
        <v>36</v>
      </c>
      <c r="I157" s="54"/>
      <c r="J157" s="3"/>
      <c r="K157" s="3"/>
      <c r="L157" s="3"/>
      <c r="M157" s="3"/>
      <c r="N157" s="3"/>
      <c r="O157" s="3"/>
      <c r="P157" s="3"/>
      <c r="Q157" s="3"/>
      <c r="R157" s="3"/>
      <c r="S157" s="3"/>
      <c r="T157" s="3"/>
      <c r="U157" s="3"/>
      <c r="V157" s="3"/>
      <c r="W157" s="35"/>
      <c r="X157" s="32"/>
      <c r="Y157" s="3"/>
      <c r="Z157" s="3"/>
    </row>
    <row r="158" spans="1:26" hidden="1" outlineLevel="1" x14ac:dyDescent="0.3">
      <c r="A158" s="3"/>
      <c r="B158" s="66" t="s">
        <v>246</v>
      </c>
      <c r="C158" s="67" t="s">
        <v>44</v>
      </c>
      <c r="D158" s="67" t="s">
        <v>44</v>
      </c>
      <c r="E158" s="68">
        <f>SUM(E159:E162)</f>
        <v>0</v>
      </c>
      <c r="F158" s="68">
        <f>SUMIF(D159:D162,"OK",F159:F162)</f>
        <v>750</v>
      </c>
      <c r="G158" s="69" t="s">
        <v>44</v>
      </c>
      <c r="H158" s="70"/>
      <c r="I158" s="70"/>
      <c r="J158" s="3"/>
      <c r="K158" s="3"/>
      <c r="L158" s="3"/>
      <c r="M158" s="3"/>
      <c r="N158" s="3"/>
      <c r="O158" s="3"/>
      <c r="P158" s="3"/>
      <c r="Q158" s="3"/>
      <c r="R158" s="3"/>
      <c r="S158" s="3"/>
      <c r="T158" s="3"/>
      <c r="U158" s="3"/>
      <c r="V158" s="3"/>
      <c r="W158" s="35"/>
      <c r="X158" s="32"/>
      <c r="Y158" s="3"/>
      <c r="Z158" s="3"/>
    </row>
    <row r="159" spans="1:26" ht="14.4" hidden="1" outlineLevel="1" x14ac:dyDescent="0.3">
      <c r="A159" s="3"/>
      <c r="B159" s="9" t="s">
        <v>242</v>
      </c>
      <c r="C159" s="53">
        <v>7</v>
      </c>
      <c r="D159" s="53" t="s">
        <v>95</v>
      </c>
      <c r="E159" s="11">
        <v>0</v>
      </c>
      <c r="F159" s="11">
        <f>20+10+10+10+20+10+20+50+20+20+20+10+10+10+10+30</f>
        <v>280</v>
      </c>
      <c r="G159" s="60"/>
      <c r="H159" s="54" t="s">
        <v>37</v>
      </c>
      <c r="I159" s="54"/>
      <c r="J159" s="3"/>
      <c r="K159" s="3"/>
      <c r="L159" s="3"/>
      <c r="M159" s="3"/>
      <c r="N159" s="3"/>
      <c r="O159" s="3"/>
      <c r="P159" s="3"/>
      <c r="Q159" s="3"/>
      <c r="R159" s="3"/>
      <c r="S159" s="3"/>
      <c r="T159" s="3"/>
      <c r="U159" s="3"/>
      <c r="V159" s="3"/>
      <c r="W159" s="35"/>
      <c r="X159" s="32"/>
      <c r="Y159" s="3"/>
      <c r="Z159" s="3"/>
    </row>
    <row r="160" spans="1:26" ht="14.4" hidden="1" outlineLevel="1" x14ac:dyDescent="0.3">
      <c r="A160" s="3"/>
      <c r="B160" s="9" t="s">
        <v>243</v>
      </c>
      <c r="C160" s="53">
        <v>7</v>
      </c>
      <c r="D160" s="53" t="s">
        <v>95</v>
      </c>
      <c r="E160" s="11">
        <v>0</v>
      </c>
      <c r="F160" s="11">
        <v>10</v>
      </c>
      <c r="G160" s="58"/>
      <c r="H160" s="54" t="s">
        <v>36</v>
      </c>
      <c r="I160" s="54"/>
      <c r="J160" s="3"/>
      <c r="K160" s="3"/>
      <c r="L160" s="3"/>
      <c r="M160" s="3"/>
      <c r="N160" s="3"/>
      <c r="O160" s="3"/>
      <c r="P160" s="3"/>
      <c r="Q160" s="3"/>
      <c r="R160" s="3"/>
      <c r="S160" s="3"/>
      <c r="T160" s="3"/>
      <c r="U160" s="3"/>
      <c r="V160" s="3"/>
      <c r="W160" s="35"/>
      <c r="X160" s="32"/>
      <c r="Y160" s="3"/>
      <c r="Z160" s="3"/>
    </row>
    <row r="161" spans="1:26" ht="14.4" hidden="1" outlineLevel="1" x14ac:dyDescent="0.3">
      <c r="A161" s="3"/>
      <c r="B161" s="9" t="s">
        <v>244</v>
      </c>
      <c r="C161" s="53" t="s">
        <v>1327</v>
      </c>
      <c r="D161" s="53" t="s">
        <v>95</v>
      </c>
      <c r="E161" s="11">
        <v>0</v>
      </c>
      <c r="F161" s="11">
        <f>20+20+30+10+50+20+10+20+20+10+20+10+20+20+10+10+20+30+30+20+30</f>
        <v>430</v>
      </c>
      <c r="G161" s="58"/>
      <c r="H161" s="54" t="s">
        <v>37</v>
      </c>
      <c r="I161" s="54"/>
      <c r="J161" s="3"/>
      <c r="K161" s="3"/>
      <c r="L161" s="3"/>
      <c r="M161" s="3"/>
      <c r="N161" s="3"/>
      <c r="O161" s="3"/>
      <c r="P161" s="3"/>
      <c r="Q161" s="3"/>
      <c r="R161" s="3"/>
      <c r="S161" s="3"/>
      <c r="T161" s="3"/>
      <c r="U161" s="3"/>
      <c r="V161" s="3"/>
      <c r="W161" s="35"/>
      <c r="X161" s="32"/>
      <c r="Y161" s="3"/>
      <c r="Z161" s="3"/>
    </row>
    <row r="162" spans="1:26" ht="14.4" hidden="1" outlineLevel="1" x14ac:dyDescent="0.3">
      <c r="A162" s="3"/>
      <c r="B162" s="9" t="s">
        <v>245</v>
      </c>
      <c r="C162" s="53">
        <v>21</v>
      </c>
      <c r="D162" s="53" t="s">
        <v>95</v>
      </c>
      <c r="E162" s="11">
        <v>0</v>
      </c>
      <c r="F162" s="11">
        <f>30</f>
        <v>30</v>
      </c>
      <c r="G162" s="58"/>
      <c r="H162" s="54" t="s">
        <v>36</v>
      </c>
      <c r="I162" s="54"/>
      <c r="J162" s="3"/>
      <c r="K162" s="3"/>
      <c r="L162" s="3"/>
      <c r="M162" s="3"/>
      <c r="N162" s="3"/>
      <c r="O162" s="3"/>
      <c r="P162" s="3"/>
      <c r="Q162" s="3"/>
      <c r="R162" s="3"/>
      <c r="S162" s="3"/>
      <c r="T162" s="3"/>
      <c r="U162" s="3"/>
      <c r="V162" s="3"/>
      <c r="W162" s="35"/>
      <c r="X162" s="32"/>
      <c r="Y162" s="3"/>
      <c r="Z162" s="3"/>
    </row>
    <row r="163" spans="1:26" hidden="1" outlineLevel="1" x14ac:dyDescent="0.3">
      <c r="A163" s="3"/>
      <c r="B163" s="66" t="s">
        <v>247</v>
      </c>
      <c r="C163" s="67" t="s">
        <v>44</v>
      </c>
      <c r="D163" s="67" t="s">
        <v>44</v>
      </c>
      <c r="E163" s="68">
        <f>SUM(E164:E166)</f>
        <v>0</v>
      </c>
      <c r="F163" s="68">
        <f>SUMIF(D164:D166,"OK",F164:F166)</f>
        <v>0</v>
      </c>
      <c r="G163" s="69" t="s">
        <v>44</v>
      </c>
      <c r="H163" s="70"/>
      <c r="I163" s="70"/>
      <c r="J163" s="3"/>
      <c r="K163" s="3"/>
      <c r="L163" s="3"/>
      <c r="M163" s="3"/>
      <c r="N163" s="3"/>
      <c r="O163" s="3"/>
      <c r="P163" s="3"/>
      <c r="Q163" s="3"/>
      <c r="R163" s="3"/>
      <c r="S163" s="3"/>
      <c r="T163" s="3"/>
      <c r="U163" s="3"/>
      <c r="V163" s="3"/>
      <c r="W163" s="35"/>
      <c r="X163" s="32"/>
      <c r="Y163" s="3"/>
      <c r="Z163" s="3"/>
    </row>
    <row r="164" spans="1:26" ht="14.4" hidden="1" outlineLevel="1" x14ac:dyDescent="0.3">
      <c r="A164" s="3"/>
      <c r="B164" s="9" t="s">
        <v>43</v>
      </c>
      <c r="C164" s="71"/>
      <c r="D164" s="53"/>
      <c r="E164" s="11">
        <v>0</v>
      </c>
      <c r="F164" s="11">
        <v>0</v>
      </c>
      <c r="G164" s="60"/>
      <c r="H164" s="54"/>
      <c r="I164" s="54"/>
      <c r="J164" s="3"/>
      <c r="K164" s="3"/>
      <c r="L164" s="3"/>
      <c r="M164" s="3"/>
      <c r="N164" s="3"/>
      <c r="O164" s="3"/>
      <c r="P164" s="3"/>
      <c r="Q164" s="3"/>
      <c r="R164" s="3"/>
      <c r="S164" s="3"/>
      <c r="T164" s="3"/>
      <c r="U164" s="3"/>
      <c r="V164" s="3"/>
      <c r="W164" s="35"/>
      <c r="X164" s="32"/>
      <c r="Y164" s="3"/>
      <c r="Z164" s="3"/>
    </row>
    <row r="165" spans="1:26" ht="14.4" hidden="1" outlineLevel="1" x14ac:dyDescent="0.3">
      <c r="A165" s="3"/>
      <c r="B165" s="9" t="s">
        <v>43</v>
      </c>
      <c r="C165" s="71"/>
      <c r="D165" s="53"/>
      <c r="E165" s="11">
        <v>0</v>
      </c>
      <c r="F165" s="11">
        <v>0</v>
      </c>
      <c r="G165" s="60"/>
      <c r="H165" s="54"/>
      <c r="I165" s="54"/>
      <c r="J165" s="3"/>
      <c r="K165" s="3"/>
      <c r="L165" s="3"/>
      <c r="M165" s="3"/>
      <c r="N165" s="3"/>
      <c r="O165" s="3"/>
      <c r="P165" s="3"/>
      <c r="Q165" s="3"/>
      <c r="R165" s="3"/>
      <c r="S165" s="3"/>
      <c r="T165" s="3"/>
      <c r="U165" s="3"/>
      <c r="V165" s="3"/>
      <c r="W165" s="35"/>
      <c r="X165" s="32"/>
      <c r="Y165" s="3"/>
      <c r="Z165" s="3"/>
    </row>
    <row r="166" spans="1:26" ht="14.4" hidden="1" outlineLevel="1" x14ac:dyDescent="0.3">
      <c r="A166" s="3"/>
      <c r="B166" s="9" t="s">
        <v>43</v>
      </c>
      <c r="C166" s="53"/>
      <c r="D166" s="53"/>
      <c r="E166" s="11">
        <v>0</v>
      </c>
      <c r="F166" s="11">
        <v>0</v>
      </c>
      <c r="G166" s="60"/>
      <c r="H166" s="54"/>
      <c r="I166" s="54"/>
      <c r="J166" s="3"/>
      <c r="K166" s="3"/>
      <c r="L166" s="3"/>
      <c r="M166" s="3"/>
      <c r="N166" s="3"/>
      <c r="O166" s="3"/>
      <c r="P166" s="3"/>
      <c r="Q166" s="3"/>
      <c r="R166" s="3"/>
      <c r="S166" s="3"/>
      <c r="T166" s="3"/>
      <c r="U166" s="3"/>
      <c r="V166" s="3"/>
      <c r="W166" s="35"/>
      <c r="X166" s="32"/>
      <c r="Y166" s="3"/>
      <c r="Z166" s="3"/>
    </row>
    <row r="167" spans="1:26" hidden="1" outlineLevel="1" x14ac:dyDescent="0.3">
      <c r="A167" s="3"/>
      <c r="B167" s="66" t="s">
        <v>62</v>
      </c>
      <c r="C167" s="67" t="s">
        <v>44</v>
      </c>
      <c r="D167" s="67" t="s">
        <v>44</v>
      </c>
      <c r="E167" s="68">
        <f>SUM(E168:E175)</f>
        <v>0</v>
      </c>
      <c r="F167" s="68">
        <f>SUMIF(D168:D181,"OK",F168:F181)</f>
        <v>440</v>
      </c>
      <c r="G167" s="69"/>
      <c r="H167" s="70"/>
      <c r="I167" s="70"/>
      <c r="J167" s="3"/>
      <c r="K167" s="3"/>
      <c r="L167" s="3"/>
      <c r="M167" s="3"/>
      <c r="N167" s="3"/>
      <c r="O167" s="3"/>
      <c r="P167" s="3"/>
      <c r="Q167" s="3"/>
      <c r="R167" s="3"/>
      <c r="S167" s="3"/>
      <c r="T167" s="3"/>
      <c r="U167" s="3"/>
      <c r="V167" s="3"/>
      <c r="W167" s="35"/>
      <c r="X167" s="32"/>
      <c r="Y167" s="3"/>
      <c r="Z167" s="3"/>
    </row>
    <row r="168" spans="1:26" ht="24" hidden="1" outlineLevel="1" x14ac:dyDescent="0.3">
      <c r="A168" s="3"/>
      <c r="B168" s="9" t="s">
        <v>1328</v>
      </c>
      <c r="C168" s="71" t="s">
        <v>1329</v>
      </c>
      <c r="D168" s="53" t="s">
        <v>95</v>
      </c>
      <c r="E168" s="11">
        <v>0</v>
      </c>
      <c r="F168" s="11">
        <f>150+80+80+75</f>
        <v>385</v>
      </c>
      <c r="G168" s="60" t="s">
        <v>1330</v>
      </c>
      <c r="H168" s="54" t="s">
        <v>37</v>
      </c>
      <c r="I168" s="54"/>
      <c r="J168" s="3"/>
      <c r="K168" s="3"/>
      <c r="L168" s="3"/>
      <c r="M168" s="3"/>
      <c r="N168" s="3"/>
      <c r="O168" s="3"/>
      <c r="P168" s="3"/>
      <c r="Q168" s="3"/>
      <c r="R168" s="3"/>
      <c r="S168" s="3"/>
      <c r="T168" s="3"/>
      <c r="U168" s="3"/>
      <c r="V168" s="3"/>
      <c r="W168" s="35"/>
      <c r="X168" s="32"/>
      <c r="Y168" s="3"/>
      <c r="Z168" s="3"/>
    </row>
    <row r="169" spans="1:26" ht="14.4" hidden="1" outlineLevel="1" x14ac:dyDescent="0.3">
      <c r="A169" s="3"/>
      <c r="B169" s="9" t="s">
        <v>1331</v>
      </c>
      <c r="C169" s="71">
        <v>14</v>
      </c>
      <c r="D169" s="53" t="s">
        <v>95</v>
      </c>
      <c r="E169" s="11">
        <v>0</v>
      </c>
      <c r="F169" s="11">
        <v>55</v>
      </c>
      <c r="G169" s="61" t="s">
        <v>1332</v>
      </c>
      <c r="H169" s="54" t="s">
        <v>37</v>
      </c>
      <c r="I169" s="54"/>
      <c r="J169" s="3"/>
      <c r="K169" s="3"/>
      <c r="L169" s="3"/>
      <c r="M169" s="3"/>
      <c r="N169" s="3"/>
      <c r="O169" s="3"/>
      <c r="P169" s="3"/>
      <c r="Q169" s="3"/>
      <c r="R169" s="3"/>
      <c r="S169" s="3"/>
      <c r="T169" s="3"/>
      <c r="U169" s="3"/>
      <c r="V169" s="3"/>
      <c r="W169" s="35"/>
      <c r="X169" s="32"/>
      <c r="Y169" s="3"/>
      <c r="Z169" s="3"/>
    </row>
    <row r="170" spans="1:26" ht="14.4" hidden="1" outlineLevel="1" x14ac:dyDescent="0.3">
      <c r="A170" s="3"/>
      <c r="B170" s="9" t="s">
        <v>62</v>
      </c>
      <c r="C170" s="53"/>
      <c r="D170" s="53"/>
      <c r="E170" s="11">
        <v>0</v>
      </c>
      <c r="F170" s="11">
        <v>0</v>
      </c>
      <c r="G170" s="60"/>
      <c r="H170" s="54"/>
      <c r="I170" s="54"/>
      <c r="J170" s="3"/>
      <c r="K170" s="3"/>
      <c r="L170" s="3"/>
      <c r="M170" s="3"/>
      <c r="N170" s="3"/>
      <c r="O170" s="3"/>
      <c r="P170" s="3"/>
      <c r="Q170" s="3"/>
      <c r="R170" s="3"/>
      <c r="S170" s="3"/>
      <c r="T170" s="3"/>
      <c r="U170" s="3"/>
      <c r="V170" s="3"/>
      <c r="W170" s="35"/>
      <c r="X170" s="32"/>
      <c r="Y170" s="3"/>
      <c r="Z170" s="3"/>
    </row>
    <row r="171" spans="1:26" ht="14.4" hidden="1" outlineLevel="1" x14ac:dyDescent="0.3">
      <c r="A171" s="3"/>
      <c r="B171" s="9" t="s">
        <v>62</v>
      </c>
      <c r="C171" s="53"/>
      <c r="D171" s="53"/>
      <c r="E171" s="11">
        <v>0</v>
      </c>
      <c r="F171" s="11">
        <v>0</v>
      </c>
      <c r="G171" s="61"/>
      <c r="H171" s="54"/>
      <c r="I171" s="54"/>
      <c r="J171" s="3"/>
      <c r="K171" s="3"/>
      <c r="L171" s="3"/>
      <c r="M171" s="3"/>
      <c r="N171" s="3"/>
      <c r="O171" s="3"/>
      <c r="P171" s="3"/>
      <c r="Q171" s="3"/>
      <c r="R171" s="3"/>
      <c r="S171" s="3"/>
      <c r="T171" s="3"/>
      <c r="U171" s="3"/>
      <c r="V171" s="3"/>
      <c r="W171" s="35"/>
      <c r="X171" s="32"/>
      <c r="Y171" s="3"/>
      <c r="Z171" s="3"/>
    </row>
    <row r="172" spans="1:26" ht="14.4" hidden="1" outlineLevel="1" x14ac:dyDescent="0.3">
      <c r="A172" s="3"/>
      <c r="B172" s="9" t="s">
        <v>62</v>
      </c>
      <c r="C172" s="53"/>
      <c r="D172" s="53"/>
      <c r="E172" s="11">
        <v>0</v>
      </c>
      <c r="F172" s="11">
        <v>0</v>
      </c>
      <c r="G172" s="60"/>
      <c r="H172" s="54"/>
      <c r="I172" s="54"/>
      <c r="J172" s="3"/>
      <c r="K172" s="3"/>
      <c r="L172" s="3"/>
      <c r="M172" s="3"/>
      <c r="N172" s="3"/>
      <c r="O172" s="3"/>
      <c r="P172" s="3"/>
      <c r="Q172" s="3"/>
      <c r="R172" s="3"/>
      <c r="S172" s="3"/>
      <c r="T172" s="3"/>
      <c r="U172" s="3"/>
      <c r="V172" s="3"/>
      <c r="W172" s="35"/>
      <c r="X172" s="32"/>
      <c r="Y172" s="3"/>
      <c r="Z172" s="3"/>
    </row>
    <row r="173" spans="1:26" ht="14.4" hidden="1" outlineLevel="1" x14ac:dyDescent="0.3">
      <c r="A173" s="3"/>
      <c r="B173" s="9" t="s">
        <v>62</v>
      </c>
      <c r="C173" s="53"/>
      <c r="D173" s="53"/>
      <c r="E173" s="11">
        <v>0</v>
      </c>
      <c r="F173" s="11">
        <v>0</v>
      </c>
      <c r="G173" s="60"/>
      <c r="H173" s="54"/>
      <c r="I173" s="54"/>
      <c r="J173" s="3"/>
      <c r="K173" s="3"/>
      <c r="L173" s="3"/>
      <c r="M173" s="3"/>
      <c r="N173" s="3"/>
      <c r="O173" s="3"/>
      <c r="P173" s="3"/>
      <c r="Q173" s="3"/>
      <c r="R173" s="3"/>
      <c r="S173" s="3"/>
      <c r="T173" s="3"/>
      <c r="U173" s="3"/>
      <c r="V173" s="3"/>
      <c r="W173" s="35"/>
      <c r="X173" s="32"/>
      <c r="Y173" s="3"/>
      <c r="Z173" s="3"/>
    </row>
    <row r="174" spans="1:26" ht="14.4" hidden="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4.4" hidden="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4.4" hidden="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4.4" hidden="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4.4" hidden="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4.4" hidden="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14.4" hidden="1" outlineLevel="1" x14ac:dyDescent="0.3">
      <c r="A180" s="3"/>
      <c r="B180" s="9" t="s">
        <v>62</v>
      </c>
      <c r="C180" s="53"/>
      <c r="D180" s="53"/>
      <c r="E180" s="11">
        <v>0</v>
      </c>
      <c r="F180" s="11">
        <v>0</v>
      </c>
      <c r="G180" s="60"/>
      <c r="H180" s="54"/>
      <c r="I180" s="54"/>
      <c r="J180" s="3"/>
      <c r="K180" s="3"/>
      <c r="L180" s="3"/>
      <c r="M180" s="3"/>
      <c r="N180" s="3"/>
      <c r="O180" s="3"/>
      <c r="P180" s="3"/>
      <c r="Q180" s="3"/>
      <c r="R180" s="3"/>
      <c r="S180" s="3"/>
      <c r="T180" s="3"/>
      <c r="U180" s="3"/>
      <c r="V180" s="3"/>
      <c r="W180" s="35"/>
      <c r="X180" s="32"/>
      <c r="Y180" s="3"/>
      <c r="Z180" s="3"/>
    </row>
    <row r="181" spans="1:26" ht="14.4" hidden="1" outlineLevel="1" x14ac:dyDescent="0.3">
      <c r="A181" s="3"/>
      <c r="B181" s="9" t="s">
        <v>62</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20.399999999999999" collapsed="1" x14ac:dyDescent="0.3">
      <c r="A182" s="3"/>
      <c r="B182" s="64" t="s">
        <v>64</v>
      </c>
      <c r="C182" s="47" t="s">
        <v>44</v>
      </c>
      <c r="D182" s="47" t="s">
        <v>44</v>
      </c>
      <c r="E182" s="48">
        <f>SUM(E183:E185)</f>
        <v>0</v>
      </c>
      <c r="F182" s="48">
        <f>SUMIF(D183:D185,"OK",F183:F185)</f>
        <v>0</v>
      </c>
      <c r="G182" s="49"/>
      <c r="H182" s="65"/>
      <c r="I182" s="65"/>
      <c r="J182" s="3"/>
      <c r="K182" s="3"/>
      <c r="L182" s="3"/>
      <c r="M182" s="3"/>
      <c r="N182" s="3"/>
      <c r="O182" s="3"/>
      <c r="P182" s="3"/>
      <c r="Q182" s="3"/>
      <c r="R182" s="3"/>
      <c r="S182" s="3"/>
      <c r="T182" s="3"/>
      <c r="U182" s="3"/>
      <c r="V182" s="3"/>
      <c r="W182" s="35"/>
      <c r="X182" s="32"/>
      <c r="Y182" s="3"/>
      <c r="Z182" s="3"/>
    </row>
    <row r="183" spans="1:26" ht="14.4" hidden="1" outlineLevel="1" x14ac:dyDescent="0.3">
      <c r="A183" s="3"/>
      <c r="B183" s="9" t="s">
        <v>64</v>
      </c>
      <c r="C183" s="53"/>
      <c r="D183" s="53"/>
      <c r="E183" s="11">
        <v>0</v>
      </c>
      <c r="F183" s="11">
        <v>0</v>
      </c>
      <c r="G183" s="60"/>
      <c r="H183" s="54"/>
      <c r="I183" s="54"/>
      <c r="J183" s="3"/>
      <c r="K183" s="3"/>
      <c r="L183" s="3"/>
      <c r="M183" s="3"/>
      <c r="N183" s="3"/>
      <c r="O183" s="3"/>
      <c r="P183" s="3"/>
      <c r="Q183" s="3"/>
      <c r="R183" s="3"/>
      <c r="S183" s="3"/>
      <c r="T183" s="3"/>
      <c r="U183" s="3"/>
      <c r="V183" s="3"/>
      <c r="W183" s="35"/>
      <c r="X183" s="32"/>
      <c r="Y183" s="3"/>
      <c r="Z183" s="3"/>
    </row>
    <row r="184" spans="1:26" ht="14.4" hidden="1" outlineLevel="1" x14ac:dyDescent="0.3">
      <c r="A184" s="3"/>
      <c r="B184" s="9" t="s">
        <v>64</v>
      </c>
      <c r="C184" s="53"/>
      <c r="D184" s="53"/>
      <c r="E184" s="11">
        <v>0</v>
      </c>
      <c r="F184" s="11">
        <v>0</v>
      </c>
      <c r="G184" s="60"/>
      <c r="H184" s="54"/>
      <c r="I184" s="54"/>
      <c r="J184" s="3"/>
      <c r="K184" s="3"/>
      <c r="L184" s="3"/>
      <c r="M184" s="3"/>
      <c r="N184" s="3"/>
      <c r="O184" s="3"/>
      <c r="P184" s="3"/>
      <c r="Q184" s="3"/>
      <c r="R184" s="3"/>
      <c r="S184" s="3"/>
      <c r="T184" s="3"/>
      <c r="U184" s="3"/>
      <c r="V184" s="3"/>
      <c r="W184" s="35"/>
      <c r="X184" s="32"/>
      <c r="Y184" s="3"/>
      <c r="Z184" s="3"/>
    </row>
    <row r="185" spans="1:26" ht="14.4" hidden="1" outlineLevel="1" x14ac:dyDescent="0.3">
      <c r="A185" s="3"/>
      <c r="B185" s="9" t="s">
        <v>64</v>
      </c>
      <c r="C185" s="53"/>
      <c r="D185" s="53"/>
      <c r="E185" s="11">
        <v>0</v>
      </c>
      <c r="F185" s="11">
        <v>0</v>
      </c>
      <c r="G185" s="58"/>
      <c r="H185" s="54"/>
      <c r="I185" s="54"/>
      <c r="J185" s="3"/>
      <c r="K185" s="3"/>
      <c r="L185" s="3"/>
      <c r="M185" s="3"/>
      <c r="N185" s="3"/>
      <c r="O185" s="3"/>
      <c r="P185" s="3"/>
      <c r="Q185" s="3"/>
      <c r="R185" s="3"/>
      <c r="S185" s="3"/>
      <c r="T185" s="3"/>
      <c r="U185" s="3"/>
      <c r="V185" s="3"/>
      <c r="W185" s="35"/>
      <c r="X185" s="32"/>
      <c r="Y185" s="3"/>
      <c r="Z185" s="3"/>
    </row>
    <row r="186" spans="1:26" ht="20.399999999999999" collapsed="1" x14ac:dyDescent="0.3">
      <c r="A186" s="3"/>
      <c r="B186" s="64" t="s">
        <v>260</v>
      </c>
      <c r="C186" s="47" t="s">
        <v>44</v>
      </c>
      <c r="D186" s="47" t="s">
        <v>44</v>
      </c>
      <c r="E186" s="48">
        <f>SUM(E187:E193)</f>
        <v>0</v>
      </c>
      <c r="F186" s="48">
        <f>SUMIF(D187:D193,"OK",F187:F193)</f>
        <v>0</v>
      </c>
      <c r="G186" s="49" t="s">
        <v>44</v>
      </c>
      <c r="H186" s="65"/>
      <c r="I186" s="65"/>
      <c r="J186" s="3"/>
      <c r="K186" s="3"/>
      <c r="L186" s="3"/>
      <c r="M186" s="3"/>
      <c r="N186" s="3"/>
      <c r="O186" s="3"/>
      <c r="P186" s="3"/>
      <c r="Q186" s="3"/>
      <c r="R186" s="3"/>
      <c r="S186" s="3"/>
      <c r="T186" s="3"/>
      <c r="U186" s="3"/>
      <c r="V186" s="3"/>
      <c r="W186" s="35"/>
      <c r="X186" s="32"/>
      <c r="Y186" s="3"/>
      <c r="Z186" s="3"/>
    </row>
    <row r="187" spans="1:26" ht="14.4" hidden="1" outlineLevel="1" x14ac:dyDescent="0.3">
      <c r="A187" s="3"/>
      <c r="B187" s="9" t="s">
        <v>261</v>
      </c>
      <c r="C187" s="53"/>
      <c r="D187" s="53"/>
      <c r="E187" s="11">
        <v>0</v>
      </c>
      <c r="F187" s="11">
        <v>0</v>
      </c>
      <c r="G187" s="58"/>
      <c r="H187" s="54" t="s">
        <v>37</v>
      </c>
      <c r="I187" s="54"/>
      <c r="J187" s="3"/>
      <c r="K187" s="3"/>
      <c r="L187" s="3"/>
      <c r="M187" s="3"/>
      <c r="N187" s="3"/>
      <c r="O187" s="3"/>
      <c r="P187" s="3"/>
      <c r="Q187" s="3"/>
      <c r="R187" s="3"/>
      <c r="S187" s="3"/>
      <c r="T187" s="3"/>
      <c r="U187" s="3"/>
      <c r="V187" s="3"/>
      <c r="W187" s="35"/>
      <c r="X187" s="32"/>
      <c r="Y187" s="3"/>
      <c r="Z187" s="3"/>
    </row>
    <row r="188" spans="1:26" ht="14.4" hidden="1" outlineLevel="1" x14ac:dyDescent="0.3">
      <c r="A188" s="3"/>
      <c r="B188" s="9" t="s">
        <v>262</v>
      </c>
      <c r="C188" s="53"/>
      <c r="D188" s="53"/>
      <c r="E188" s="11">
        <v>0</v>
      </c>
      <c r="F188" s="11">
        <v>0</v>
      </c>
      <c r="G188" s="60"/>
      <c r="H188" s="54" t="s">
        <v>38</v>
      </c>
      <c r="I188" s="54"/>
      <c r="J188" s="3"/>
      <c r="K188" s="3"/>
      <c r="L188" s="3"/>
      <c r="M188" s="3"/>
      <c r="N188" s="3"/>
      <c r="O188" s="3"/>
      <c r="P188" s="3"/>
      <c r="Q188" s="3"/>
      <c r="R188" s="3"/>
      <c r="S188" s="3"/>
      <c r="T188" s="3"/>
      <c r="U188" s="3"/>
      <c r="V188" s="3"/>
      <c r="W188" s="35"/>
      <c r="X188" s="32"/>
      <c r="Y188" s="3"/>
      <c r="Z188" s="3"/>
    </row>
    <row r="189" spans="1:26" ht="14.4" hidden="1" outlineLevel="1" x14ac:dyDescent="0.3">
      <c r="A189" s="3"/>
      <c r="B189" s="9" t="s">
        <v>264</v>
      </c>
      <c r="C189" s="53"/>
      <c r="D189" s="53"/>
      <c r="E189" s="11">
        <v>0</v>
      </c>
      <c r="F189" s="11">
        <v>0</v>
      </c>
      <c r="G189" s="58"/>
      <c r="H189" s="54" t="s">
        <v>235</v>
      </c>
      <c r="I189" s="54"/>
      <c r="J189" s="3"/>
      <c r="K189" s="3"/>
      <c r="L189" s="3"/>
      <c r="M189" s="3"/>
      <c r="N189" s="3"/>
      <c r="O189" s="3"/>
      <c r="P189" s="3"/>
      <c r="Q189" s="3"/>
      <c r="R189" s="3"/>
      <c r="S189" s="3"/>
      <c r="T189" s="3"/>
      <c r="U189" s="3"/>
      <c r="V189" s="3"/>
      <c r="W189" s="35"/>
      <c r="X189" s="32"/>
      <c r="Y189" s="3"/>
      <c r="Z189" s="3"/>
    </row>
    <row r="190" spans="1:26" ht="14.4" hidden="1" outlineLevel="1" x14ac:dyDescent="0.3">
      <c r="A190" s="3"/>
      <c r="B190" s="9" t="s">
        <v>265</v>
      </c>
      <c r="C190" s="53"/>
      <c r="D190" s="53"/>
      <c r="E190" s="11">
        <v>0</v>
      </c>
      <c r="F190" s="11">
        <v>0</v>
      </c>
      <c r="G190" s="58"/>
      <c r="H190" s="54" t="s">
        <v>266</v>
      </c>
      <c r="I190" s="54"/>
      <c r="J190" s="3"/>
      <c r="K190" s="3"/>
      <c r="L190" s="3"/>
      <c r="M190" s="3"/>
      <c r="N190" s="3"/>
      <c r="O190" s="3"/>
      <c r="P190" s="3"/>
      <c r="Q190" s="3"/>
      <c r="R190" s="3"/>
      <c r="S190" s="3"/>
      <c r="T190" s="3"/>
      <c r="U190" s="3"/>
      <c r="V190" s="3"/>
      <c r="W190" s="35"/>
      <c r="X190" s="32"/>
      <c r="Y190" s="3"/>
      <c r="Z190" s="3"/>
    </row>
    <row r="191" spans="1:26" ht="14.4" hidden="1" outlineLevel="1" x14ac:dyDescent="0.3">
      <c r="A191" s="3"/>
      <c r="B191" s="9" t="s">
        <v>552</v>
      </c>
      <c r="C191" s="53"/>
      <c r="D191" s="53"/>
      <c r="E191" s="11">
        <v>0</v>
      </c>
      <c r="F191" s="11">
        <v>0</v>
      </c>
      <c r="G191" s="58"/>
      <c r="H191" s="54" t="s">
        <v>39</v>
      </c>
      <c r="I191" s="54"/>
      <c r="J191" s="3"/>
      <c r="K191" s="3"/>
      <c r="L191" s="3"/>
      <c r="M191" s="3"/>
      <c r="N191" s="3"/>
      <c r="O191" s="3"/>
      <c r="P191" s="3"/>
      <c r="Q191" s="3"/>
      <c r="R191" s="3"/>
      <c r="S191" s="3"/>
      <c r="T191" s="3"/>
      <c r="U191" s="3"/>
      <c r="V191" s="3"/>
      <c r="W191" s="35"/>
      <c r="X191" s="32"/>
      <c r="Y191" s="3"/>
      <c r="Z191" s="3"/>
    </row>
    <row r="192" spans="1:26" ht="14.4" hidden="1" outlineLevel="1" x14ac:dyDescent="0.3">
      <c r="A192" s="3"/>
      <c r="B192" s="9" t="s">
        <v>917</v>
      </c>
      <c r="C192" s="53"/>
      <c r="D192" s="53"/>
      <c r="E192" s="11">
        <v>0</v>
      </c>
      <c r="F192" s="11">
        <v>0</v>
      </c>
      <c r="G192" s="58"/>
      <c r="H192" s="54"/>
      <c r="I192" s="54"/>
      <c r="J192" s="3"/>
      <c r="K192" s="3"/>
      <c r="L192" s="3"/>
      <c r="M192" s="3"/>
      <c r="N192" s="3"/>
      <c r="O192" s="3"/>
      <c r="P192" s="3"/>
      <c r="Q192" s="3"/>
      <c r="R192" s="3"/>
      <c r="S192" s="3"/>
      <c r="T192" s="3"/>
      <c r="U192" s="3"/>
      <c r="V192" s="3"/>
      <c r="W192" s="35"/>
      <c r="X192" s="32"/>
      <c r="Y192" s="3"/>
      <c r="Z192" s="3"/>
    </row>
    <row r="193" spans="1:26" ht="14.4" hidden="1" outlineLevel="1" x14ac:dyDescent="0.3">
      <c r="A193" s="3"/>
      <c r="B193" s="9" t="s">
        <v>917</v>
      </c>
      <c r="C193" s="53"/>
      <c r="D193" s="53"/>
      <c r="E193" s="11">
        <v>0</v>
      </c>
      <c r="F193" s="11">
        <v>0</v>
      </c>
      <c r="G193" s="58"/>
      <c r="H193" s="54"/>
      <c r="I193" s="54"/>
      <c r="J193" s="3"/>
      <c r="K193" s="3"/>
      <c r="L193" s="3"/>
      <c r="M193" s="3"/>
      <c r="N193" s="3"/>
      <c r="O193" s="3"/>
      <c r="P193" s="3"/>
      <c r="Q193" s="3"/>
      <c r="R193" s="3"/>
      <c r="S193" s="3"/>
      <c r="T193" s="3"/>
      <c r="U193" s="3"/>
      <c r="V193" s="3"/>
      <c r="W193" s="35"/>
      <c r="X193" s="32"/>
      <c r="Y193" s="3"/>
      <c r="Z193" s="3"/>
    </row>
    <row r="194" spans="1:26" ht="14.4" collapsed="1" x14ac:dyDescent="0.3">
      <c r="A194" s="3"/>
      <c r="B194" s="3"/>
      <c r="C194" s="28"/>
      <c r="D194" s="28"/>
      <c r="E194" s="28"/>
      <c r="F194" s="28"/>
      <c r="G194" s="112"/>
      <c r="H194" s="28"/>
      <c r="I194" s="28"/>
      <c r="J194" s="28"/>
      <c r="K194" s="28"/>
      <c r="L194" s="28"/>
      <c r="M194" s="28"/>
      <c r="N194" s="28"/>
      <c r="O194" s="28"/>
      <c r="P194" s="28"/>
      <c r="Q194" s="28"/>
      <c r="R194" s="28"/>
      <c r="S194" s="28"/>
      <c r="T194" s="28"/>
      <c r="U194" s="28"/>
      <c r="V194" s="28"/>
      <c r="W194" s="35"/>
      <c r="X194" s="32"/>
    </row>
    <row r="195" spans="1:26" ht="15.75" customHeight="1" x14ac:dyDescent="0.3">
      <c r="A195" s="3"/>
      <c r="B195" s="3"/>
      <c r="C195" s="28"/>
      <c r="D195" s="28"/>
      <c r="E195" s="28"/>
      <c r="F195" s="101"/>
      <c r="G195" s="112"/>
      <c r="H195" s="28"/>
      <c r="I195" s="28"/>
      <c r="J195" s="28"/>
      <c r="K195" s="28"/>
      <c r="L195" s="28"/>
      <c r="M195" s="28"/>
      <c r="N195" s="28"/>
      <c r="O195" s="28"/>
      <c r="P195" s="28"/>
      <c r="Q195" s="28"/>
      <c r="R195" s="28"/>
      <c r="S195" s="28"/>
      <c r="T195" s="28"/>
      <c r="U195" s="28"/>
      <c r="V195" s="28"/>
      <c r="W195" s="35"/>
      <c r="X195" s="32"/>
    </row>
    <row r="196" spans="1:26" ht="15.75" customHeight="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6" ht="15.75" customHeight="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6"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6"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6"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6"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6"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6"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6"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6"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6"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6"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6"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c r="A392" s="3"/>
      <c r="B392" s="3"/>
      <c r="C392" s="28"/>
      <c r="D392" s="28"/>
      <c r="E392" s="28"/>
      <c r="F392" s="28"/>
      <c r="G392" s="112"/>
      <c r="H392" s="28"/>
      <c r="I392" s="28"/>
      <c r="J392" s="28"/>
      <c r="K392" s="28"/>
      <c r="L392" s="28"/>
      <c r="M392" s="28"/>
      <c r="N392" s="28"/>
      <c r="O392" s="28"/>
      <c r="P392" s="28"/>
      <c r="Q392" s="28"/>
      <c r="R392" s="28"/>
      <c r="S392" s="28"/>
      <c r="T392" s="28"/>
      <c r="U392" s="28"/>
      <c r="V392" s="28"/>
      <c r="W392" s="35"/>
      <c r="X392" s="32"/>
    </row>
    <row r="393" spans="1:24" ht="15.75" customHeight="1" x14ac:dyDescent="0.3">
      <c r="A393" s="3"/>
      <c r="B393" s="3"/>
      <c r="C393" s="28"/>
      <c r="D393" s="28"/>
      <c r="E393" s="28"/>
      <c r="F393" s="28"/>
      <c r="G393" s="112"/>
      <c r="H393" s="28"/>
      <c r="I393" s="28"/>
      <c r="J393" s="28"/>
      <c r="K393" s="28"/>
      <c r="L393" s="28"/>
      <c r="M393" s="28"/>
      <c r="N393" s="28"/>
      <c r="O393" s="28"/>
      <c r="P393" s="28"/>
      <c r="Q393" s="28"/>
      <c r="R393" s="28"/>
      <c r="S393" s="28"/>
      <c r="T393" s="28"/>
      <c r="U393" s="28"/>
      <c r="V393" s="28"/>
      <c r="W393" s="35"/>
      <c r="X393" s="32"/>
    </row>
    <row r="394" spans="1:24" ht="15.75" customHeight="1" x14ac:dyDescent="0.3"/>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3" xr:uid="{00000000-0009-0000-0000-000012000000}"/>
  <mergeCells count="4">
    <mergeCell ref="B2:B3"/>
    <mergeCell ref="B4:B5"/>
    <mergeCell ref="H4:H5"/>
    <mergeCell ref="I4:I5"/>
  </mergeCells>
  <conditionalFormatting sqref="W6:W125">
    <cfRule type="cellIs" dxfId="17" priority="1" operator="equal">
      <formula>"Diferente"</formula>
    </cfRule>
    <cfRule type="cellIs" dxfId="16" priority="2" operator="equal">
      <formula>"OK"</formula>
    </cfRule>
  </conditionalFormatting>
  <dataValidations count="1">
    <dataValidation type="list" allowBlank="1" showErrorMessage="1" sqref="D7:D125 D128:D129 D131:D133 D135:D138 D140:D145 D147:D151 D154:D157 D159:D162 D164:D166 D168:D181 D183:D185 D187:D193" xr:uid="{00000000-0002-0000-12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200-000000000000}">
          <x14:formula1>
            <xm:f>'Plano de contas DG'!$C$5:$C$38</xm:f>
          </x14:formula1>
          <xm:sqref>I6:I193</xm:sqref>
        </x14:dataValidation>
        <x14:dataValidation type="list" allowBlank="1" showErrorMessage="1" xr:uid="{00000000-0002-0000-1200-000001000000}">
          <x14:formula1>
            <xm:f>Caixa!$B$5:$B$8</xm:f>
          </x14:formula1>
          <xm:sqref>H7:H125 H128:H129 H131:H133 H135:H138 H140:H145 H147:H151 H154:H157 H159:H162 H164:H166 H168:H181 H183:H185 H187:H193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SUBTOTAL(9,E16,E63,E38,E149,E174,E180,E87,E6,E34,E259,E310,E209,E219,E229,E239,E249,E113)</f>
        <v>0</v>
      </c>
      <c r="F4" s="18">
        <f>SUBTOTAL(9,F16,F63,F38,F139,F149,F174,F180,F87,F6,F34,F259,F310,F209,F219,F229,F239,F249,F113)</f>
        <v>29745.660000000003</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1401.65</v>
      </c>
      <c r="G6" s="78"/>
      <c r="H6" s="78"/>
      <c r="I6" s="79"/>
      <c r="J6" s="78"/>
      <c r="K6" s="28"/>
      <c r="L6" s="28"/>
      <c r="M6" s="28"/>
      <c r="N6" s="28"/>
      <c r="O6" s="28"/>
      <c r="P6" s="28"/>
      <c r="Q6" s="28"/>
      <c r="R6" s="28"/>
      <c r="S6" s="28"/>
      <c r="T6" s="28"/>
      <c r="U6" s="3"/>
      <c r="W6" s="3"/>
      <c r="X6" s="3"/>
      <c r="Y6" s="3"/>
      <c r="Z6" s="3"/>
    </row>
    <row r="7" spans="1:26" ht="14.4" hidden="1" outlineLevel="1" x14ac:dyDescent="0.3">
      <c r="A7" s="3"/>
      <c r="B7" s="9" t="s">
        <v>274</v>
      </c>
      <c r="C7" s="53">
        <v>1</v>
      </c>
      <c r="D7" s="53" t="s">
        <v>95</v>
      </c>
      <c r="E7" s="11">
        <v>0</v>
      </c>
      <c r="F7" s="11">
        <v>612.30999999999995</v>
      </c>
      <c r="G7" s="80"/>
      <c r="H7" s="56" t="s">
        <v>37</v>
      </c>
      <c r="I7" s="102" t="s">
        <v>1333</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80"/>
      <c r="H8" s="56"/>
      <c r="I8" s="102"/>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80"/>
      <c r="H9" s="56"/>
      <c r="I9" s="102"/>
      <c r="J9" s="56"/>
      <c r="K9" s="28"/>
      <c r="L9" s="28"/>
      <c r="M9" s="28"/>
      <c r="N9" s="28"/>
      <c r="O9" s="28"/>
      <c r="P9" s="28"/>
      <c r="Q9" s="28"/>
      <c r="R9" s="28"/>
      <c r="S9" s="28"/>
      <c r="T9" s="28"/>
      <c r="U9" s="3"/>
      <c r="W9" s="3"/>
      <c r="X9" s="3"/>
      <c r="Y9" s="3"/>
      <c r="Z9" s="3"/>
    </row>
    <row r="10" spans="1:26" ht="14.4" hidden="1" outlineLevel="1" x14ac:dyDescent="0.3">
      <c r="A10" s="3"/>
      <c r="B10" s="9" t="s">
        <v>282</v>
      </c>
      <c r="C10" s="53">
        <v>2</v>
      </c>
      <c r="D10" s="53" t="s">
        <v>95</v>
      </c>
      <c r="E10" s="11">
        <v>0</v>
      </c>
      <c r="F10" s="11">
        <v>306.18</v>
      </c>
      <c r="G10" s="80" t="s">
        <v>740</v>
      </c>
      <c r="H10" s="56" t="s">
        <v>37</v>
      </c>
      <c r="I10" s="102" t="s">
        <v>1334</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53">
        <v>2</v>
      </c>
      <c r="D11" s="53" t="s">
        <v>95</v>
      </c>
      <c r="E11" s="11">
        <v>0</v>
      </c>
      <c r="F11" s="11">
        <v>69.39</v>
      </c>
      <c r="G11" s="80" t="s">
        <v>738</v>
      </c>
      <c r="H11" s="56" t="s">
        <v>37</v>
      </c>
      <c r="I11" s="102" t="s">
        <v>1335</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53">
        <v>2</v>
      </c>
      <c r="D12" s="53" t="s">
        <v>95</v>
      </c>
      <c r="E12" s="11">
        <v>0</v>
      </c>
      <c r="F12" s="11">
        <v>48.78</v>
      </c>
      <c r="G12" s="80" t="s">
        <v>1336</v>
      </c>
      <c r="H12" s="56" t="s">
        <v>37</v>
      </c>
      <c r="I12" s="102" t="s">
        <v>1337</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v>30</v>
      </c>
      <c r="D14" s="53" t="s">
        <v>95</v>
      </c>
      <c r="E14" s="11">
        <v>0</v>
      </c>
      <c r="F14" s="11">
        <v>64.989999999999995</v>
      </c>
      <c r="G14" s="80"/>
      <c r="H14" s="56" t="s">
        <v>37</v>
      </c>
      <c r="I14" s="102" t="s">
        <v>1338</v>
      </c>
      <c r="J14" s="80"/>
      <c r="K14" s="28"/>
      <c r="L14" s="28"/>
      <c r="M14" s="28"/>
      <c r="N14" s="28"/>
      <c r="O14" s="28"/>
      <c r="P14" s="28"/>
      <c r="Q14" s="28"/>
      <c r="R14" s="28"/>
      <c r="S14" s="28"/>
      <c r="T14" s="28"/>
      <c r="U14" s="3"/>
      <c r="W14" s="3"/>
      <c r="X14" s="3"/>
      <c r="Y14" s="3"/>
      <c r="Z14" s="3"/>
    </row>
    <row r="15" spans="1:26" ht="14.4" hidden="1" outlineLevel="1" x14ac:dyDescent="0.3">
      <c r="A15" s="3"/>
      <c r="B15" s="9" t="s">
        <v>66</v>
      </c>
      <c r="C15" s="53">
        <v>20</v>
      </c>
      <c r="D15" s="53" t="s">
        <v>95</v>
      </c>
      <c r="E15" s="11">
        <v>0</v>
      </c>
      <c r="F15" s="11">
        <v>300</v>
      </c>
      <c r="G15" s="80" t="s">
        <v>1339</v>
      </c>
      <c r="H15" s="56" t="s">
        <v>37</v>
      </c>
      <c r="I15" s="102" t="s">
        <v>1340</v>
      </c>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4156.9700000000012</v>
      </c>
      <c r="G16" s="78"/>
      <c r="H16" s="78"/>
      <c r="I16" s="79"/>
      <c r="J16" s="78"/>
      <c r="K16" s="28"/>
      <c r="L16" s="28"/>
      <c r="M16" s="28"/>
      <c r="N16" s="28"/>
      <c r="O16" s="28"/>
      <c r="P16" s="28"/>
      <c r="Q16" s="28"/>
      <c r="R16" s="28"/>
      <c r="S16" s="28"/>
      <c r="T16" s="28"/>
      <c r="U16" s="3"/>
    </row>
    <row r="17" spans="1:22" ht="14.4" hidden="1" outlineLevel="1" x14ac:dyDescent="0.3">
      <c r="A17" s="3"/>
      <c r="B17" s="9" t="s">
        <v>562</v>
      </c>
      <c r="C17" s="53">
        <v>30</v>
      </c>
      <c r="D17" s="53" t="s">
        <v>95</v>
      </c>
      <c r="E17" s="11">
        <v>0</v>
      </c>
      <c r="F17" s="11">
        <v>1380.48</v>
      </c>
      <c r="G17" s="242" t="s">
        <v>1341</v>
      </c>
      <c r="H17" s="56" t="s">
        <v>37</v>
      </c>
      <c r="I17" s="239" t="s">
        <v>1342</v>
      </c>
      <c r="J17" s="56"/>
      <c r="K17" s="28"/>
      <c r="L17" s="28"/>
      <c r="M17" s="28"/>
      <c r="N17" s="28"/>
      <c r="O17" s="28"/>
      <c r="P17" s="28"/>
      <c r="Q17" s="28"/>
      <c r="R17" s="28"/>
      <c r="S17" s="28"/>
      <c r="T17" s="28"/>
      <c r="U17" s="3"/>
    </row>
    <row r="18" spans="1:22" ht="14.4" hidden="1" outlineLevel="1" x14ac:dyDescent="0.3">
      <c r="A18" s="3"/>
      <c r="B18" s="9" t="s">
        <v>564</v>
      </c>
      <c r="C18" s="53">
        <v>30</v>
      </c>
      <c r="D18" s="53" t="s">
        <v>95</v>
      </c>
      <c r="E18" s="11">
        <v>0</v>
      </c>
      <c r="F18" s="11">
        <v>786.24</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30</v>
      </c>
      <c r="D19" s="53" t="s">
        <v>95</v>
      </c>
      <c r="E19" s="11">
        <v>0</v>
      </c>
      <c r="F19" s="11">
        <v>96</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30</v>
      </c>
      <c r="D20" s="53" t="s">
        <v>95</v>
      </c>
      <c r="E20" s="11">
        <v>0</v>
      </c>
      <c r="F20" s="11">
        <v>96</v>
      </c>
      <c r="G20" s="213"/>
      <c r="H20" s="56" t="s">
        <v>37</v>
      </c>
      <c r="I20" s="213"/>
      <c r="J20" s="56"/>
      <c r="K20" s="28"/>
      <c r="L20" s="28"/>
      <c r="M20" s="28"/>
      <c r="N20" s="28"/>
      <c r="O20" s="28"/>
      <c r="P20" s="28"/>
      <c r="Q20" s="28"/>
      <c r="R20" s="28"/>
      <c r="S20" s="28"/>
      <c r="T20" s="28"/>
      <c r="U20" s="3"/>
    </row>
    <row r="21" spans="1:22" ht="14.4" hidden="1" outlineLevel="1" x14ac:dyDescent="0.3">
      <c r="A21" s="3"/>
      <c r="B21" s="9" t="s">
        <v>567</v>
      </c>
      <c r="C21" s="53">
        <v>30</v>
      </c>
      <c r="D21" s="53" t="s">
        <v>95</v>
      </c>
      <c r="E21" s="11">
        <v>0</v>
      </c>
      <c r="F21" s="11">
        <v>384</v>
      </c>
      <c r="G21" s="214"/>
      <c r="H21" s="56" t="s">
        <v>37</v>
      </c>
      <c r="I21" s="214"/>
      <c r="J21" s="56"/>
      <c r="K21" s="28"/>
      <c r="L21" s="28"/>
      <c r="M21" s="28"/>
      <c r="N21" s="28"/>
      <c r="O21" s="28"/>
      <c r="P21" s="28"/>
      <c r="Q21" s="28"/>
      <c r="R21" s="28"/>
      <c r="S21" s="28"/>
      <c r="T21" s="28"/>
      <c r="U21" s="3"/>
    </row>
    <row r="22" spans="1:22" ht="14.4" hidden="1" outlineLevel="1" x14ac:dyDescent="0.3">
      <c r="A22" s="3"/>
      <c r="B22" s="9" t="s">
        <v>568</v>
      </c>
      <c r="C22" s="53">
        <v>15</v>
      </c>
      <c r="D22" s="53" t="s">
        <v>95</v>
      </c>
      <c r="E22" s="11">
        <v>0</v>
      </c>
      <c r="F22" s="11">
        <v>153.6</v>
      </c>
      <c r="G22" s="242" t="s">
        <v>747</v>
      </c>
      <c r="H22" s="56" t="s">
        <v>37</v>
      </c>
      <c r="I22" s="239" t="s">
        <v>1343</v>
      </c>
      <c r="J22" s="56"/>
      <c r="K22" s="28"/>
      <c r="L22" s="28"/>
      <c r="M22" s="28"/>
      <c r="N22" s="28"/>
      <c r="O22" s="28"/>
      <c r="P22" s="28"/>
      <c r="Q22" s="28"/>
      <c r="R22" s="28"/>
      <c r="S22" s="28"/>
      <c r="T22" s="28"/>
      <c r="U22" s="3"/>
      <c r="V22" s="14"/>
    </row>
    <row r="23" spans="1:22" ht="14.4" hidden="1" outlineLevel="1" x14ac:dyDescent="0.3">
      <c r="A23" s="3"/>
      <c r="B23" s="9" t="s">
        <v>571</v>
      </c>
      <c r="C23" s="53">
        <v>15</v>
      </c>
      <c r="D23" s="53" t="s">
        <v>95</v>
      </c>
      <c r="E23" s="11">
        <v>0</v>
      </c>
      <c r="F23" s="11">
        <v>460.8</v>
      </c>
      <c r="G23" s="213"/>
      <c r="H23" s="56" t="s">
        <v>37</v>
      </c>
      <c r="I23" s="213"/>
      <c r="J23" s="56"/>
      <c r="K23" s="28"/>
      <c r="L23" s="28"/>
      <c r="M23" s="28"/>
      <c r="N23" s="28"/>
      <c r="O23" s="28"/>
      <c r="P23" s="28"/>
      <c r="Q23" s="28"/>
      <c r="R23" s="28"/>
      <c r="S23" s="28"/>
      <c r="T23" s="28"/>
      <c r="U23" s="3"/>
      <c r="V23" s="14"/>
    </row>
    <row r="24" spans="1:22" ht="14.4" hidden="1" outlineLevel="1" x14ac:dyDescent="0.3">
      <c r="A24" s="3"/>
      <c r="B24" s="9" t="s">
        <v>572</v>
      </c>
      <c r="C24" s="53">
        <v>15</v>
      </c>
      <c r="D24" s="53" t="s">
        <v>95</v>
      </c>
      <c r="E24" s="11">
        <v>0</v>
      </c>
      <c r="F24" s="11">
        <v>508.8</v>
      </c>
      <c r="G24" s="213"/>
      <c r="H24" s="56" t="s">
        <v>37</v>
      </c>
      <c r="I24" s="213"/>
      <c r="J24" s="56"/>
      <c r="K24" s="28"/>
      <c r="L24" s="28"/>
      <c r="M24" s="28"/>
      <c r="N24" s="28"/>
      <c r="O24" s="28"/>
      <c r="P24" s="28"/>
      <c r="Q24" s="28"/>
      <c r="R24" s="28"/>
      <c r="S24" s="28"/>
      <c r="T24" s="28"/>
      <c r="U24" s="3"/>
      <c r="V24" s="14"/>
    </row>
    <row r="25" spans="1:22" ht="14.4" hidden="1" outlineLevel="1" x14ac:dyDescent="0.3">
      <c r="A25" s="3"/>
      <c r="B25" s="9" t="s">
        <v>573</v>
      </c>
      <c r="C25" s="53">
        <v>15</v>
      </c>
      <c r="D25" s="53" t="s">
        <v>95</v>
      </c>
      <c r="E25" s="11">
        <v>0</v>
      </c>
      <c r="F25" s="11">
        <v>28.8</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576</v>
      </c>
      <c r="C28" s="53"/>
      <c r="D28" s="53"/>
      <c r="E28" s="11">
        <v>0</v>
      </c>
      <c r="F28" s="11">
        <v>0</v>
      </c>
      <c r="G28" s="214"/>
      <c r="H28" s="56"/>
      <c r="I28" s="214"/>
      <c r="J28" s="56"/>
      <c r="K28" s="28"/>
      <c r="L28" s="28"/>
      <c r="M28" s="28"/>
      <c r="N28" s="28"/>
      <c r="O28" s="28"/>
      <c r="P28" s="28"/>
      <c r="Q28" s="28"/>
      <c r="R28" s="28"/>
      <c r="S28" s="28"/>
      <c r="T28" s="28"/>
      <c r="U28" s="3"/>
      <c r="V28" s="14"/>
    </row>
    <row r="29" spans="1:22" ht="14.4" hidden="1" outlineLevel="1" x14ac:dyDescent="0.3">
      <c r="A29" s="3"/>
      <c r="B29" s="9" t="s">
        <v>293</v>
      </c>
      <c r="C29" s="53">
        <v>13</v>
      </c>
      <c r="D29" s="53" t="s">
        <v>95</v>
      </c>
      <c r="E29" s="11">
        <v>0</v>
      </c>
      <c r="F29" s="11">
        <v>108</v>
      </c>
      <c r="G29" s="56"/>
      <c r="H29" s="56" t="s">
        <v>37</v>
      </c>
      <c r="I29" s="102" t="s">
        <v>1344</v>
      </c>
      <c r="J29" s="56"/>
      <c r="K29" s="28"/>
      <c r="L29" s="28"/>
      <c r="M29" s="28"/>
      <c r="N29" s="28"/>
      <c r="O29" s="28"/>
      <c r="P29" s="28"/>
      <c r="Q29" s="28"/>
      <c r="R29" s="28"/>
      <c r="S29" s="28"/>
      <c r="T29" s="28"/>
      <c r="U29" s="3"/>
      <c r="V29" s="14"/>
    </row>
    <row r="30" spans="1:22" ht="14.4" hidden="1" outlineLevel="1" x14ac:dyDescent="0.3">
      <c r="A30" s="3"/>
      <c r="B30" s="9" t="s">
        <v>295</v>
      </c>
      <c r="C30" s="53"/>
      <c r="D30" s="53"/>
      <c r="E30" s="11">
        <v>0</v>
      </c>
      <c r="F30" s="11">
        <v>0</v>
      </c>
      <c r="G30" s="80"/>
      <c r="H30" s="56"/>
      <c r="I30" s="102"/>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02"/>
      <c r="J31" s="56"/>
      <c r="K31" s="28"/>
      <c r="L31" s="28"/>
      <c r="M31" s="28"/>
      <c r="N31" s="28"/>
      <c r="O31" s="28"/>
      <c r="P31" s="28"/>
      <c r="Q31" s="28"/>
      <c r="R31" s="28"/>
      <c r="S31" s="28"/>
      <c r="T31" s="28"/>
      <c r="U31" s="3"/>
    </row>
    <row r="32" spans="1:22" ht="14.4" hidden="1" outlineLevel="1" x14ac:dyDescent="0.3">
      <c r="A32" s="3"/>
      <c r="B32" s="9" t="s">
        <v>583</v>
      </c>
      <c r="C32" s="53"/>
      <c r="D32" s="53"/>
      <c r="E32" s="11">
        <v>0</v>
      </c>
      <c r="F32" s="11">
        <v>0</v>
      </c>
      <c r="G32" s="80"/>
      <c r="H32" s="56"/>
      <c r="I32" s="102"/>
      <c r="J32" s="56"/>
      <c r="K32" s="28"/>
      <c r="L32" s="28"/>
      <c r="M32" s="28"/>
      <c r="N32" s="28"/>
      <c r="O32" s="28"/>
      <c r="P32" s="28"/>
      <c r="Q32" s="28"/>
      <c r="R32" s="28"/>
      <c r="S32" s="28"/>
      <c r="T32" s="28"/>
      <c r="U32" s="3"/>
    </row>
    <row r="33" spans="1:26" ht="14.4" hidden="1" outlineLevel="1" x14ac:dyDescent="0.3">
      <c r="A33" s="3"/>
      <c r="B33" s="9" t="s">
        <v>750</v>
      </c>
      <c r="C33" s="53">
        <v>15</v>
      </c>
      <c r="D33" s="53" t="s">
        <v>95</v>
      </c>
      <c r="E33" s="11">
        <v>0</v>
      </c>
      <c r="F33" s="11">
        <v>154.25</v>
      </c>
      <c r="G33" s="80" t="s">
        <v>1345</v>
      </c>
      <c r="H33" s="56" t="s">
        <v>37</v>
      </c>
      <c r="I33" s="102" t="s">
        <v>1346</v>
      </c>
      <c r="J33" s="56"/>
      <c r="K33" s="28"/>
      <c r="L33" s="28"/>
      <c r="M33" s="28"/>
      <c r="N33" s="28"/>
      <c r="O33" s="28"/>
      <c r="P33" s="28"/>
      <c r="Q33" s="28"/>
      <c r="R33" s="28"/>
      <c r="S33" s="28"/>
      <c r="T33" s="28"/>
      <c r="U33" s="3"/>
    </row>
    <row r="34" spans="1:26" ht="20.399999999999999" collapsed="1" x14ac:dyDescent="0.3">
      <c r="A34" s="3"/>
      <c r="B34" s="75" t="s">
        <v>301</v>
      </c>
      <c r="C34" s="76" t="s">
        <v>44</v>
      </c>
      <c r="D34" s="76" t="s">
        <v>44</v>
      </c>
      <c r="E34" s="77">
        <f>SUM(E35:E37)</f>
        <v>0</v>
      </c>
      <c r="F34" s="77">
        <f>SUMIF(D35:D37,"OK",F35:F37)</f>
        <v>0</v>
      </c>
      <c r="G34" s="78"/>
      <c r="H34" s="78"/>
      <c r="I34" s="79"/>
      <c r="J34" s="78"/>
      <c r="K34" s="28"/>
      <c r="L34" s="28"/>
      <c r="M34" s="28"/>
      <c r="N34" s="28"/>
      <c r="O34" s="28"/>
      <c r="P34" s="28"/>
      <c r="Q34" s="28"/>
      <c r="R34" s="28"/>
      <c r="S34" s="28"/>
      <c r="T34" s="28"/>
      <c r="U34" s="3"/>
      <c r="W34" s="3"/>
      <c r="X34" s="3"/>
      <c r="Y34" s="3"/>
      <c r="Z34" s="3"/>
    </row>
    <row r="35" spans="1:26" ht="14.4" hidden="1" outlineLevel="1" x14ac:dyDescent="0.3">
      <c r="A35" s="3"/>
      <c r="B35" s="9" t="s">
        <v>584</v>
      </c>
      <c r="C35" s="53"/>
      <c r="D35" s="53"/>
      <c r="E35" s="11">
        <v>0</v>
      </c>
      <c r="F35" s="11">
        <v>0</v>
      </c>
      <c r="G35" s="56"/>
      <c r="H35" s="56"/>
      <c r="I35" s="102"/>
      <c r="J35" s="56"/>
      <c r="K35" s="28"/>
      <c r="L35" s="28"/>
      <c r="M35" s="28"/>
      <c r="N35" s="28"/>
      <c r="O35" s="28"/>
      <c r="P35" s="28"/>
      <c r="Q35" s="28"/>
      <c r="R35" s="28"/>
      <c r="S35" s="28"/>
      <c r="T35" s="28"/>
      <c r="U35" s="3"/>
      <c r="W35" s="3"/>
      <c r="X35" s="3"/>
      <c r="Y35" s="3"/>
      <c r="Z35" s="3"/>
    </row>
    <row r="36" spans="1:26" ht="14.4" hidden="1" outlineLevel="1" x14ac:dyDescent="0.3">
      <c r="A36" s="3"/>
      <c r="B36" s="9" t="s">
        <v>754</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4.4" hidden="1" outlineLevel="1" x14ac:dyDescent="0.3">
      <c r="A37" s="3"/>
      <c r="B37" s="9" t="s">
        <v>306</v>
      </c>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collapsed="1" x14ac:dyDescent="0.3">
      <c r="A38" s="3"/>
      <c r="B38" s="75" t="s">
        <v>307</v>
      </c>
      <c r="C38" s="76" t="s">
        <v>44</v>
      </c>
      <c r="D38" s="76" t="s">
        <v>44</v>
      </c>
      <c r="E38" s="77">
        <f>SUM(E39:E62)</f>
        <v>0</v>
      </c>
      <c r="F38" s="77">
        <f>SUMIF(D39:D62,"OK",F39:F62)</f>
        <v>5371.13</v>
      </c>
      <c r="G38" s="78"/>
      <c r="H38" s="78"/>
      <c r="I38" s="79"/>
      <c r="J38" s="78"/>
      <c r="K38" s="28"/>
      <c r="L38" s="28"/>
      <c r="M38" s="28"/>
      <c r="N38" s="28"/>
      <c r="O38" s="28"/>
      <c r="P38" s="28"/>
      <c r="Q38" s="28"/>
      <c r="R38" s="28"/>
      <c r="S38" s="28"/>
      <c r="T38" s="28"/>
      <c r="U38" s="3"/>
      <c r="W38" s="3"/>
      <c r="X38" s="3"/>
      <c r="Y38" s="3"/>
      <c r="Z38" s="3"/>
    </row>
    <row r="39" spans="1:26" ht="14.4" hidden="1" outlineLevel="1" x14ac:dyDescent="0.3">
      <c r="A39" s="3"/>
      <c r="B39" s="9" t="s">
        <v>308</v>
      </c>
      <c r="C39" s="53">
        <v>20</v>
      </c>
      <c r="D39" s="53" t="s">
        <v>95</v>
      </c>
      <c r="E39" s="11">
        <v>0</v>
      </c>
      <c r="F39" s="11">
        <v>1098.8800000000001</v>
      </c>
      <c r="G39" s="56"/>
      <c r="H39" s="56" t="s">
        <v>37</v>
      </c>
      <c r="I39" s="102" t="s">
        <v>1347</v>
      </c>
      <c r="J39" s="56"/>
      <c r="K39" s="28"/>
      <c r="L39" s="28"/>
      <c r="M39" s="28"/>
      <c r="N39" s="28"/>
      <c r="O39" s="28"/>
      <c r="P39" s="28"/>
      <c r="Q39" s="28"/>
      <c r="R39" s="28"/>
      <c r="S39" s="28"/>
      <c r="T39" s="28"/>
      <c r="U39" s="3"/>
      <c r="W39" s="3"/>
      <c r="X39" s="3"/>
      <c r="Y39" s="3"/>
      <c r="Z39" s="3"/>
    </row>
    <row r="40" spans="1:26" ht="14.4" hidden="1" outlineLevel="1" x14ac:dyDescent="0.3">
      <c r="A40" s="3"/>
      <c r="B40" s="9" t="s">
        <v>590</v>
      </c>
      <c r="C40" s="53">
        <v>22</v>
      </c>
      <c r="D40" s="53" t="s">
        <v>95</v>
      </c>
      <c r="E40" s="11">
        <v>0</v>
      </c>
      <c r="F40" s="11">
        <v>650</v>
      </c>
      <c r="G40" s="56"/>
      <c r="H40" s="56" t="s">
        <v>37</v>
      </c>
      <c r="I40" s="102" t="s">
        <v>1348</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hidden="1" outlineLevel="1" x14ac:dyDescent="0.3">
      <c r="A42" s="3"/>
      <c r="B42" s="9" t="s">
        <v>315</v>
      </c>
      <c r="C42" s="53">
        <v>15</v>
      </c>
      <c r="D42" s="53" t="s">
        <v>95</v>
      </c>
      <c r="E42" s="11">
        <v>0</v>
      </c>
      <c r="F42" s="11">
        <v>84.9</v>
      </c>
      <c r="G42" s="56"/>
      <c r="H42" s="56" t="s">
        <v>37</v>
      </c>
      <c r="I42" s="102" t="s">
        <v>1349</v>
      </c>
      <c r="J42" s="56"/>
      <c r="K42" s="28"/>
      <c r="L42" s="28"/>
      <c r="M42" s="28"/>
      <c r="N42" s="28"/>
      <c r="O42" s="28"/>
      <c r="P42" s="28"/>
      <c r="Q42" s="28"/>
      <c r="R42" s="28"/>
      <c r="S42" s="28"/>
      <c r="T42" s="28"/>
      <c r="U42" s="3"/>
      <c r="W42" s="3"/>
      <c r="X42" s="3"/>
      <c r="Y42" s="3"/>
      <c r="Z42" s="3"/>
    </row>
    <row r="43" spans="1:26" ht="14.4" hidden="1" outlineLevel="1" x14ac:dyDescent="0.3">
      <c r="A43" s="3"/>
      <c r="B43" s="9" t="s">
        <v>1194</v>
      </c>
      <c r="C43" s="53">
        <v>2</v>
      </c>
      <c r="D43" s="53" t="s">
        <v>95</v>
      </c>
      <c r="E43" s="11">
        <v>0</v>
      </c>
      <c r="F43" s="11">
        <v>264.02</v>
      </c>
      <c r="G43" s="56" t="s">
        <v>1350</v>
      </c>
      <c r="H43" s="56" t="s">
        <v>37</v>
      </c>
      <c r="I43" s="102" t="s">
        <v>1351</v>
      </c>
      <c r="J43" s="56"/>
      <c r="K43" s="28"/>
      <c r="L43" s="28"/>
      <c r="M43" s="28"/>
      <c r="N43" s="28"/>
      <c r="O43" s="28"/>
      <c r="P43" s="28"/>
      <c r="Q43" s="28"/>
      <c r="R43" s="28"/>
      <c r="S43" s="28"/>
      <c r="T43" s="28"/>
      <c r="U43" s="3"/>
      <c r="W43" s="3"/>
      <c r="X43" s="3"/>
      <c r="Y43" s="3"/>
      <c r="Z43" s="3"/>
    </row>
    <row r="44" spans="1:26" ht="14.4" hidden="1" outlineLevel="1" x14ac:dyDescent="0.3">
      <c r="A44" s="3"/>
      <c r="B44" s="9" t="s">
        <v>1197</v>
      </c>
      <c r="C44" s="53">
        <v>2</v>
      </c>
      <c r="D44" s="53" t="s">
        <v>95</v>
      </c>
      <c r="E44" s="11">
        <v>0</v>
      </c>
      <c r="F44" s="11">
        <v>448.33</v>
      </c>
      <c r="G44" s="56" t="s">
        <v>1352</v>
      </c>
      <c r="H44" s="56" t="s">
        <v>37</v>
      </c>
      <c r="I44" s="102" t="s">
        <v>1353</v>
      </c>
      <c r="J44" s="56"/>
      <c r="K44" s="28"/>
      <c r="L44" s="28"/>
      <c r="M44" s="28"/>
      <c r="N44" s="28"/>
      <c r="O44" s="28"/>
      <c r="P44" s="28"/>
      <c r="Q44" s="28"/>
      <c r="R44" s="28"/>
      <c r="S44" s="28"/>
      <c r="T44" s="28"/>
      <c r="U44" s="3"/>
      <c r="W44" s="3"/>
      <c r="X44" s="3"/>
      <c r="Y44" s="3"/>
      <c r="Z44" s="3"/>
    </row>
    <row r="45" spans="1:26" ht="14.4" hidden="1" outlineLevel="1" x14ac:dyDescent="0.3">
      <c r="A45" s="3"/>
      <c r="B45" s="9" t="s">
        <v>1354</v>
      </c>
      <c r="C45" s="53">
        <v>12</v>
      </c>
      <c r="D45" s="53" t="s">
        <v>95</v>
      </c>
      <c r="E45" s="11">
        <v>0</v>
      </c>
      <c r="F45" s="11">
        <v>115</v>
      </c>
      <c r="G45" s="56"/>
      <c r="H45" s="56" t="s">
        <v>37</v>
      </c>
      <c r="I45" s="102" t="s">
        <v>1355</v>
      </c>
      <c r="J45" s="56"/>
      <c r="K45" s="28"/>
      <c r="L45" s="28"/>
      <c r="M45" s="28"/>
      <c r="N45" s="28"/>
      <c r="O45" s="28"/>
      <c r="P45" s="28"/>
      <c r="Q45" s="28"/>
      <c r="R45" s="28"/>
      <c r="S45" s="28"/>
      <c r="T45" s="28"/>
      <c r="U45" s="3"/>
      <c r="W45" s="3"/>
      <c r="X45" s="3"/>
      <c r="Y45" s="3"/>
      <c r="Z45" s="3"/>
    </row>
    <row r="46" spans="1:26" ht="14.4" hidden="1" outlineLevel="1" x14ac:dyDescent="0.3">
      <c r="A46" s="3"/>
      <c r="B46" s="9" t="s">
        <v>1356</v>
      </c>
      <c r="C46" s="53">
        <v>19</v>
      </c>
      <c r="D46" s="53" t="s">
        <v>95</v>
      </c>
      <c r="E46" s="11">
        <v>0</v>
      </c>
      <c r="F46" s="11">
        <v>260</v>
      </c>
      <c r="G46" s="56"/>
      <c r="H46" s="56" t="s">
        <v>37</v>
      </c>
      <c r="I46" s="102" t="s">
        <v>1357</v>
      </c>
      <c r="J46" s="56"/>
      <c r="K46" s="28"/>
      <c r="L46" s="28"/>
      <c r="M46" s="28"/>
      <c r="N46" s="28"/>
      <c r="O46" s="28"/>
      <c r="P46" s="28"/>
      <c r="Q46" s="28"/>
      <c r="R46" s="28"/>
      <c r="S46" s="28"/>
      <c r="T46" s="28"/>
      <c r="U46" s="3"/>
      <c r="W46" s="3"/>
      <c r="X46" s="3"/>
      <c r="Y46" s="3"/>
      <c r="Z46" s="3"/>
    </row>
    <row r="47" spans="1:26" ht="14.4" hidden="1" outlineLevel="1" x14ac:dyDescent="0.3">
      <c r="A47" s="3"/>
      <c r="B47" s="9" t="s">
        <v>1358</v>
      </c>
      <c r="C47" s="53">
        <v>4</v>
      </c>
      <c r="D47" s="53" t="s">
        <v>95</v>
      </c>
      <c r="E47" s="11">
        <v>0</v>
      </c>
      <c r="F47" s="11">
        <v>2000</v>
      </c>
      <c r="G47" s="56"/>
      <c r="H47" s="56" t="s">
        <v>39</v>
      </c>
      <c r="I47" s="102" t="s">
        <v>1359</v>
      </c>
      <c r="J47" s="56"/>
      <c r="K47" s="28"/>
      <c r="L47" s="28"/>
      <c r="M47" s="28"/>
      <c r="N47" s="28"/>
      <c r="O47" s="28"/>
      <c r="P47" s="28"/>
      <c r="Q47" s="28"/>
      <c r="R47" s="28"/>
      <c r="S47" s="28"/>
      <c r="T47" s="28"/>
      <c r="U47" s="3"/>
      <c r="W47" s="3"/>
      <c r="X47" s="3"/>
      <c r="Y47" s="3"/>
      <c r="Z47" s="3"/>
    </row>
    <row r="48" spans="1:26" ht="14.4" hidden="1" outlineLevel="1" x14ac:dyDescent="0.3">
      <c r="A48" s="3"/>
      <c r="B48" s="9" t="s">
        <v>1360</v>
      </c>
      <c r="C48" s="53">
        <v>4</v>
      </c>
      <c r="D48" s="53" t="s">
        <v>95</v>
      </c>
      <c r="E48" s="11">
        <v>0</v>
      </c>
      <c r="F48" s="11">
        <v>450</v>
      </c>
      <c r="G48" s="56"/>
      <c r="H48" s="56" t="s">
        <v>39</v>
      </c>
      <c r="I48" s="102" t="s">
        <v>1361</v>
      </c>
      <c r="J48" s="56"/>
      <c r="K48" s="28"/>
      <c r="L48" s="28"/>
      <c r="M48" s="28"/>
      <c r="N48" s="28"/>
      <c r="O48" s="28"/>
      <c r="P48" s="28"/>
      <c r="Q48" s="28"/>
      <c r="R48" s="28"/>
      <c r="S48" s="28"/>
      <c r="T48" s="28"/>
      <c r="U48" s="3"/>
      <c r="W48" s="3"/>
      <c r="X48" s="3"/>
      <c r="Y48" s="3"/>
      <c r="Z48" s="3"/>
    </row>
    <row r="49" spans="1:26" ht="14.4" hidden="1" outlineLevel="1" x14ac:dyDescent="0.3">
      <c r="A49" s="3"/>
      <c r="B49" s="9" t="s">
        <v>51</v>
      </c>
      <c r="C49" s="53"/>
      <c r="D49" s="53"/>
      <c r="E49" s="11">
        <v>0</v>
      </c>
      <c r="F49" s="11">
        <v>0</v>
      </c>
      <c r="G49" s="56"/>
      <c r="H49" s="56"/>
      <c r="I49" s="102"/>
      <c r="J49" s="56"/>
      <c r="K49" s="28"/>
      <c r="L49" s="28"/>
      <c r="M49" s="28"/>
      <c r="N49" s="28"/>
      <c r="O49" s="28"/>
      <c r="P49" s="28"/>
      <c r="Q49" s="28"/>
      <c r="R49" s="28"/>
      <c r="S49" s="28"/>
      <c r="T49" s="28"/>
      <c r="U49" s="3"/>
      <c r="W49" s="3"/>
      <c r="X49" s="3"/>
      <c r="Y49" s="3"/>
      <c r="Z49" s="3"/>
    </row>
    <row r="50" spans="1:26" ht="14.4" hidden="1" outlineLevel="1" x14ac:dyDescent="0.3">
      <c r="A50" s="3"/>
      <c r="B50" s="9" t="s">
        <v>51</v>
      </c>
      <c r="C50" s="53"/>
      <c r="D50" s="53"/>
      <c r="E50" s="11">
        <v>0</v>
      </c>
      <c r="F50" s="11">
        <v>0</v>
      </c>
      <c r="G50" s="56"/>
      <c r="H50" s="56"/>
      <c r="I50" s="102"/>
      <c r="J50" s="56"/>
      <c r="K50" s="28"/>
      <c r="L50" s="28"/>
      <c r="M50" s="28"/>
      <c r="N50" s="28"/>
      <c r="O50" s="28"/>
      <c r="P50" s="28"/>
      <c r="Q50" s="28"/>
      <c r="R50" s="28"/>
      <c r="S50" s="28"/>
      <c r="T50" s="28"/>
      <c r="U50" s="3"/>
      <c r="W50" s="3"/>
      <c r="X50" s="3"/>
      <c r="Y50" s="3"/>
      <c r="Z50" s="3"/>
    </row>
    <row r="51" spans="1:26" ht="14.4" hidden="1" outlineLevel="1" x14ac:dyDescent="0.3">
      <c r="A51" s="3"/>
      <c r="B51" s="9" t="s">
        <v>51</v>
      </c>
      <c r="C51" s="53"/>
      <c r="D51" s="53"/>
      <c r="E51" s="11">
        <v>0</v>
      </c>
      <c r="F51" s="11">
        <v>0</v>
      </c>
      <c r="G51" s="56"/>
      <c r="H51" s="56"/>
      <c r="I51" s="102"/>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56"/>
      <c r="H52" s="56"/>
      <c r="I52" s="80"/>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collapsed="1" x14ac:dyDescent="0.3">
      <c r="A63" s="3"/>
      <c r="B63" s="75" t="s">
        <v>330</v>
      </c>
      <c r="C63" s="76" t="s">
        <v>44</v>
      </c>
      <c r="D63" s="76" t="s">
        <v>44</v>
      </c>
      <c r="E63" s="77">
        <f>SUM(E64:E86)</f>
        <v>0</v>
      </c>
      <c r="F63" s="77">
        <f>SUMIF(D64:D86,"OK",F64:F86)</f>
        <v>2015.98</v>
      </c>
      <c r="G63" s="78"/>
      <c r="H63" s="78"/>
      <c r="I63" s="79"/>
      <c r="J63" s="78"/>
      <c r="K63" s="28"/>
      <c r="L63" s="28"/>
      <c r="M63" s="28"/>
      <c r="N63" s="28"/>
      <c r="O63" s="28"/>
      <c r="P63" s="28"/>
      <c r="Q63" s="28"/>
      <c r="R63" s="28"/>
      <c r="S63" s="28"/>
      <c r="T63" s="28"/>
      <c r="U63" s="3"/>
    </row>
    <row r="64" spans="1:26" ht="14.4" hidden="1" outlineLevel="1" x14ac:dyDescent="0.3">
      <c r="A64" s="3"/>
      <c r="B64" s="9" t="s">
        <v>1200</v>
      </c>
      <c r="C64" s="71">
        <v>6</v>
      </c>
      <c r="D64" s="53" t="s">
        <v>95</v>
      </c>
      <c r="E64" s="11">
        <v>0</v>
      </c>
      <c r="F64" s="11">
        <v>8.5</v>
      </c>
      <c r="G64" s="56"/>
      <c r="H64" s="56" t="s">
        <v>37</v>
      </c>
      <c r="I64" s="102" t="s">
        <v>1362</v>
      </c>
      <c r="J64" s="80"/>
      <c r="K64" s="28"/>
      <c r="L64" s="28"/>
      <c r="M64" s="28"/>
      <c r="N64" s="28"/>
      <c r="O64" s="28"/>
      <c r="P64" s="28"/>
      <c r="Q64" s="28"/>
      <c r="R64" s="28"/>
      <c r="S64" s="28"/>
      <c r="T64" s="28"/>
      <c r="U64" s="3"/>
      <c r="V64" s="14"/>
    </row>
    <row r="65" spans="1:22" ht="14.4" hidden="1" outlineLevel="1" x14ac:dyDescent="0.3">
      <c r="A65" s="3"/>
      <c r="B65" s="9" t="s">
        <v>1200</v>
      </c>
      <c r="C65" s="71">
        <v>6</v>
      </c>
      <c r="D65" s="53" t="s">
        <v>95</v>
      </c>
      <c r="E65" s="11">
        <v>0</v>
      </c>
      <c r="F65" s="11">
        <v>45.56</v>
      </c>
      <c r="G65" s="56"/>
      <c r="H65" s="56" t="s">
        <v>37</v>
      </c>
      <c r="I65" s="102" t="s">
        <v>1363</v>
      </c>
      <c r="J65" s="80"/>
      <c r="K65" s="28"/>
      <c r="L65" s="28"/>
      <c r="M65" s="28"/>
      <c r="N65" s="28"/>
      <c r="O65" s="28"/>
      <c r="P65" s="28"/>
      <c r="Q65" s="28"/>
      <c r="R65" s="28"/>
      <c r="S65" s="28"/>
      <c r="T65" s="28"/>
      <c r="U65" s="3"/>
      <c r="V65" s="14"/>
    </row>
    <row r="66" spans="1:22" ht="14.4" hidden="1" outlineLevel="1" x14ac:dyDescent="0.3">
      <c r="A66" s="3"/>
      <c r="B66" s="9" t="s">
        <v>1200</v>
      </c>
      <c r="C66" s="71">
        <v>7</v>
      </c>
      <c r="D66" s="53" t="s">
        <v>95</v>
      </c>
      <c r="E66" s="11">
        <v>0</v>
      </c>
      <c r="F66" s="11">
        <v>223.35</v>
      </c>
      <c r="G66" s="56"/>
      <c r="H66" s="56" t="s">
        <v>37</v>
      </c>
      <c r="I66" s="102" t="s">
        <v>1364</v>
      </c>
      <c r="J66" s="80"/>
      <c r="K66" s="28"/>
      <c r="L66" s="28"/>
      <c r="M66" s="28"/>
      <c r="N66" s="28"/>
      <c r="O66" s="28"/>
      <c r="P66" s="28"/>
      <c r="Q66" s="28"/>
      <c r="R66" s="28"/>
      <c r="S66" s="28"/>
      <c r="T66" s="28"/>
      <c r="U66" s="3"/>
      <c r="V66" s="14"/>
    </row>
    <row r="67" spans="1:22" ht="14.4" hidden="1" outlineLevel="1" x14ac:dyDescent="0.3">
      <c r="A67" s="3"/>
      <c r="B67" s="9" t="s">
        <v>1200</v>
      </c>
      <c r="C67" s="71">
        <v>8</v>
      </c>
      <c r="D67" s="53" t="s">
        <v>95</v>
      </c>
      <c r="E67" s="11">
        <v>0</v>
      </c>
      <c r="F67" s="11">
        <v>60</v>
      </c>
      <c r="G67" s="56" t="s">
        <v>367</v>
      </c>
      <c r="H67" s="56" t="s">
        <v>37</v>
      </c>
      <c r="I67" s="102" t="s">
        <v>1365</v>
      </c>
      <c r="J67" s="80"/>
      <c r="K67" s="28"/>
      <c r="L67" s="28"/>
      <c r="M67" s="28"/>
      <c r="N67" s="28"/>
      <c r="O67" s="28"/>
      <c r="P67" s="28"/>
      <c r="Q67" s="28"/>
      <c r="R67" s="28"/>
      <c r="S67" s="28"/>
      <c r="T67" s="28"/>
      <c r="U67" s="3"/>
      <c r="V67" s="14"/>
    </row>
    <row r="68" spans="1:22" ht="14.4" hidden="1" outlineLevel="1" x14ac:dyDescent="0.3">
      <c r="A68" s="3"/>
      <c r="B68" s="9" t="s">
        <v>1203</v>
      </c>
      <c r="C68" s="71">
        <v>21</v>
      </c>
      <c r="D68" s="53" t="s">
        <v>95</v>
      </c>
      <c r="E68" s="11">
        <v>0</v>
      </c>
      <c r="F68" s="11">
        <v>435.02</v>
      </c>
      <c r="G68" s="56"/>
      <c r="H68" s="56" t="s">
        <v>37</v>
      </c>
      <c r="I68" s="102" t="s">
        <v>1366</v>
      </c>
      <c r="J68" s="80"/>
      <c r="K68" s="28"/>
      <c r="L68" s="28"/>
      <c r="M68" s="28"/>
      <c r="N68" s="28"/>
      <c r="O68" s="28"/>
      <c r="P68" s="28"/>
      <c r="Q68" s="28"/>
      <c r="R68" s="28"/>
      <c r="S68" s="28"/>
      <c r="T68" s="28"/>
      <c r="U68" s="3"/>
      <c r="V68" s="14"/>
    </row>
    <row r="69" spans="1:22" ht="14.4" hidden="1" outlineLevel="1" x14ac:dyDescent="0.3">
      <c r="A69" s="3"/>
      <c r="B69" s="9" t="s">
        <v>1203</v>
      </c>
      <c r="C69" s="71"/>
      <c r="D69" s="53"/>
      <c r="E69" s="11">
        <v>0</v>
      </c>
      <c r="F69" s="11">
        <v>0</v>
      </c>
      <c r="G69" s="56"/>
      <c r="H69" s="56"/>
      <c r="I69" s="102"/>
      <c r="J69" s="80"/>
      <c r="K69" s="28"/>
      <c r="L69" s="28"/>
      <c r="M69" s="28"/>
      <c r="N69" s="28"/>
      <c r="O69" s="28"/>
      <c r="P69" s="28"/>
      <c r="Q69" s="28"/>
      <c r="R69" s="28"/>
      <c r="S69" s="28"/>
      <c r="T69" s="28"/>
      <c r="U69" s="3"/>
      <c r="V69" s="14"/>
    </row>
    <row r="70" spans="1:22" ht="14.4" hidden="1" outlineLevel="1" x14ac:dyDescent="0.3">
      <c r="A70" s="3"/>
      <c r="B70" s="9" t="s">
        <v>1203</v>
      </c>
      <c r="C70" s="71"/>
      <c r="D70" s="53"/>
      <c r="E70" s="11">
        <v>0</v>
      </c>
      <c r="F70" s="11">
        <v>0</v>
      </c>
      <c r="G70" s="56"/>
      <c r="H70" s="56"/>
      <c r="I70" s="102"/>
      <c r="J70" s="80"/>
      <c r="K70" s="28"/>
      <c r="L70" s="28"/>
      <c r="M70" s="28"/>
      <c r="N70" s="28"/>
      <c r="O70" s="28"/>
      <c r="P70" s="28"/>
      <c r="Q70" s="28"/>
      <c r="R70" s="28"/>
      <c r="S70" s="28"/>
      <c r="T70" s="28"/>
      <c r="U70" s="3"/>
      <c r="V70" s="14"/>
    </row>
    <row r="71" spans="1:22" ht="14.4" hidden="1" outlineLevel="1" x14ac:dyDescent="0.3">
      <c r="A71" s="3"/>
      <c r="B71" s="9" t="s">
        <v>1203</v>
      </c>
      <c r="C71" s="71"/>
      <c r="D71" s="53"/>
      <c r="E71" s="11">
        <v>0</v>
      </c>
      <c r="F71" s="11">
        <v>0</v>
      </c>
      <c r="G71" s="56"/>
      <c r="H71" s="56"/>
      <c r="I71" s="117"/>
      <c r="J71" s="80"/>
      <c r="K71" s="28"/>
      <c r="L71" s="28"/>
      <c r="M71" s="28"/>
      <c r="N71" s="28"/>
      <c r="O71" s="28"/>
      <c r="P71" s="28"/>
      <c r="Q71" s="28"/>
      <c r="R71" s="28"/>
      <c r="S71" s="28"/>
      <c r="T71" s="28"/>
      <c r="U71" s="3"/>
      <c r="V71" s="14"/>
    </row>
    <row r="72" spans="1:22" ht="14.4" hidden="1" outlineLevel="1" x14ac:dyDescent="0.3">
      <c r="A72" s="3"/>
      <c r="B72" s="9" t="s">
        <v>1203</v>
      </c>
      <c r="C72" s="71"/>
      <c r="D72" s="53"/>
      <c r="E72" s="11">
        <v>0</v>
      </c>
      <c r="F72" s="11">
        <v>0</v>
      </c>
      <c r="G72" s="56"/>
      <c r="H72" s="56"/>
      <c r="I72" s="80"/>
      <c r="J72" s="80"/>
      <c r="K72" s="28"/>
      <c r="L72" s="28"/>
      <c r="M72" s="28"/>
      <c r="N72" s="28"/>
      <c r="O72" s="28"/>
      <c r="P72" s="28"/>
      <c r="Q72" s="28"/>
      <c r="R72" s="28"/>
      <c r="S72" s="28"/>
      <c r="T72" s="28"/>
      <c r="U72" s="3"/>
      <c r="V72" s="14"/>
    </row>
    <row r="73" spans="1:22" ht="14.4" hidden="1" outlineLevel="1" x14ac:dyDescent="0.3">
      <c r="A73" s="3"/>
      <c r="B73" s="9" t="s">
        <v>331</v>
      </c>
      <c r="C73" s="71">
        <v>7</v>
      </c>
      <c r="D73" s="53" t="s">
        <v>95</v>
      </c>
      <c r="E73" s="11">
        <v>0</v>
      </c>
      <c r="F73" s="11">
        <v>10.57</v>
      </c>
      <c r="G73" s="56" t="s">
        <v>1367</v>
      </c>
      <c r="H73" s="56" t="s">
        <v>37</v>
      </c>
      <c r="I73" s="102" t="s">
        <v>1368</v>
      </c>
      <c r="J73" s="80"/>
      <c r="K73" s="28"/>
      <c r="L73" s="28"/>
      <c r="M73" s="28"/>
      <c r="N73" s="28"/>
      <c r="O73" s="28"/>
      <c r="P73" s="28"/>
      <c r="Q73" s="28"/>
      <c r="R73" s="28"/>
      <c r="S73" s="28"/>
      <c r="T73" s="28"/>
      <c r="U73" s="3"/>
      <c r="V73" s="14"/>
    </row>
    <row r="74" spans="1:22" ht="14.4" hidden="1" outlineLevel="1" x14ac:dyDescent="0.3">
      <c r="A74" s="3"/>
      <c r="B74" s="9" t="s">
        <v>331</v>
      </c>
      <c r="C74" s="71"/>
      <c r="D74" s="53"/>
      <c r="E74" s="11">
        <v>0</v>
      </c>
      <c r="F74" s="11">
        <v>0</v>
      </c>
      <c r="G74" s="56"/>
      <c r="H74" s="56"/>
      <c r="I74" s="102"/>
      <c r="J74" s="80"/>
      <c r="K74" s="28"/>
      <c r="L74" s="28"/>
      <c r="M74" s="28"/>
      <c r="N74" s="28"/>
      <c r="O74" s="28"/>
      <c r="P74" s="28"/>
      <c r="Q74" s="28"/>
      <c r="R74" s="28"/>
      <c r="S74" s="28"/>
      <c r="T74" s="28"/>
      <c r="U74" s="3"/>
      <c r="V74" s="14"/>
    </row>
    <row r="75" spans="1:22" ht="14.4" hidden="1" outlineLevel="1" x14ac:dyDescent="0.3">
      <c r="A75" s="3"/>
      <c r="B75" s="9" t="s">
        <v>331</v>
      </c>
      <c r="C75" s="71"/>
      <c r="D75" s="53"/>
      <c r="E75" s="11">
        <v>0</v>
      </c>
      <c r="F75" s="11">
        <v>0</v>
      </c>
      <c r="G75" s="56"/>
      <c r="H75" s="56"/>
      <c r="I75" s="80"/>
      <c r="J75" s="80"/>
      <c r="K75" s="28"/>
      <c r="L75" s="28"/>
      <c r="M75" s="28"/>
      <c r="N75" s="28"/>
      <c r="O75" s="28"/>
      <c r="P75" s="28"/>
      <c r="Q75" s="28"/>
      <c r="R75" s="28"/>
      <c r="S75" s="28"/>
      <c r="T75" s="28"/>
      <c r="U75" s="3"/>
      <c r="V75" s="14"/>
    </row>
    <row r="76" spans="1:22" ht="14.4" hidden="1" outlineLevel="1" x14ac:dyDescent="0.3">
      <c r="A76" s="3"/>
      <c r="B76" s="9" t="s">
        <v>331</v>
      </c>
      <c r="C76" s="71"/>
      <c r="D76" s="53"/>
      <c r="E76" s="11">
        <v>0</v>
      </c>
      <c r="F76" s="11">
        <v>0</v>
      </c>
      <c r="G76" s="56"/>
      <c r="H76" s="56"/>
      <c r="I76" s="80"/>
      <c r="J76" s="80"/>
      <c r="K76" s="28"/>
      <c r="L76" s="28"/>
      <c r="M76" s="28"/>
      <c r="N76" s="28"/>
      <c r="O76" s="28"/>
      <c r="P76" s="28"/>
      <c r="Q76" s="28"/>
      <c r="R76" s="28"/>
      <c r="S76" s="28"/>
      <c r="T76" s="28"/>
      <c r="U76" s="3"/>
      <c r="V76" s="14"/>
    </row>
    <row r="77" spans="1:22" ht="14.4" hidden="1" outlineLevel="1" x14ac:dyDescent="0.3">
      <c r="A77" s="3"/>
      <c r="B77" s="9" t="s">
        <v>335</v>
      </c>
      <c r="C77" s="53">
        <v>3</v>
      </c>
      <c r="D77" s="53" t="s">
        <v>95</v>
      </c>
      <c r="E77" s="11">
        <v>0</v>
      </c>
      <c r="F77" s="11">
        <v>176</v>
      </c>
      <c r="G77" s="56"/>
      <c r="H77" s="56" t="s">
        <v>37</v>
      </c>
      <c r="I77" s="102" t="s">
        <v>1369</v>
      </c>
      <c r="J77" s="56"/>
      <c r="K77" s="28"/>
      <c r="L77" s="28"/>
      <c r="M77" s="28"/>
      <c r="N77" s="28"/>
      <c r="O77" s="28"/>
      <c r="P77" s="28"/>
      <c r="Q77" s="28"/>
      <c r="R77" s="28"/>
      <c r="S77" s="28"/>
      <c r="T77" s="28"/>
      <c r="U77" s="3"/>
    </row>
    <row r="78" spans="1:22" ht="14.4" hidden="1" outlineLevel="1" x14ac:dyDescent="0.3">
      <c r="A78" s="3"/>
      <c r="B78" s="9" t="s">
        <v>335</v>
      </c>
      <c r="C78" s="53"/>
      <c r="D78" s="53"/>
      <c r="E78" s="11">
        <v>0</v>
      </c>
      <c r="F78" s="11">
        <v>0</v>
      </c>
      <c r="G78" s="56"/>
      <c r="H78" s="56"/>
      <c r="I78" s="80"/>
      <c r="J78" s="56"/>
      <c r="K78" s="28"/>
      <c r="L78" s="28"/>
      <c r="M78" s="28"/>
      <c r="N78" s="28"/>
      <c r="O78" s="28"/>
      <c r="P78" s="28"/>
      <c r="Q78" s="28"/>
      <c r="R78" s="28"/>
      <c r="S78" s="28"/>
      <c r="T78" s="28"/>
      <c r="U78" s="3"/>
    </row>
    <row r="79" spans="1:22" ht="14.4" hidden="1" outlineLevel="1" x14ac:dyDescent="0.3">
      <c r="A79" s="3"/>
      <c r="B79" s="9" t="s">
        <v>628</v>
      </c>
      <c r="C79" s="71">
        <v>7</v>
      </c>
      <c r="D79" s="53" t="s">
        <v>95</v>
      </c>
      <c r="E79" s="11">
        <v>0</v>
      </c>
      <c r="F79" s="11">
        <v>552.84</v>
      </c>
      <c r="G79" s="56"/>
      <c r="H79" s="56" t="s">
        <v>37</v>
      </c>
      <c r="I79" s="102" t="s">
        <v>1370</v>
      </c>
      <c r="J79" s="80"/>
      <c r="K79" s="28"/>
      <c r="L79" s="28"/>
      <c r="M79" s="28"/>
      <c r="N79" s="28"/>
      <c r="O79" s="28"/>
      <c r="P79" s="28"/>
      <c r="Q79" s="28"/>
      <c r="R79" s="28"/>
      <c r="S79" s="28"/>
      <c r="T79" s="28"/>
      <c r="U79" s="3"/>
    </row>
    <row r="80" spans="1:22" ht="14.4" hidden="1" outlineLevel="1" x14ac:dyDescent="0.3">
      <c r="A80" s="3"/>
      <c r="B80" s="9" t="s">
        <v>628</v>
      </c>
      <c r="C80" s="71"/>
      <c r="D80" s="53"/>
      <c r="E80" s="11">
        <v>0</v>
      </c>
      <c r="F80" s="11">
        <v>0</v>
      </c>
      <c r="G80" s="56"/>
      <c r="H80" s="56"/>
      <c r="I80" s="102"/>
      <c r="J80" s="80"/>
      <c r="K80" s="28"/>
      <c r="L80" s="28"/>
      <c r="M80" s="28"/>
      <c r="N80" s="28"/>
      <c r="O80" s="28"/>
      <c r="P80" s="28"/>
      <c r="Q80" s="28"/>
      <c r="R80" s="28"/>
      <c r="S80" s="28"/>
      <c r="T80" s="28"/>
      <c r="U80" s="3"/>
    </row>
    <row r="81" spans="1:26" ht="14.4" hidden="1" outlineLevel="1" x14ac:dyDescent="0.3">
      <c r="A81" s="3"/>
      <c r="B81" s="9" t="s">
        <v>630</v>
      </c>
      <c r="C81" s="71">
        <v>23</v>
      </c>
      <c r="D81" s="53" t="s">
        <v>95</v>
      </c>
      <c r="E81" s="11">
        <v>0</v>
      </c>
      <c r="F81" s="11">
        <v>397.59</v>
      </c>
      <c r="G81" s="56" t="s">
        <v>1371</v>
      </c>
      <c r="H81" s="56" t="s">
        <v>37</v>
      </c>
      <c r="I81" s="102" t="s">
        <v>1372</v>
      </c>
      <c r="J81" s="80"/>
      <c r="K81" s="28"/>
      <c r="L81" s="28"/>
      <c r="M81" s="28"/>
      <c r="N81" s="28"/>
      <c r="O81" s="28"/>
      <c r="P81" s="28"/>
      <c r="Q81" s="28"/>
      <c r="R81" s="28"/>
      <c r="S81" s="28"/>
      <c r="T81" s="28"/>
      <c r="U81" s="3"/>
    </row>
    <row r="82" spans="1:26" ht="14.4" hidden="1" outlineLevel="1" x14ac:dyDescent="0.3">
      <c r="A82" s="3"/>
      <c r="B82" s="9" t="s">
        <v>630</v>
      </c>
      <c r="C82" s="71">
        <v>23</v>
      </c>
      <c r="D82" s="53" t="s">
        <v>95</v>
      </c>
      <c r="E82" s="11">
        <v>0</v>
      </c>
      <c r="F82" s="11">
        <v>106.55</v>
      </c>
      <c r="G82" s="56" t="s">
        <v>1371</v>
      </c>
      <c r="H82" s="56" t="s">
        <v>37</v>
      </c>
      <c r="I82" s="102" t="s">
        <v>1373</v>
      </c>
      <c r="J82" s="80"/>
      <c r="K82" s="28"/>
      <c r="L82" s="28"/>
      <c r="M82" s="28"/>
      <c r="N82" s="28"/>
      <c r="O82" s="28"/>
      <c r="P82" s="28"/>
      <c r="Q82" s="28"/>
      <c r="R82" s="28"/>
      <c r="S82" s="28"/>
      <c r="T82" s="28"/>
      <c r="U82" s="3"/>
    </row>
    <row r="83" spans="1:26" ht="14.4" hidden="1" outlineLevel="1" x14ac:dyDescent="0.3">
      <c r="A83" s="3"/>
      <c r="B83" s="9" t="s">
        <v>630</v>
      </c>
      <c r="C83" s="71"/>
      <c r="D83" s="53"/>
      <c r="E83" s="11">
        <v>0</v>
      </c>
      <c r="F83" s="11">
        <v>0</v>
      </c>
      <c r="G83" s="56"/>
      <c r="H83" s="56"/>
      <c r="I83" s="102"/>
      <c r="J83" s="80"/>
      <c r="K83" s="28"/>
      <c r="L83" s="28"/>
      <c r="M83" s="28"/>
      <c r="N83" s="28"/>
      <c r="O83" s="28"/>
      <c r="P83" s="28"/>
      <c r="Q83" s="28"/>
      <c r="R83" s="28"/>
      <c r="S83" s="28"/>
      <c r="T83" s="28"/>
      <c r="U83" s="3"/>
    </row>
    <row r="84" spans="1:26" ht="14.4" hidden="1" outlineLevel="1" x14ac:dyDescent="0.3">
      <c r="A84" s="3"/>
      <c r="B84" s="9" t="s">
        <v>66</v>
      </c>
      <c r="C84" s="71"/>
      <c r="D84" s="53"/>
      <c r="E84" s="11">
        <v>0</v>
      </c>
      <c r="F84" s="11">
        <v>0</v>
      </c>
      <c r="G84" s="56"/>
      <c r="H84" s="56"/>
      <c r="I84" s="102"/>
      <c r="J84" s="56"/>
      <c r="K84" s="28"/>
      <c r="L84" s="28"/>
      <c r="M84" s="28"/>
      <c r="N84" s="28"/>
      <c r="O84" s="28"/>
      <c r="P84" s="28"/>
      <c r="Q84" s="28"/>
      <c r="R84" s="28"/>
      <c r="S84" s="28"/>
      <c r="T84" s="28"/>
      <c r="U84" s="3"/>
      <c r="W84" s="3"/>
      <c r="X84" s="3"/>
      <c r="Y84" s="3"/>
      <c r="Z84" s="3"/>
    </row>
    <row r="85" spans="1:26" ht="14.4" hidden="1" outlineLevel="1" x14ac:dyDescent="0.3">
      <c r="A85" s="3"/>
      <c r="B85" s="9" t="s">
        <v>66</v>
      </c>
      <c r="C85" s="53"/>
      <c r="D85" s="53"/>
      <c r="E85" s="11">
        <v>0</v>
      </c>
      <c r="F85" s="11">
        <v>0</v>
      </c>
      <c r="G85" s="56"/>
      <c r="H85" s="56"/>
      <c r="I85" s="102"/>
      <c r="J85" s="56"/>
      <c r="K85" s="28"/>
      <c r="L85" s="28"/>
      <c r="M85" s="28"/>
      <c r="N85" s="28"/>
      <c r="O85" s="28"/>
      <c r="P85" s="28"/>
      <c r="Q85" s="28"/>
      <c r="R85" s="28"/>
      <c r="S85" s="28"/>
      <c r="T85" s="28"/>
      <c r="U85" s="3"/>
      <c r="W85" s="3"/>
      <c r="X85" s="3"/>
      <c r="Y85" s="3"/>
      <c r="Z85" s="3"/>
    </row>
    <row r="86" spans="1:26" ht="14.4" hidden="1" outlineLevel="1" x14ac:dyDescent="0.3">
      <c r="A86" s="3"/>
      <c r="B86" s="9" t="s">
        <v>812</v>
      </c>
      <c r="C86" s="53"/>
      <c r="D86" s="53"/>
      <c r="E86" s="11">
        <v>0</v>
      </c>
      <c r="F86" s="11">
        <v>0</v>
      </c>
      <c r="G86" s="80"/>
      <c r="H86" s="56"/>
      <c r="I86" s="102"/>
      <c r="J86" s="56"/>
      <c r="K86" s="28"/>
      <c r="L86" s="28"/>
      <c r="M86" s="28"/>
      <c r="N86" s="28"/>
      <c r="O86" s="28"/>
      <c r="P86" s="28"/>
      <c r="Q86" s="28"/>
      <c r="R86" s="28"/>
      <c r="S86" s="28"/>
      <c r="T86" s="28"/>
      <c r="U86" s="3"/>
      <c r="W86" s="3"/>
      <c r="X86" s="3"/>
      <c r="Y86" s="3"/>
      <c r="Z86" s="3"/>
    </row>
    <row r="87" spans="1:26" ht="20.399999999999999" collapsed="1" x14ac:dyDescent="0.3">
      <c r="A87" s="3"/>
      <c r="B87" s="75" t="s">
        <v>349</v>
      </c>
      <c r="C87" s="76" t="s">
        <v>44</v>
      </c>
      <c r="D87" s="76" t="s">
        <v>44</v>
      </c>
      <c r="E87" s="77">
        <f t="shared" ref="E87:F87" si="0">SUM(E88,E104,E109)</f>
        <v>0</v>
      </c>
      <c r="F87" s="77">
        <f t="shared" si="0"/>
        <v>0</v>
      </c>
      <c r="G87" s="78"/>
      <c r="H87" s="78"/>
      <c r="I87" s="79"/>
      <c r="J87" s="78"/>
      <c r="K87" s="28"/>
      <c r="L87" s="28"/>
      <c r="M87" s="28"/>
      <c r="N87" s="28"/>
      <c r="O87" s="28"/>
      <c r="P87" s="28"/>
      <c r="Q87" s="28"/>
      <c r="R87" s="28"/>
      <c r="S87" s="28"/>
      <c r="T87" s="28"/>
      <c r="U87" s="3"/>
      <c r="W87" s="3"/>
      <c r="X87" s="3"/>
      <c r="Y87" s="3"/>
      <c r="Z87" s="3"/>
    </row>
    <row r="88" spans="1:26" hidden="1" outlineLevel="1" x14ac:dyDescent="0.3">
      <c r="A88" s="3"/>
      <c r="B88" s="82" t="s">
        <v>350</v>
      </c>
      <c r="C88" s="83"/>
      <c r="D88" s="83"/>
      <c r="E88" s="84">
        <f>SUM(E89:E103)</f>
        <v>0</v>
      </c>
      <c r="F88" s="84">
        <f>SUMIF(D89:D103,"OK",F89:F103)</f>
        <v>0</v>
      </c>
      <c r="G88" s="85"/>
      <c r="H88" s="85"/>
      <c r="I88" s="86"/>
      <c r="J88" s="85"/>
      <c r="K88" s="28"/>
      <c r="L88" s="28"/>
      <c r="M88" s="28"/>
      <c r="N88" s="28"/>
      <c r="O88" s="28"/>
      <c r="P88" s="28"/>
      <c r="Q88" s="28"/>
      <c r="R88" s="28"/>
      <c r="S88" s="28"/>
      <c r="T88" s="28"/>
      <c r="U88" s="3"/>
      <c r="W88" s="3"/>
      <c r="X88" s="3"/>
      <c r="Y88" s="3"/>
      <c r="Z88" s="3"/>
    </row>
    <row r="89" spans="1:26" ht="14.4" hidden="1" outlineLevel="1" x14ac:dyDescent="0.3">
      <c r="A89" s="3"/>
      <c r="B89" s="9" t="s">
        <v>363</v>
      </c>
      <c r="C89" s="53"/>
      <c r="D89" s="53"/>
      <c r="E89" s="11">
        <v>0</v>
      </c>
      <c r="F89" s="11">
        <v>0</v>
      </c>
      <c r="G89" s="56"/>
      <c r="H89" s="56"/>
      <c r="I89" s="102"/>
      <c r="J89" s="56"/>
      <c r="K89" s="28"/>
      <c r="L89" s="28"/>
      <c r="M89" s="28"/>
      <c r="N89" s="28"/>
      <c r="O89" s="28"/>
      <c r="P89" s="28"/>
      <c r="Q89" s="28"/>
      <c r="R89" s="28"/>
      <c r="S89" s="28"/>
      <c r="T89" s="28"/>
      <c r="U89" s="3"/>
      <c r="W89" s="3"/>
      <c r="X89" s="3"/>
      <c r="Y89" s="3"/>
      <c r="Z89" s="3"/>
    </row>
    <row r="90" spans="1:26" ht="14.4" hidden="1" outlineLevel="1" x14ac:dyDescent="0.3">
      <c r="A90" s="3"/>
      <c r="B90" s="9" t="s">
        <v>363</v>
      </c>
      <c r="C90" s="53"/>
      <c r="D90" s="53"/>
      <c r="E90" s="11">
        <v>0</v>
      </c>
      <c r="F90" s="11">
        <v>0</v>
      </c>
      <c r="G90" s="56"/>
      <c r="H90" s="56"/>
      <c r="I90" s="102"/>
      <c r="J90" s="56"/>
      <c r="K90" s="28"/>
      <c r="L90" s="28"/>
      <c r="M90" s="28"/>
      <c r="N90" s="28"/>
      <c r="O90" s="28"/>
      <c r="P90" s="28"/>
      <c r="Q90" s="28"/>
      <c r="R90" s="28"/>
      <c r="S90" s="28"/>
      <c r="T90" s="28"/>
      <c r="U90" s="3"/>
      <c r="W90" s="3"/>
      <c r="X90" s="3"/>
      <c r="Y90" s="3"/>
      <c r="Z90" s="3"/>
    </row>
    <row r="91" spans="1:26" ht="14.4" hidden="1" outlineLevel="1" x14ac:dyDescent="0.3">
      <c r="A91" s="3"/>
      <c r="B91" s="9" t="s">
        <v>363</v>
      </c>
      <c r="C91" s="53"/>
      <c r="D91" s="53"/>
      <c r="E91" s="11">
        <v>0</v>
      </c>
      <c r="F91" s="11">
        <v>0</v>
      </c>
      <c r="G91" s="56"/>
      <c r="H91" s="56"/>
      <c r="I91" s="102"/>
      <c r="J91" s="56"/>
      <c r="K91" s="28"/>
      <c r="L91" s="28"/>
      <c r="M91" s="28"/>
      <c r="N91" s="28"/>
      <c r="O91" s="28"/>
      <c r="P91" s="28"/>
      <c r="Q91" s="28"/>
      <c r="R91" s="28"/>
      <c r="S91" s="28"/>
      <c r="T91" s="28"/>
      <c r="U91" s="3"/>
      <c r="W91" s="3"/>
      <c r="X91" s="3"/>
      <c r="Y91" s="3"/>
      <c r="Z91" s="3"/>
    </row>
    <row r="92" spans="1:26" ht="14.4" hidden="1" outlineLevel="1" x14ac:dyDescent="0.3">
      <c r="A92" s="3"/>
      <c r="B92" s="9" t="s">
        <v>363</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4.4" hidden="1" outlineLevel="1" x14ac:dyDescent="0.3">
      <c r="A93" s="3"/>
      <c r="B93" s="9" t="s">
        <v>363</v>
      </c>
      <c r="C93" s="53"/>
      <c r="D93" s="53"/>
      <c r="E93" s="11">
        <v>0</v>
      </c>
      <c r="F93" s="11">
        <v>0</v>
      </c>
      <c r="G93" s="56"/>
      <c r="H93" s="56"/>
      <c r="I93" s="102"/>
      <c r="J93" s="56"/>
      <c r="K93" s="28"/>
      <c r="L93" s="28"/>
      <c r="M93" s="28"/>
      <c r="N93" s="28"/>
      <c r="O93" s="28"/>
      <c r="P93" s="28"/>
      <c r="Q93" s="28"/>
      <c r="R93" s="28"/>
      <c r="S93" s="28"/>
      <c r="T93" s="28"/>
      <c r="U93" s="3"/>
      <c r="W93" s="3"/>
      <c r="X93" s="3"/>
      <c r="Y93" s="3"/>
      <c r="Z93" s="3"/>
    </row>
    <row r="94" spans="1:26" ht="14.4" hidden="1" outlineLevel="1" x14ac:dyDescent="0.3">
      <c r="A94" s="3"/>
      <c r="B94" s="9" t="s">
        <v>363</v>
      </c>
      <c r="C94" s="53"/>
      <c r="D94" s="53"/>
      <c r="E94" s="11">
        <v>0</v>
      </c>
      <c r="F94" s="11">
        <v>0</v>
      </c>
      <c r="G94" s="56"/>
      <c r="H94" s="56"/>
      <c r="I94" s="102"/>
      <c r="J94" s="56"/>
      <c r="K94" s="28"/>
      <c r="L94" s="28"/>
      <c r="M94" s="28"/>
      <c r="N94" s="28"/>
      <c r="O94" s="28"/>
      <c r="P94" s="28"/>
      <c r="Q94" s="28"/>
      <c r="R94" s="28"/>
      <c r="S94" s="28"/>
      <c r="T94" s="28"/>
      <c r="U94" s="3"/>
      <c r="W94" s="3"/>
      <c r="X94" s="3"/>
      <c r="Y94" s="3"/>
      <c r="Z94" s="3"/>
    </row>
    <row r="95" spans="1:26" ht="14.4" hidden="1" outlineLevel="1" x14ac:dyDescent="0.3">
      <c r="A95" s="3"/>
      <c r="B95" s="9" t="s">
        <v>363</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hidden="1" outlineLevel="1" x14ac:dyDescent="0.3">
      <c r="A96" s="3"/>
      <c r="B96" s="9" t="s">
        <v>363</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hidden="1" outlineLevel="1" x14ac:dyDescent="0.3">
      <c r="A97" s="3"/>
      <c r="B97" s="9" t="s">
        <v>363</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hidden="1" outlineLevel="1" x14ac:dyDescent="0.3">
      <c r="A98" s="3"/>
      <c r="B98" s="9" t="s">
        <v>363</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hidden="1" outlineLevel="1" x14ac:dyDescent="0.3">
      <c r="A99" s="3"/>
      <c r="B99" s="9" t="s">
        <v>363</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hidden="1" outlineLevel="1" x14ac:dyDescent="0.3">
      <c r="A100" s="3"/>
      <c r="B100" s="9" t="s">
        <v>363</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363</v>
      </c>
      <c r="C101" s="53"/>
      <c r="D101" s="53"/>
      <c r="E101" s="11">
        <v>0</v>
      </c>
      <c r="F101" s="11">
        <v>0</v>
      </c>
      <c r="G101" s="56"/>
      <c r="H101" s="56"/>
      <c r="I101" s="102"/>
      <c r="J101" s="56"/>
      <c r="K101" s="28"/>
      <c r="L101" s="28"/>
      <c r="M101" s="28"/>
      <c r="N101" s="28"/>
      <c r="O101" s="28"/>
      <c r="P101" s="28"/>
      <c r="Q101" s="28"/>
      <c r="R101" s="28"/>
      <c r="S101" s="28"/>
      <c r="T101" s="28"/>
      <c r="U101" s="3"/>
      <c r="W101" s="3"/>
      <c r="X101" s="3"/>
      <c r="Y101" s="3"/>
      <c r="Z101" s="3"/>
    </row>
    <row r="102" spans="1:26" ht="14.4" hidden="1" outlineLevel="1" x14ac:dyDescent="0.3">
      <c r="A102" s="3"/>
      <c r="B102" s="9" t="s">
        <v>363</v>
      </c>
      <c r="C102" s="53"/>
      <c r="D102" s="53"/>
      <c r="E102" s="11">
        <v>0</v>
      </c>
      <c r="F102" s="11">
        <v>0</v>
      </c>
      <c r="G102" s="56"/>
      <c r="H102" s="56"/>
      <c r="I102" s="117"/>
      <c r="J102" s="56"/>
      <c r="K102" s="28"/>
      <c r="L102" s="28"/>
      <c r="M102" s="28"/>
      <c r="N102" s="28"/>
      <c r="O102" s="28"/>
      <c r="P102" s="28"/>
      <c r="Q102" s="28"/>
      <c r="R102" s="28"/>
      <c r="S102" s="28"/>
      <c r="T102" s="28"/>
      <c r="U102" s="3"/>
      <c r="W102" s="3"/>
      <c r="X102" s="3"/>
      <c r="Y102" s="3"/>
      <c r="Z102" s="3"/>
    </row>
    <row r="103" spans="1:26" ht="14.4" hidden="1" outlineLevel="1" x14ac:dyDescent="0.3">
      <c r="A103" s="3"/>
      <c r="B103" s="9" t="s">
        <v>363</v>
      </c>
      <c r="C103" s="53"/>
      <c r="D103" s="53"/>
      <c r="E103" s="11">
        <v>0</v>
      </c>
      <c r="F103" s="11">
        <v>0</v>
      </c>
      <c r="G103" s="56"/>
      <c r="H103" s="56"/>
      <c r="I103" s="117"/>
      <c r="J103" s="56"/>
      <c r="K103" s="28"/>
      <c r="L103" s="28"/>
      <c r="M103" s="28"/>
      <c r="N103" s="28"/>
      <c r="O103" s="28"/>
      <c r="P103" s="28"/>
      <c r="Q103" s="28"/>
      <c r="R103" s="28"/>
      <c r="S103" s="28"/>
      <c r="T103" s="28"/>
      <c r="U103" s="3"/>
      <c r="W103" s="3"/>
      <c r="X103" s="3"/>
      <c r="Y103" s="3"/>
      <c r="Z103" s="3"/>
    </row>
    <row r="104" spans="1:26" hidden="1" outlineLevel="1" x14ac:dyDescent="0.3">
      <c r="A104" s="3"/>
      <c r="B104" s="82" t="s">
        <v>353</v>
      </c>
      <c r="C104" s="83"/>
      <c r="D104" s="83"/>
      <c r="E104" s="84">
        <f>SUM(E105:E108)</f>
        <v>0</v>
      </c>
      <c r="F104" s="84">
        <f>SUMIF(D105:D108,"OK",F105:F108)</f>
        <v>0</v>
      </c>
      <c r="G104" s="85"/>
      <c r="H104" s="85"/>
      <c r="I104" s="86"/>
      <c r="J104" s="85"/>
      <c r="K104" s="28"/>
      <c r="L104" s="28"/>
      <c r="M104" s="28"/>
      <c r="N104" s="28"/>
      <c r="O104" s="28"/>
      <c r="P104" s="28"/>
      <c r="Q104" s="28"/>
      <c r="R104" s="28"/>
      <c r="S104" s="28"/>
      <c r="T104" s="28"/>
      <c r="U104" s="3"/>
      <c r="W104" s="3"/>
      <c r="X104" s="3"/>
      <c r="Y104" s="3"/>
      <c r="Z104" s="3"/>
    </row>
    <row r="105" spans="1:26" ht="14.4" hidden="1" outlineLevel="1" x14ac:dyDescent="0.3">
      <c r="A105" s="3"/>
      <c r="B105" s="9" t="s">
        <v>51</v>
      </c>
      <c r="C105" s="53"/>
      <c r="D105" s="53"/>
      <c r="E105" s="11">
        <v>0</v>
      </c>
      <c r="F105" s="11">
        <v>0</v>
      </c>
      <c r="G105" s="56"/>
      <c r="H105" s="56"/>
      <c r="I105" s="102"/>
      <c r="J105" s="56"/>
      <c r="K105" s="28"/>
      <c r="L105" s="28"/>
      <c r="M105" s="28"/>
      <c r="N105" s="28"/>
      <c r="O105" s="28"/>
      <c r="P105" s="28"/>
      <c r="Q105" s="28"/>
      <c r="R105" s="28"/>
      <c r="S105" s="28"/>
      <c r="T105" s="28"/>
      <c r="U105" s="3"/>
      <c r="W105" s="3"/>
      <c r="X105" s="3"/>
      <c r="Y105" s="3"/>
      <c r="Z105" s="3"/>
    </row>
    <row r="106" spans="1:26" ht="14.4" hidden="1" outlineLevel="1" x14ac:dyDescent="0.3">
      <c r="A106" s="3"/>
      <c r="B106" s="9" t="s">
        <v>51</v>
      </c>
      <c r="C106" s="53"/>
      <c r="D106" s="53"/>
      <c r="E106" s="11">
        <v>0</v>
      </c>
      <c r="F106" s="11">
        <v>0</v>
      </c>
      <c r="G106" s="56"/>
      <c r="H106" s="56"/>
      <c r="I106" s="102"/>
      <c r="J106" s="56"/>
      <c r="K106" s="28"/>
      <c r="L106" s="28"/>
      <c r="M106" s="28"/>
      <c r="N106" s="28"/>
      <c r="O106" s="28"/>
      <c r="P106" s="28"/>
      <c r="Q106" s="28"/>
      <c r="R106" s="28"/>
      <c r="S106" s="28"/>
      <c r="T106" s="28"/>
      <c r="U106" s="3"/>
      <c r="W106" s="3"/>
      <c r="X106" s="3"/>
      <c r="Y106" s="3"/>
      <c r="Z106" s="3"/>
    </row>
    <row r="107" spans="1:26" ht="14.4" hidden="1" outlineLevel="1" x14ac:dyDescent="0.3">
      <c r="A107" s="3"/>
      <c r="B107" s="9" t="s">
        <v>51</v>
      </c>
      <c r="C107" s="53"/>
      <c r="D107" s="53"/>
      <c r="E107" s="11">
        <v>0</v>
      </c>
      <c r="F107" s="11">
        <v>0</v>
      </c>
      <c r="G107" s="56"/>
      <c r="H107" s="56"/>
      <c r="I107" s="102"/>
      <c r="J107" s="56"/>
      <c r="K107" s="28"/>
      <c r="L107" s="28"/>
      <c r="M107" s="28"/>
      <c r="N107" s="28"/>
      <c r="O107" s="28"/>
      <c r="P107" s="28"/>
      <c r="Q107" s="28"/>
      <c r="R107" s="28"/>
      <c r="S107" s="28"/>
      <c r="T107" s="28"/>
      <c r="U107" s="3"/>
      <c r="W107" s="3"/>
      <c r="X107" s="3"/>
      <c r="Y107" s="3"/>
      <c r="Z107" s="3"/>
    </row>
    <row r="108" spans="1:26" ht="14.4" hidden="1" outlineLevel="1" x14ac:dyDescent="0.3">
      <c r="A108" s="3"/>
      <c r="B108" s="9" t="s">
        <v>51</v>
      </c>
      <c r="C108" s="53"/>
      <c r="D108" s="53"/>
      <c r="E108" s="11">
        <v>0</v>
      </c>
      <c r="F108" s="11">
        <v>0</v>
      </c>
      <c r="G108" s="80"/>
      <c r="H108" s="56"/>
      <c r="I108" s="102"/>
      <c r="J108" s="56"/>
      <c r="K108" s="28"/>
      <c r="L108" s="28"/>
      <c r="M108" s="28"/>
      <c r="N108" s="28"/>
      <c r="O108" s="28"/>
      <c r="P108" s="28"/>
      <c r="Q108" s="28"/>
      <c r="R108" s="28"/>
      <c r="S108" s="28"/>
      <c r="T108" s="28"/>
      <c r="U108" s="3"/>
      <c r="W108" s="3"/>
      <c r="X108" s="3"/>
      <c r="Y108" s="3"/>
      <c r="Z108" s="3"/>
    </row>
    <row r="109" spans="1:26" hidden="1" outlineLevel="1" x14ac:dyDescent="0.3">
      <c r="A109" s="3"/>
      <c r="B109" s="82" t="s">
        <v>357</v>
      </c>
      <c r="C109" s="83"/>
      <c r="D109" s="83"/>
      <c r="E109" s="84">
        <f>SUM(E110:E112)</f>
        <v>0</v>
      </c>
      <c r="F109" s="84">
        <f>SUMIF(D110:D112,"OK",F110:F112)</f>
        <v>0</v>
      </c>
      <c r="G109" s="85"/>
      <c r="H109" s="85"/>
      <c r="I109" s="86"/>
      <c r="J109" s="85"/>
      <c r="K109" s="28"/>
      <c r="L109" s="28"/>
      <c r="M109" s="28"/>
      <c r="N109" s="28"/>
      <c r="O109" s="28"/>
      <c r="P109" s="28"/>
      <c r="Q109" s="28"/>
      <c r="R109" s="28"/>
      <c r="S109" s="28"/>
      <c r="T109" s="28"/>
      <c r="U109" s="3"/>
      <c r="W109" s="3"/>
      <c r="X109" s="3"/>
      <c r="Y109" s="3"/>
      <c r="Z109" s="3"/>
    </row>
    <row r="110" spans="1:26" ht="14.4" hidden="1" outlineLevel="1" x14ac:dyDescent="0.3">
      <c r="A110" s="3"/>
      <c r="B110" s="9" t="s">
        <v>1374</v>
      </c>
      <c r="C110" s="53"/>
      <c r="D110" s="53"/>
      <c r="E110" s="11">
        <v>0</v>
      </c>
      <c r="F110" s="11">
        <v>0</v>
      </c>
      <c r="G110" s="56"/>
      <c r="H110" s="56"/>
      <c r="I110" s="102"/>
      <c r="J110" s="56"/>
      <c r="K110" s="28"/>
      <c r="L110" s="28"/>
      <c r="M110" s="28"/>
      <c r="N110" s="28"/>
      <c r="O110" s="28"/>
      <c r="P110" s="28"/>
      <c r="Q110" s="28"/>
      <c r="R110" s="28"/>
      <c r="S110" s="28"/>
      <c r="T110" s="28"/>
      <c r="U110" s="3"/>
      <c r="W110" s="3"/>
      <c r="X110" s="3"/>
      <c r="Y110" s="3"/>
      <c r="Z110" s="3"/>
    </row>
    <row r="111" spans="1:26" ht="14.4" hidden="1" outlineLevel="1" x14ac:dyDescent="0.3">
      <c r="A111" s="3"/>
      <c r="B111" s="9" t="s">
        <v>1374</v>
      </c>
      <c r="C111" s="53"/>
      <c r="D111" s="53"/>
      <c r="E111" s="11">
        <v>0</v>
      </c>
      <c r="F111" s="11">
        <v>0</v>
      </c>
      <c r="G111" s="56"/>
      <c r="H111" s="56"/>
      <c r="I111" s="102"/>
      <c r="J111" s="56"/>
      <c r="K111" s="28"/>
      <c r="L111" s="28"/>
      <c r="M111" s="28"/>
      <c r="N111" s="28"/>
      <c r="O111" s="28"/>
      <c r="P111" s="28"/>
      <c r="Q111" s="28"/>
      <c r="R111" s="28"/>
      <c r="S111" s="28"/>
      <c r="T111" s="28"/>
      <c r="U111" s="3"/>
      <c r="W111" s="3"/>
      <c r="X111" s="3"/>
      <c r="Y111" s="3"/>
      <c r="Z111" s="3"/>
    </row>
    <row r="112" spans="1:26" ht="14.4" hidden="1" outlineLevel="1" x14ac:dyDescent="0.3">
      <c r="A112" s="3"/>
      <c r="B112" s="9" t="s">
        <v>1375</v>
      </c>
      <c r="C112" s="53"/>
      <c r="D112" s="53"/>
      <c r="E112" s="11">
        <v>0</v>
      </c>
      <c r="F112" s="11">
        <v>0</v>
      </c>
      <c r="G112" s="56"/>
      <c r="H112" s="56"/>
      <c r="I112" s="102"/>
      <c r="J112" s="56"/>
      <c r="K112" s="28"/>
      <c r="L112" s="28"/>
      <c r="M112" s="28"/>
      <c r="N112" s="28"/>
      <c r="O112" s="28"/>
      <c r="P112" s="28"/>
      <c r="Q112" s="28"/>
      <c r="R112" s="28"/>
      <c r="S112" s="28"/>
      <c r="T112" s="28"/>
      <c r="U112" s="3"/>
      <c r="W112" s="3"/>
      <c r="X112" s="3"/>
      <c r="Y112" s="3"/>
      <c r="Z112" s="3"/>
    </row>
    <row r="113" spans="1:26" ht="20.399999999999999" collapsed="1" x14ac:dyDescent="0.3">
      <c r="A113" s="3"/>
      <c r="B113" s="75" t="s">
        <v>358</v>
      </c>
      <c r="C113" s="76" t="s">
        <v>44</v>
      </c>
      <c r="D113" s="76" t="s">
        <v>44</v>
      </c>
      <c r="E113" s="77">
        <f t="shared" ref="E113:F113" si="1">SUM(E114,E120)</f>
        <v>0</v>
      </c>
      <c r="F113" s="77">
        <f t="shared" si="1"/>
        <v>0</v>
      </c>
      <c r="G113" s="78"/>
      <c r="H113" s="78"/>
      <c r="I113" s="79"/>
      <c r="J113" s="78"/>
      <c r="K113" s="28"/>
      <c r="L113" s="28"/>
      <c r="M113" s="28"/>
      <c r="N113" s="28"/>
      <c r="O113" s="28"/>
      <c r="P113" s="28"/>
      <c r="Q113" s="28"/>
      <c r="R113" s="28"/>
      <c r="S113" s="28"/>
      <c r="T113" s="28"/>
      <c r="U113" s="3"/>
      <c r="W113" s="3"/>
      <c r="X113" s="3"/>
      <c r="Y113" s="3"/>
      <c r="Z113" s="3"/>
    </row>
    <row r="114" spans="1:26" hidden="1" outlineLevel="1" x14ac:dyDescent="0.3">
      <c r="A114" s="3"/>
      <c r="B114" s="82" t="s">
        <v>359</v>
      </c>
      <c r="C114" s="83"/>
      <c r="D114" s="83"/>
      <c r="E114" s="84">
        <f>SUM(E115:E119)</f>
        <v>0</v>
      </c>
      <c r="F114" s="84">
        <f>SUMIF(D115:D119,"OK",F115:F119)</f>
        <v>0</v>
      </c>
      <c r="G114" s="85"/>
      <c r="H114" s="85"/>
      <c r="I114" s="86"/>
      <c r="J114" s="85"/>
      <c r="K114" s="28"/>
      <c r="L114" s="28"/>
      <c r="M114" s="28"/>
      <c r="N114" s="28"/>
      <c r="O114" s="28"/>
      <c r="P114" s="28"/>
      <c r="Q114" s="28"/>
      <c r="R114" s="28"/>
      <c r="S114" s="28"/>
      <c r="T114" s="28"/>
      <c r="U114" s="3"/>
      <c r="W114" s="3"/>
      <c r="X114" s="3"/>
      <c r="Y114" s="3"/>
      <c r="Z114" s="3"/>
    </row>
    <row r="115" spans="1:26" ht="14.4" hidden="1" outlineLevel="1" x14ac:dyDescent="0.3">
      <c r="A115" s="3"/>
      <c r="B115" s="9" t="s">
        <v>354</v>
      </c>
      <c r="C115" s="53"/>
      <c r="D115" s="53"/>
      <c r="E115" s="11">
        <v>0</v>
      </c>
      <c r="F115" s="11">
        <v>0</v>
      </c>
      <c r="G115" s="80"/>
      <c r="H115" s="56"/>
      <c r="I115" s="102"/>
      <c r="J115" s="56"/>
      <c r="K115" s="28"/>
      <c r="L115" s="28"/>
      <c r="M115" s="28"/>
      <c r="N115" s="28"/>
      <c r="O115" s="28"/>
      <c r="P115" s="28"/>
      <c r="Q115" s="28"/>
      <c r="R115" s="28"/>
      <c r="S115" s="28"/>
      <c r="T115" s="28"/>
      <c r="U115" s="3"/>
      <c r="W115" s="3"/>
      <c r="X115" s="3"/>
      <c r="Y115" s="3"/>
      <c r="Z115" s="3"/>
    </row>
    <row r="116" spans="1:26" ht="14.4" hidden="1" outlineLevel="1" x14ac:dyDescent="0.3">
      <c r="A116" s="3"/>
      <c r="B116" s="9" t="s">
        <v>355</v>
      </c>
      <c r="C116" s="53"/>
      <c r="D116" s="53"/>
      <c r="E116" s="11">
        <v>0</v>
      </c>
      <c r="F116" s="11">
        <v>0</v>
      </c>
      <c r="G116" s="56"/>
      <c r="H116" s="56"/>
      <c r="I116" s="102"/>
      <c r="J116" s="56"/>
      <c r="K116" s="28"/>
      <c r="L116" s="28"/>
      <c r="M116" s="28"/>
      <c r="N116" s="28"/>
      <c r="O116" s="28"/>
      <c r="P116" s="28"/>
      <c r="Q116" s="28"/>
      <c r="R116" s="28"/>
      <c r="S116" s="28"/>
      <c r="T116" s="28"/>
      <c r="U116" s="3"/>
      <c r="W116" s="3"/>
      <c r="X116" s="3"/>
      <c r="Y116" s="3"/>
      <c r="Z116" s="3"/>
    </row>
    <row r="117" spans="1:26" ht="14.4" hidden="1" outlineLevel="1" x14ac:dyDescent="0.3">
      <c r="A117" s="3"/>
      <c r="B117" s="9" t="s">
        <v>356</v>
      </c>
      <c r="C117" s="53"/>
      <c r="D117" s="53"/>
      <c r="E117" s="11">
        <v>0</v>
      </c>
      <c r="F117" s="11">
        <v>0</v>
      </c>
      <c r="G117" s="56"/>
      <c r="H117" s="56"/>
      <c r="I117" s="102"/>
      <c r="J117" s="56"/>
      <c r="K117" s="28"/>
      <c r="L117" s="28"/>
      <c r="M117" s="28"/>
      <c r="N117" s="28"/>
      <c r="O117" s="28"/>
      <c r="P117" s="28"/>
      <c r="Q117" s="28"/>
      <c r="R117" s="28"/>
      <c r="S117" s="28"/>
      <c r="T117" s="28"/>
      <c r="U117" s="3"/>
      <c r="W117" s="3"/>
      <c r="X117" s="3"/>
      <c r="Y117" s="3"/>
      <c r="Z117" s="3"/>
    </row>
    <row r="118" spans="1:26" ht="14.4" hidden="1" outlineLevel="1" x14ac:dyDescent="0.3">
      <c r="A118" s="3"/>
      <c r="B118" s="9" t="s">
        <v>370</v>
      </c>
      <c r="C118" s="53"/>
      <c r="D118" s="53"/>
      <c r="E118" s="11">
        <v>0</v>
      </c>
      <c r="F118" s="11">
        <v>0</v>
      </c>
      <c r="G118" s="56"/>
      <c r="H118" s="56"/>
      <c r="I118" s="102"/>
      <c r="J118" s="56"/>
      <c r="K118" s="28"/>
      <c r="L118" s="28"/>
      <c r="M118" s="28"/>
      <c r="N118" s="28"/>
      <c r="O118" s="28"/>
      <c r="P118" s="28"/>
      <c r="Q118" s="28"/>
      <c r="R118" s="28"/>
      <c r="S118" s="28"/>
      <c r="T118" s="28"/>
      <c r="U118" s="3"/>
      <c r="W118" s="3"/>
      <c r="X118" s="3"/>
      <c r="Y118" s="3"/>
      <c r="Z118" s="3"/>
    </row>
    <row r="119" spans="1:26" ht="14.4" hidden="1" outlineLevel="1" x14ac:dyDescent="0.3">
      <c r="A119" s="3"/>
      <c r="B119" s="9" t="s">
        <v>328</v>
      </c>
      <c r="C119" s="53"/>
      <c r="D119" s="53"/>
      <c r="E119" s="11">
        <v>0</v>
      </c>
      <c r="F119" s="11">
        <v>0</v>
      </c>
      <c r="G119" s="56"/>
      <c r="H119" s="56"/>
      <c r="I119" s="80"/>
      <c r="J119" s="56"/>
      <c r="K119" s="28"/>
      <c r="L119" s="28"/>
      <c r="M119" s="28"/>
      <c r="N119" s="28"/>
      <c r="O119" s="28"/>
      <c r="P119" s="28"/>
      <c r="Q119" s="28"/>
      <c r="R119" s="28"/>
      <c r="S119" s="28"/>
      <c r="T119" s="28"/>
      <c r="U119" s="3"/>
      <c r="W119" s="3"/>
      <c r="X119" s="3"/>
      <c r="Y119" s="3"/>
      <c r="Z119" s="3"/>
    </row>
    <row r="120" spans="1:26" hidden="1" outlineLevel="1" x14ac:dyDescent="0.3">
      <c r="A120" s="3"/>
      <c r="B120" s="82" t="s">
        <v>633</v>
      </c>
      <c r="C120" s="83"/>
      <c r="D120" s="83"/>
      <c r="E120" s="84">
        <f>SUM(E121:E138)</f>
        <v>0</v>
      </c>
      <c r="F120" s="84">
        <f>SUMIF(D121:D138,"OK",F121:F138)</f>
        <v>0</v>
      </c>
      <c r="G120" s="85"/>
      <c r="H120" s="85"/>
      <c r="I120" s="86"/>
      <c r="J120" s="85"/>
      <c r="K120" s="28"/>
      <c r="L120" s="28"/>
      <c r="M120" s="28"/>
      <c r="N120" s="28"/>
      <c r="O120" s="28"/>
      <c r="P120" s="28"/>
      <c r="Q120" s="28"/>
      <c r="R120" s="28"/>
      <c r="S120" s="28"/>
      <c r="T120" s="28"/>
      <c r="U120" s="3"/>
      <c r="W120" s="3"/>
      <c r="X120" s="3"/>
      <c r="Y120" s="3"/>
      <c r="Z120" s="3"/>
    </row>
    <row r="121" spans="1:26" ht="14.4" hidden="1" outlineLevel="1" x14ac:dyDescent="0.3">
      <c r="A121" s="3"/>
      <c r="B121" s="9" t="s">
        <v>51</v>
      </c>
      <c r="C121" s="53"/>
      <c r="D121" s="53"/>
      <c r="E121" s="11">
        <v>0</v>
      </c>
      <c r="F121" s="11">
        <v>0</v>
      </c>
      <c r="G121" s="56"/>
      <c r="H121" s="56"/>
      <c r="I121" s="102"/>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51</v>
      </c>
      <c r="C122" s="53"/>
      <c r="D122" s="53"/>
      <c r="E122" s="11">
        <v>0</v>
      </c>
      <c r="F122" s="11">
        <v>0</v>
      </c>
      <c r="G122" s="80"/>
      <c r="H122" s="56"/>
      <c r="I122" s="102"/>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51</v>
      </c>
      <c r="C123" s="53"/>
      <c r="D123" s="53"/>
      <c r="E123" s="11">
        <v>0</v>
      </c>
      <c r="F123" s="11">
        <v>0</v>
      </c>
      <c r="G123" s="80"/>
      <c r="H123" s="56"/>
      <c r="I123" s="102"/>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51</v>
      </c>
      <c r="C124" s="53"/>
      <c r="D124" s="53"/>
      <c r="E124" s="11">
        <v>0</v>
      </c>
      <c r="F124" s="11">
        <v>0</v>
      </c>
      <c r="G124" s="56"/>
      <c r="H124" s="56"/>
      <c r="I124" s="102"/>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51</v>
      </c>
      <c r="C125" s="53"/>
      <c r="D125" s="53"/>
      <c r="E125" s="11">
        <v>0</v>
      </c>
      <c r="F125" s="11">
        <v>0</v>
      </c>
      <c r="G125" s="56"/>
      <c r="H125" s="56"/>
      <c r="I125" s="102"/>
      <c r="J125" s="56"/>
      <c r="K125" s="28"/>
      <c r="L125" s="28"/>
      <c r="M125" s="28"/>
      <c r="N125" s="28"/>
      <c r="O125" s="28"/>
      <c r="P125" s="28"/>
      <c r="Q125" s="28"/>
      <c r="R125" s="28"/>
      <c r="S125" s="28"/>
      <c r="T125" s="28"/>
      <c r="U125" s="3"/>
      <c r="W125" s="3"/>
      <c r="X125" s="3"/>
      <c r="Y125" s="3"/>
      <c r="Z125" s="3"/>
    </row>
    <row r="126" spans="1:26" ht="14.4" hidden="1" outlineLevel="1" x14ac:dyDescent="0.3">
      <c r="A126" s="3"/>
      <c r="B126" s="9" t="s">
        <v>51</v>
      </c>
      <c r="C126" s="53"/>
      <c r="D126" s="53"/>
      <c r="E126" s="11">
        <v>0</v>
      </c>
      <c r="F126" s="11">
        <v>0</v>
      </c>
      <c r="G126" s="56"/>
      <c r="H126" s="56"/>
      <c r="I126" s="102"/>
      <c r="J126" s="56"/>
      <c r="K126" s="28"/>
      <c r="L126" s="28"/>
      <c r="M126" s="28"/>
      <c r="N126" s="28"/>
      <c r="O126" s="28"/>
      <c r="P126" s="28"/>
      <c r="Q126" s="28"/>
      <c r="R126" s="28"/>
      <c r="S126" s="28"/>
      <c r="T126" s="28"/>
      <c r="U126" s="3"/>
      <c r="W126" s="3"/>
      <c r="X126" s="3"/>
      <c r="Y126" s="3"/>
      <c r="Z126" s="3"/>
    </row>
    <row r="127" spans="1:26" ht="14.4" hidden="1" outlineLevel="1" x14ac:dyDescent="0.3">
      <c r="A127" s="3"/>
      <c r="B127" s="9" t="s">
        <v>51</v>
      </c>
      <c r="C127" s="53"/>
      <c r="D127" s="53"/>
      <c r="E127" s="11">
        <v>0</v>
      </c>
      <c r="F127" s="11">
        <v>0</v>
      </c>
      <c r="G127" s="56"/>
      <c r="H127" s="56"/>
      <c r="I127" s="102"/>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51</v>
      </c>
      <c r="C128" s="53"/>
      <c r="D128" s="53"/>
      <c r="E128" s="11">
        <v>0</v>
      </c>
      <c r="F128" s="11">
        <v>0</v>
      </c>
      <c r="G128" s="56"/>
      <c r="H128" s="56"/>
      <c r="I128" s="102"/>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51</v>
      </c>
      <c r="C129" s="53"/>
      <c r="D129" s="53"/>
      <c r="E129" s="11">
        <v>0</v>
      </c>
      <c r="F129" s="11">
        <v>0</v>
      </c>
      <c r="G129" s="56"/>
      <c r="H129" s="56"/>
      <c r="I129" s="102"/>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51</v>
      </c>
      <c r="C130" s="53"/>
      <c r="D130" s="53"/>
      <c r="E130" s="11">
        <v>0</v>
      </c>
      <c r="F130" s="11">
        <v>0</v>
      </c>
      <c r="G130" s="56"/>
      <c r="H130" s="56"/>
      <c r="I130" s="102"/>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51</v>
      </c>
      <c r="C131" s="53"/>
      <c r="D131" s="53"/>
      <c r="E131" s="11">
        <v>0</v>
      </c>
      <c r="F131" s="11">
        <v>0</v>
      </c>
      <c r="G131" s="56"/>
      <c r="H131" s="56"/>
      <c r="I131" s="140"/>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51</v>
      </c>
      <c r="C132" s="53"/>
      <c r="D132" s="53"/>
      <c r="E132" s="11">
        <v>0</v>
      </c>
      <c r="F132" s="11">
        <v>0</v>
      </c>
      <c r="G132" s="56"/>
      <c r="H132" s="56"/>
      <c r="I132" s="102"/>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51</v>
      </c>
      <c r="C133" s="53"/>
      <c r="D133" s="53"/>
      <c r="E133" s="11">
        <v>0</v>
      </c>
      <c r="F133" s="11">
        <v>0</v>
      </c>
      <c r="G133" s="56"/>
      <c r="H133" s="56"/>
      <c r="I133" s="102"/>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51</v>
      </c>
      <c r="C134" s="53"/>
      <c r="D134" s="53"/>
      <c r="E134" s="11">
        <v>0</v>
      </c>
      <c r="F134" s="11">
        <v>0</v>
      </c>
      <c r="G134" s="56"/>
      <c r="H134" s="56"/>
      <c r="I134" s="102"/>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51</v>
      </c>
      <c r="C135" s="53"/>
      <c r="D135" s="53"/>
      <c r="E135" s="11">
        <v>0</v>
      </c>
      <c r="F135" s="11">
        <v>0</v>
      </c>
      <c r="G135" s="56"/>
      <c r="H135" s="56"/>
      <c r="I135" s="102"/>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51</v>
      </c>
      <c r="C136" s="53"/>
      <c r="D136" s="53"/>
      <c r="E136" s="11">
        <v>0</v>
      </c>
      <c r="F136" s="11">
        <v>0</v>
      </c>
      <c r="G136" s="56"/>
      <c r="H136" s="56"/>
      <c r="I136" s="102"/>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51</v>
      </c>
      <c r="C137" s="53"/>
      <c r="D137" s="53"/>
      <c r="E137" s="11">
        <v>0</v>
      </c>
      <c r="F137" s="11">
        <v>0</v>
      </c>
      <c r="G137" s="56"/>
      <c r="H137" s="56"/>
      <c r="I137" s="102"/>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51</v>
      </c>
      <c r="C138" s="53"/>
      <c r="D138" s="53"/>
      <c r="E138" s="11">
        <v>0</v>
      </c>
      <c r="F138" s="11">
        <v>0</v>
      </c>
      <c r="G138" s="56"/>
      <c r="H138" s="56"/>
      <c r="I138" s="102"/>
      <c r="J138" s="56"/>
      <c r="K138" s="28"/>
      <c r="L138" s="28"/>
      <c r="M138" s="28"/>
      <c r="N138" s="28"/>
      <c r="O138" s="28"/>
      <c r="P138" s="28"/>
      <c r="Q138" s="28"/>
      <c r="R138" s="28"/>
      <c r="S138" s="28"/>
      <c r="T138" s="28"/>
      <c r="U138" s="3"/>
      <c r="W138" s="3"/>
      <c r="X138" s="3"/>
      <c r="Y138" s="3"/>
      <c r="Z138" s="3"/>
    </row>
    <row r="139" spans="1:26" ht="20.399999999999999" collapsed="1" x14ac:dyDescent="0.3">
      <c r="A139" s="3"/>
      <c r="B139" s="75" t="s">
        <v>88</v>
      </c>
      <c r="C139" s="76" t="s">
        <v>44</v>
      </c>
      <c r="D139" s="76" t="s">
        <v>44</v>
      </c>
      <c r="E139" s="77">
        <f>SUM(E140:E148)</f>
        <v>0</v>
      </c>
      <c r="F139" s="77">
        <f>SUMIF(D140:D148,"OK",F140:F148)</f>
        <v>0</v>
      </c>
      <c r="G139" s="78"/>
      <c r="H139" s="78"/>
      <c r="I139" s="79"/>
      <c r="J139" s="78"/>
      <c r="K139" s="28"/>
      <c r="L139" s="28"/>
      <c r="M139" s="28"/>
      <c r="N139" s="28"/>
      <c r="O139" s="28"/>
      <c r="P139" s="28"/>
      <c r="Q139" s="28"/>
      <c r="R139" s="28"/>
      <c r="S139" s="28"/>
      <c r="T139" s="28"/>
      <c r="U139" s="3"/>
      <c r="W139" s="3"/>
      <c r="X139" s="3"/>
      <c r="Y139" s="3"/>
      <c r="Z139" s="3"/>
    </row>
    <row r="140" spans="1:26" ht="14.4" hidden="1" outlineLevel="1" x14ac:dyDescent="0.3">
      <c r="A140" s="3"/>
      <c r="B140" s="9" t="s">
        <v>354</v>
      </c>
      <c r="C140" s="71"/>
      <c r="D140" s="53"/>
      <c r="E140" s="11">
        <v>0</v>
      </c>
      <c r="F140" s="11">
        <v>0</v>
      </c>
      <c r="G140" s="80"/>
      <c r="H140" s="56"/>
      <c r="I140" s="102"/>
      <c r="J140" s="80"/>
      <c r="K140" s="28"/>
      <c r="L140" s="28"/>
      <c r="M140" s="28"/>
      <c r="N140" s="28"/>
      <c r="O140" s="28"/>
      <c r="P140" s="28"/>
      <c r="Q140" s="28"/>
      <c r="R140" s="28"/>
      <c r="S140" s="28"/>
      <c r="T140" s="28"/>
      <c r="U140" s="3"/>
      <c r="W140" s="3"/>
      <c r="X140" s="3"/>
      <c r="Y140" s="3"/>
      <c r="Z140" s="3"/>
    </row>
    <row r="141" spans="1:26" ht="14.4" hidden="1" outlineLevel="1" x14ac:dyDescent="0.3">
      <c r="A141" s="3"/>
      <c r="B141" s="9" t="s">
        <v>355</v>
      </c>
      <c r="C141" s="53"/>
      <c r="D141" s="53"/>
      <c r="E141" s="11">
        <v>0</v>
      </c>
      <c r="F141" s="11">
        <v>0</v>
      </c>
      <c r="G141" s="80"/>
      <c r="H141" s="56"/>
      <c r="I141" s="102"/>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356</v>
      </c>
      <c r="C142" s="53"/>
      <c r="D142" s="53"/>
      <c r="E142" s="11">
        <v>0</v>
      </c>
      <c r="F142" s="11">
        <v>0</v>
      </c>
      <c r="G142" s="56"/>
      <c r="H142" s="56"/>
      <c r="I142" s="80"/>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370</v>
      </c>
      <c r="C143" s="53"/>
      <c r="D143" s="53"/>
      <c r="E143" s="11">
        <v>0</v>
      </c>
      <c r="F143" s="11">
        <v>0</v>
      </c>
      <c r="G143" s="56"/>
      <c r="H143" s="56"/>
      <c r="I143" s="80"/>
      <c r="J143" s="56"/>
      <c r="K143" s="28"/>
      <c r="L143" s="28"/>
      <c r="M143" s="28"/>
      <c r="N143" s="28"/>
      <c r="O143" s="28"/>
      <c r="P143" s="28"/>
      <c r="Q143" s="28"/>
      <c r="R143" s="28"/>
      <c r="S143" s="28"/>
      <c r="T143" s="28"/>
      <c r="U143" s="3"/>
      <c r="W143" s="3"/>
      <c r="X143" s="3"/>
      <c r="Y143" s="3"/>
      <c r="Z143" s="3"/>
    </row>
    <row r="144" spans="1:26" ht="14.4" hidden="1" outlineLevel="1" x14ac:dyDescent="0.3">
      <c r="A144" s="3"/>
      <c r="B144" s="9" t="s">
        <v>328</v>
      </c>
      <c r="C144" s="53"/>
      <c r="D144" s="53"/>
      <c r="E144" s="11">
        <v>0</v>
      </c>
      <c r="F144" s="11">
        <v>0</v>
      </c>
      <c r="G144" s="56"/>
      <c r="H144" s="56"/>
      <c r="I144" s="80"/>
      <c r="J144" s="56"/>
      <c r="K144" s="28"/>
      <c r="L144" s="28"/>
      <c r="M144" s="28"/>
      <c r="N144" s="28"/>
      <c r="O144" s="28"/>
      <c r="P144" s="28"/>
      <c r="Q144" s="28"/>
      <c r="R144" s="28"/>
      <c r="S144" s="28"/>
      <c r="T144" s="28"/>
      <c r="U144" s="3"/>
      <c r="W144" s="3"/>
      <c r="X144" s="3"/>
      <c r="Y144" s="3"/>
      <c r="Z144" s="3"/>
    </row>
    <row r="145" spans="1:26" ht="14.4" hidden="1" outlineLevel="1" x14ac:dyDescent="0.3">
      <c r="A145" s="3"/>
      <c r="B145" s="9" t="s">
        <v>329</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14.4" hidden="1" outlineLevel="1" x14ac:dyDescent="0.3">
      <c r="A146" s="3"/>
      <c r="B146" s="9" t="s">
        <v>371</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14.4" hidden="1" outlineLevel="1" x14ac:dyDescent="0.3">
      <c r="A147" s="3"/>
      <c r="B147" s="9" t="s">
        <v>372</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4.4" hidden="1" outlineLevel="1" x14ac:dyDescent="0.3">
      <c r="A148" s="3"/>
      <c r="B148" s="9" t="s">
        <v>373</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20.399999999999999" collapsed="1" x14ac:dyDescent="0.3">
      <c r="A149" s="3"/>
      <c r="B149" s="75" t="s">
        <v>89</v>
      </c>
      <c r="C149" s="76" t="s">
        <v>44</v>
      </c>
      <c r="D149" s="76" t="s">
        <v>44</v>
      </c>
      <c r="E149" s="77">
        <f t="shared" ref="E149:F149" si="2">SUM(E150,E156,E162,E168)</f>
        <v>0</v>
      </c>
      <c r="F149" s="77">
        <f t="shared" si="2"/>
        <v>14202.08</v>
      </c>
      <c r="G149" s="78"/>
      <c r="H149" s="78"/>
      <c r="I149" s="79"/>
      <c r="J149" s="78"/>
      <c r="K149" s="28"/>
      <c r="L149" s="28"/>
      <c r="M149" s="28"/>
      <c r="N149" s="28"/>
      <c r="O149" s="28"/>
      <c r="P149" s="28"/>
      <c r="Q149" s="28"/>
      <c r="R149" s="28"/>
      <c r="S149" s="28"/>
      <c r="T149" s="28"/>
      <c r="U149" s="3"/>
      <c r="W149" s="3"/>
      <c r="X149" s="3"/>
      <c r="Y149" s="3"/>
      <c r="Z149" s="3"/>
    </row>
    <row r="150" spans="1:26" hidden="1" outlineLevel="1" x14ac:dyDescent="0.3">
      <c r="A150" s="3"/>
      <c r="B150" s="82" t="s">
        <v>381</v>
      </c>
      <c r="C150" s="83"/>
      <c r="D150" s="83"/>
      <c r="E150" s="84">
        <f>SUM(E151:E155)</f>
        <v>0</v>
      </c>
      <c r="F150" s="84">
        <f>SUMIF(D151:D155,"OK",F151:F155)</f>
        <v>14202.08</v>
      </c>
      <c r="G150" s="85"/>
      <c r="H150" s="85"/>
      <c r="I150" s="86"/>
      <c r="J150" s="85"/>
      <c r="K150" s="28"/>
      <c r="L150" s="28"/>
      <c r="M150" s="28"/>
      <c r="N150" s="28"/>
      <c r="O150" s="28"/>
      <c r="P150" s="28"/>
      <c r="Q150" s="28"/>
      <c r="R150" s="28"/>
      <c r="S150" s="28"/>
      <c r="T150" s="28"/>
      <c r="U150" s="3"/>
      <c r="W150" s="3"/>
      <c r="X150" s="3"/>
      <c r="Y150" s="3"/>
      <c r="Z150" s="3"/>
    </row>
    <row r="151" spans="1:26" ht="14.4" hidden="1" outlineLevel="1" x14ac:dyDescent="0.3">
      <c r="A151" s="3"/>
      <c r="B151" s="9" t="s">
        <v>845</v>
      </c>
      <c r="C151" s="53">
        <v>2</v>
      </c>
      <c r="D151" s="53" t="s">
        <v>95</v>
      </c>
      <c r="E151" s="11">
        <v>0</v>
      </c>
      <c r="F151" s="11">
        <v>537</v>
      </c>
      <c r="G151" s="56" t="s">
        <v>1376</v>
      </c>
      <c r="H151" s="56" t="s">
        <v>37</v>
      </c>
      <c r="I151" s="102" t="s">
        <v>1377</v>
      </c>
      <c r="J151" s="56"/>
      <c r="K151" s="28"/>
      <c r="L151" s="28"/>
      <c r="M151" s="28"/>
      <c r="N151" s="28"/>
      <c r="O151" s="28"/>
      <c r="P151" s="28"/>
      <c r="Q151" s="28"/>
      <c r="R151" s="28"/>
      <c r="S151" s="28"/>
      <c r="T151" s="28"/>
      <c r="U151" s="3"/>
      <c r="W151" s="3"/>
      <c r="X151" s="3"/>
      <c r="Y151" s="3"/>
      <c r="Z151" s="3"/>
    </row>
    <row r="152" spans="1:26" ht="14.4" hidden="1" outlineLevel="1" x14ac:dyDescent="0.3">
      <c r="A152" s="3"/>
      <c r="B152" s="9" t="s">
        <v>851</v>
      </c>
      <c r="C152" s="53">
        <v>2</v>
      </c>
      <c r="D152" s="53" t="s">
        <v>95</v>
      </c>
      <c r="E152" s="11">
        <v>0</v>
      </c>
      <c r="F152" s="11">
        <v>665.08</v>
      </c>
      <c r="G152" s="56" t="s">
        <v>1378</v>
      </c>
      <c r="H152" s="56" t="s">
        <v>37</v>
      </c>
      <c r="I152" s="102" t="s">
        <v>1379</v>
      </c>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1118</v>
      </c>
      <c r="C153" s="53">
        <v>27</v>
      </c>
      <c r="D153" s="53" t="s">
        <v>95</v>
      </c>
      <c r="E153" s="11">
        <v>0</v>
      </c>
      <c r="F153" s="11">
        <v>10000</v>
      </c>
      <c r="G153" s="56"/>
      <c r="H153" s="56" t="s">
        <v>38</v>
      </c>
      <c r="I153" s="102" t="s">
        <v>1380</v>
      </c>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1381</v>
      </c>
      <c r="C154" s="53">
        <v>27</v>
      </c>
      <c r="D154" s="53" t="s">
        <v>95</v>
      </c>
      <c r="E154" s="11">
        <v>0</v>
      </c>
      <c r="F154" s="11">
        <v>3000</v>
      </c>
      <c r="G154" s="56" t="s">
        <v>1382</v>
      </c>
      <c r="H154" s="56" t="s">
        <v>38</v>
      </c>
      <c r="I154" s="102" t="s">
        <v>1383</v>
      </c>
      <c r="J154" s="56"/>
      <c r="K154" s="28"/>
      <c r="L154" s="28"/>
      <c r="M154" s="28"/>
      <c r="N154" s="28"/>
      <c r="O154" s="28"/>
      <c r="P154" s="28"/>
      <c r="Q154" s="28"/>
      <c r="R154" s="28"/>
      <c r="S154" s="28"/>
      <c r="T154" s="28"/>
      <c r="U154" s="3"/>
      <c r="W154" s="3"/>
      <c r="X154" s="3"/>
      <c r="Y154" s="3"/>
      <c r="Z154" s="3"/>
    </row>
    <row r="155" spans="1:26" ht="14.4" hidden="1" outlineLevel="1" x14ac:dyDescent="0.3">
      <c r="A155" s="3"/>
      <c r="B155" s="9" t="s">
        <v>328</v>
      </c>
      <c r="C155" s="53"/>
      <c r="D155" s="53"/>
      <c r="E155" s="11">
        <v>0</v>
      </c>
      <c r="F155" s="11">
        <v>0</v>
      </c>
      <c r="G155" s="56"/>
      <c r="H155" s="56"/>
      <c r="I155" s="80"/>
      <c r="J155" s="56"/>
      <c r="K155" s="28"/>
      <c r="L155" s="28"/>
      <c r="M155" s="28"/>
      <c r="N155" s="28"/>
      <c r="O155" s="28"/>
      <c r="P155" s="28"/>
      <c r="Q155" s="28"/>
      <c r="R155" s="28"/>
      <c r="S155" s="28"/>
      <c r="T155" s="28"/>
      <c r="U155" s="3"/>
      <c r="W155" s="3"/>
      <c r="X155" s="3"/>
      <c r="Y155" s="3"/>
      <c r="Z155" s="3"/>
    </row>
    <row r="156" spans="1:26" hidden="1" outlineLevel="1" x14ac:dyDescent="0.3">
      <c r="A156" s="3"/>
      <c r="B156" s="82" t="s">
        <v>644</v>
      </c>
      <c r="C156" s="83"/>
      <c r="D156" s="83"/>
      <c r="E156" s="84">
        <f>SUM(E157:E161)</f>
        <v>0</v>
      </c>
      <c r="F156" s="84">
        <f>SUMIF(D157:D161,"OK",F157:F161)</f>
        <v>0</v>
      </c>
      <c r="G156" s="85"/>
      <c r="H156" s="85"/>
      <c r="I156" s="86"/>
      <c r="J156" s="85"/>
      <c r="K156" s="28"/>
      <c r="L156" s="28"/>
      <c r="M156" s="28"/>
      <c r="N156" s="28"/>
      <c r="O156" s="28"/>
      <c r="P156" s="28"/>
      <c r="Q156" s="28"/>
      <c r="R156" s="28"/>
      <c r="S156" s="28"/>
      <c r="T156" s="28"/>
      <c r="U156" s="3"/>
      <c r="W156" s="3"/>
      <c r="X156" s="3"/>
      <c r="Y156" s="3"/>
      <c r="Z156" s="3"/>
    </row>
    <row r="157" spans="1:26" ht="14.4" hidden="1" outlineLevel="1" x14ac:dyDescent="0.3">
      <c r="A157" s="3"/>
      <c r="B157" s="9" t="s">
        <v>354</v>
      </c>
      <c r="C157" s="53"/>
      <c r="D157" s="53"/>
      <c r="E157" s="11">
        <v>0</v>
      </c>
      <c r="F157" s="11">
        <v>0</v>
      </c>
      <c r="G157" s="56"/>
      <c r="H157" s="56"/>
      <c r="I157" s="80"/>
      <c r="J157" s="56"/>
      <c r="K157" s="28"/>
      <c r="L157" s="28"/>
      <c r="M157" s="28"/>
      <c r="N157" s="28"/>
      <c r="O157" s="28"/>
      <c r="P157" s="28"/>
      <c r="Q157" s="28"/>
      <c r="R157" s="28"/>
      <c r="S157" s="28"/>
      <c r="T157" s="28"/>
      <c r="U157" s="3"/>
      <c r="W157" s="3"/>
      <c r="X157" s="3"/>
      <c r="Y157" s="3"/>
      <c r="Z157" s="3"/>
    </row>
    <row r="158" spans="1:26" ht="14.4" hidden="1" outlineLevel="1" x14ac:dyDescent="0.3">
      <c r="A158" s="3"/>
      <c r="B158" s="9" t="s">
        <v>355</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356</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370</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ht="14.4" hidden="1" outlineLevel="1" x14ac:dyDescent="0.3">
      <c r="A161" s="3"/>
      <c r="B161" s="9" t="s">
        <v>328</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hidden="1" outlineLevel="1" x14ac:dyDescent="0.3">
      <c r="A162" s="3"/>
      <c r="B162" s="82" t="s">
        <v>382</v>
      </c>
      <c r="C162" s="83"/>
      <c r="D162" s="83"/>
      <c r="E162" s="84">
        <f>SUM(E163:E167)</f>
        <v>0</v>
      </c>
      <c r="F162" s="84">
        <f>SUMIF(D163:D167,"OK",F163:F167)</f>
        <v>0</v>
      </c>
      <c r="G162" s="85"/>
      <c r="H162" s="85"/>
      <c r="I162" s="86"/>
      <c r="J162" s="85"/>
      <c r="K162" s="28"/>
      <c r="L162" s="28"/>
      <c r="M162" s="28"/>
      <c r="N162" s="28"/>
      <c r="O162" s="28"/>
      <c r="P162" s="28"/>
      <c r="Q162" s="28"/>
      <c r="R162" s="28"/>
      <c r="S162" s="28"/>
      <c r="T162" s="28"/>
      <c r="U162" s="3"/>
      <c r="W162" s="3"/>
      <c r="X162" s="3"/>
      <c r="Y162" s="3"/>
      <c r="Z162" s="3"/>
    </row>
    <row r="163" spans="1:26" ht="14.4" hidden="1" outlineLevel="1" x14ac:dyDescent="0.3">
      <c r="A163" s="3"/>
      <c r="B163" s="9" t="s">
        <v>354</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4.4" hidden="1" outlineLevel="1" x14ac:dyDescent="0.3">
      <c r="A164" s="3"/>
      <c r="B164" s="9" t="s">
        <v>355</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4.4" hidden="1" outlineLevel="1" x14ac:dyDescent="0.3">
      <c r="A165" s="3"/>
      <c r="B165" s="9" t="s">
        <v>356</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4.4" hidden="1" outlineLevel="1" x14ac:dyDescent="0.3">
      <c r="A166" s="3"/>
      <c r="B166" s="9" t="s">
        <v>370</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328</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idden="1" outlineLevel="1" x14ac:dyDescent="0.3">
      <c r="A168" s="3"/>
      <c r="B168" s="82" t="s">
        <v>383</v>
      </c>
      <c r="C168" s="83"/>
      <c r="D168" s="83"/>
      <c r="E168" s="84">
        <f>SUM(E169:E173)</f>
        <v>0</v>
      </c>
      <c r="F168" s="84">
        <f>SUMIF(D169:D173,"OK",F169:F173)</f>
        <v>0</v>
      </c>
      <c r="G168" s="85"/>
      <c r="H168" s="85"/>
      <c r="I168" s="86"/>
      <c r="J168" s="85"/>
      <c r="K168" s="28"/>
      <c r="L168" s="28"/>
      <c r="M168" s="28"/>
      <c r="N168" s="28"/>
      <c r="O168" s="28"/>
      <c r="P168" s="28"/>
      <c r="Q168" s="28"/>
      <c r="R168" s="28"/>
      <c r="S168" s="28"/>
      <c r="T168" s="28"/>
      <c r="U168" s="3"/>
      <c r="W168" s="3"/>
      <c r="X168" s="3"/>
      <c r="Y168" s="3"/>
      <c r="Z168" s="3"/>
    </row>
    <row r="169" spans="1:26" ht="14.4" hidden="1" outlineLevel="1" x14ac:dyDescent="0.3">
      <c r="A169" s="3"/>
      <c r="B169" s="9" t="s">
        <v>354</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hidden="1" outlineLevel="1" x14ac:dyDescent="0.3">
      <c r="A170" s="3"/>
      <c r="B170" s="9" t="s">
        <v>355</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4.4" hidden="1" outlineLevel="1" x14ac:dyDescent="0.3">
      <c r="A171" s="3"/>
      <c r="B171" s="9" t="s">
        <v>356</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370</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328</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20.399999999999999" collapsed="1" x14ac:dyDescent="0.3">
      <c r="A174" s="3"/>
      <c r="B174" s="75" t="s">
        <v>384</v>
      </c>
      <c r="C174" s="76" t="s">
        <v>44</v>
      </c>
      <c r="D174" s="76" t="s">
        <v>44</v>
      </c>
      <c r="E174" s="77">
        <f>SUM(E175:E179)</f>
        <v>0</v>
      </c>
      <c r="F174" s="77">
        <f>SUMIF(D175:D179,"OK",F175:F179)</f>
        <v>0</v>
      </c>
      <c r="G174" s="78"/>
      <c r="H174" s="78"/>
      <c r="I174" s="79"/>
      <c r="J174" s="78"/>
      <c r="K174" s="28"/>
      <c r="L174" s="28"/>
      <c r="M174" s="28"/>
      <c r="N174" s="28"/>
      <c r="O174" s="28"/>
      <c r="P174" s="28"/>
      <c r="Q174" s="28"/>
      <c r="R174" s="28"/>
      <c r="S174" s="28"/>
      <c r="T174" s="28"/>
      <c r="U174" s="3"/>
      <c r="W174" s="3"/>
      <c r="X174" s="3"/>
      <c r="Y174" s="3"/>
      <c r="Z174" s="3"/>
    </row>
    <row r="175" spans="1:26" ht="14.4" hidden="1" outlineLevel="1" x14ac:dyDescent="0.3">
      <c r="A175" s="3"/>
      <c r="B175" s="9" t="s">
        <v>1384</v>
      </c>
      <c r="C175" s="53"/>
      <c r="D175" s="53"/>
      <c r="E175" s="11">
        <v>0</v>
      </c>
      <c r="F175" s="11">
        <v>0</v>
      </c>
      <c r="G175" s="56"/>
      <c r="H175" s="56"/>
      <c r="I175" s="102"/>
      <c r="J175" s="56"/>
      <c r="K175" s="28"/>
      <c r="L175" s="28"/>
      <c r="M175" s="28"/>
      <c r="N175" s="28"/>
      <c r="O175" s="28"/>
      <c r="P175" s="28"/>
      <c r="Q175" s="28"/>
      <c r="R175" s="28"/>
      <c r="S175" s="28"/>
      <c r="T175" s="28"/>
      <c r="U175" s="3"/>
      <c r="W175" s="3"/>
      <c r="X175" s="3"/>
      <c r="Y175" s="3"/>
      <c r="Z175" s="3"/>
    </row>
    <row r="176" spans="1:26" ht="14.4" hidden="1" outlineLevel="1" x14ac:dyDescent="0.3">
      <c r="A176" s="3"/>
      <c r="B176" s="9" t="s">
        <v>355</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14.4" hidden="1" outlineLevel="1" x14ac:dyDescent="0.3">
      <c r="A177" s="3"/>
      <c r="B177" s="9" t="s">
        <v>356</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4.4" hidden="1" outlineLevel="1" x14ac:dyDescent="0.3">
      <c r="A178" s="3"/>
      <c r="B178" s="9" t="s">
        <v>370</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328</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20.399999999999999" collapsed="1" x14ac:dyDescent="0.3">
      <c r="A180" s="3"/>
      <c r="B180" s="75" t="s">
        <v>385</v>
      </c>
      <c r="C180" s="76" t="s">
        <v>44</v>
      </c>
      <c r="D180" s="76" t="s">
        <v>44</v>
      </c>
      <c r="E180" s="77">
        <f>SUM(E181:E208)</f>
        <v>0</v>
      </c>
      <c r="F180" s="77">
        <f>SUMIF(D181:D208,"OK",F181:F208)</f>
        <v>1447.62</v>
      </c>
      <c r="G180" s="78"/>
      <c r="H180" s="78"/>
      <c r="I180" s="79"/>
      <c r="J180" s="78"/>
      <c r="K180" s="28"/>
      <c r="L180" s="28"/>
      <c r="M180" s="28"/>
      <c r="N180" s="28"/>
      <c r="O180" s="28"/>
      <c r="P180" s="28"/>
      <c r="Q180" s="28"/>
      <c r="R180" s="28"/>
      <c r="S180" s="28"/>
      <c r="T180" s="28"/>
      <c r="U180" s="3"/>
      <c r="W180" s="3"/>
      <c r="X180" s="3"/>
      <c r="Y180" s="3"/>
      <c r="Z180" s="3"/>
    </row>
    <row r="181" spans="1:26" ht="14.4" hidden="1" outlineLevel="1" x14ac:dyDescent="0.3">
      <c r="A181" s="3"/>
      <c r="B181" s="9" t="s">
        <v>1138</v>
      </c>
      <c r="C181" s="71">
        <v>7</v>
      </c>
      <c r="D181" s="53" t="s">
        <v>95</v>
      </c>
      <c r="E181" s="11">
        <v>0</v>
      </c>
      <c r="F181" s="11">
        <v>354.62</v>
      </c>
      <c r="G181" s="80"/>
      <c r="H181" s="56" t="s">
        <v>37</v>
      </c>
      <c r="I181" s="102" t="s">
        <v>1385</v>
      </c>
      <c r="J181" s="56"/>
      <c r="K181" s="28"/>
      <c r="L181" s="28"/>
      <c r="M181" s="28"/>
      <c r="N181" s="28"/>
      <c r="O181" s="28"/>
      <c r="P181" s="28"/>
      <c r="Q181" s="28"/>
      <c r="R181" s="28"/>
      <c r="S181" s="28"/>
      <c r="T181" s="28"/>
      <c r="U181" s="3"/>
      <c r="W181" s="3"/>
      <c r="X181" s="3"/>
      <c r="Y181" s="3"/>
      <c r="Z181" s="3"/>
    </row>
    <row r="182" spans="1:26" ht="14.4" hidden="1" outlineLevel="1" x14ac:dyDescent="0.3">
      <c r="A182" s="3"/>
      <c r="B182" s="9" t="s">
        <v>865</v>
      </c>
      <c r="C182" s="53">
        <v>17</v>
      </c>
      <c r="D182" s="53" t="s">
        <v>95</v>
      </c>
      <c r="E182" s="11">
        <v>0</v>
      </c>
      <c r="F182" s="11">
        <v>30</v>
      </c>
      <c r="G182" s="80" t="s">
        <v>1386</v>
      </c>
      <c r="H182" s="56" t="s">
        <v>37</v>
      </c>
      <c r="I182" s="102" t="s">
        <v>1387</v>
      </c>
      <c r="J182" s="80"/>
      <c r="K182" s="28"/>
      <c r="L182" s="28"/>
      <c r="M182" s="28"/>
      <c r="N182" s="28"/>
      <c r="O182" s="28"/>
      <c r="P182" s="28"/>
      <c r="Q182" s="28"/>
      <c r="R182" s="28"/>
      <c r="S182" s="28"/>
      <c r="T182" s="28"/>
      <c r="U182" s="3"/>
      <c r="W182" s="3"/>
      <c r="X182" s="3"/>
      <c r="Y182" s="3"/>
      <c r="Z182" s="3"/>
    </row>
    <row r="183" spans="1:26" ht="14.4" hidden="1" outlineLevel="1" x14ac:dyDescent="0.3">
      <c r="A183" s="3"/>
      <c r="B183" s="9" t="s">
        <v>1388</v>
      </c>
      <c r="C183" s="53">
        <v>18</v>
      </c>
      <c r="D183" s="53" t="s">
        <v>95</v>
      </c>
      <c r="E183" s="11">
        <v>0</v>
      </c>
      <c r="F183" s="11">
        <v>400</v>
      </c>
      <c r="G183" s="56" t="s">
        <v>1389</v>
      </c>
      <c r="H183" s="56" t="s">
        <v>37</v>
      </c>
      <c r="I183" s="102" t="s">
        <v>1390</v>
      </c>
      <c r="J183" s="56"/>
      <c r="K183" s="28"/>
      <c r="L183" s="28"/>
      <c r="M183" s="28"/>
      <c r="N183" s="28"/>
      <c r="O183" s="28"/>
      <c r="P183" s="28"/>
      <c r="Q183" s="28"/>
      <c r="R183" s="28"/>
      <c r="S183" s="28"/>
      <c r="T183" s="28"/>
      <c r="U183" s="3"/>
      <c r="W183" s="3"/>
      <c r="X183" s="3"/>
      <c r="Y183" s="3"/>
      <c r="Z183" s="3"/>
    </row>
    <row r="184" spans="1:26" ht="14.4" hidden="1" outlineLevel="1" x14ac:dyDescent="0.3">
      <c r="A184" s="3"/>
      <c r="B184" s="9" t="s">
        <v>1391</v>
      </c>
      <c r="C184" s="53">
        <v>28</v>
      </c>
      <c r="D184" s="53" t="s">
        <v>95</v>
      </c>
      <c r="E184" s="11">
        <v>0</v>
      </c>
      <c r="F184" s="11">
        <v>663</v>
      </c>
      <c r="G184" s="80"/>
      <c r="H184" s="56" t="s">
        <v>37</v>
      </c>
      <c r="I184" s="102" t="s">
        <v>1392</v>
      </c>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51</v>
      </c>
      <c r="C185" s="53"/>
      <c r="D185" s="53"/>
      <c r="E185" s="11">
        <v>0</v>
      </c>
      <c r="F185" s="11">
        <v>0</v>
      </c>
      <c r="G185" s="56"/>
      <c r="H185" s="56"/>
      <c r="I185" s="102"/>
      <c r="J185" s="56"/>
      <c r="K185" s="28"/>
      <c r="L185" s="28"/>
      <c r="M185" s="28"/>
      <c r="N185" s="28"/>
      <c r="O185" s="28"/>
      <c r="P185" s="28"/>
      <c r="Q185" s="28"/>
      <c r="R185" s="28"/>
      <c r="S185" s="28"/>
      <c r="T185" s="28"/>
      <c r="U185" s="3"/>
      <c r="W185" s="3"/>
      <c r="X185" s="3"/>
      <c r="Y185" s="3"/>
      <c r="Z185" s="3"/>
    </row>
    <row r="186" spans="1:26" ht="14.4" hidden="1" outlineLevel="1" x14ac:dyDescent="0.3">
      <c r="A186" s="3"/>
      <c r="B186" s="9" t="s">
        <v>51</v>
      </c>
      <c r="C186" s="53"/>
      <c r="D186" s="53"/>
      <c r="E186" s="11">
        <v>0</v>
      </c>
      <c r="F186" s="11">
        <v>0</v>
      </c>
      <c r="G186" s="56"/>
      <c r="H186" s="56"/>
      <c r="I186" s="102"/>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51</v>
      </c>
      <c r="C187" s="53"/>
      <c r="D187" s="53"/>
      <c r="E187" s="11">
        <v>0</v>
      </c>
      <c r="F187" s="11">
        <v>0</v>
      </c>
      <c r="G187" s="56"/>
      <c r="H187" s="56"/>
      <c r="I187" s="102"/>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51</v>
      </c>
      <c r="C188" s="53"/>
      <c r="D188" s="53"/>
      <c r="E188" s="11">
        <v>0</v>
      </c>
      <c r="F188" s="11">
        <v>0</v>
      </c>
      <c r="G188" s="56"/>
      <c r="H188" s="56"/>
      <c r="I188" s="102"/>
      <c r="J188" s="56"/>
      <c r="K188" s="28"/>
      <c r="L188" s="28"/>
      <c r="M188" s="28"/>
      <c r="N188" s="28"/>
      <c r="O188" s="28"/>
      <c r="P188" s="28"/>
      <c r="Q188" s="28"/>
      <c r="R188" s="28"/>
      <c r="S188" s="28"/>
      <c r="T188" s="28"/>
      <c r="U188" s="3"/>
      <c r="W188" s="3"/>
      <c r="X188" s="3"/>
      <c r="Y188" s="3"/>
      <c r="Z188" s="3"/>
    </row>
    <row r="189" spans="1:26" ht="14.4" hidden="1" outlineLevel="1" x14ac:dyDescent="0.3">
      <c r="A189" s="3"/>
      <c r="B189" s="9" t="s">
        <v>51</v>
      </c>
      <c r="C189" s="53"/>
      <c r="D189" s="53"/>
      <c r="E189" s="11">
        <v>0</v>
      </c>
      <c r="F189" s="11">
        <v>0</v>
      </c>
      <c r="G189" s="56"/>
      <c r="H189" s="56"/>
      <c r="I189" s="102"/>
      <c r="J189" s="56"/>
      <c r="K189" s="28"/>
      <c r="L189" s="28"/>
      <c r="M189" s="28"/>
      <c r="N189" s="28"/>
      <c r="O189" s="28"/>
      <c r="P189" s="28"/>
      <c r="Q189" s="28"/>
      <c r="R189" s="28"/>
      <c r="S189" s="28"/>
      <c r="T189" s="28"/>
      <c r="U189" s="3"/>
      <c r="W189" s="3"/>
      <c r="X189" s="3"/>
      <c r="Y189" s="3"/>
      <c r="Z189" s="3"/>
    </row>
    <row r="190" spans="1:26" ht="14.4" hidden="1" outlineLevel="1" x14ac:dyDescent="0.3">
      <c r="A190" s="3"/>
      <c r="B190" s="9" t="s">
        <v>51</v>
      </c>
      <c r="C190" s="53"/>
      <c r="D190" s="53"/>
      <c r="E190" s="11">
        <v>0</v>
      </c>
      <c r="F190" s="11">
        <v>0</v>
      </c>
      <c r="G190" s="56"/>
      <c r="H190" s="56"/>
      <c r="I190" s="102"/>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51</v>
      </c>
      <c r="C191" s="53"/>
      <c r="D191" s="53"/>
      <c r="E191" s="11">
        <v>0</v>
      </c>
      <c r="F191" s="11">
        <v>0</v>
      </c>
      <c r="G191" s="56"/>
      <c r="H191" s="56"/>
      <c r="I191" s="102"/>
      <c r="J191" s="56"/>
      <c r="K191" s="28"/>
      <c r="L191" s="28"/>
      <c r="M191" s="28"/>
      <c r="N191" s="28"/>
      <c r="O191" s="28"/>
      <c r="P191" s="28"/>
      <c r="Q191" s="28"/>
      <c r="R191" s="28"/>
      <c r="S191" s="28"/>
      <c r="T191" s="28"/>
      <c r="U191" s="3"/>
      <c r="W191" s="3"/>
      <c r="X191" s="3"/>
      <c r="Y191" s="3"/>
      <c r="Z191" s="3"/>
    </row>
    <row r="192" spans="1:26" ht="14.4" hidden="1" outlineLevel="1" x14ac:dyDescent="0.3">
      <c r="A192" s="3"/>
      <c r="B192" s="9" t="s">
        <v>51</v>
      </c>
      <c r="C192" s="53"/>
      <c r="D192" s="53"/>
      <c r="E192" s="11">
        <v>0</v>
      </c>
      <c r="F192" s="11">
        <v>0</v>
      </c>
      <c r="G192" s="56"/>
      <c r="H192" s="56"/>
      <c r="I192" s="102"/>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51</v>
      </c>
      <c r="C193" s="53"/>
      <c r="D193" s="53"/>
      <c r="E193" s="11">
        <v>0</v>
      </c>
      <c r="F193" s="11">
        <v>0</v>
      </c>
      <c r="G193" s="56"/>
      <c r="H193" s="56"/>
      <c r="I193" s="117"/>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51</v>
      </c>
      <c r="C194" s="53"/>
      <c r="D194" s="53"/>
      <c r="E194" s="11">
        <v>0</v>
      </c>
      <c r="F194" s="11">
        <v>0</v>
      </c>
      <c r="G194" s="56"/>
      <c r="H194" s="56"/>
      <c r="I194" s="117"/>
      <c r="J194" s="56"/>
      <c r="K194" s="28"/>
      <c r="L194" s="28"/>
      <c r="M194" s="28"/>
      <c r="N194" s="28"/>
      <c r="O194" s="28"/>
      <c r="P194" s="28"/>
      <c r="Q194" s="28"/>
      <c r="R194" s="28"/>
      <c r="S194" s="28"/>
      <c r="T194" s="28"/>
      <c r="U194" s="3"/>
      <c r="W194" s="3"/>
      <c r="X194" s="3"/>
      <c r="Y194" s="3"/>
      <c r="Z194" s="3"/>
    </row>
    <row r="195" spans="1:26" ht="14.4" hidden="1" outlineLevel="1" x14ac:dyDescent="0.3">
      <c r="A195" s="3"/>
      <c r="B195" s="9" t="s">
        <v>51</v>
      </c>
      <c r="C195" s="53"/>
      <c r="D195" s="53"/>
      <c r="E195" s="11">
        <v>0</v>
      </c>
      <c r="F195" s="11">
        <v>0</v>
      </c>
      <c r="G195" s="56"/>
      <c r="H195" s="56"/>
      <c r="I195" s="102"/>
      <c r="J195" s="56"/>
      <c r="K195" s="28"/>
      <c r="L195" s="28"/>
      <c r="M195" s="28"/>
      <c r="N195" s="28"/>
      <c r="O195" s="28"/>
      <c r="P195" s="28"/>
      <c r="Q195" s="28"/>
      <c r="R195" s="28"/>
      <c r="S195" s="28"/>
      <c r="T195" s="28"/>
      <c r="U195" s="3"/>
      <c r="W195" s="3"/>
      <c r="X195" s="3"/>
      <c r="Y195" s="3"/>
      <c r="Z195" s="3"/>
    </row>
    <row r="196" spans="1:26" ht="14.4" hidden="1" outlineLevel="1" x14ac:dyDescent="0.3">
      <c r="A196" s="3"/>
      <c r="B196" s="9" t="s">
        <v>51</v>
      </c>
      <c r="C196" s="53"/>
      <c r="D196" s="53"/>
      <c r="E196" s="11">
        <v>0</v>
      </c>
      <c r="F196" s="11">
        <v>0</v>
      </c>
      <c r="G196" s="56"/>
      <c r="H196" s="56"/>
      <c r="I196" s="102"/>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51</v>
      </c>
      <c r="C197" s="53"/>
      <c r="D197" s="53"/>
      <c r="E197" s="11">
        <v>0</v>
      </c>
      <c r="F197" s="11">
        <v>0</v>
      </c>
      <c r="G197" s="56"/>
      <c r="H197" s="56"/>
      <c r="I197" s="102"/>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51</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51</v>
      </c>
      <c r="C199" s="53"/>
      <c r="D199" s="53"/>
      <c r="E199" s="11">
        <v>0</v>
      </c>
      <c r="F199" s="11">
        <v>0</v>
      </c>
      <c r="G199" s="56"/>
      <c r="H199" s="56"/>
      <c r="I199" s="102"/>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51</v>
      </c>
      <c r="C200" s="53"/>
      <c r="D200" s="53"/>
      <c r="E200" s="11">
        <v>0</v>
      </c>
      <c r="F200" s="11">
        <v>0</v>
      </c>
      <c r="G200" s="56"/>
      <c r="H200" s="56"/>
      <c r="I200" s="117"/>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51</v>
      </c>
      <c r="C201" s="53"/>
      <c r="D201" s="53"/>
      <c r="E201" s="11">
        <v>0</v>
      </c>
      <c r="F201" s="11">
        <v>0</v>
      </c>
      <c r="G201" s="56"/>
      <c r="H201" s="56"/>
      <c r="I201" s="102"/>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117"/>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117"/>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51</v>
      </c>
      <c r="C204" s="53"/>
      <c r="D204" s="53"/>
      <c r="E204" s="11">
        <v>0</v>
      </c>
      <c r="F204" s="11">
        <v>0</v>
      </c>
      <c r="G204" s="56"/>
      <c r="H204" s="56"/>
      <c r="I204" s="80"/>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56"/>
      <c r="H205" s="56"/>
      <c r="I205" s="80"/>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51</v>
      </c>
      <c r="C206" s="53"/>
      <c r="D206" s="53"/>
      <c r="E206" s="11">
        <v>0</v>
      </c>
      <c r="F206" s="11">
        <v>0</v>
      </c>
      <c r="G206" s="56"/>
      <c r="H206" s="56"/>
      <c r="I206" s="80"/>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51</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51</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20.399999999999999" collapsed="1" x14ac:dyDescent="0.3">
      <c r="A209" s="3"/>
      <c r="B209" s="75" t="s">
        <v>395</v>
      </c>
      <c r="C209" s="76" t="s">
        <v>44</v>
      </c>
      <c r="D209" s="76" t="s">
        <v>44</v>
      </c>
      <c r="E209" s="77">
        <f>SUM(E210:E218)</f>
        <v>0</v>
      </c>
      <c r="F209" s="77">
        <f>SUMIF(D210:D218,"OK",F210:F218)</f>
        <v>630.13</v>
      </c>
      <c r="G209" s="78"/>
      <c r="H209" s="78"/>
      <c r="I209" s="79"/>
      <c r="J209" s="78"/>
      <c r="K209" s="28"/>
      <c r="L209" s="28"/>
      <c r="M209" s="28"/>
      <c r="N209" s="28"/>
      <c r="O209" s="28"/>
      <c r="P209" s="28"/>
      <c r="Q209" s="28"/>
      <c r="R209" s="28"/>
      <c r="S209" s="28"/>
      <c r="T209" s="28"/>
      <c r="U209" s="3"/>
      <c r="W209" s="3"/>
      <c r="X209" s="3"/>
      <c r="Y209" s="3"/>
      <c r="Z209" s="3"/>
    </row>
    <row r="210" spans="1:26" ht="14.4" hidden="1" outlineLevel="1" x14ac:dyDescent="0.3">
      <c r="A210" s="3"/>
      <c r="B210" s="9" t="s">
        <v>1393</v>
      </c>
      <c r="C210" s="53">
        <v>8</v>
      </c>
      <c r="D210" s="53" t="s">
        <v>95</v>
      </c>
      <c r="E210" s="11">
        <v>0</v>
      </c>
      <c r="F210" s="11">
        <v>330.13</v>
      </c>
      <c r="G210" s="56"/>
      <c r="H210" s="56" t="s">
        <v>37</v>
      </c>
      <c r="I210" s="102" t="s">
        <v>1394</v>
      </c>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867</v>
      </c>
      <c r="C211" s="53">
        <v>11</v>
      </c>
      <c r="D211" s="53" t="s">
        <v>95</v>
      </c>
      <c r="E211" s="11">
        <v>0</v>
      </c>
      <c r="F211" s="11">
        <v>100</v>
      </c>
      <c r="G211" s="56"/>
      <c r="H211" s="56" t="s">
        <v>37</v>
      </c>
      <c r="I211" s="102" t="s">
        <v>1395</v>
      </c>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1396</v>
      </c>
      <c r="C212" s="53">
        <v>12</v>
      </c>
      <c r="D212" s="53" t="s">
        <v>95</v>
      </c>
      <c r="E212" s="11">
        <v>0</v>
      </c>
      <c r="F212" s="11">
        <v>200</v>
      </c>
      <c r="G212" s="56"/>
      <c r="H212" s="56" t="s">
        <v>37</v>
      </c>
      <c r="I212" s="102" t="s">
        <v>1397</v>
      </c>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370</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328</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4.4" hidden="1" outlineLevel="1" x14ac:dyDescent="0.3">
      <c r="A215" s="3"/>
      <c r="B215" s="9" t="s">
        <v>329</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4.4" hidden="1" outlineLevel="1" x14ac:dyDescent="0.3">
      <c r="A216" s="3"/>
      <c r="B216" s="9" t="s">
        <v>371</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14.4" hidden="1" outlineLevel="1" x14ac:dyDescent="0.3">
      <c r="A217" s="3"/>
      <c r="B217" s="9" t="s">
        <v>372</v>
      </c>
      <c r="C217" s="53"/>
      <c r="D217" s="53"/>
      <c r="E217" s="11">
        <v>0</v>
      </c>
      <c r="F217" s="11">
        <v>0</v>
      </c>
      <c r="G217" s="56"/>
      <c r="H217" s="56"/>
      <c r="I217" s="80"/>
      <c r="J217" s="56"/>
      <c r="K217" s="28"/>
      <c r="L217" s="28"/>
      <c r="M217" s="28"/>
      <c r="N217" s="28"/>
      <c r="O217" s="28"/>
      <c r="P217" s="28"/>
      <c r="Q217" s="28"/>
      <c r="R217" s="28"/>
      <c r="S217" s="28"/>
      <c r="T217" s="28"/>
      <c r="U217" s="3"/>
      <c r="W217" s="3"/>
      <c r="X217" s="3"/>
      <c r="Y217" s="3"/>
      <c r="Z217" s="3"/>
    </row>
    <row r="218" spans="1:26" ht="14.4" hidden="1" outlineLevel="1" x14ac:dyDescent="0.3">
      <c r="A218" s="3"/>
      <c r="B218" s="9" t="s">
        <v>373</v>
      </c>
      <c r="C218" s="53"/>
      <c r="D218" s="53"/>
      <c r="E218" s="11">
        <v>0</v>
      </c>
      <c r="F218" s="11">
        <v>0</v>
      </c>
      <c r="G218" s="56"/>
      <c r="H218" s="56"/>
      <c r="I218" s="80"/>
      <c r="J218" s="56"/>
      <c r="K218" s="28"/>
      <c r="L218" s="28"/>
      <c r="M218" s="28"/>
      <c r="N218" s="28"/>
      <c r="O218" s="28"/>
      <c r="P218" s="28"/>
      <c r="Q218" s="28"/>
      <c r="R218" s="28"/>
      <c r="S218" s="28"/>
      <c r="T218" s="28"/>
      <c r="U218" s="3"/>
      <c r="W218" s="3"/>
      <c r="X218" s="3"/>
      <c r="Y218" s="3"/>
      <c r="Z218" s="3"/>
    </row>
    <row r="219" spans="1:26" ht="20.399999999999999" collapsed="1" x14ac:dyDescent="0.3">
      <c r="A219" s="3"/>
      <c r="B219" s="75" t="s">
        <v>402</v>
      </c>
      <c r="C219" s="76" t="s">
        <v>44</v>
      </c>
      <c r="D219" s="76" t="s">
        <v>44</v>
      </c>
      <c r="E219" s="77">
        <f>SUM(E220:E228)</f>
        <v>0</v>
      </c>
      <c r="F219" s="77">
        <f>SUMIF(D220:D228,"OK",F220:F228)</f>
        <v>0</v>
      </c>
      <c r="G219" s="78"/>
      <c r="H219" s="78"/>
      <c r="I219" s="79"/>
      <c r="J219" s="78"/>
      <c r="K219" s="28"/>
      <c r="L219" s="28"/>
      <c r="M219" s="28"/>
      <c r="N219" s="28"/>
      <c r="O219" s="28"/>
      <c r="P219" s="28"/>
      <c r="Q219" s="28"/>
      <c r="R219" s="28"/>
      <c r="S219" s="28"/>
      <c r="T219" s="28"/>
      <c r="U219" s="3"/>
      <c r="W219" s="3"/>
      <c r="X219" s="3"/>
      <c r="Y219" s="3"/>
      <c r="Z219" s="3"/>
    </row>
    <row r="220" spans="1:26" ht="14.4" hidden="1" outlineLevel="1" x14ac:dyDescent="0.3">
      <c r="A220" s="3"/>
      <c r="B220" s="9" t="s">
        <v>354</v>
      </c>
      <c r="C220" s="53"/>
      <c r="D220" s="53"/>
      <c r="E220" s="11">
        <v>0</v>
      </c>
      <c r="F220" s="11">
        <v>0</v>
      </c>
      <c r="G220" s="56"/>
      <c r="H220" s="56"/>
      <c r="I220" s="102"/>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355</v>
      </c>
      <c r="C221" s="53"/>
      <c r="D221" s="53"/>
      <c r="E221" s="11">
        <v>0</v>
      </c>
      <c r="F221" s="11">
        <v>0</v>
      </c>
      <c r="G221" s="56"/>
      <c r="H221" s="56"/>
      <c r="I221" s="102"/>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356</v>
      </c>
      <c r="C222" s="53"/>
      <c r="D222" s="53"/>
      <c r="E222" s="11">
        <v>0</v>
      </c>
      <c r="F222" s="11">
        <v>0</v>
      </c>
      <c r="G222" s="56"/>
      <c r="H222" s="56"/>
      <c r="I222" s="102"/>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370</v>
      </c>
      <c r="C223" s="53"/>
      <c r="D223" s="53"/>
      <c r="E223" s="11">
        <v>0</v>
      </c>
      <c r="F223" s="11">
        <v>0</v>
      </c>
      <c r="G223" s="56"/>
      <c r="H223" s="56"/>
      <c r="I223" s="102"/>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328</v>
      </c>
      <c r="C224" s="53"/>
      <c r="D224" s="53"/>
      <c r="E224" s="11">
        <v>0</v>
      </c>
      <c r="F224" s="11">
        <v>0</v>
      </c>
      <c r="G224" s="56"/>
      <c r="H224" s="56"/>
      <c r="I224" s="102"/>
      <c r="J224" s="56"/>
      <c r="K224" s="28"/>
      <c r="L224" s="28"/>
      <c r="M224" s="28"/>
      <c r="N224" s="28"/>
      <c r="O224" s="28"/>
      <c r="P224" s="28"/>
      <c r="Q224" s="28"/>
      <c r="R224" s="28"/>
      <c r="S224" s="28"/>
      <c r="T224" s="28"/>
      <c r="U224" s="3"/>
      <c r="W224" s="3"/>
      <c r="X224" s="3"/>
      <c r="Y224" s="3"/>
      <c r="Z224" s="3"/>
    </row>
    <row r="225" spans="1:26" ht="14.4" hidden="1" outlineLevel="1" x14ac:dyDescent="0.3">
      <c r="A225" s="3"/>
      <c r="B225" s="9" t="s">
        <v>329</v>
      </c>
      <c r="C225" s="53"/>
      <c r="D225" s="53"/>
      <c r="E225" s="11">
        <v>0</v>
      </c>
      <c r="F225" s="11">
        <v>0</v>
      </c>
      <c r="G225" s="56"/>
      <c r="H225" s="56"/>
      <c r="I225" s="102"/>
      <c r="J225" s="56"/>
      <c r="K225" s="28"/>
      <c r="L225" s="28"/>
      <c r="M225" s="28"/>
      <c r="N225" s="28"/>
      <c r="O225" s="28"/>
      <c r="P225" s="28"/>
      <c r="Q225" s="28"/>
      <c r="R225" s="28"/>
      <c r="S225" s="28"/>
      <c r="T225" s="28"/>
      <c r="U225" s="3"/>
      <c r="W225" s="3"/>
      <c r="X225" s="3"/>
      <c r="Y225" s="3"/>
      <c r="Z225" s="3"/>
    </row>
    <row r="226" spans="1:26" ht="14.4" hidden="1" outlineLevel="1" x14ac:dyDescent="0.3">
      <c r="A226" s="3"/>
      <c r="B226" s="9" t="s">
        <v>371</v>
      </c>
      <c r="C226" s="53"/>
      <c r="D226" s="53"/>
      <c r="E226" s="11">
        <v>0</v>
      </c>
      <c r="F226" s="11">
        <v>0</v>
      </c>
      <c r="G226" s="56"/>
      <c r="H226" s="56"/>
      <c r="I226" s="102"/>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372</v>
      </c>
      <c r="C227" s="53"/>
      <c r="D227" s="53"/>
      <c r="E227" s="11">
        <v>0</v>
      </c>
      <c r="F227" s="11">
        <v>0</v>
      </c>
      <c r="G227" s="80"/>
      <c r="H227" s="56"/>
      <c r="I227" s="102"/>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373</v>
      </c>
      <c r="C228" s="53"/>
      <c r="D228" s="53"/>
      <c r="E228" s="11">
        <v>0</v>
      </c>
      <c r="F228" s="11">
        <v>0</v>
      </c>
      <c r="G228" s="80"/>
      <c r="H228" s="56"/>
      <c r="I228" s="102"/>
      <c r="J228" s="56"/>
      <c r="K228" s="28"/>
      <c r="L228" s="28"/>
      <c r="M228" s="28"/>
      <c r="N228" s="28"/>
      <c r="O228" s="28"/>
      <c r="P228" s="28"/>
      <c r="Q228" s="28"/>
      <c r="R228" s="28"/>
      <c r="S228" s="28"/>
      <c r="T228" s="28"/>
      <c r="U228" s="3"/>
      <c r="W228" s="3"/>
      <c r="X228" s="3"/>
      <c r="Y228" s="3"/>
      <c r="Z228" s="3"/>
    </row>
    <row r="229" spans="1:26" ht="20.399999999999999" collapsed="1" x14ac:dyDescent="0.3">
      <c r="A229" s="3"/>
      <c r="B229" s="75" t="s">
        <v>403</v>
      </c>
      <c r="C229" s="76" t="s">
        <v>44</v>
      </c>
      <c r="D229" s="76" t="s">
        <v>44</v>
      </c>
      <c r="E229" s="77">
        <f>SUM(E230:E238)</f>
        <v>0</v>
      </c>
      <c r="F229" s="77">
        <f>SUMIF(D230:D238,"OK",F230:F238)</f>
        <v>0</v>
      </c>
      <c r="G229" s="78"/>
      <c r="H229" s="78"/>
      <c r="I229" s="79"/>
      <c r="J229" s="78"/>
      <c r="K229" s="28"/>
      <c r="L229" s="28"/>
      <c r="M229" s="28"/>
      <c r="N229" s="28"/>
      <c r="O229" s="28"/>
      <c r="P229" s="28"/>
      <c r="Q229" s="28"/>
      <c r="R229" s="28"/>
      <c r="S229" s="28"/>
      <c r="T229" s="28"/>
      <c r="U229" s="3"/>
      <c r="W229" s="3"/>
      <c r="X229" s="3"/>
      <c r="Y229" s="3"/>
      <c r="Z229" s="3"/>
    </row>
    <row r="230" spans="1:26" ht="14.4" hidden="1" outlineLevel="1" x14ac:dyDescent="0.3">
      <c r="A230" s="3"/>
      <c r="B230" s="9" t="s">
        <v>1398</v>
      </c>
      <c r="C230" s="53"/>
      <c r="D230" s="53"/>
      <c r="E230" s="11">
        <v>0</v>
      </c>
      <c r="F230" s="11">
        <v>0</v>
      </c>
      <c r="G230" s="56"/>
      <c r="H230" s="56"/>
      <c r="I230" s="102"/>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1398</v>
      </c>
      <c r="C231" s="53"/>
      <c r="D231" s="53"/>
      <c r="E231" s="11">
        <v>0</v>
      </c>
      <c r="F231" s="11">
        <v>0</v>
      </c>
      <c r="G231" s="56"/>
      <c r="H231" s="56"/>
      <c r="I231" s="102"/>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356</v>
      </c>
      <c r="C232" s="53"/>
      <c r="D232" s="53"/>
      <c r="E232" s="11">
        <v>0</v>
      </c>
      <c r="F232" s="11">
        <v>0</v>
      </c>
      <c r="G232" s="56"/>
      <c r="H232" s="56"/>
      <c r="I232" s="80"/>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370</v>
      </c>
      <c r="C233" s="53"/>
      <c r="D233" s="53"/>
      <c r="E233" s="11">
        <v>0</v>
      </c>
      <c r="F233" s="11">
        <v>0</v>
      </c>
      <c r="G233" s="56"/>
      <c r="H233" s="56"/>
      <c r="I233" s="80"/>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328</v>
      </c>
      <c r="C234" s="53"/>
      <c r="D234" s="53"/>
      <c r="E234" s="11">
        <v>0</v>
      </c>
      <c r="F234" s="11">
        <v>0</v>
      </c>
      <c r="G234" s="56"/>
      <c r="H234" s="56"/>
      <c r="I234" s="80"/>
      <c r="J234" s="56"/>
      <c r="K234" s="28"/>
      <c r="L234" s="28"/>
      <c r="M234" s="28"/>
      <c r="N234" s="28"/>
      <c r="O234" s="28"/>
      <c r="P234" s="28"/>
      <c r="Q234" s="28"/>
      <c r="R234" s="28"/>
      <c r="S234" s="28"/>
      <c r="T234" s="28"/>
      <c r="U234" s="3"/>
      <c r="W234" s="3"/>
      <c r="X234" s="3"/>
      <c r="Y234" s="3"/>
      <c r="Z234" s="3"/>
    </row>
    <row r="235" spans="1:26" ht="14.4" hidden="1" outlineLevel="1" x14ac:dyDescent="0.3">
      <c r="A235" s="3"/>
      <c r="B235" s="9" t="s">
        <v>329</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14.4" hidden="1" outlineLevel="1" x14ac:dyDescent="0.3">
      <c r="A236" s="3"/>
      <c r="B236" s="9" t="s">
        <v>371</v>
      </c>
      <c r="C236" s="53"/>
      <c r="D236" s="53"/>
      <c r="E236" s="11">
        <v>0</v>
      </c>
      <c r="F236" s="11">
        <v>0</v>
      </c>
      <c r="G236" s="56"/>
      <c r="H236" s="56"/>
      <c r="I236" s="80"/>
      <c r="J236" s="56"/>
      <c r="K236" s="28"/>
      <c r="L236" s="28"/>
      <c r="M236" s="28"/>
      <c r="N236" s="28"/>
      <c r="O236" s="28"/>
      <c r="P236" s="28"/>
      <c r="Q236" s="28"/>
      <c r="R236" s="28"/>
      <c r="S236" s="28"/>
      <c r="T236" s="28"/>
      <c r="U236" s="3"/>
      <c r="W236" s="3"/>
      <c r="X236" s="3"/>
      <c r="Y236" s="3"/>
      <c r="Z236" s="3"/>
    </row>
    <row r="237" spans="1:26" ht="14.4" hidden="1" outlineLevel="1" x14ac:dyDescent="0.3">
      <c r="A237" s="3"/>
      <c r="B237" s="9" t="s">
        <v>372</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4.4" hidden="1" outlineLevel="1" x14ac:dyDescent="0.3">
      <c r="A238" s="3"/>
      <c r="B238" s="9" t="s">
        <v>373</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20.399999999999999" collapsed="1" x14ac:dyDescent="0.3">
      <c r="A239" s="3"/>
      <c r="B239" s="75" t="s">
        <v>404</v>
      </c>
      <c r="C239" s="76" t="s">
        <v>44</v>
      </c>
      <c r="D239" s="76" t="s">
        <v>44</v>
      </c>
      <c r="E239" s="77">
        <f>SUM(E240:E248)</f>
        <v>0</v>
      </c>
      <c r="F239" s="77">
        <f>SUMIF(D240:D248,"OK",F240:F248)</f>
        <v>400</v>
      </c>
      <c r="G239" s="78"/>
      <c r="H239" s="78"/>
      <c r="I239" s="79"/>
      <c r="J239" s="78"/>
      <c r="K239" s="28"/>
      <c r="L239" s="28"/>
      <c r="M239" s="28"/>
      <c r="N239" s="28"/>
      <c r="O239" s="28"/>
      <c r="P239" s="28"/>
      <c r="Q239" s="28"/>
      <c r="R239" s="28"/>
      <c r="S239" s="28"/>
      <c r="T239" s="28"/>
      <c r="U239" s="3"/>
      <c r="W239" s="3"/>
      <c r="X239" s="3"/>
      <c r="Y239" s="3"/>
      <c r="Z239" s="3"/>
    </row>
    <row r="240" spans="1:26" ht="14.4" hidden="1" outlineLevel="1" x14ac:dyDescent="0.3">
      <c r="A240" s="3"/>
      <c r="B240" s="9" t="s">
        <v>354</v>
      </c>
      <c r="C240" s="53"/>
      <c r="D240" s="53"/>
      <c r="E240" s="11">
        <v>0</v>
      </c>
      <c r="F240" s="11">
        <v>0</v>
      </c>
      <c r="G240" s="80"/>
      <c r="H240" s="56"/>
      <c r="I240" s="102"/>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1399</v>
      </c>
      <c r="C241" s="53">
        <v>28</v>
      </c>
      <c r="D241" s="53" t="s">
        <v>95</v>
      </c>
      <c r="E241" s="11">
        <v>0</v>
      </c>
      <c r="F241" s="11">
        <v>400</v>
      </c>
      <c r="G241" s="56" t="s">
        <v>1400</v>
      </c>
      <c r="H241" s="56" t="s">
        <v>37</v>
      </c>
      <c r="I241" s="102" t="s">
        <v>1401</v>
      </c>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356</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370</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328</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329</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371</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14.4" hidden="1" outlineLevel="1" x14ac:dyDescent="0.3">
      <c r="A247" s="3"/>
      <c r="B247" s="9" t="s">
        <v>372</v>
      </c>
      <c r="C247" s="53"/>
      <c r="D247" s="53"/>
      <c r="E247" s="11">
        <v>0</v>
      </c>
      <c r="F247" s="11">
        <v>0</v>
      </c>
      <c r="G247" s="56"/>
      <c r="H247" s="56"/>
      <c r="I247" s="80"/>
      <c r="J247" s="56"/>
      <c r="K247" s="28"/>
      <c r="L247" s="28"/>
      <c r="M247" s="28"/>
      <c r="N247" s="28"/>
      <c r="O247" s="28"/>
      <c r="P247" s="28"/>
      <c r="Q247" s="28"/>
      <c r="R247" s="28"/>
      <c r="S247" s="28"/>
      <c r="T247" s="28"/>
      <c r="U247" s="3"/>
      <c r="W247" s="3"/>
      <c r="X247" s="3"/>
      <c r="Y247" s="3"/>
      <c r="Z247" s="3"/>
    </row>
    <row r="248" spans="1:26" ht="14.4" hidden="1" outlineLevel="1" x14ac:dyDescent="0.3">
      <c r="A248" s="3"/>
      <c r="B248" s="9" t="s">
        <v>373</v>
      </c>
      <c r="C248" s="53"/>
      <c r="D248" s="53"/>
      <c r="E248" s="11">
        <v>0</v>
      </c>
      <c r="F248" s="11">
        <v>0</v>
      </c>
      <c r="G248" s="56"/>
      <c r="H248" s="56"/>
      <c r="I248" s="80"/>
      <c r="J248" s="56"/>
      <c r="K248" s="28"/>
      <c r="L248" s="28"/>
      <c r="M248" s="28"/>
      <c r="N248" s="28"/>
      <c r="O248" s="28"/>
      <c r="P248" s="28"/>
      <c r="Q248" s="28"/>
      <c r="R248" s="28"/>
      <c r="S248" s="28"/>
      <c r="T248" s="28"/>
      <c r="U248" s="3"/>
      <c r="W248" s="3"/>
      <c r="X248" s="3"/>
      <c r="Y248" s="3"/>
      <c r="Z248" s="3"/>
    </row>
    <row r="249" spans="1:26" ht="20.399999999999999" collapsed="1" x14ac:dyDescent="0.3">
      <c r="A249" s="3"/>
      <c r="B249" s="75" t="s">
        <v>406</v>
      </c>
      <c r="C249" s="76" t="s">
        <v>44</v>
      </c>
      <c r="D249" s="76" t="s">
        <v>44</v>
      </c>
      <c r="E249" s="77">
        <f>SUM(E250:E258)</f>
        <v>0</v>
      </c>
      <c r="F249" s="77">
        <f>SUMIF(D250:D258,"OK",F250:F258)</f>
        <v>0</v>
      </c>
      <c r="G249" s="78"/>
      <c r="H249" s="78"/>
      <c r="I249" s="79"/>
      <c r="J249" s="78"/>
      <c r="K249" s="28"/>
      <c r="L249" s="28"/>
      <c r="M249" s="28"/>
      <c r="N249" s="28"/>
      <c r="O249" s="28"/>
      <c r="P249" s="28"/>
      <c r="Q249" s="28"/>
      <c r="R249" s="28"/>
      <c r="S249" s="28"/>
      <c r="T249" s="28"/>
      <c r="U249" s="3"/>
      <c r="W249" s="3"/>
      <c r="X249" s="3"/>
      <c r="Y249" s="3"/>
      <c r="Z249" s="3"/>
    </row>
    <row r="250" spans="1:26" ht="14.4" hidden="1" outlineLevel="1" x14ac:dyDescent="0.3">
      <c r="A250" s="3"/>
      <c r="B250" s="9" t="s">
        <v>354</v>
      </c>
      <c r="C250" s="53"/>
      <c r="D250" s="53"/>
      <c r="E250" s="11">
        <v>0</v>
      </c>
      <c r="F250" s="11">
        <v>0</v>
      </c>
      <c r="G250" s="56"/>
      <c r="H250" s="56"/>
      <c r="I250" s="102"/>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355</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356</v>
      </c>
      <c r="C252" s="53"/>
      <c r="D252" s="53"/>
      <c r="E252" s="11">
        <v>0</v>
      </c>
      <c r="F252" s="11">
        <v>0</v>
      </c>
      <c r="G252" s="56"/>
      <c r="H252" s="56"/>
      <c r="I252" s="80"/>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370</v>
      </c>
      <c r="C253" s="53"/>
      <c r="D253" s="53"/>
      <c r="E253" s="11">
        <v>0</v>
      </c>
      <c r="F253" s="11">
        <v>0</v>
      </c>
      <c r="G253" s="56"/>
      <c r="H253" s="56"/>
      <c r="I253" s="80"/>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328</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329</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t="14.4" hidden="1" outlineLevel="1" x14ac:dyDescent="0.3">
      <c r="A256" s="3"/>
      <c r="B256" s="9" t="s">
        <v>371</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t="14.4" hidden="1" outlineLevel="1" x14ac:dyDescent="0.3">
      <c r="A257" s="3"/>
      <c r="B257" s="9" t="s">
        <v>372</v>
      </c>
      <c r="C257" s="53"/>
      <c r="D257" s="53"/>
      <c r="E257" s="11">
        <v>0</v>
      </c>
      <c r="F257" s="11">
        <v>0</v>
      </c>
      <c r="G257" s="56"/>
      <c r="H257" s="56"/>
      <c r="I257" s="80"/>
      <c r="J257" s="56"/>
      <c r="K257" s="28"/>
      <c r="L257" s="28"/>
      <c r="M257" s="28"/>
      <c r="N257" s="28"/>
      <c r="O257" s="28"/>
      <c r="P257" s="28"/>
      <c r="Q257" s="28"/>
      <c r="R257" s="28"/>
      <c r="S257" s="28"/>
      <c r="T257" s="28"/>
      <c r="U257" s="3"/>
      <c r="W257" s="3"/>
      <c r="X257" s="3"/>
      <c r="Y257" s="3"/>
      <c r="Z257" s="3"/>
    </row>
    <row r="258" spans="1:26" ht="14.4" hidden="1" outlineLevel="1" x14ac:dyDescent="0.3">
      <c r="A258" s="3"/>
      <c r="B258" s="9" t="s">
        <v>373</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20.399999999999999" collapsed="1" x14ac:dyDescent="0.3">
      <c r="A259" s="3"/>
      <c r="B259" s="75" t="s">
        <v>409</v>
      </c>
      <c r="C259" s="76" t="s">
        <v>44</v>
      </c>
      <c r="D259" s="76" t="s">
        <v>44</v>
      </c>
      <c r="E259" s="77">
        <f>SUM(E260,E270,E280,E290)</f>
        <v>0</v>
      </c>
      <c r="F259" s="77">
        <f>SUM(F260,F270,F280,F290,F300)</f>
        <v>0</v>
      </c>
      <c r="G259" s="78"/>
      <c r="H259" s="78"/>
      <c r="I259" s="79"/>
      <c r="J259" s="78"/>
      <c r="K259" s="28"/>
      <c r="L259" s="28"/>
      <c r="M259" s="28"/>
      <c r="N259" s="28"/>
      <c r="O259" s="28"/>
      <c r="P259" s="28"/>
      <c r="Q259" s="28"/>
      <c r="R259" s="28"/>
      <c r="S259" s="28"/>
      <c r="T259" s="28"/>
      <c r="U259" s="3"/>
      <c r="W259" s="3"/>
      <c r="X259" s="3"/>
      <c r="Y259" s="3"/>
      <c r="Z259" s="3"/>
    </row>
    <row r="260" spans="1:26" hidden="1" outlineLevel="1" x14ac:dyDescent="0.3">
      <c r="A260" s="3"/>
      <c r="B260" s="82" t="s">
        <v>233</v>
      </c>
      <c r="C260" s="83"/>
      <c r="D260" s="83"/>
      <c r="E260" s="84">
        <f>SUM(E261:E269)</f>
        <v>0</v>
      </c>
      <c r="F260" s="84">
        <f>SUMIF(D261:D269,"OK",F261:F269)</f>
        <v>0</v>
      </c>
      <c r="G260" s="85"/>
      <c r="H260" s="85"/>
      <c r="I260" s="86"/>
      <c r="J260" s="85"/>
      <c r="K260" s="28"/>
      <c r="L260" s="28"/>
      <c r="M260" s="28"/>
      <c r="N260" s="28"/>
      <c r="O260" s="28"/>
      <c r="P260" s="28"/>
      <c r="Q260" s="28"/>
      <c r="R260" s="28"/>
      <c r="S260" s="28"/>
      <c r="T260" s="28"/>
      <c r="U260" s="3"/>
      <c r="W260" s="3"/>
      <c r="X260" s="3"/>
      <c r="Y260" s="3"/>
      <c r="Z260" s="3"/>
    </row>
    <row r="261" spans="1:26" ht="14.4" hidden="1" outlineLevel="1" x14ac:dyDescent="0.3">
      <c r="A261" s="3"/>
      <c r="B261" s="9" t="s">
        <v>354</v>
      </c>
      <c r="C261" s="53"/>
      <c r="D261" s="53"/>
      <c r="E261" s="11">
        <v>0</v>
      </c>
      <c r="F261" s="11">
        <v>0</v>
      </c>
      <c r="G261" s="56"/>
      <c r="H261" s="56"/>
      <c r="I261" s="115"/>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355</v>
      </c>
      <c r="C262" s="53"/>
      <c r="D262" s="53"/>
      <c r="E262" s="11">
        <v>0</v>
      </c>
      <c r="F262" s="11">
        <v>0</v>
      </c>
      <c r="G262" s="56"/>
      <c r="H262" s="56"/>
      <c r="I262" s="115"/>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356</v>
      </c>
      <c r="C263" s="53"/>
      <c r="D263" s="53"/>
      <c r="E263" s="11">
        <v>0</v>
      </c>
      <c r="F263" s="11">
        <v>0</v>
      </c>
      <c r="G263" s="56"/>
      <c r="H263" s="56"/>
      <c r="I263" s="115"/>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370</v>
      </c>
      <c r="C264" s="53"/>
      <c r="D264" s="53"/>
      <c r="E264" s="11">
        <v>0</v>
      </c>
      <c r="F264" s="11">
        <v>0</v>
      </c>
      <c r="G264" s="56"/>
      <c r="H264" s="56"/>
      <c r="I264" s="102"/>
      <c r="J264" s="56"/>
      <c r="K264" s="28"/>
      <c r="L264" s="28"/>
      <c r="M264" s="28"/>
      <c r="N264" s="28"/>
      <c r="O264" s="28"/>
      <c r="P264" s="28"/>
      <c r="Q264" s="28"/>
      <c r="R264" s="28"/>
      <c r="S264" s="28"/>
      <c r="T264" s="28"/>
      <c r="U264" s="3"/>
      <c r="W264" s="3"/>
      <c r="X264" s="3"/>
      <c r="Y264" s="3"/>
      <c r="Z264" s="3"/>
    </row>
    <row r="265" spans="1:26" ht="14.4" hidden="1" outlineLevel="1" x14ac:dyDescent="0.3">
      <c r="A265" s="3"/>
      <c r="B265" s="9" t="s">
        <v>328</v>
      </c>
      <c r="C265" s="53"/>
      <c r="D265" s="53"/>
      <c r="E265" s="11">
        <v>0</v>
      </c>
      <c r="F265" s="11">
        <v>0</v>
      </c>
      <c r="G265" s="56"/>
      <c r="H265" s="56"/>
      <c r="I265" s="102"/>
      <c r="J265" s="56"/>
      <c r="K265" s="28"/>
      <c r="L265" s="28"/>
      <c r="M265" s="28"/>
      <c r="N265" s="28"/>
      <c r="O265" s="28"/>
      <c r="P265" s="28"/>
      <c r="Q265" s="28"/>
      <c r="R265" s="28"/>
      <c r="S265" s="28"/>
      <c r="T265" s="28"/>
      <c r="U265" s="3"/>
      <c r="W265" s="3"/>
      <c r="X265" s="3"/>
      <c r="Y265" s="3"/>
      <c r="Z265" s="3"/>
    </row>
    <row r="266" spans="1:26" ht="14.4" hidden="1" outlineLevel="1" x14ac:dyDescent="0.3">
      <c r="A266" s="3"/>
      <c r="B266" s="9" t="s">
        <v>329</v>
      </c>
      <c r="C266" s="53"/>
      <c r="D266" s="53"/>
      <c r="E266" s="11">
        <v>0</v>
      </c>
      <c r="F266" s="11">
        <v>0</v>
      </c>
      <c r="G266" s="56"/>
      <c r="H266" s="56"/>
      <c r="I266" s="80"/>
      <c r="J266" s="56"/>
      <c r="K266" s="28"/>
      <c r="L266" s="28"/>
      <c r="M266" s="28"/>
      <c r="N266" s="28"/>
      <c r="O266" s="28"/>
      <c r="P266" s="28"/>
      <c r="Q266" s="28"/>
      <c r="R266" s="28"/>
      <c r="S266" s="28"/>
      <c r="T266" s="28"/>
      <c r="U266" s="3"/>
      <c r="W266" s="3"/>
      <c r="X266" s="3"/>
      <c r="Y266" s="3"/>
      <c r="Z266" s="3"/>
    </row>
    <row r="267" spans="1:26" ht="14.4" hidden="1" outlineLevel="1" x14ac:dyDescent="0.3">
      <c r="A267" s="3"/>
      <c r="B267" s="9" t="s">
        <v>371</v>
      </c>
      <c r="C267" s="53"/>
      <c r="D267" s="53"/>
      <c r="E267" s="11">
        <v>0</v>
      </c>
      <c r="F267" s="11">
        <v>0</v>
      </c>
      <c r="G267" s="56"/>
      <c r="H267" s="56"/>
      <c r="I267" s="80"/>
      <c r="J267" s="56"/>
      <c r="K267" s="28"/>
      <c r="L267" s="28"/>
      <c r="M267" s="28"/>
      <c r="N267" s="28"/>
      <c r="O267" s="28"/>
      <c r="P267" s="28"/>
      <c r="Q267" s="28"/>
      <c r="R267" s="28"/>
      <c r="S267" s="28"/>
      <c r="T267" s="28"/>
      <c r="U267" s="3"/>
      <c r="W267" s="3"/>
      <c r="X267" s="3"/>
      <c r="Y267" s="3"/>
      <c r="Z267" s="3"/>
    </row>
    <row r="268" spans="1:26" ht="14.4" hidden="1" outlineLevel="1" x14ac:dyDescent="0.3">
      <c r="A268" s="3"/>
      <c r="B268" s="9" t="s">
        <v>372</v>
      </c>
      <c r="C268" s="53"/>
      <c r="D268" s="53"/>
      <c r="E268" s="11">
        <v>0</v>
      </c>
      <c r="F268" s="11">
        <v>0</v>
      </c>
      <c r="G268" s="56"/>
      <c r="H268" s="56"/>
      <c r="I268" s="80"/>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373</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idden="1" outlineLevel="1" x14ac:dyDescent="0.3">
      <c r="A270" s="3"/>
      <c r="B270" s="82" t="s">
        <v>652</v>
      </c>
      <c r="C270" s="83"/>
      <c r="D270" s="83"/>
      <c r="E270" s="84">
        <f>SUM(E271:E279)</f>
        <v>0</v>
      </c>
      <c r="F270" s="84">
        <f>SUMIF(D271:D279,"OK",F271:F279)</f>
        <v>0</v>
      </c>
      <c r="G270" s="85"/>
      <c r="H270" s="85"/>
      <c r="I270" s="86"/>
      <c r="J270" s="85"/>
      <c r="K270" s="28"/>
      <c r="L270" s="28"/>
      <c r="M270" s="28"/>
      <c r="N270" s="28"/>
      <c r="O270" s="28"/>
      <c r="P270" s="28"/>
      <c r="Q270" s="28"/>
      <c r="R270" s="28"/>
      <c r="S270" s="28"/>
      <c r="T270" s="28"/>
      <c r="U270" s="3"/>
      <c r="W270" s="3"/>
      <c r="X270" s="3"/>
      <c r="Y270" s="3"/>
      <c r="Z270" s="3"/>
    </row>
    <row r="271" spans="1:26" ht="14.4" hidden="1" outlineLevel="1" x14ac:dyDescent="0.3">
      <c r="A271" s="3"/>
      <c r="B271" s="9" t="s">
        <v>354</v>
      </c>
      <c r="C271" s="53"/>
      <c r="D271" s="53"/>
      <c r="E271" s="11">
        <v>0</v>
      </c>
      <c r="F271" s="11">
        <v>0</v>
      </c>
      <c r="G271" s="56"/>
      <c r="H271" s="56"/>
      <c r="I271" s="102"/>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355</v>
      </c>
      <c r="C272" s="53"/>
      <c r="D272" s="53"/>
      <c r="E272" s="11">
        <v>0</v>
      </c>
      <c r="F272" s="11">
        <v>0</v>
      </c>
      <c r="G272" s="56"/>
      <c r="H272" s="56"/>
      <c r="I272" s="102"/>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356</v>
      </c>
      <c r="C273" s="53"/>
      <c r="D273" s="53"/>
      <c r="E273" s="11">
        <v>0</v>
      </c>
      <c r="F273" s="11">
        <v>0</v>
      </c>
      <c r="G273" s="56"/>
      <c r="H273" s="56"/>
      <c r="I273" s="102"/>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370</v>
      </c>
      <c r="C274" s="53"/>
      <c r="D274" s="53"/>
      <c r="E274" s="11">
        <v>0</v>
      </c>
      <c r="F274" s="11">
        <v>0</v>
      </c>
      <c r="G274" s="56"/>
      <c r="H274" s="56"/>
      <c r="I274" s="102"/>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328</v>
      </c>
      <c r="C275" s="53"/>
      <c r="D275" s="53"/>
      <c r="E275" s="11">
        <v>0</v>
      </c>
      <c r="F275" s="11">
        <v>0</v>
      </c>
      <c r="G275" s="56"/>
      <c r="H275" s="56"/>
      <c r="I275" s="102"/>
      <c r="J275" s="56"/>
      <c r="K275" s="28"/>
      <c r="L275" s="28"/>
      <c r="M275" s="28"/>
      <c r="N275" s="28"/>
      <c r="O275" s="28"/>
      <c r="P275" s="28"/>
      <c r="Q275" s="28"/>
      <c r="R275" s="28"/>
      <c r="S275" s="28"/>
      <c r="T275" s="28"/>
      <c r="U275" s="3"/>
      <c r="W275" s="3"/>
      <c r="X275" s="3"/>
      <c r="Y275" s="3"/>
      <c r="Z275" s="3"/>
    </row>
    <row r="276" spans="1:26" ht="14.4" hidden="1" outlineLevel="1" x14ac:dyDescent="0.3">
      <c r="A276" s="3"/>
      <c r="B276" s="9" t="s">
        <v>329</v>
      </c>
      <c r="C276" s="53"/>
      <c r="D276" s="53"/>
      <c r="E276" s="11">
        <v>0</v>
      </c>
      <c r="F276" s="11">
        <v>0</v>
      </c>
      <c r="G276" s="56"/>
      <c r="H276" s="56"/>
      <c r="I276" s="102"/>
      <c r="J276" s="56"/>
      <c r="K276" s="28"/>
      <c r="L276" s="28"/>
      <c r="M276" s="28"/>
      <c r="N276" s="28"/>
      <c r="O276" s="28"/>
      <c r="P276" s="28"/>
      <c r="Q276" s="28"/>
      <c r="R276" s="28"/>
      <c r="S276" s="28"/>
      <c r="T276" s="28"/>
      <c r="U276" s="3"/>
      <c r="W276" s="3"/>
      <c r="X276" s="3"/>
      <c r="Y276" s="3"/>
      <c r="Z276" s="3"/>
    </row>
    <row r="277" spans="1:26" ht="14.4" hidden="1" outlineLevel="1" x14ac:dyDescent="0.3">
      <c r="A277" s="3"/>
      <c r="B277" s="9" t="s">
        <v>371</v>
      </c>
      <c r="C277" s="53"/>
      <c r="D277" s="53"/>
      <c r="E277" s="11">
        <v>0</v>
      </c>
      <c r="F277" s="11">
        <v>0</v>
      </c>
      <c r="G277" s="56"/>
      <c r="H277" s="56"/>
      <c r="I277" s="102"/>
      <c r="J277" s="56"/>
      <c r="K277" s="28"/>
      <c r="L277" s="28"/>
      <c r="M277" s="28"/>
      <c r="N277" s="28"/>
      <c r="O277" s="28"/>
      <c r="P277" s="28"/>
      <c r="Q277" s="28"/>
      <c r="R277" s="28"/>
      <c r="S277" s="28"/>
      <c r="T277" s="28"/>
      <c r="U277" s="3"/>
      <c r="W277" s="3"/>
      <c r="X277" s="3"/>
      <c r="Y277" s="3"/>
      <c r="Z277" s="3"/>
    </row>
    <row r="278" spans="1:26" ht="14.4" hidden="1" outlineLevel="1" x14ac:dyDescent="0.3">
      <c r="A278" s="3"/>
      <c r="B278" s="9" t="s">
        <v>372</v>
      </c>
      <c r="C278" s="53"/>
      <c r="D278" s="53"/>
      <c r="E278" s="11">
        <v>0</v>
      </c>
      <c r="F278" s="11">
        <v>0</v>
      </c>
      <c r="G278" s="56"/>
      <c r="H278" s="56"/>
      <c r="I278" s="102"/>
      <c r="J278" s="56"/>
      <c r="K278" s="28"/>
      <c r="L278" s="28"/>
      <c r="M278" s="28"/>
      <c r="N278" s="28"/>
      <c r="O278" s="28"/>
      <c r="P278" s="28"/>
      <c r="Q278" s="28"/>
      <c r="R278" s="28"/>
      <c r="S278" s="28"/>
      <c r="T278" s="28"/>
      <c r="U278" s="3"/>
      <c r="W278" s="3"/>
      <c r="X278" s="3"/>
      <c r="Y278" s="3"/>
      <c r="Z278" s="3"/>
    </row>
    <row r="279" spans="1:26" ht="14.4" hidden="1" outlineLevel="1" x14ac:dyDescent="0.3">
      <c r="A279" s="3"/>
      <c r="B279" s="9" t="s">
        <v>373</v>
      </c>
      <c r="C279" s="53"/>
      <c r="D279" s="53"/>
      <c r="E279" s="11">
        <v>0</v>
      </c>
      <c r="F279" s="11">
        <v>0</v>
      </c>
      <c r="G279" s="56"/>
      <c r="H279" s="56"/>
      <c r="I279" s="80"/>
      <c r="J279" s="56"/>
      <c r="K279" s="28"/>
      <c r="L279" s="28"/>
      <c r="M279" s="28"/>
      <c r="N279" s="28"/>
      <c r="O279" s="28"/>
      <c r="P279" s="28"/>
      <c r="Q279" s="28"/>
      <c r="R279" s="28"/>
      <c r="S279" s="28"/>
      <c r="T279" s="28"/>
      <c r="U279" s="3"/>
      <c r="W279" s="3"/>
      <c r="X279" s="3"/>
      <c r="Y279" s="3"/>
      <c r="Z279" s="3"/>
    </row>
    <row r="280" spans="1:26" hidden="1" outlineLevel="1" x14ac:dyDescent="0.3">
      <c r="A280" s="3"/>
      <c r="B280" s="82" t="s">
        <v>1025</v>
      </c>
      <c r="C280" s="83"/>
      <c r="D280" s="83"/>
      <c r="E280" s="84">
        <f>SUM(E281:E289)</f>
        <v>0</v>
      </c>
      <c r="F280" s="84">
        <f>SUMIF(D281:D289,"OK",F281:F289)</f>
        <v>0</v>
      </c>
      <c r="G280" s="85"/>
      <c r="H280" s="85"/>
      <c r="I280" s="86"/>
      <c r="J280" s="85"/>
      <c r="K280" s="28"/>
      <c r="L280" s="28"/>
      <c r="M280" s="28"/>
      <c r="N280" s="28"/>
      <c r="O280" s="28"/>
      <c r="P280" s="28"/>
      <c r="Q280" s="28"/>
      <c r="R280" s="28"/>
      <c r="S280" s="28"/>
      <c r="T280" s="28"/>
      <c r="U280" s="3"/>
      <c r="W280" s="3"/>
      <c r="X280" s="3"/>
      <c r="Y280" s="3"/>
      <c r="Z280" s="3"/>
    </row>
    <row r="281" spans="1:26" ht="14.4" hidden="1" outlineLevel="1" x14ac:dyDescent="0.3">
      <c r="A281" s="3"/>
      <c r="B281" s="9" t="s">
        <v>354</v>
      </c>
      <c r="C281" s="53"/>
      <c r="D281" s="53"/>
      <c r="E281" s="11">
        <v>0</v>
      </c>
      <c r="F281" s="11">
        <v>0</v>
      </c>
      <c r="G281" s="56"/>
      <c r="H281" s="56"/>
      <c r="I281" s="80"/>
      <c r="J281" s="56"/>
      <c r="K281" s="28"/>
      <c r="L281" s="28"/>
      <c r="M281" s="28"/>
      <c r="N281" s="28"/>
      <c r="O281" s="28"/>
      <c r="P281" s="28"/>
      <c r="Q281" s="28"/>
      <c r="R281" s="28"/>
      <c r="S281" s="28"/>
      <c r="T281" s="28"/>
      <c r="U281" s="3"/>
      <c r="W281" s="3"/>
      <c r="X281" s="3"/>
      <c r="Y281" s="3"/>
      <c r="Z281" s="3"/>
    </row>
    <row r="282" spans="1:26" ht="14.4" hidden="1" outlineLevel="1" x14ac:dyDescent="0.3">
      <c r="A282" s="3"/>
      <c r="B282" s="9" t="s">
        <v>355</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ht="14.4" hidden="1" outlineLevel="1" x14ac:dyDescent="0.3">
      <c r="A283" s="3"/>
      <c r="B283" s="9" t="s">
        <v>356</v>
      </c>
      <c r="C283" s="53"/>
      <c r="D283" s="53"/>
      <c r="E283" s="11">
        <v>0</v>
      </c>
      <c r="F283" s="11">
        <v>0</v>
      </c>
      <c r="G283" s="56"/>
      <c r="H283" s="56"/>
      <c r="I283" s="80"/>
      <c r="J283" s="56"/>
      <c r="K283" s="28"/>
      <c r="L283" s="28"/>
      <c r="M283" s="28"/>
      <c r="N283" s="28"/>
      <c r="O283" s="28"/>
      <c r="P283" s="28"/>
      <c r="Q283" s="28"/>
      <c r="R283" s="28"/>
      <c r="S283" s="28"/>
      <c r="T283" s="28"/>
      <c r="U283" s="3"/>
      <c r="W283" s="3"/>
      <c r="X283" s="3"/>
      <c r="Y283" s="3"/>
      <c r="Z283" s="3"/>
    </row>
    <row r="284" spans="1:26" ht="14.4" hidden="1" outlineLevel="1" x14ac:dyDescent="0.3">
      <c r="A284" s="3"/>
      <c r="B284" s="9" t="s">
        <v>370</v>
      </c>
      <c r="C284" s="53"/>
      <c r="D284" s="53"/>
      <c r="E284" s="11">
        <v>0</v>
      </c>
      <c r="F284" s="11">
        <v>0</v>
      </c>
      <c r="G284" s="56"/>
      <c r="H284" s="56"/>
      <c r="I284" s="80"/>
      <c r="J284" s="56"/>
      <c r="K284" s="28"/>
      <c r="L284" s="28"/>
      <c r="M284" s="28"/>
      <c r="N284" s="28"/>
      <c r="O284" s="28"/>
      <c r="P284" s="28"/>
      <c r="Q284" s="28"/>
      <c r="R284" s="28"/>
      <c r="S284" s="28"/>
      <c r="T284" s="28"/>
      <c r="U284" s="3"/>
      <c r="W284" s="3"/>
      <c r="X284" s="3"/>
      <c r="Y284" s="3"/>
      <c r="Z284" s="3"/>
    </row>
    <row r="285" spans="1:26" ht="14.4" hidden="1" outlineLevel="1" x14ac:dyDescent="0.3">
      <c r="A285" s="3"/>
      <c r="B285" s="9" t="s">
        <v>328</v>
      </c>
      <c r="C285" s="53"/>
      <c r="D285" s="53"/>
      <c r="E285" s="11">
        <v>0</v>
      </c>
      <c r="F285" s="11">
        <v>0</v>
      </c>
      <c r="G285" s="56"/>
      <c r="H285" s="56"/>
      <c r="I285" s="80"/>
      <c r="J285" s="56"/>
      <c r="K285" s="28"/>
      <c r="L285" s="28"/>
      <c r="M285" s="28"/>
      <c r="N285" s="28"/>
      <c r="O285" s="28"/>
      <c r="P285" s="28"/>
      <c r="Q285" s="28"/>
      <c r="R285" s="28"/>
      <c r="S285" s="28"/>
      <c r="T285" s="28"/>
      <c r="U285" s="3"/>
      <c r="W285" s="3"/>
      <c r="X285" s="3"/>
      <c r="Y285" s="3"/>
      <c r="Z285" s="3"/>
    </row>
    <row r="286" spans="1:26" ht="14.4" hidden="1" outlineLevel="1" x14ac:dyDescent="0.3">
      <c r="A286" s="3"/>
      <c r="B286" s="9" t="s">
        <v>329</v>
      </c>
      <c r="C286" s="53"/>
      <c r="D286" s="53"/>
      <c r="E286" s="11">
        <v>0</v>
      </c>
      <c r="F286" s="11">
        <v>0</v>
      </c>
      <c r="G286" s="56"/>
      <c r="H286" s="56"/>
      <c r="I286" s="80"/>
      <c r="J286" s="56"/>
      <c r="K286" s="28"/>
      <c r="L286" s="28"/>
      <c r="M286" s="28"/>
      <c r="N286" s="28"/>
      <c r="O286" s="28"/>
      <c r="P286" s="28"/>
      <c r="Q286" s="28"/>
      <c r="R286" s="28"/>
      <c r="S286" s="28"/>
      <c r="T286" s="28"/>
      <c r="U286" s="3"/>
      <c r="W286" s="3"/>
      <c r="X286" s="3"/>
      <c r="Y286" s="3"/>
      <c r="Z286" s="3"/>
    </row>
    <row r="287" spans="1:26" ht="14.4" hidden="1" outlineLevel="1" x14ac:dyDescent="0.3">
      <c r="A287" s="3"/>
      <c r="B287" s="9" t="s">
        <v>371</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4.4" hidden="1" outlineLevel="1" x14ac:dyDescent="0.3">
      <c r="A288" s="3"/>
      <c r="B288" s="9" t="s">
        <v>372</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4.4" hidden="1" outlineLevel="1" x14ac:dyDescent="0.3">
      <c r="A289" s="3"/>
      <c r="B289" s="9" t="s">
        <v>373</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idden="1" outlineLevel="1" x14ac:dyDescent="0.3">
      <c r="A290" s="3"/>
      <c r="B290" s="82" t="s">
        <v>690</v>
      </c>
      <c r="C290" s="83"/>
      <c r="D290" s="83"/>
      <c r="E290" s="84">
        <f>SUM(E291:E299)</f>
        <v>0</v>
      </c>
      <c r="F290" s="84">
        <f>SUMIF(D291:D299,"OK",F291:F299)</f>
        <v>0</v>
      </c>
      <c r="G290" s="85"/>
      <c r="H290" s="85"/>
      <c r="I290" s="86"/>
      <c r="J290" s="85"/>
      <c r="K290" s="28"/>
      <c r="L290" s="28"/>
      <c r="M290" s="28"/>
      <c r="N290" s="28"/>
      <c r="O290" s="28"/>
      <c r="P290" s="28"/>
      <c r="Q290" s="28"/>
      <c r="R290" s="28"/>
      <c r="S290" s="28"/>
      <c r="T290" s="28"/>
      <c r="U290" s="3"/>
      <c r="W290" s="3"/>
      <c r="X290" s="3"/>
      <c r="Y290" s="3"/>
      <c r="Z290" s="3"/>
    </row>
    <row r="291" spans="1:26" ht="14.4" hidden="1" outlineLevel="1" x14ac:dyDescent="0.3">
      <c r="A291" s="3"/>
      <c r="B291" s="9" t="s">
        <v>1402</v>
      </c>
      <c r="C291" s="53"/>
      <c r="D291" s="53"/>
      <c r="E291" s="11">
        <v>0</v>
      </c>
      <c r="F291" s="11">
        <v>0</v>
      </c>
      <c r="G291" s="56"/>
      <c r="H291" s="56"/>
      <c r="I291" s="102"/>
      <c r="J291" s="56"/>
      <c r="K291" s="28"/>
      <c r="L291" s="28"/>
      <c r="M291" s="28"/>
      <c r="N291" s="28"/>
      <c r="O291" s="28"/>
      <c r="P291" s="28"/>
      <c r="Q291" s="28"/>
      <c r="R291" s="28"/>
      <c r="S291" s="28"/>
      <c r="T291" s="28"/>
      <c r="U291" s="3"/>
      <c r="W291" s="3"/>
      <c r="X291" s="3"/>
      <c r="Y291" s="3"/>
      <c r="Z291" s="3"/>
    </row>
    <row r="292" spans="1:26" ht="14.4" hidden="1" outlineLevel="1" x14ac:dyDescent="0.3">
      <c r="A292" s="3"/>
      <c r="B292" s="9" t="s">
        <v>1403</v>
      </c>
      <c r="C292" s="53"/>
      <c r="D292" s="53"/>
      <c r="E292" s="11">
        <v>0</v>
      </c>
      <c r="F292" s="11">
        <v>0</v>
      </c>
      <c r="G292" s="56"/>
      <c r="H292" s="56"/>
      <c r="I292" s="102"/>
      <c r="J292" s="56"/>
      <c r="K292" s="28"/>
      <c r="L292" s="28"/>
      <c r="M292" s="28"/>
      <c r="N292" s="28"/>
      <c r="O292" s="28"/>
      <c r="P292" s="28"/>
      <c r="Q292" s="28"/>
      <c r="R292" s="28"/>
      <c r="S292" s="28"/>
      <c r="T292" s="28"/>
      <c r="U292" s="3"/>
      <c r="W292" s="3"/>
      <c r="X292" s="3"/>
      <c r="Y292" s="3"/>
      <c r="Z292" s="3"/>
    </row>
    <row r="293" spans="1:26" ht="14.4" hidden="1" outlineLevel="1" x14ac:dyDescent="0.3">
      <c r="A293" s="3"/>
      <c r="B293" s="9" t="s">
        <v>356</v>
      </c>
      <c r="C293" s="53"/>
      <c r="D293" s="53"/>
      <c r="E293" s="11">
        <v>0</v>
      </c>
      <c r="F293" s="11">
        <v>0</v>
      </c>
      <c r="G293" s="56"/>
      <c r="H293" s="56"/>
      <c r="I293" s="80"/>
      <c r="J293" s="56"/>
      <c r="K293" s="28"/>
      <c r="L293" s="28"/>
      <c r="M293" s="28"/>
      <c r="N293" s="28"/>
      <c r="O293" s="28"/>
      <c r="P293" s="28"/>
      <c r="Q293" s="28"/>
      <c r="R293" s="28"/>
      <c r="S293" s="28"/>
      <c r="T293" s="28"/>
      <c r="U293" s="3"/>
      <c r="W293" s="3"/>
      <c r="X293" s="3"/>
      <c r="Y293" s="3"/>
      <c r="Z293" s="3"/>
    </row>
    <row r="294" spans="1:26" ht="14.4" hidden="1" outlineLevel="1" x14ac:dyDescent="0.3">
      <c r="A294" s="3"/>
      <c r="B294" s="9" t="s">
        <v>370</v>
      </c>
      <c r="C294" s="53"/>
      <c r="D294" s="53"/>
      <c r="E294" s="11">
        <v>0</v>
      </c>
      <c r="F294" s="11">
        <v>0</v>
      </c>
      <c r="G294" s="56"/>
      <c r="H294" s="56"/>
      <c r="I294" s="80"/>
      <c r="J294" s="56"/>
      <c r="K294" s="28"/>
      <c r="L294" s="28"/>
      <c r="M294" s="28"/>
      <c r="N294" s="28"/>
      <c r="O294" s="28"/>
      <c r="P294" s="28"/>
      <c r="Q294" s="28"/>
      <c r="R294" s="28"/>
      <c r="S294" s="28"/>
      <c r="T294" s="28"/>
      <c r="U294" s="3"/>
      <c r="W294" s="3"/>
      <c r="X294" s="3"/>
      <c r="Y294" s="3"/>
      <c r="Z294" s="3"/>
    </row>
    <row r="295" spans="1:26" ht="14.4" hidden="1" outlineLevel="1" x14ac:dyDescent="0.3">
      <c r="A295" s="3"/>
      <c r="B295" s="9" t="s">
        <v>328</v>
      </c>
      <c r="C295" s="53"/>
      <c r="D295" s="53"/>
      <c r="E295" s="11">
        <v>0</v>
      </c>
      <c r="F295" s="11">
        <v>0</v>
      </c>
      <c r="G295" s="56"/>
      <c r="H295" s="56"/>
      <c r="I295" s="80"/>
      <c r="J295" s="56"/>
      <c r="K295" s="28"/>
      <c r="L295" s="28"/>
      <c r="M295" s="28"/>
      <c r="N295" s="28"/>
      <c r="O295" s="28"/>
      <c r="P295" s="28"/>
      <c r="Q295" s="28"/>
      <c r="R295" s="28"/>
      <c r="S295" s="28"/>
      <c r="T295" s="28"/>
      <c r="U295" s="3"/>
      <c r="W295" s="3"/>
      <c r="X295" s="3"/>
      <c r="Y295" s="3"/>
      <c r="Z295" s="3"/>
    </row>
    <row r="296" spans="1:26" ht="14.4" hidden="1" outlineLevel="1" x14ac:dyDescent="0.3">
      <c r="A296" s="3"/>
      <c r="B296" s="9" t="s">
        <v>329</v>
      </c>
      <c r="C296" s="53"/>
      <c r="D296" s="53"/>
      <c r="E296" s="11">
        <v>0</v>
      </c>
      <c r="F296" s="11">
        <v>0</v>
      </c>
      <c r="G296" s="56"/>
      <c r="H296" s="56"/>
      <c r="I296" s="80"/>
      <c r="J296" s="56"/>
      <c r="K296" s="28"/>
      <c r="L296" s="28"/>
      <c r="M296" s="28"/>
      <c r="N296" s="28"/>
      <c r="O296" s="28"/>
      <c r="P296" s="28"/>
      <c r="Q296" s="28"/>
      <c r="R296" s="28"/>
      <c r="S296" s="28"/>
      <c r="T296" s="28"/>
      <c r="U296" s="3"/>
      <c r="W296" s="3"/>
      <c r="X296" s="3"/>
      <c r="Y296" s="3"/>
      <c r="Z296" s="3"/>
    </row>
    <row r="297" spans="1:26" ht="14.4" hidden="1" outlineLevel="1" x14ac:dyDescent="0.3">
      <c r="A297" s="3"/>
      <c r="B297" s="9" t="s">
        <v>371</v>
      </c>
      <c r="C297" s="53"/>
      <c r="D297" s="53"/>
      <c r="E297" s="11">
        <v>0</v>
      </c>
      <c r="F297" s="11">
        <v>0</v>
      </c>
      <c r="G297" s="56"/>
      <c r="H297" s="56"/>
      <c r="I297" s="80"/>
      <c r="J297" s="56"/>
      <c r="K297" s="28"/>
      <c r="L297" s="28"/>
      <c r="M297" s="28"/>
      <c r="N297" s="28"/>
      <c r="O297" s="28"/>
      <c r="P297" s="28"/>
      <c r="Q297" s="28"/>
      <c r="R297" s="28"/>
      <c r="S297" s="28"/>
      <c r="T297" s="28"/>
      <c r="U297" s="3"/>
      <c r="W297" s="3"/>
      <c r="X297" s="3"/>
      <c r="Y297" s="3"/>
      <c r="Z297" s="3"/>
    </row>
    <row r="298" spans="1:26" ht="14.4" hidden="1" outlineLevel="1" x14ac:dyDescent="0.3">
      <c r="A298" s="3"/>
      <c r="B298" s="9" t="s">
        <v>372</v>
      </c>
      <c r="C298" s="53"/>
      <c r="D298" s="53"/>
      <c r="E298" s="11">
        <v>0</v>
      </c>
      <c r="F298" s="11">
        <v>0</v>
      </c>
      <c r="G298" s="56"/>
      <c r="H298" s="56"/>
      <c r="I298" s="80"/>
      <c r="J298" s="56"/>
      <c r="K298" s="28"/>
      <c r="L298" s="28"/>
      <c r="M298" s="28"/>
      <c r="N298" s="28"/>
      <c r="O298" s="28"/>
      <c r="P298" s="28"/>
      <c r="Q298" s="28"/>
      <c r="R298" s="28"/>
      <c r="S298" s="28"/>
      <c r="T298" s="28"/>
      <c r="U298" s="3"/>
      <c r="W298" s="3"/>
      <c r="X298" s="3"/>
      <c r="Y298" s="3"/>
      <c r="Z298" s="3"/>
    </row>
    <row r="299" spans="1:26" ht="14.4" hidden="1" outlineLevel="1" x14ac:dyDescent="0.3">
      <c r="A299" s="3"/>
      <c r="B299" s="9" t="s">
        <v>373</v>
      </c>
      <c r="C299" s="53"/>
      <c r="D299" s="53"/>
      <c r="E299" s="11">
        <v>0</v>
      </c>
      <c r="F299" s="11">
        <v>0</v>
      </c>
      <c r="G299" s="56"/>
      <c r="H299" s="56"/>
      <c r="I299" s="80"/>
      <c r="J299" s="56"/>
      <c r="K299" s="28"/>
      <c r="L299" s="28"/>
      <c r="M299" s="28"/>
      <c r="N299" s="28"/>
      <c r="O299" s="28"/>
      <c r="P299" s="28"/>
      <c r="Q299" s="28"/>
      <c r="R299" s="28"/>
      <c r="S299" s="28"/>
      <c r="T299" s="28"/>
      <c r="U299" s="3"/>
      <c r="W299" s="3"/>
      <c r="X299" s="3"/>
      <c r="Y299" s="3"/>
      <c r="Z299" s="3"/>
    </row>
    <row r="300" spans="1:26" hidden="1" outlineLevel="1" x14ac:dyDescent="0.3">
      <c r="A300" s="3"/>
      <c r="B300" s="82" t="s">
        <v>690</v>
      </c>
      <c r="C300" s="83"/>
      <c r="D300" s="83"/>
      <c r="E300" s="84">
        <f>SUM(E301:E309)</f>
        <v>0</v>
      </c>
      <c r="F300" s="84">
        <f>SUMIF(D301:D309,"OK",F301:F309)</f>
        <v>0</v>
      </c>
      <c r="G300" s="85"/>
      <c r="H300" s="85"/>
      <c r="I300" s="86"/>
      <c r="J300" s="85"/>
      <c r="K300" s="28"/>
      <c r="L300" s="28"/>
      <c r="M300" s="28"/>
      <c r="N300" s="28"/>
      <c r="O300" s="28"/>
      <c r="P300" s="28"/>
      <c r="Q300" s="28"/>
      <c r="R300" s="28"/>
      <c r="S300" s="28"/>
      <c r="T300" s="28"/>
      <c r="U300" s="3"/>
      <c r="W300" s="3"/>
      <c r="X300" s="3"/>
      <c r="Y300" s="3"/>
      <c r="Z300" s="3"/>
    </row>
    <row r="301" spans="1:26" ht="14.4" hidden="1" outlineLevel="1" x14ac:dyDescent="0.3">
      <c r="A301" s="3"/>
      <c r="B301" s="9" t="s">
        <v>354</v>
      </c>
      <c r="C301" s="53"/>
      <c r="D301" s="53"/>
      <c r="E301" s="11">
        <v>0</v>
      </c>
      <c r="F301" s="11">
        <v>0</v>
      </c>
      <c r="G301" s="56"/>
      <c r="H301" s="56"/>
      <c r="I301" s="102"/>
      <c r="J301" s="56"/>
      <c r="K301" s="28"/>
      <c r="L301" s="28"/>
      <c r="M301" s="28"/>
      <c r="N301" s="28"/>
      <c r="O301" s="28"/>
      <c r="P301" s="28"/>
      <c r="Q301" s="28"/>
      <c r="R301" s="28"/>
      <c r="S301" s="28"/>
      <c r="T301" s="28"/>
      <c r="U301" s="3"/>
      <c r="W301" s="3"/>
      <c r="X301" s="3"/>
      <c r="Y301" s="3"/>
      <c r="Z301" s="3"/>
    </row>
    <row r="302" spans="1:26" ht="14.4" hidden="1" outlineLevel="1" x14ac:dyDescent="0.3">
      <c r="A302" s="3"/>
      <c r="B302" s="9" t="s">
        <v>355</v>
      </c>
      <c r="C302" s="53"/>
      <c r="D302" s="53"/>
      <c r="E302" s="11">
        <v>0</v>
      </c>
      <c r="F302" s="11">
        <v>0</v>
      </c>
      <c r="G302" s="56"/>
      <c r="H302" s="56"/>
      <c r="I302" s="102"/>
      <c r="J302" s="56"/>
      <c r="K302" s="28"/>
      <c r="L302" s="28"/>
      <c r="M302" s="28"/>
      <c r="N302" s="28"/>
      <c r="O302" s="28"/>
      <c r="P302" s="28"/>
      <c r="Q302" s="28"/>
      <c r="R302" s="28"/>
      <c r="S302" s="28"/>
      <c r="T302" s="28"/>
      <c r="U302" s="3"/>
      <c r="W302" s="3"/>
      <c r="X302" s="3"/>
      <c r="Y302" s="3"/>
      <c r="Z302" s="3"/>
    </row>
    <row r="303" spans="1:26" ht="14.4" hidden="1" outlineLevel="1" x14ac:dyDescent="0.3">
      <c r="A303" s="3"/>
      <c r="B303" s="9" t="s">
        <v>356</v>
      </c>
      <c r="C303" s="53"/>
      <c r="D303" s="53"/>
      <c r="E303" s="11">
        <v>0</v>
      </c>
      <c r="F303" s="11">
        <v>0</v>
      </c>
      <c r="G303" s="56"/>
      <c r="H303" s="56"/>
      <c r="I303" s="80"/>
      <c r="J303" s="56"/>
      <c r="K303" s="28"/>
      <c r="L303" s="28"/>
      <c r="M303" s="28"/>
      <c r="N303" s="28"/>
      <c r="O303" s="28"/>
      <c r="P303" s="28"/>
      <c r="Q303" s="28"/>
      <c r="R303" s="28"/>
      <c r="S303" s="28"/>
      <c r="T303" s="28"/>
      <c r="U303" s="3"/>
      <c r="W303" s="3"/>
      <c r="X303" s="3"/>
      <c r="Y303" s="3"/>
      <c r="Z303" s="3"/>
    </row>
    <row r="304" spans="1:26" ht="14.4" hidden="1" outlineLevel="1" x14ac:dyDescent="0.3">
      <c r="A304" s="3"/>
      <c r="B304" s="9" t="s">
        <v>370</v>
      </c>
      <c r="C304" s="53"/>
      <c r="D304" s="53"/>
      <c r="E304" s="11">
        <v>0</v>
      </c>
      <c r="F304" s="11">
        <v>0</v>
      </c>
      <c r="G304" s="56"/>
      <c r="H304" s="56"/>
      <c r="I304" s="80"/>
      <c r="J304" s="56"/>
      <c r="K304" s="28"/>
      <c r="L304" s="28"/>
      <c r="M304" s="28"/>
      <c r="N304" s="28"/>
      <c r="O304" s="28"/>
      <c r="P304" s="28"/>
      <c r="Q304" s="28"/>
      <c r="R304" s="28"/>
      <c r="S304" s="28"/>
      <c r="T304" s="28"/>
      <c r="U304" s="3"/>
      <c r="W304" s="3"/>
      <c r="X304" s="3"/>
      <c r="Y304" s="3"/>
      <c r="Z304" s="3"/>
    </row>
    <row r="305" spans="1:26" ht="14.4" hidden="1" outlineLevel="1" x14ac:dyDescent="0.3">
      <c r="A305" s="3"/>
      <c r="B305" s="9" t="s">
        <v>328</v>
      </c>
      <c r="C305" s="53"/>
      <c r="D305" s="53"/>
      <c r="E305" s="11">
        <v>0</v>
      </c>
      <c r="F305" s="11">
        <v>0</v>
      </c>
      <c r="G305" s="56"/>
      <c r="H305" s="56"/>
      <c r="I305" s="80"/>
      <c r="J305" s="56"/>
      <c r="K305" s="28"/>
      <c r="L305" s="28"/>
      <c r="M305" s="28"/>
      <c r="N305" s="28"/>
      <c r="O305" s="28"/>
      <c r="P305" s="28"/>
      <c r="Q305" s="28"/>
      <c r="R305" s="28"/>
      <c r="S305" s="28"/>
      <c r="T305" s="28"/>
      <c r="U305" s="3"/>
      <c r="W305" s="3"/>
      <c r="X305" s="3"/>
      <c r="Y305" s="3"/>
      <c r="Z305" s="3"/>
    </row>
    <row r="306" spans="1:26" ht="14.4" hidden="1" outlineLevel="1" x14ac:dyDescent="0.3">
      <c r="A306" s="3"/>
      <c r="B306" s="9" t="s">
        <v>329</v>
      </c>
      <c r="C306" s="53"/>
      <c r="D306" s="53"/>
      <c r="E306" s="11">
        <v>0</v>
      </c>
      <c r="F306" s="11">
        <v>0</v>
      </c>
      <c r="G306" s="56"/>
      <c r="H306" s="56"/>
      <c r="I306" s="80"/>
      <c r="J306" s="56"/>
      <c r="K306" s="28"/>
      <c r="L306" s="28"/>
      <c r="M306" s="28"/>
      <c r="N306" s="28"/>
      <c r="O306" s="28"/>
      <c r="P306" s="28"/>
      <c r="Q306" s="28"/>
      <c r="R306" s="28"/>
      <c r="S306" s="28"/>
      <c r="T306" s="28"/>
      <c r="U306" s="3"/>
      <c r="W306" s="3"/>
      <c r="X306" s="3"/>
      <c r="Y306" s="3"/>
      <c r="Z306" s="3"/>
    </row>
    <row r="307" spans="1:26" ht="14.4" hidden="1" outlineLevel="1" x14ac:dyDescent="0.3">
      <c r="A307" s="3"/>
      <c r="B307" s="9" t="s">
        <v>371</v>
      </c>
      <c r="C307" s="53"/>
      <c r="D307" s="53"/>
      <c r="E307" s="11">
        <v>0</v>
      </c>
      <c r="F307" s="11">
        <v>0</v>
      </c>
      <c r="G307" s="56"/>
      <c r="H307" s="56"/>
      <c r="I307" s="80"/>
      <c r="J307" s="56"/>
      <c r="K307" s="28"/>
      <c r="L307" s="28"/>
      <c r="M307" s="28"/>
      <c r="N307" s="28"/>
      <c r="O307" s="28"/>
      <c r="P307" s="28"/>
      <c r="Q307" s="28"/>
      <c r="R307" s="28"/>
      <c r="S307" s="28"/>
      <c r="T307" s="28"/>
      <c r="U307" s="3"/>
      <c r="W307" s="3"/>
      <c r="X307" s="3"/>
      <c r="Y307" s="3"/>
      <c r="Z307" s="3"/>
    </row>
    <row r="308" spans="1:26" ht="14.4" hidden="1" outlineLevel="1" x14ac:dyDescent="0.3">
      <c r="A308" s="3"/>
      <c r="B308" s="9" t="s">
        <v>372</v>
      </c>
      <c r="C308" s="53"/>
      <c r="D308" s="53"/>
      <c r="E308" s="11">
        <v>0</v>
      </c>
      <c r="F308" s="11">
        <v>0</v>
      </c>
      <c r="G308" s="56"/>
      <c r="H308" s="56"/>
      <c r="I308" s="80"/>
      <c r="J308" s="56"/>
      <c r="K308" s="28"/>
      <c r="L308" s="28"/>
      <c r="M308" s="28"/>
      <c r="N308" s="28"/>
      <c r="O308" s="28"/>
      <c r="P308" s="28"/>
      <c r="Q308" s="28"/>
      <c r="R308" s="28"/>
      <c r="S308" s="28"/>
      <c r="T308" s="28"/>
      <c r="U308" s="3"/>
      <c r="W308" s="3"/>
      <c r="X308" s="3"/>
      <c r="Y308" s="3"/>
      <c r="Z308" s="3"/>
    </row>
    <row r="309" spans="1:26" ht="14.4" hidden="1" outlineLevel="1" x14ac:dyDescent="0.3">
      <c r="A309" s="3"/>
      <c r="B309" s="9" t="s">
        <v>373</v>
      </c>
      <c r="C309" s="53"/>
      <c r="D309" s="53"/>
      <c r="E309" s="11">
        <v>0</v>
      </c>
      <c r="F309" s="11">
        <v>0</v>
      </c>
      <c r="G309" s="56"/>
      <c r="H309" s="56"/>
      <c r="I309" s="80"/>
      <c r="J309" s="56"/>
      <c r="K309" s="28"/>
      <c r="L309" s="28"/>
      <c r="M309" s="28"/>
      <c r="N309" s="28"/>
      <c r="O309" s="28"/>
      <c r="P309" s="28"/>
      <c r="Q309" s="28"/>
      <c r="R309" s="28"/>
      <c r="S309" s="28"/>
      <c r="T309" s="28"/>
      <c r="U309" s="3"/>
      <c r="W309" s="3"/>
      <c r="X309" s="3"/>
      <c r="Y309" s="3"/>
      <c r="Z309" s="3"/>
    </row>
    <row r="310" spans="1:26" ht="20.399999999999999" collapsed="1" x14ac:dyDescent="0.3">
      <c r="A310" s="3"/>
      <c r="B310" s="75" t="s">
        <v>412</v>
      </c>
      <c r="C310" s="76" t="s">
        <v>44</v>
      </c>
      <c r="D310" s="76" t="s">
        <v>44</v>
      </c>
      <c r="E310" s="77">
        <f>SUM(E311:E328)</f>
        <v>0</v>
      </c>
      <c r="F310" s="77">
        <f>SUMIF(D311:D328,"OK",F311:F328)</f>
        <v>120.1</v>
      </c>
      <c r="G310" s="78"/>
      <c r="H310" s="78"/>
      <c r="I310" s="79"/>
      <c r="J310" s="78"/>
      <c r="K310" s="28"/>
      <c r="L310" s="28"/>
      <c r="M310" s="28"/>
      <c r="N310" s="28"/>
      <c r="O310" s="28"/>
      <c r="P310" s="28"/>
      <c r="Q310" s="28"/>
      <c r="R310" s="28"/>
      <c r="S310" s="28"/>
      <c r="T310" s="28"/>
      <c r="U310" s="3"/>
      <c r="W310" s="3"/>
      <c r="X310" s="3"/>
      <c r="Y310" s="3"/>
      <c r="Z310" s="3"/>
    </row>
    <row r="311" spans="1:26" ht="14.4" hidden="1" outlineLevel="1" x14ac:dyDescent="0.3">
      <c r="A311" s="3"/>
      <c r="B311" s="9" t="s">
        <v>413</v>
      </c>
      <c r="C311" s="53"/>
      <c r="D311" s="53"/>
      <c r="E311" s="11">
        <v>0</v>
      </c>
      <c r="F311" s="11">
        <v>0</v>
      </c>
      <c r="G311" s="56"/>
      <c r="H311" s="56"/>
      <c r="I311" s="80"/>
      <c r="J311" s="56"/>
      <c r="K311" s="28"/>
      <c r="L311" s="28"/>
      <c r="M311" s="28"/>
      <c r="N311" s="28"/>
      <c r="O311" s="28"/>
      <c r="P311" s="28"/>
      <c r="Q311" s="28"/>
      <c r="R311" s="28"/>
      <c r="S311" s="28"/>
      <c r="T311" s="28"/>
      <c r="U311" s="3"/>
      <c r="W311" s="3"/>
      <c r="X311" s="3"/>
      <c r="Y311" s="3"/>
      <c r="Z311" s="3"/>
    </row>
    <row r="312" spans="1:26" ht="14.4" hidden="1" outlineLevel="1" x14ac:dyDescent="0.3">
      <c r="A312" s="3"/>
      <c r="B312" s="9" t="s">
        <v>414</v>
      </c>
      <c r="C312" s="53"/>
      <c r="D312" s="53"/>
      <c r="E312" s="11">
        <v>0</v>
      </c>
      <c r="F312" s="11">
        <v>0</v>
      </c>
      <c r="G312" s="80"/>
      <c r="H312" s="56"/>
      <c r="I312" s="102"/>
      <c r="J312" s="56"/>
      <c r="K312" s="28"/>
      <c r="L312" s="28"/>
      <c r="M312" s="28"/>
      <c r="N312" s="28"/>
      <c r="O312" s="28"/>
      <c r="P312" s="28"/>
      <c r="Q312" s="28"/>
      <c r="R312" s="28"/>
      <c r="S312" s="28"/>
      <c r="T312" s="28"/>
      <c r="U312" s="3"/>
      <c r="W312" s="3"/>
      <c r="X312" s="3"/>
      <c r="Y312" s="3"/>
      <c r="Z312" s="3"/>
    </row>
    <row r="313" spans="1:26" ht="14.4" hidden="1" outlineLevel="1" x14ac:dyDescent="0.3">
      <c r="A313" s="3"/>
      <c r="B313" s="9" t="s">
        <v>414</v>
      </c>
      <c r="C313" s="53"/>
      <c r="D313" s="53"/>
      <c r="E313" s="11">
        <v>0</v>
      </c>
      <c r="F313" s="11">
        <v>0</v>
      </c>
      <c r="G313" s="56"/>
      <c r="H313" s="56"/>
      <c r="I313" s="102"/>
      <c r="J313" s="56"/>
      <c r="K313" s="28"/>
      <c r="L313" s="28"/>
      <c r="M313" s="28"/>
      <c r="N313" s="28"/>
      <c r="O313" s="28"/>
      <c r="P313" s="28"/>
      <c r="Q313" s="28"/>
      <c r="R313" s="28"/>
      <c r="S313" s="28"/>
      <c r="T313" s="28"/>
      <c r="U313" s="3"/>
      <c r="W313" s="3"/>
      <c r="X313" s="3"/>
      <c r="Y313" s="3"/>
      <c r="Z313" s="3"/>
    </row>
    <row r="314" spans="1:26" ht="14.4" hidden="1" outlineLevel="1" x14ac:dyDescent="0.3">
      <c r="A314" s="3"/>
      <c r="B314" s="9" t="s">
        <v>415</v>
      </c>
      <c r="C314" s="53"/>
      <c r="D314" s="53"/>
      <c r="E314" s="11">
        <v>0</v>
      </c>
      <c r="F314" s="11">
        <v>0</v>
      </c>
      <c r="G314" s="56"/>
      <c r="H314" s="56"/>
      <c r="I314" s="80"/>
      <c r="J314" s="56"/>
      <c r="K314" s="28"/>
      <c r="L314" s="28"/>
      <c r="M314" s="28"/>
      <c r="N314" s="28"/>
      <c r="O314" s="28"/>
      <c r="P314" s="28"/>
      <c r="Q314" s="28"/>
      <c r="R314" s="28"/>
      <c r="S314" s="28"/>
      <c r="T314" s="28"/>
      <c r="U314" s="3"/>
      <c r="W314" s="3"/>
      <c r="X314" s="3"/>
      <c r="Y314" s="3"/>
      <c r="Z314" s="3"/>
    </row>
    <row r="315" spans="1:26" ht="14.4" hidden="1" outlineLevel="1" x14ac:dyDescent="0.3">
      <c r="A315" s="3"/>
      <c r="B315" s="9" t="s">
        <v>415</v>
      </c>
      <c r="C315" s="53"/>
      <c r="D315" s="53"/>
      <c r="E315" s="11">
        <v>0</v>
      </c>
      <c r="F315" s="11">
        <v>0</v>
      </c>
      <c r="G315" s="56"/>
      <c r="H315" s="56"/>
      <c r="I315" s="80"/>
      <c r="J315" s="56"/>
      <c r="K315" s="28"/>
      <c r="L315" s="28"/>
      <c r="M315" s="28"/>
      <c r="N315" s="28"/>
      <c r="O315" s="28"/>
      <c r="P315" s="28"/>
      <c r="Q315" s="28"/>
      <c r="R315" s="28"/>
      <c r="S315" s="28"/>
      <c r="T315" s="28"/>
      <c r="U315" s="3"/>
      <c r="W315" s="3"/>
      <c r="X315" s="3"/>
      <c r="Y315" s="3"/>
      <c r="Z315" s="3"/>
    </row>
    <row r="316" spans="1:26" ht="14.4" hidden="1" outlineLevel="1" x14ac:dyDescent="0.3">
      <c r="A316" s="3"/>
      <c r="B316" s="9" t="s">
        <v>415</v>
      </c>
      <c r="C316" s="53"/>
      <c r="D316" s="53"/>
      <c r="E316" s="11">
        <v>0</v>
      </c>
      <c r="F316" s="11">
        <v>0</v>
      </c>
      <c r="G316" s="56"/>
      <c r="H316" s="56"/>
      <c r="I316" s="80"/>
      <c r="J316" s="56"/>
      <c r="K316" s="28"/>
      <c r="L316" s="28"/>
      <c r="M316" s="28"/>
      <c r="N316" s="28"/>
      <c r="O316" s="28"/>
      <c r="P316" s="28"/>
      <c r="Q316" s="28"/>
      <c r="R316" s="28"/>
      <c r="S316" s="28"/>
      <c r="T316" s="28"/>
      <c r="U316" s="3"/>
      <c r="W316" s="3"/>
      <c r="X316" s="3"/>
      <c r="Y316" s="3"/>
      <c r="Z316" s="3"/>
    </row>
    <row r="317" spans="1:26" ht="14.4" hidden="1" outlineLevel="1" x14ac:dyDescent="0.3">
      <c r="A317" s="3"/>
      <c r="B317" s="9" t="s">
        <v>416</v>
      </c>
      <c r="C317" s="53"/>
      <c r="D317" s="53"/>
      <c r="E317" s="11">
        <v>0</v>
      </c>
      <c r="F317" s="11">
        <v>0</v>
      </c>
      <c r="G317" s="56"/>
      <c r="H317" s="56"/>
      <c r="I317" s="102"/>
      <c r="J317" s="56"/>
      <c r="K317" s="28"/>
      <c r="L317" s="28"/>
      <c r="M317" s="28"/>
      <c r="N317" s="28"/>
      <c r="O317" s="28"/>
      <c r="P317" s="28"/>
      <c r="Q317" s="28"/>
      <c r="R317" s="28"/>
      <c r="S317" s="28"/>
      <c r="T317" s="28"/>
      <c r="U317" s="3"/>
      <c r="W317" s="3"/>
      <c r="X317" s="3"/>
      <c r="Y317" s="3"/>
      <c r="Z317" s="3"/>
    </row>
    <row r="318" spans="1:26" ht="14.4" hidden="1" outlineLevel="1" x14ac:dyDescent="0.3">
      <c r="A318" s="3"/>
      <c r="B318" s="9" t="s">
        <v>416</v>
      </c>
      <c r="C318" s="53"/>
      <c r="D318" s="53"/>
      <c r="E318" s="11">
        <v>0</v>
      </c>
      <c r="F318" s="11">
        <v>0</v>
      </c>
      <c r="G318" s="56"/>
      <c r="H318" s="56"/>
      <c r="I318" s="102"/>
      <c r="J318" s="56"/>
      <c r="K318" s="28"/>
      <c r="L318" s="28"/>
      <c r="M318" s="28"/>
      <c r="N318" s="28"/>
      <c r="O318" s="28"/>
      <c r="P318" s="28"/>
      <c r="Q318" s="28"/>
      <c r="R318" s="28"/>
      <c r="S318" s="28"/>
      <c r="T318" s="28"/>
      <c r="U318" s="3"/>
      <c r="W318" s="3"/>
      <c r="X318" s="3"/>
      <c r="Y318" s="3"/>
      <c r="Z318" s="3"/>
    </row>
    <row r="319" spans="1:26" ht="14.4" hidden="1" outlineLevel="1" x14ac:dyDescent="0.3">
      <c r="A319" s="3"/>
      <c r="B319" s="9" t="s">
        <v>416</v>
      </c>
      <c r="C319" s="53"/>
      <c r="D319" s="53"/>
      <c r="E319" s="11">
        <v>0</v>
      </c>
      <c r="F319" s="11">
        <v>0</v>
      </c>
      <c r="G319" s="56"/>
      <c r="H319" s="56"/>
      <c r="I319" s="102"/>
      <c r="J319" s="56"/>
      <c r="K319" s="28"/>
      <c r="L319" s="28"/>
      <c r="M319" s="28"/>
      <c r="N319" s="28"/>
      <c r="O319" s="28"/>
      <c r="P319" s="28"/>
      <c r="Q319" s="28"/>
      <c r="R319" s="28"/>
      <c r="S319" s="28"/>
      <c r="T319" s="28"/>
      <c r="U319" s="3"/>
      <c r="W319" s="3"/>
      <c r="X319" s="3"/>
      <c r="Y319" s="3"/>
      <c r="Z319" s="3"/>
    </row>
    <row r="320" spans="1:26" ht="14.4" hidden="1" outlineLevel="1" x14ac:dyDescent="0.3">
      <c r="A320" s="3"/>
      <c r="B320" s="9" t="s">
        <v>417</v>
      </c>
      <c r="C320" s="53">
        <v>8</v>
      </c>
      <c r="D320" s="53" t="s">
        <v>95</v>
      </c>
      <c r="E320" s="11">
        <v>0</v>
      </c>
      <c r="F320" s="11">
        <v>120.1</v>
      </c>
      <c r="G320" s="56"/>
      <c r="H320" s="56" t="s">
        <v>37</v>
      </c>
      <c r="I320" s="102" t="s">
        <v>1404</v>
      </c>
      <c r="J320" s="56"/>
      <c r="K320" s="28"/>
      <c r="L320" s="28"/>
      <c r="M320" s="28"/>
      <c r="N320" s="28"/>
      <c r="O320" s="28"/>
      <c r="P320" s="28"/>
      <c r="Q320" s="28"/>
      <c r="R320" s="28"/>
      <c r="S320" s="28"/>
      <c r="T320" s="28"/>
      <c r="U320" s="3"/>
      <c r="W320" s="3"/>
      <c r="X320" s="3"/>
      <c r="Y320" s="3"/>
      <c r="Z320" s="3"/>
    </row>
    <row r="321" spans="1:26" ht="14.4" hidden="1" outlineLevel="1" x14ac:dyDescent="0.3">
      <c r="A321" s="3"/>
      <c r="B321" s="9" t="s">
        <v>417</v>
      </c>
      <c r="C321" s="53"/>
      <c r="D321" s="53"/>
      <c r="E321" s="11">
        <v>0</v>
      </c>
      <c r="F321" s="11">
        <v>0</v>
      </c>
      <c r="G321" s="56"/>
      <c r="H321" s="56"/>
      <c r="I321" s="102"/>
      <c r="J321" s="56"/>
      <c r="K321" s="28"/>
      <c r="L321" s="28"/>
      <c r="M321" s="28"/>
      <c r="N321" s="28"/>
      <c r="O321" s="28"/>
      <c r="P321" s="28"/>
      <c r="Q321" s="28"/>
      <c r="R321" s="28"/>
      <c r="S321" s="28"/>
      <c r="T321" s="28"/>
      <c r="U321" s="3"/>
      <c r="W321" s="3"/>
      <c r="X321" s="3"/>
      <c r="Y321" s="3"/>
      <c r="Z321" s="3"/>
    </row>
    <row r="322" spans="1:26" ht="14.4" hidden="1" outlineLevel="1" x14ac:dyDescent="0.3">
      <c r="A322" s="3"/>
      <c r="B322" s="9" t="s">
        <v>417</v>
      </c>
      <c r="C322" s="53"/>
      <c r="D322" s="53"/>
      <c r="E322" s="11">
        <v>0</v>
      </c>
      <c r="F322" s="11">
        <v>0</v>
      </c>
      <c r="G322" s="56"/>
      <c r="H322" s="56"/>
      <c r="I322" s="102"/>
      <c r="J322" s="56"/>
      <c r="K322" s="28"/>
      <c r="L322" s="28"/>
      <c r="M322" s="28"/>
      <c r="N322" s="28"/>
      <c r="O322" s="28"/>
      <c r="P322" s="28"/>
      <c r="Q322" s="28"/>
      <c r="R322" s="28"/>
      <c r="S322" s="28"/>
      <c r="T322" s="28"/>
      <c r="U322" s="3"/>
      <c r="W322" s="3"/>
      <c r="X322" s="3"/>
      <c r="Y322" s="3"/>
      <c r="Z322" s="3"/>
    </row>
    <row r="323" spans="1:26" ht="14.4" hidden="1" outlineLevel="1" x14ac:dyDescent="0.3">
      <c r="A323" s="3"/>
      <c r="B323" s="9" t="s">
        <v>417</v>
      </c>
      <c r="C323" s="53"/>
      <c r="D323" s="53"/>
      <c r="E323" s="11">
        <v>0</v>
      </c>
      <c r="F323" s="11">
        <v>0</v>
      </c>
      <c r="G323" s="56"/>
      <c r="H323" s="56"/>
      <c r="I323" s="102"/>
      <c r="J323" s="56"/>
      <c r="K323" s="28"/>
      <c r="L323" s="28"/>
      <c r="M323" s="28"/>
      <c r="N323" s="28"/>
      <c r="O323" s="28"/>
      <c r="P323" s="28"/>
      <c r="Q323" s="28"/>
      <c r="R323" s="28"/>
      <c r="S323" s="28"/>
      <c r="T323" s="28"/>
      <c r="U323" s="3"/>
      <c r="W323" s="3"/>
      <c r="X323" s="3"/>
      <c r="Y323" s="3"/>
      <c r="Z323" s="3"/>
    </row>
    <row r="324" spans="1:26" ht="14.4" hidden="1" outlineLevel="1" x14ac:dyDescent="0.3">
      <c r="A324" s="3"/>
      <c r="B324" s="9" t="s">
        <v>418</v>
      </c>
      <c r="C324" s="53"/>
      <c r="D324" s="53"/>
      <c r="E324" s="11">
        <v>0</v>
      </c>
      <c r="F324" s="11">
        <v>0</v>
      </c>
      <c r="G324" s="56"/>
      <c r="H324" s="56"/>
      <c r="I324" s="80"/>
      <c r="J324" s="56"/>
      <c r="K324" s="28"/>
      <c r="L324" s="28"/>
      <c r="M324" s="28"/>
      <c r="N324" s="28"/>
      <c r="O324" s="28"/>
      <c r="P324" s="28"/>
      <c r="Q324" s="28"/>
      <c r="R324" s="28"/>
      <c r="S324" s="28"/>
      <c r="T324" s="28"/>
      <c r="U324" s="3"/>
      <c r="W324" s="3"/>
      <c r="X324" s="3"/>
      <c r="Y324" s="3"/>
      <c r="Z324" s="3"/>
    </row>
    <row r="325" spans="1:26" ht="14.4" hidden="1" outlineLevel="1" x14ac:dyDescent="0.3">
      <c r="A325" s="3"/>
      <c r="B325" s="9" t="s">
        <v>419</v>
      </c>
      <c r="C325" s="53"/>
      <c r="D325" s="53"/>
      <c r="E325" s="11">
        <v>0</v>
      </c>
      <c r="F325" s="11">
        <v>0</v>
      </c>
      <c r="G325" s="56"/>
      <c r="H325" s="56"/>
      <c r="I325" s="80"/>
      <c r="J325" s="56"/>
      <c r="K325" s="28"/>
      <c r="L325" s="28"/>
      <c r="M325" s="28"/>
      <c r="N325" s="28"/>
      <c r="O325" s="28"/>
      <c r="P325" s="28"/>
      <c r="Q325" s="28"/>
      <c r="R325" s="28"/>
      <c r="S325" s="28"/>
      <c r="T325" s="28"/>
      <c r="U325" s="3"/>
      <c r="W325" s="3"/>
      <c r="X325" s="3"/>
      <c r="Y325" s="3"/>
      <c r="Z325" s="3"/>
    </row>
    <row r="326" spans="1:26" ht="14.4" hidden="1" outlineLevel="1" x14ac:dyDescent="0.3">
      <c r="A326" s="3"/>
      <c r="B326" s="9" t="s">
        <v>420</v>
      </c>
      <c r="C326" s="53"/>
      <c r="D326" s="53"/>
      <c r="E326" s="11">
        <v>0</v>
      </c>
      <c r="F326" s="11">
        <v>0</v>
      </c>
      <c r="G326" s="56"/>
      <c r="H326" s="56"/>
      <c r="I326" s="80"/>
      <c r="J326" s="56"/>
      <c r="K326" s="28"/>
      <c r="L326" s="28"/>
      <c r="M326" s="28"/>
      <c r="N326" s="28"/>
      <c r="O326" s="28"/>
      <c r="P326" s="28"/>
      <c r="Q326" s="28"/>
      <c r="R326" s="28"/>
      <c r="S326" s="28"/>
      <c r="T326" s="28"/>
      <c r="U326" s="3"/>
      <c r="W326" s="3"/>
      <c r="X326" s="3"/>
      <c r="Y326" s="3"/>
      <c r="Z326" s="3"/>
    </row>
    <row r="327" spans="1:26" ht="14.4" hidden="1" outlineLevel="1" x14ac:dyDescent="0.3">
      <c r="A327" s="3"/>
      <c r="B327" s="9" t="s">
        <v>421</v>
      </c>
      <c r="C327" s="53"/>
      <c r="D327" s="53"/>
      <c r="E327" s="11">
        <v>0</v>
      </c>
      <c r="F327" s="11">
        <v>0</v>
      </c>
      <c r="G327" s="56"/>
      <c r="H327" s="56"/>
      <c r="I327" s="80"/>
      <c r="J327" s="56"/>
      <c r="K327" s="28"/>
      <c r="L327" s="28"/>
      <c r="M327" s="28"/>
      <c r="N327" s="28"/>
      <c r="O327" s="28"/>
      <c r="P327" s="28"/>
      <c r="Q327" s="28"/>
      <c r="R327" s="28"/>
      <c r="S327" s="28"/>
      <c r="T327" s="28"/>
      <c r="U327" s="3"/>
      <c r="W327" s="3"/>
      <c r="X327" s="3"/>
      <c r="Y327" s="3"/>
      <c r="Z327" s="3"/>
    </row>
    <row r="328" spans="1:26" ht="14.4" hidden="1" outlineLevel="1" x14ac:dyDescent="0.3">
      <c r="A328" s="3"/>
      <c r="B328" s="9" t="s">
        <v>66</v>
      </c>
      <c r="C328" s="53"/>
      <c r="D328" s="53"/>
      <c r="E328" s="11">
        <v>0</v>
      </c>
      <c r="F328" s="11">
        <v>0</v>
      </c>
      <c r="G328" s="56"/>
      <c r="H328" s="56"/>
      <c r="I328" s="80"/>
      <c r="J328" s="56"/>
      <c r="K328" s="28"/>
      <c r="L328" s="28"/>
      <c r="M328" s="28"/>
      <c r="N328" s="28"/>
      <c r="O328" s="28"/>
      <c r="P328" s="28"/>
      <c r="Q328" s="28"/>
      <c r="R328" s="28"/>
      <c r="S328" s="28"/>
      <c r="T328" s="28"/>
      <c r="U328" s="3"/>
      <c r="W328" s="3"/>
      <c r="X328" s="3"/>
      <c r="Y328" s="3"/>
      <c r="Z328" s="3"/>
    </row>
    <row r="329" spans="1:26" ht="14.4" collapsed="1" x14ac:dyDescent="0.3">
      <c r="A329" s="3"/>
      <c r="B329" s="3"/>
      <c r="C329" s="28"/>
      <c r="D329" s="28"/>
      <c r="E329" s="28"/>
      <c r="F329" s="28"/>
      <c r="G329" s="89"/>
      <c r="H329" s="89"/>
      <c r="I329" s="90"/>
      <c r="J329" s="89"/>
      <c r="K329" s="28"/>
      <c r="L329" s="28"/>
      <c r="M329" s="28"/>
      <c r="N329" s="28"/>
      <c r="O329" s="28"/>
      <c r="P329" s="28"/>
      <c r="Q329" s="28"/>
      <c r="R329" s="28"/>
      <c r="S329" s="28"/>
      <c r="T329" s="28"/>
      <c r="U329" s="3"/>
    </row>
    <row r="330" spans="1:26" ht="15.75" customHeight="1" x14ac:dyDescent="0.3">
      <c r="A330" s="3"/>
      <c r="B330" s="3"/>
      <c r="C330" s="28"/>
      <c r="D330" s="28"/>
      <c r="E330" s="28"/>
      <c r="F330" s="28"/>
      <c r="G330" s="89"/>
      <c r="H330" s="89"/>
      <c r="I330" s="90"/>
      <c r="J330" s="89"/>
      <c r="K330" s="28"/>
      <c r="L330" s="28"/>
      <c r="M330" s="28"/>
      <c r="N330" s="28"/>
      <c r="O330" s="28"/>
      <c r="P330" s="28"/>
      <c r="Q330" s="28"/>
      <c r="R330" s="28"/>
      <c r="S330" s="28"/>
      <c r="T330" s="28"/>
      <c r="U330" s="3"/>
    </row>
    <row r="331" spans="1:26" ht="15.75" customHeight="1" x14ac:dyDescent="0.3">
      <c r="A331" s="3"/>
      <c r="B331" s="3"/>
      <c r="C331" s="28"/>
      <c r="D331" s="28"/>
      <c r="E331" s="28"/>
      <c r="F331" s="28"/>
      <c r="G331" s="89"/>
      <c r="H331" s="89"/>
      <c r="I331" s="90"/>
      <c r="J331" s="89"/>
      <c r="K331" s="28"/>
      <c r="L331" s="28"/>
      <c r="M331" s="28"/>
      <c r="N331" s="28"/>
      <c r="O331" s="28"/>
      <c r="P331" s="28"/>
      <c r="Q331" s="28"/>
      <c r="R331" s="28"/>
      <c r="S331" s="28"/>
      <c r="T331" s="28"/>
      <c r="U331" s="3"/>
    </row>
    <row r="332" spans="1:26" ht="15.75" customHeight="1" x14ac:dyDescent="0.3">
      <c r="A332" s="3"/>
      <c r="B332" s="3"/>
      <c r="C332" s="28"/>
      <c r="D332" s="28"/>
      <c r="E332" s="28"/>
      <c r="F332" s="28"/>
      <c r="G332" s="89"/>
      <c r="H332" s="89"/>
      <c r="I332" s="90"/>
      <c r="J332" s="89"/>
      <c r="K332" s="28"/>
      <c r="L332" s="28"/>
      <c r="M332" s="28"/>
      <c r="N332" s="28"/>
      <c r="O332" s="28"/>
      <c r="P332" s="28"/>
      <c r="Q332" s="28"/>
      <c r="R332" s="28"/>
      <c r="S332" s="28"/>
      <c r="T332" s="28"/>
      <c r="U332" s="3"/>
    </row>
    <row r="333" spans="1:26" ht="15.75" customHeight="1" x14ac:dyDescent="0.3">
      <c r="A333" s="3"/>
      <c r="B333" s="3"/>
      <c r="C333" s="28"/>
      <c r="D333" s="28"/>
      <c r="E333" s="28"/>
      <c r="F333" s="28"/>
      <c r="G333" s="89"/>
      <c r="H333" s="89"/>
      <c r="I333" s="90"/>
      <c r="J333" s="89"/>
      <c r="K333" s="28"/>
      <c r="L333" s="28"/>
      <c r="M333" s="28"/>
      <c r="N333" s="28"/>
      <c r="O333" s="28"/>
      <c r="P333" s="28"/>
      <c r="Q333" s="28"/>
      <c r="R333" s="28"/>
      <c r="S333" s="28"/>
      <c r="T333" s="28"/>
      <c r="U333" s="3"/>
    </row>
    <row r="334" spans="1:26" ht="15.75" customHeight="1" x14ac:dyDescent="0.3">
      <c r="A334" s="3"/>
      <c r="B334" s="3"/>
      <c r="C334" s="28"/>
      <c r="D334" s="28"/>
      <c r="E334" s="28"/>
      <c r="F334" s="28"/>
      <c r="G334" s="89"/>
      <c r="H334" s="89"/>
      <c r="I334" s="90"/>
      <c r="J334" s="89"/>
      <c r="K334" s="28"/>
      <c r="L334" s="28"/>
      <c r="M334" s="28"/>
      <c r="N334" s="28"/>
      <c r="O334" s="28"/>
      <c r="P334" s="28"/>
      <c r="Q334" s="28"/>
      <c r="R334" s="28"/>
      <c r="S334" s="28"/>
      <c r="T334" s="28"/>
      <c r="U334" s="3"/>
    </row>
    <row r="335" spans="1:26" ht="15.75" customHeight="1" x14ac:dyDescent="0.3">
      <c r="A335" s="3"/>
      <c r="B335" s="3"/>
      <c r="C335" s="28"/>
      <c r="D335" s="28"/>
      <c r="E335" s="28"/>
      <c r="F335" s="28"/>
      <c r="G335" s="89"/>
      <c r="H335" s="89"/>
      <c r="I335" s="90"/>
      <c r="J335" s="89"/>
      <c r="K335" s="28"/>
      <c r="L335" s="28"/>
      <c r="M335" s="28"/>
      <c r="N335" s="28"/>
      <c r="O335" s="28"/>
      <c r="P335" s="28"/>
      <c r="Q335" s="28"/>
      <c r="R335" s="28"/>
      <c r="S335" s="28"/>
      <c r="T335" s="28"/>
      <c r="U335" s="3"/>
    </row>
    <row r="336" spans="1:26" ht="15.75" customHeight="1" x14ac:dyDescent="0.3">
      <c r="A336" s="3"/>
      <c r="B336" s="3"/>
      <c r="C336" s="28"/>
      <c r="D336" s="28"/>
      <c r="E336" s="28"/>
      <c r="F336" s="28"/>
      <c r="G336" s="89"/>
      <c r="H336" s="89"/>
      <c r="I336" s="90"/>
      <c r="J336" s="89"/>
      <c r="K336" s="28"/>
      <c r="L336" s="28"/>
      <c r="M336" s="28"/>
      <c r="N336" s="28"/>
      <c r="O336" s="28"/>
      <c r="P336" s="28"/>
      <c r="Q336" s="28"/>
      <c r="R336" s="28"/>
      <c r="S336" s="28"/>
      <c r="T336" s="28"/>
      <c r="U336" s="3"/>
    </row>
    <row r="337" spans="1:21" ht="15.75" customHeight="1" x14ac:dyDescent="0.3">
      <c r="A337" s="3"/>
      <c r="B337" s="3"/>
      <c r="C337" s="28"/>
      <c r="D337" s="28"/>
      <c r="E337" s="28"/>
      <c r="F337" s="28"/>
      <c r="G337" s="89"/>
      <c r="H337" s="89"/>
      <c r="I337" s="90"/>
      <c r="J337" s="89"/>
      <c r="K337" s="28"/>
      <c r="L337" s="28"/>
      <c r="M337" s="28"/>
      <c r="N337" s="28"/>
      <c r="O337" s="28"/>
      <c r="P337" s="28"/>
      <c r="Q337" s="28"/>
      <c r="R337" s="28"/>
      <c r="S337" s="28"/>
      <c r="T337" s="28"/>
      <c r="U337" s="3"/>
    </row>
    <row r="338" spans="1:21" ht="15.75" customHeight="1" x14ac:dyDescent="0.3">
      <c r="A338" s="3"/>
      <c r="B338" s="3"/>
      <c r="C338" s="28"/>
      <c r="D338" s="28"/>
      <c r="E338" s="28"/>
      <c r="F338" s="28"/>
      <c r="G338" s="89"/>
      <c r="H338" s="89"/>
      <c r="I338" s="90"/>
      <c r="J338" s="89"/>
      <c r="K338" s="28"/>
      <c r="L338" s="28"/>
      <c r="M338" s="28"/>
      <c r="N338" s="28"/>
      <c r="O338" s="28"/>
      <c r="P338" s="28"/>
      <c r="Q338" s="28"/>
      <c r="R338" s="28"/>
      <c r="S338" s="28"/>
      <c r="T338" s="28"/>
      <c r="U338" s="3"/>
    </row>
    <row r="339" spans="1:21" ht="15.75" customHeight="1" x14ac:dyDescent="0.3">
      <c r="A339" s="3"/>
      <c r="B339" s="3"/>
      <c r="C339" s="28"/>
      <c r="D339" s="28"/>
      <c r="E339" s="28"/>
      <c r="F339" s="28"/>
      <c r="G339" s="89"/>
      <c r="H339" s="89"/>
      <c r="I339" s="90"/>
      <c r="J339" s="89"/>
      <c r="K339" s="28"/>
      <c r="L339" s="28"/>
      <c r="M339" s="28"/>
      <c r="N339" s="28"/>
      <c r="O339" s="28"/>
      <c r="P339" s="28"/>
      <c r="Q339" s="28"/>
      <c r="R339" s="28"/>
      <c r="S339" s="28"/>
      <c r="T339" s="28"/>
      <c r="U339" s="3"/>
    </row>
    <row r="340" spans="1:21" ht="15.75" customHeight="1" x14ac:dyDescent="0.3">
      <c r="A340" s="3"/>
      <c r="B340" s="3"/>
      <c r="C340" s="28"/>
      <c r="D340" s="28"/>
      <c r="E340" s="28"/>
      <c r="F340" s="28"/>
      <c r="G340" s="89"/>
      <c r="H340" s="89"/>
      <c r="I340" s="90"/>
      <c r="J340" s="89"/>
      <c r="K340" s="28"/>
      <c r="L340" s="28"/>
      <c r="M340" s="28"/>
      <c r="N340" s="28"/>
      <c r="O340" s="28"/>
      <c r="P340" s="28"/>
      <c r="Q340" s="28"/>
      <c r="R340" s="28"/>
      <c r="S340" s="28"/>
      <c r="T340" s="28"/>
      <c r="U340" s="3"/>
    </row>
    <row r="341" spans="1:21" ht="15.75" customHeight="1" x14ac:dyDescent="0.3">
      <c r="A341" s="3"/>
      <c r="B341" s="3"/>
      <c r="C341" s="28"/>
      <c r="D341" s="28"/>
      <c r="E341" s="28"/>
      <c r="F341" s="28"/>
      <c r="G341" s="89"/>
      <c r="H341" s="89"/>
      <c r="I341" s="90"/>
      <c r="J341" s="89"/>
      <c r="K341" s="28"/>
      <c r="L341" s="28"/>
      <c r="M341" s="28"/>
      <c r="N341" s="28"/>
      <c r="O341" s="28"/>
      <c r="P341" s="28"/>
      <c r="Q341" s="28"/>
      <c r="R341" s="28"/>
      <c r="S341" s="28"/>
      <c r="T341" s="28"/>
      <c r="U341" s="3"/>
    </row>
    <row r="342" spans="1:21" ht="15.75" customHeight="1" x14ac:dyDescent="0.3">
      <c r="A342" s="3"/>
      <c r="B342" s="3"/>
      <c r="C342" s="28"/>
      <c r="D342" s="28"/>
      <c r="E342" s="28"/>
      <c r="F342" s="28"/>
      <c r="G342" s="89"/>
      <c r="H342" s="89"/>
      <c r="I342" s="90"/>
      <c r="J342" s="89"/>
      <c r="K342" s="28"/>
      <c r="L342" s="28"/>
      <c r="M342" s="28"/>
      <c r="N342" s="28"/>
      <c r="O342" s="28"/>
      <c r="P342" s="28"/>
      <c r="Q342" s="28"/>
      <c r="R342" s="28"/>
      <c r="S342" s="28"/>
      <c r="T342" s="28"/>
      <c r="U342" s="3"/>
    </row>
    <row r="343" spans="1:21" ht="15.75" customHeight="1" x14ac:dyDescent="0.3">
      <c r="A343" s="3"/>
      <c r="B343" s="3"/>
      <c r="C343" s="28"/>
      <c r="D343" s="28"/>
      <c r="E343" s="28"/>
      <c r="F343" s="28"/>
      <c r="G343" s="89"/>
      <c r="H343" s="89"/>
      <c r="I343" s="90"/>
      <c r="J343" s="89"/>
      <c r="K343" s="28"/>
      <c r="L343" s="28"/>
      <c r="M343" s="28"/>
      <c r="N343" s="28"/>
      <c r="O343" s="28"/>
      <c r="P343" s="28"/>
      <c r="Q343" s="28"/>
      <c r="R343" s="28"/>
      <c r="S343" s="28"/>
      <c r="T343" s="28"/>
      <c r="U343" s="3"/>
    </row>
    <row r="344" spans="1:21" ht="15.75" customHeight="1" x14ac:dyDescent="0.3">
      <c r="A344" s="3"/>
      <c r="B344" s="3"/>
      <c r="C344" s="28"/>
      <c r="D344" s="28"/>
      <c r="E344" s="28"/>
      <c r="F344" s="28"/>
      <c r="G344" s="89"/>
      <c r="H344" s="89"/>
      <c r="I344" s="90"/>
      <c r="J344" s="89"/>
      <c r="K344" s="28"/>
      <c r="L344" s="28"/>
      <c r="M344" s="28"/>
      <c r="N344" s="28"/>
      <c r="O344" s="28"/>
      <c r="P344" s="28"/>
      <c r="Q344" s="28"/>
      <c r="R344" s="28"/>
      <c r="S344" s="28"/>
      <c r="T344" s="28"/>
      <c r="U344" s="3"/>
    </row>
    <row r="345" spans="1:21" ht="15.75" customHeight="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1" ht="15.75" customHeight="1"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1" ht="15.7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1" ht="15.7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1" ht="15.7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1" ht="15.7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1" ht="15.7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1"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5.7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5.7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5.7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5.7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5.7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5.7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5.7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5.7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5.7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5.7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5.7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5.7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5.7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5.7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5.7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5.7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5.7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5.7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5.7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5.7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5.7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5.7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5.7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5.7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5.7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5.7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5.7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5.7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5.7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5.7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5.7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5.7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5.7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5.7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5.7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5.7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5.7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5.7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5.7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5.7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5.7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5.7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5.7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5.7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5.7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5.7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5.7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5.7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5.7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5.7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5.7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5.7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5.7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5.7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5.7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5.7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5.7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5.7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5.7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5.7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5.7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5.7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5.7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5.7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5.7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5.7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5.7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5.7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5.7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5.7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5.7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5.7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5.7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5.7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5.7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5.7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5.7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5.7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5.7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5.7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5.7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5.7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5.7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5.7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5.7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5.7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5.7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5.7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5.7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5.7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5.7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5.7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5.7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5.7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5.7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5.7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5.7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5.7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5.7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5.7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5.7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5.7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5.7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5.7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5.7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5.7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5.7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5.7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5.7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5.7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5.7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5.7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5.7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5.7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5.7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5.7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5.7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5.7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5.7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5.7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5.7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5.7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5.7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5.7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5.7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5.7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5.7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5.7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5.7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5.7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5.7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5.7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5.7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5.7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5.7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5.7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5.7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5.7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5.7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5.7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5.7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5.7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5.7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5.7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5.7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5.7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5.7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5.7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5.7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5.7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5.7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5.7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5.7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5.7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5.7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5.7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5.7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5.7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5.7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5.7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5.7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5.7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5.7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5.7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5.7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5.7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5.7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5.7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5.7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5.7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5.7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5.7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5.7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5.7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5.7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5.7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328" xr:uid="{00000000-0009-0000-0000-000013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8 D140:D148 D151:D155 D157:D161 D163:D167 D169:D173 D175:D179 D181:D258 D261:D269 D271:D279 D281:D289 D291:D299 D301:D309 D311:D328" xr:uid="{00000000-0002-0000-1300-000001000000}">
      <formula1>"OK,Parcial,Pendente"</formula1>
    </dataValidation>
  </dataValidations>
  <hyperlinks>
    <hyperlink ref="I7" r:id="rId1" xr:uid="{00000000-0004-0000-1300-000000000000}"/>
    <hyperlink ref="I10" r:id="rId2" xr:uid="{00000000-0004-0000-1300-000001000000}"/>
    <hyperlink ref="I11" r:id="rId3" xr:uid="{00000000-0004-0000-1300-000002000000}"/>
    <hyperlink ref="I12" r:id="rId4" xr:uid="{00000000-0004-0000-1300-000003000000}"/>
    <hyperlink ref="I15" r:id="rId5" xr:uid="{00000000-0004-0000-1300-000004000000}"/>
    <hyperlink ref="I17" r:id="rId6" xr:uid="{00000000-0004-0000-1300-000005000000}"/>
    <hyperlink ref="I22" r:id="rId7" xr:uid="{00000000-0004-0000-1300-000006000000}"/>
    <hyperlink ref="I29" r:id="rId8" xr:uid="{00000000-0004-0000-1300-000007000000}"/>
    <hyperlink ref="I33" r:id="rId9" xr:uid="{00000000-0004-0000-1300-000008000000}"/>
    <hyperlink ref="I39" r:id="rId10" xr:uid="{00000000-0004-0000-1300-000009000000}"/>
    <hyperlink ref="I40" r:id="rId11" xr:uid="{00000000-0004-0000-1300-00000A000000}"/>
    <hyperlink ref="I42" r:id="rId12" xr:uid="{00000000-0004-0000-1300-00000B000000}"/>
    <hyperlink ref="I43" r:id="rId13" xr:uid="{00000000-0004-0000-1300-00000C000000}"/>
    <hyperlink ref="I44" r:id="rId14" xr:uid="{00000000-0004-0000-1300-00000D000000}"/>
    <hyperlink ref="I45" r:id="rId15" xr:uid="{00000000-0004-0000-1300-00000E000000}"/>
    <hyperlink ref="I46" r:id="rId16" xr:uid="{00000000-0004-0000-1300-00000F000000}"/>
    <hyperlink ref="I47" r:id="rId17" xr:uid="{00000000-0004-0000-1300-000010000000}"/>
    <hyperlink ref="I48" r:id="rId18" xr:uid="{00000000-0004-0000-1300-000011000000}"/>
    <hyperlink ref="I64" r:id="rId19" xr:uid="{00000000-0004-0000-1300-000012000000}"/>
    <hyperlink ref="I65" r:id="rId20" xr:uid="{00000000-0004-0000-1300-000013000000}"/>
    <hyperlink ref="I66" r:id="rId21" xr:uid="{00000000-0004-0000-1300-000014000000}"/>
    <hyperlink ref="I67" r:id="rId22" xr:uid="{00000000-0004-0000-1300-000015000000}"/>
    <hyperlink ref="I68" r:id="rId23" xr:uid="{00000000-0004-0000-1300-000016000000}"/>
    <hyperlink ref="I73" r:id="rId24" xr:uid="{00000000-0004-0000-1300-000017000000}"/>
    <hyperlink ref="I77" r:id="rId25" xr:uid="{00000000-0004-0000-1300-000018000000}"/>
    <hyperlink ref="I79" r:id="rId26" xr:uid="{00000000-0004-0000-1300-000019000000}"/>
    <hyperlink ref="I81" r:id="rId27" xr:uid="{00000000-0004-0000-1300-00001A000000}"/>
    <hyperlink ref="I82" r:id="rId28" xr:uid="{00000000-0004-0000-1300-00001B000000}"/>
    <hyperlink ref="I151" r:id="rId29" xr:uid="{00000000-0004-0000-1300-00001C000000}"/>
    <hyperlink ref="I152" r:id="rId30" xr:uid="{00000000-0004-0000-1300-00001D000000}"/>
    <hyperlink ref="I153" r:id="rId31" xr:uid="{00000000-0004-0000-1300-00001E000000}"/>
    <hyperlink ref="I154" r:id="rId32" xr:uid="{00000000-0004-0000-1300-00001F000000}"/>
    <hyperlink ref="I181" r:id="rId33" xr:uid="{00000000-0004-0000-1300-000020000000}"/>
    <hyperlink ref="I182" r:id="rId34" xr:uid="{00000000-0004-0000-1300-000021000000}"/>
    <hyperlink ref="I183" r:id="rId35" xr:uid="{00000000-0004-0000-1300-000022000000}"/>
    <hyperlink ref="I184" r:id="rId36" xr:uid="{00000000-0004-0000-1300-000023000000}"/>
    <hyperlink ref="I210" r:id="rId37" xr:uid="{00000000-0004-0000-1300-000024000000}"/>
    <hyperlink ref="I211" r:id="rId38" xr:uid="{00000000-0004-0000-1300-000025000000}"/>
    <hyperlink ref="I212" r:id="rId39" xr:uid="{00000000-0004-0000-1300-000026000000}"/>
    <hyperlink ref="I241" r:id="rId40" xr:uid="{00000000-0004-0000-1300-000027000000}"/>
    <hyperlink ref="I320" r:id="rId41" xr:uid="{00000000-0004-0000-1300-000028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300-000000000000}">
          <x14:formula1>
            <xm:f>Caixa!$B$5:$B$8</xm:f>
          </x14:formula1>
          <xm:sqref>H7:H15 H17:H29 H31:H33 H35:H37 H39:H62 H64:H86 H89:H103 H105:H108 H110:H112 H115:H119 H121:H138 H140:H148 H151:H155 H157:H161 H163:H167 H169:H173 H175:H179 H181:H208 H210:H218 H220:H228 H230:H238 H240:H248 H250:H258 H261:H269 H271:H279 H281:H289 H291:H299 H301:H309 H311:H328</xm:sqref>
        </x14:dataValidation>
        <x14:dataValidation type="list" allowBlank="1" showErrorMessage="1" xr:uid="{00000000-0002-0000-1300-000002000000}">
          <x14:formula1>
            <xm:f>'Plano de contas DG'!$C$43:$C$145</xm:f>
          </x14:formula1>
          <xm:sqref>J241</xm:sqref>
        </x14:dataValidation>
        <x14:dataValidation type="list" allowBlank="1" showErrorMessage="1" xr:uid="{00000000-0002-0000-1300-000003000000}">
          <x14:formula1>
            <xm:f>'Plano de contas DG'!$C$5:$C$145</xm:f>
          </x14:formula1>
          <xm:sqref>J6:J240 J242:J328</xm:sqref>
        </x14:dataValidation>
        <x14:dataValidation type="list" allowBlank="1" showErrorMessage="1" xr:uid="{00000000-0002-0000-1300-000004000000}">
          <x14:formula1>
            <xm:f>Caixa!$B$5:$B$7</xm:f>
          </x14:formula1>
          <xm:sqref>H16 H34 H87:H88 H104 H109 H113:H114 H120 H209 H219 H229 H239 H249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14.4"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SUM(E6,E126,E154,E184,E188)</f>
        <v>15353.679999999997</v>
      </c>
      <c r="F4" s="18">
        <f t="shared" si="0"/>
        <v>35715</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SUM(E7:E125)</f>
        <v>15353.679999999997</v>
      </c>
      <c r="F6" s="48">
        <f>SUMIF(D7:D125,"OK",F7:F125)+SUMIF(D7:D125,"Parcial",F7:F125)</f>
        <v>15831.830000000002</v>
      </c>
      <c r="G6" s="107" t="s">
        <v>44</v>
      </c>
      <c r="H6" s="50"/>
      <c r="I6" s="50"/>
      <c r="J6" s="51">
        <f>(COUNTIF(D7:D125,"Pendente")+COUNTIF(D7:D125,"Parcial"))/COUNTA(B7:B125)</f>
        <v>0.10309278350515463</v>
      </c>
      <c r="K6" s="51">
        <f>IFERROR(-(X6/E6),"Pendente info")</f>
        <v>7.1058534501174997E-2</v>
      </c>
      <c r="L6" s="91">
        <f>SUM(L7:L104)/COUNTA(B7:B104)</f>
        <v>0.20618556701030927</v>
      </c>
      <c r="M6" s="48">
        <f t="shared" ref="M6:U6" si="1">SUMIF($D$7:$D$125,"OK",M7:M125)+SUMIF($D$7:$D$125,"Parcial",M7:M125)</f>
        <v>9413.4900000000034</v>
      </c>
      <c r="N6" s="48">
        <f t="shared" si="1"/>
        <v>2063.8799999999983</v>
      </c>
      <c r="O6" s="48">
        <f t="shared" si="1"/>
        <v>1008</v>
      </c>
      <c r="P6" s="48">
        <f t="shared" si="1"/>
        <v>179.05999999999995</v>
      </c>
      <c r="Q6" s="48">
        <f t="shared" si="1"/>
        <v>160</v>
      </c>
      <c r="R6" s="48">
        <f t="shared" si="1"/>
        <v>160</v>
      </c>
      <c r="S6" s="48">
        <f t="shared" si="1"/>
        <v>232</v>
      </c>
      <c r="T6" s="48">
        <f t="shared" si="1"/>
        <v>600</v>
      </c>
      <c r="U6" s="48">
        <f t="shared" si="1"/>
        <v>2015.4</v>
      </c>
      <c r="V6" s="47" t="s">
        <v>44</v>
      </c>
      <c r="W6" s="35" t="str">
        <f t="shared" ref="W6:W125" si="2">IF(F6=SUM(M6:U6),"OK","Diferente")</f>
        <v>OK</v>
      </c>
      <c r="X6" s="38">
        <f>SUM(X7:X125)</f>
        <v>-1091.0100000000002</v>
      </c>
      <c r="Y6" s="14">
        <f>SUM(M6:U6)-F6</f>
        <v>0</v>
      </c>
      <c r="Z6" s="3"/>
    </row>
    <row r="7" spans="1:26" ht="14.4" hidden="1" outlineLevel="1" x14ac:dyDescent="0.3">
      <c r="A7" s="3"/>
      <c r="B7" s="99" t="s">
        <v>423</v>
      </c>
      <c r="C7" s="53"/>
      <c r="D7" s="53" t="s">
        <v>95</v>
      </c>
      <c r="E7" s="11">
        <f t="shared" ref="E7:E28" si="3">SUM(M7:U7)</f>
        <v>0</v>
      </c>
      <c r="F7" s="92"/>
      <c r="G7" s="58"/>
      <c r="H7" s="54"/>
      <c r="I7" s="54"/>
      <c r="J7" s="55"/>
      <c r="K7" s="53"/>
      <c r="L7" s="53" t="str">
        <f t="shared" ref="L7:L125" si="4">IF(C7&gt;=13,1,"")</f>
        <v/>
      </c>
      <c r="M7" s="11"/>
      <c r="N7" s="11"/>
      <c r="O7" s="11"/>
      <c r="P7" s="11"/>
      <c r="Q7" s="11"/>
      <c r="R7" s="11"/>
      <c r="S7" s="11"/>
      <c r="T7" s="11"/>
      <c r="U7" s="11"/>
      <c r="V7" s="56"/>
      <c r="W7" s="35" t="str">
        <f t="shared" si="2"/>
        <v>OK</v>
      </c>
      <c r="X7" s="38" t="str">
        <f t="shared" ref="X7:X125" si="5">IF(W7="Diferente",F7-SUM(M7:U7),"")</f>
        <v/>
      </c>
      <c r="Y7" s="3"/>
      <c r="Z7" s="116"/>
    </row>
    <row r="8" spans="1:26" ht="14.4" hidden="1" outlineLevel="1" x14ac:dyDescent="0.3">
      <c r="A8" s="3"/>
      <c r="B8" s="99" t="s">
        <v>425</v>
      </c>
      <c r="C8" s="53"/>
      <c r="D8" s="53" t="s">
        <v>95</v>
      </c>
      <c r="E8" s="11">
        <f t="shared" si="3"/>
        <v>0</v>
      </c>
      <c r="F8" s="92"/>
      <c r="G8" s="58"/>
      <c r="H8" s="54"/>
      <c r="I8" s="54"/>
      <c r="J8" s="55"/>
      <c r="K8" s="53"/>
      <c r="L8" s="53" t="str">
        <f t="shared" si="4"/>
        <v/>
      </c>
      <c r="M8" s="11"/>
      <c r="N8" s="11"/>
      <c r="O8" s="11"/>
      <c r="P8" s="11"/>
      <c r="Q8" s="11"/>
      <c r="R8" s="11"/>
      <c r="S8" s="11"/>
      <c r="T8" s="11"/>
      <c r="U8" s="11"/>
      <c r="V8" s="56"/>
      <c r="W8" s="35" t="str">
        <f t="shared" si="2"/>
        <v>OK</v>
      </c>
      <c r="X8" s="38" t="str">
        <f t="shared" si="5"/>
        <v/>
      </c>
      <c r="Y8" s="3"/>
      <c r="Z8" s="116"/>
    </row>
    <row r="9" spans="1:26" ht="14.4" hidden="1" outlineLevel="1" x14ac:dyDescent="0.3">
      <c r="A9" s="3"/>
      <c r="B9" s="99" t="s">
        <v>426</v>
      </c>
      <c r="C9" s="53"/>
      <c r="D9" s="53" t="s">
        <v>95</v>
      </c>
      <c r="E9" s="11">
        <f t="shared" si="3"/>
        <v>0</v>
      </c>
      <c r="F9" s="92"/>
      <c r="G9" s="58"/>
      <c r="H9" s="54"/>
      <c r="I9" s="54"/>
      <c r="J9" s="55"/>
      <c r="K9" s="53"/>
      <c r="L9" s="53" t="str">
        <f t="shared" si="4"/>
        <v/>
      </c>
      <c r="M9" s="11"/>
      <c r="N9" s="11"/>
      <c r="O9" s="11"/>
      <c r="P9" s="11"/>
      <c r="Q9" s="11"/>
      <c r="R9" s="11"/>
      <c r="S9" s="11"/>
      <c r="T9" s="11"/>
      <c r="U9" s="11"/>
      <c r="V9" s="56"/>
      <c r="W9" s="35" t="str">
        <f t="shared" si="2"/>
        <v>OK</v>
      </c>
      <c r="X9" s="38" t="str">
        <f t="shared" si="5"/>
        <v/>
      </c>
      <c r="Y9" s="3"/>
      <c r="Z9" s="116"/>
    </row>
    <row r="10" spans="1:26" ht="14.4" hidden="1" outlineLevel="1" x14ac:dyDescent="0.3">
      <c r="A10" s="3"/>
      <c r="B10" s="99" t="s">
        <v>427</v>
      </c>
      <c r="C10" s="53"/>
      <c r="D10" s="53" t="s">
        <v>95</v>
      </c>
      <c r="E10" s="11">
        <f t="shared" si="3"/>
        <v>0</v>
      </c>
      <c r="F10" s="92"/>
      <c r="G10" s="58"/>
      <c r="H10" s="54"/>
      <c r="I10" s="54"/>
      <c r="J10" s="55"/>
      <c r="K10" s="53"/>
      <c r="L10" s="53" t="str">
        <f t="shared" si="4"/>
        <v/>
      </c>
      <c r="M10" s="11"/>
      <c r="N10" s="11"/>
      <c r="O10" s="11"/>
      <c r="P10" s="11"/>
      <c r="Q10" s="11"/>
      <c r="R10" s="11"/>
      <c r="S10" s="11"/>
      <c r="T10" s="11"/>
      <c r="U10" s="11"/>
      <c r="V10" s="56"/>
      <c r="W10" s="35" t="str">
        <f t="shared" si="2"/>
        <v>OK</v>
      </c>
      <c r="X10" s="38" t="str">
        <f t="shared" si="5"/>
        <v/>
      </c>
      <c r="Y10" s="3"/>
      <c r="Z10" s="116"/>
    </row>
    <row r="11" spans="1:26" ht="14.4" hidden="1" outlineLevel="1" x14ac:dyDescent="0.3">
      <c r="A11" s="3"/>
      <c r="B11" s="99" t="s">
        <v>428</v>
      </c>
      <c r="C11" s="53">
        <v>10</v>
      </c>
      <c r="D11" s="53" t="s">
        <v>95</v>
      </c>
      <c r="E11" s="11">
        <f t="shared" si="3"/>
        <v>213.43</v>
      </c>
      <c r="F11" s="92">
        <f t="shared" ref="F11:F22" si="6">E11</f>
        <v>213.43</v>
      </c>
      <c r="G11" s="58"/>
      <c r="H11" s="54" t="s">
        <v>37</v>
      </c>
      <c r="I11" s="54"/>
      <c r="J11" s="55"/>
      <c r="K11" s="53"/>
      <c r="L11" s="53" t="str">
        <f t="shared" si="4"/>
        <v/>
      </c>
      <c r="M11" s="11">
        <v>148</v>
      </c>
      <c r="N11" s="11">
        <v>24.57</v>
      </c>
      <c r="O11" s="11">
        <v>12</v>
      </c>
      <c r="P11" s="11">
        <v>3.86</v>
      </c>
      <c r="Q11" s="11">
        <v>5</v>
      </c>
      <c r="R11" s="11"/>
      <c r="S11" s="11"/>
      <c r="T11" s="11"/>
      <c r="U11" s="11">
        <v>20</v>
      </c>
      <c r="V11" s="56" t="s">
        <v>1405</v>
      </c>
      <c r="W11" s="35" t="str">
        <f t="shared" si="2"/>
        <v>OK</v>
      </c>
      <c r="X11" s="38" t="str">
        <f t="shared" si="5"/>
        <v/>
      </c>
      <c r="Y11" s="3"/>
      <c r="Z11" s="116"/>
    </row>
    <row r="12" spans="1:26" ht="14.4" hidden="1" outlineLevel="1" x14ac:dyDescent="0.3">
      <c r="A12" s="3"/>
      <c r="B12" s="99" t="s">
        <v>429</v>
      </c>
      <c r="C12" s="53">
        <v>10</v>
      </c>
      <c r="D12" s="53" t="s">
        <v>95</v>
      </c>
      <c r="E12" s="11">
        <f t="shared" si="3"/>
        <v>186.57</v>
      </c>
      <c r="F12" s="92">
        <f t="shared" si="6"/>
        <v>186.57</v>
      </c>
      <c r="G12" s="58"/>
      <c r="H12" s="54" t="s">
        <v>37</v>
      </c>
      <c r="I12" s="54"/>
      <c r="J12" s="55"/>
      <c r="K12" s="53"/>
      <c r="L12" s="53" t="str">
        <f t="shared" si="4"/>
        <v/>
      </c>
      <c r="M12" s="11">
        <v>148</v>
      </c>
      <c r="N12" s="11">
        <v>24.57</v>
      </c>
      <c r="O12" s="11">
        <v>12</v>
      </c>
      <c r="P12" s="11">
        <v>2</v>
      </c>
      <c r="Q12" s="11"/>
      <c r="R12" s="11"/>
      <c r="S12" s="11"/>
      <c r="T12" s="11"/>
      <c r="U12" s="11"/>
      <c r="V12" s="56"/>
      <c r="W12" s="35" t="str">
        <f t="shared" si="2"/>
        <v>OK</v>
      </c>
      <c r="X12" s="38" t="str">
        <f t="shared" si="5"/>
        <v/>
      </c>
      <c r="Y12" s="3"/>
      <c r="Z12" s="116"/>
    </row>
    <row r="13" spans="1:26" ht="14.4" hidden="1" outlineLevel="1" x14ac:dyDescent="0.3">
      <c r="A13" s="3"/>
      <c r="B13" s="99" t="s">
        <v>430</v>
      </c>
      <c r="C13" s="53">
        <v>19</v>
      </c>
      <c r="D13" s="53" t="s">
        <v>95</v>
      </c>
      <c r="E13" s="11">
        <f t="shared" si="3"/>
        <v>358.49</v>
      </c>
      <c r="F13" s="92">
        <f t="shared" si="6"/>
        <v>358.49</v>
      </c>
      <c r="G13" s="58"/>
      <c r="H13" s="54" t="s">
        <v>37</v>
      </c>
      <c r="I13" s="54"/>
      <c r="J13" s="55"/>
      <c r="K13" s="53"/>
      <c r="L13" s="53">
        <f t="shared" si="4"/>
        <v>1</v>
      </c>
      <c r="M13" s="11">
        <v>130.47999999999999</v>
      </c>
      <c r="N13" s="11">
        <v>24.57</v>
      </c>
      <c r="O13" s="11">
        <v>12</v>
      </c>
      <c r="P13" s="11">
        <v>1.44</v>
      </c>
      <c r="Q13" s="11">
        <v>10</v>
      </c>
      <c r="R13" s="11">
        <v>20</v>
      </c>
      <c r="S13" s="11">
        <v>50</v>
      </c>
      <c r="T13" s="11">
        <v>50</v>
      </c>
      <c r="U13" s="11">
        <v>60</v>
      </c>
      <c r="V13" s="56" t="s">
        <v>1406</v>
      </c>
      <c r="W13" s="35" t="str">
        <f t="shared" si="2"/>
        <v>OK</v>
      </c>
      <c r="X13" s="38" t="str">
        <f t="shared" si="5"/>
        <v/>
      </c>
      <c r="Y13" s="3"/>
      <c r="Z13" s="116"/>
    </row>
    <row r="14" spans="1:26" ht="14.4" hidden="1" outlineLevel="1" x14ac:dyDescent="0.3">
      <c r="A14" s="3"/>
      <c r="B14" s="99" t="s">
        <v>432</v>
      </c>
      <c r="C14" s="53">
        <v>19</v>
      </c>
      <c r="D14" s="53" t="s">
        <v>95</v>
      </c>
      <c r="E14" s="11">
        <f t="shared" si="3"/>
        <v>231.29</v>
      </c>
      <c r="F14" s="92">
        <f t="shared" si="6"/>
        <v>231.29</v>
      </c>
      <c r="G14" s="58"/>
      <c r="H14" s="54" t="s">
        <v>37</v>
      </c>
      <c r="I14" s="54"/>
      <c r="J14" s="55"/>
      <c r="K14" s="53"/>
      <c r="L14" s="53">
        <f t="shared" si="4"/>
        <v>1</v>
      </c>
      <c r="M14" s="11">
        <v>98.28</v>
      </c>
      <c r="N14" s="11">
        <v>24.57</v>
      </c>
      <c r="O14" s="11">
        <v>12</v>
      </c>
      <c r="P14" s="11">
        <v>1.44</v>
      </c>
      <c r="Q14" s="11">
        <v>5</v>
      </c>
      <c r="R14" s="11"/>
      <c r="S14" s="11"/>
      <c r="T14" s="11">
        <v>50</v>
      </c>
      <c r="U14" s="11">
        <v>40</v>
      </c>
      <c r="V14" s="56" t="s">
        <v>1407</v>
      </c>
      <c r="W14" s="35" t="str">
        <f t="shared" si="2"/>
        <v>OK</v>
      </c>
      <c r="X14" s="38" t="str">
        <f t="shared" si="5"/>
        <v/>
      </c>
      <c r="Y14" s="3"/>
      <c r="Z14" s="116"/>
    </row>
    <row r="15" spans="1:26" ht="18" hidden="1" customHeight="1" outlineLevel="1" x14ac:dyDescent="0.3">
      <c r="A15" s="3"/>
      <c r="B15" s="99" t="s">
        <v>433</v>
      </c>
      <c r="C15" s="53">
        <v>7</v>
      </c>
      <c r="D15" s="53" t="s">
        <v>95</v>
      </c>
      <c r="E15" s="11">
        <f t="shared" si="3"/>
        <v>238.5</v>
      </c>
      <c r="F15" s="92">
        <f t="shared" si="6"/>
        <v>238.5</v>
      </c>
      <c r="G15" s="58"/>
      <c r="H15" s="54" t="s">
        <v>37</v>
      </c>
      <c r="I15" s="54"/>
      <c r="J15" s="55"/>
      <c r="K15" s="53"/>
      <c r="L15" s="53" t="str">
        <f t="shared" si="4"/>
        <v/>
      </c>
      <c r="M15" s="11">
        <v>61.99</v>
      </c>
      <c r="N15" s="11">
        <v>24.57</v>
      </c>
      <c r="O15" s="11">
        <v>12</v>
      </c>
      <c r="P15" s="11">
        <v>1.44</v>
      </c>
      <c r="Q15" s="11">
        <v>0</v>
      </c>
      <c r="R15" s="11">
        <v>0</v>
      </c>
      <c r="S15" s="11">
        <v>0</v>
      </c>
      <c r="T15" s="11"/>
      <c r="U15" s="11">
        <v>138.5</v>
      </c>
      <c r="V15" s="56" t="s">
        <v>1408</v>
      </c>
      <c r="W15" s="35" t="str">
        <f t="shared" si="2"/>
        <v>OK</v>
      </c>
      <c r="X15" s="38" t="str">
        <f t="shared" si="5"/>
        <v/>
      </c>
      <c r="Y15" s="3"/>
      <c r="Z15" s="116"/>
    </row>
    <row r="16" spans="1:26" ht="18" hidden="1" customHeight="1" outlineLevel="1" x14ac:dyDescent="0.3">
      <c r="A16" s="3"/>
      <c r="B16" s="99" t="s">
        <v>1409</v>
      </c>
      <c r="C16" s="53">
        <v>7</v>
      </c>
      <c r="D16" s="53" t="s">
        <v>95</v>
      </c>
      <c r="E16" s="11">
        <f t="shared" si="3"/>
        <v>100</v>
      </c>
      <c r="F16" s="92">
        <f t="shared" si="6"/>
        <v>100</v>
      </c>
      <c r="G16" s="58"/>
      <c r="H16" s="54" t="s">
        <v>37</v>
      </c>
      <c r="I16" s="54"/>
      <c r="J16" s="55"/>
      <c r="K16" s="53"/>
      <c r="L16" s="53" t="str">
        <f t="shared" si="4"/>
        <v/>
      </c>
      <c r="M16" s="11">
        <v>61.99</v>
      </c>
      <c r="N16" s="11">
        <v>24.57</v>
      </c>
      <c r="O16" s="11">
        <v>12</v>
      </c>
      <c r="P16" s="11">
        <v>1.44</v>
      </c>
      <c r="Q16" s="11">
        <v>0</v>
      </c>
      <c r="R16" s="11">
        <v>0</v>
      </c>
      <c r="S16" s="11"/>
      <c r="T16" s="11"/>
      <c r="U16" s="11"/>
      <c r="V16" s="56" t="s">
        <v>1407</v>
      </c>
      <c r="W16" s="35" t="str">
        <f t="shared" si="2"/>
        <v>OK</v>
      </c>
      <c r="X16" s="38" t="str">
        <f t="shared" si="5"/>
        <v/>
      </c>
      <c r="Y16" s="3"/>
      <c r="Z16" s="116"/>
    </row>
    <row r="17" spans="1:26" ht="14.4" hidden="1" outlineLevel="1" x14ac:dyDescent="0.3">
      <c r="A17" s="3"/>
      <c r="B17" s="99" t="s">
        <v>435</v>
      </c>
      <c r="C17" s="53">
        <v>10</v>
      </c>
      <c r="D17" s="53" t="s">
        <v>95</v>
      </c>
      <c r="E17" s="11">
        <f t="shared" si="3"/>
        <v>275.19</v>
      </c>
      <c r="F17" s="92">
        <f t="shared" si="6"/>
        <v>275.19</v>
      </c>
      <c r="G17" s="58"/>
      <c r="H17" s="54" t="s">
        <v>37</v>
      </c>
      <c r="I17" s="54"/>
      <c r="J17" s="55"/>
      <c r="K17" s="53"/>
      <c r="L17" s="53" t="str">
        <f t="shared" si="4"/>
        <v/>
      </c>
      <c r="M17" s="11">
        <f>191.18+41</f>
        <v>232.18</v>
      </c>
      <c r="N17" s="11">
        <v>24.57</v>
      </c>
      <c r="O17" s="11">
        <v>12</v>
      </c>
      <c r="P17" s="11">
        <v>1.44</v>
      </c>
      <c r="Q17" s="11">
        <v>5</v>
      </c>
      <c r="R17" s="11"/>
      <c r="S17" s="11"/>
      <c r="T17" s="11"/>
      <c r="U17" s="11"/>
      <c r="V17" s="56"/>
      <c r="W17" s="35" t="str">
        <f t="shared" si="2"/>
        <v>OK</v>
      </c>
      <c r="X17" s="38" t="str">
        <f t="shared" si="5"/>
        <v/>
      </c>
      <c r="Y17" s="3"/>
      <c r="Z17" s="116"/>
    </row>
    <row r="18" spans="1:26" ht="14.4" hidden="1" outlineLevel="1" x14ac:dyDescent="0.3">
      <c r="A18" s="3"/>
      <c r="B18" s="99" t="s">
        <v>436</v>
      </c>
      <c r="C18" s="53">
        <v>10</v>
      </c>
      <c r="D18" s="53" t="s">
        <v>95</v>
      </c>
      <c r="E18" s="11">
        <f t="shared" si="3"/>
        <v>173.98999999999998</v>
      </c>
      <c r="F18" s="92">
        <f t="shared" si="6"/>
        <v>173.98999999999998</v>
      </c>
      <c r="G18" s="58"/>
      <c r="H18" s="54" t="s">
        <v>37</v>
      </c>
      <c r="I18" s="54"/>
      <c r="J18" s="55"/>
      <c r="K18" s="53"/>
      <c r="L18" s="53" t="str">
        <f t="shared" si="4"/>
        <v/>
      </c>
      <c r="M18" s="11">
        <v>135.97999999999999</v>
      </c>
      <c r="N18" s="11">
        <v>24.57</v>
      </c>
      <c r="O18" s="11">
        <v>12</v>
      </c>
      <c r="P18" s="11">
        <v>1.44</v>
      </c>
      <c r="Q18" s="11"/>
      <c r="R18" s="11"/>
      <c r="S18" s="11"/>
      <c r="T18" s="11"/>
      <c r="U18" s="11"/>
      <c r="V18" s="56"/>
      <c r="W18" s="35" t="str">
        <f t="shared" si="2"/>
        <v>OK</v>
      </c>
      <c r="X18" s="38" t="str">
        <f t="shared" si="5"/>
        <v/>
      </c>
      <c r="Y18" s="3"/>
      <c r="Z18" s="116"/>
    </row>
    <row r="19" spans="1:26" ht="14.4" hidden="1" outlineLevel="1" x14ac:dyDescent="0.3">
      <c r="A19" s="3"/>
      <c r="B19" s="99" t="s">
        <v>437</v>
      </c>
      <c r="C19" s="53">
        <v>9</v>
      </c>
      <c r="D19" s="53" t="s">
        <v>95</v>
      </c>
      <c r="E19" s="11">
        <f t="shared" si="3"/>
        <v>441.28999999999996</v>
      </c>
      <c r="F19" s="92">
        <f t="shared" si="6"/>
        <v>441.28999999999996</v>
      </c>
      <c r="G19" s="58"/>
      <c r="H19" s="54" t="s">
        <v>37</v>
      </c>
      <c r="I19" s="54"/>
      <c r="J19" s="55"/>
      <c r="K19" s="53"/>
      <c r="L19" s="53" t="str">
        <f t="shared" si="4"/>
        <v/>
      </c>
      <c r="M19" s="11">
        <v>328.28</v>
      </c>
      <c r="N19" s="11">
        <v>24.57</v>
      </c>
      <c r="O19" s="11">
        <v>12</v>
      </c>
      <c r="P19" s="11">
        <v>11.44</v>
      </c>
      <c r="Q19" s="11">
        <v>5</v>
      </c>
      <c r="R19" s="11">
        <v>10</v>
      </c>
      <c r="S19" s="11"/>
      <c r="T19" s="11">
        <v>50</v>
      </c>
      <c r="U19" s="11"/>
      <c r="V19" s="56"/>
      <c r="W19" s="35" t="str">
        <f t="shared" si="2"/>
        <v>OK</v>
      </c>
      <c r="X19" s="38" t="str">
        <f t="shared" si="5"/>
        <v/>
      </c>
      <c r="Y19" s="3"/>
      <c r="Z19" s="116"/>
    </row>
    <row r="20" spans="1:26" ht="14.4" hidden="1" outlineLevel="1" x14ac:dyDescent="0.3">
      <c r="A20" s="3"/>
      <c r="B20" s="99" t="s">
        <v>438</v>
      </c>
      <c r="C20" s="53">
        <v>9</v>
      </c>
      <c r="D20" s="53" t="s">
        <v>95</v>
      </c>
      <c r="E20" s="11">
        <f t="shared" si="3"/>
        <v>431.28999999999996</v>
      </c>
      <c r="F20" s="92">
        <f t="shared" si="6"/>
        <v>431.28999999999996</v>
      </c>
      <c r="G20" s="58"/>
      <c r="H20" s="54" t="s">
        <v>37</v>
      </c>
      <c r="I20" s="54"/>
      <c r="J20" s="55"/>
      <c r="K20" s="53"/>
      <c r="L20" s="53" t="str">
        <f t="shared" si="4"/>
        <v/>
      </c>
      <c r="M20" s="11">
        <v>328.28</v>
      </c>
      <c r="N20" s="11">
        <v>24.57</v>
      </c>
      <c r="O20" s="11">
        <v>12</v>
      </c>
      <c r="P20" s="11">
        <v>1.44</v>
      </c>
      <c r="Q20" s="11">
        <v>5</v>
      </c>
      <c r="R20" s="11">
        <v>10</v>
      </c>
      <c r="S20" s="11"/>
      <c r="T20" s="11">
        <v>50</v>
      </c>
      <c r="U20" s="11"/>
      <c r="V20" s="56"/>
      <c r="W20" s="35" t="str">
        <f t="shared" si="2"/>
        <v>OK</v>
      </c>
      <c r="X20" s="38" t="str">
        <f t="shared" si="5"/>
        <v/>
      </c>
      <c r="Y20" s="3"/>
      <c r="Z20" s="116"/>
    </row>
    <row r="21" spans="1:26" ht="15.75" hidden="1" customHeight="1" outlineLevel="1" x14ac:dyDescent="0.3">
      <c r="A21" s="3"/>
      <c r="B21" s="99" t="s">
        <v>1410</v>
      </c>
      <c r="C21" s="53">
        <v>21</v>
      </c>
      <c r="D21" s="53" t="s">
        <v>95</v>
      </c>
      <c r="E21" s="11">
        <f t="shared" si="3"/>
        <v>238.99</v>
      </c>
      <c r="F21" s="92">
        <f t="shared" si="6"/>
        <v>238.99</v>
      </c>
      <c r="G21" s="58"/>
      <c r="H21" s="54" t="s">
        <v>37</v>
      </c>
      <c r="I21" s="54"/>
      <c r="J21" s="55"/>
      <c r="K21" s="53"/>
      <c r="L21" s="53">
        <f t="shared" si="4"/>
        <v>1</v>
      </c>
      <c r="M21" s="11">
        <v>120.98</v>
      </c>
      <c r="N21" s="11">
        <v>24.57</v>
      </c>
      <c r="O21" s="11">
        <v>12</v>
      </c>
      <c r="P21" s="11">
        <v>1.44</v>
      </c>
      <c r="Q21" s="11">
        <v>5</v>
      </c>
      <c r="R21" s="11">
        <v>5</v>
      </c>
      <c r="S21" s="11"/>
      <c r="T21" s="11">
        <v>30</v>
      </c>
      <c r="U21" s="11">
        <v>40</v>
      </c>
      <c r="V21" s="56" t="s">
        <v>1407</v>
      </c>
      <c r="W21" s="35" t="str">
        <f t="shared" si="2"/>
        <v>OK</v>
      </c>
      <c r="X21" s="38" t="str">
        <f t="shared" si="5"/>
        <v/>
      </c>
      <c r="Y21" s="3"/>
      <c r="Z21" s="116"/>
    </row>
    <row r="22" spans="1:26" ht="15.75" hidden="1" customHeight="1" outlineLevel="1" x14ac:dyDescent="0.3">
      <c r="A22" s="3"/>
      <c r="B22" s="99" t="s">
        <v>440</v>
      </c>
      <c r="C22" s="53">
        <v>21</v>
      </c>
      <c r="D22" s="53" t="s">
        <v>95</v>
      </c>
      <c r="E22" s="11">
        <f t="shared" si="3"/>
        <v>215.59</v>
      </c>
      <c r="F22" s="92">
        <f t="shared" si="6"/>
        <v>215.59</v>
      </c>
      <c r="G22" s="58"/>
      <c r="H22" s="54" t="s">
        <v>37</v>
      </c>
      <c r="I22" s="54"/>
      <c r="J22" s="55"/>
      <c r="K22" s="53"/>
      <c r="L22" s="53">
        <f t="shared" si="4"/>
        <v>1</v>
      </c>
      <c r="M22" s="11">
        <v>102.58</v>
      </c>
      <c r="N22" s="11">
        <v>24.57</v>
      </c>
      <c r="O22" s="11">
        <v>12</v>
      </c>
      <c r="P22" s="11">
        <v>1.44</v>
      </c>
      <c r="Q22" s="11">
        <v>5</v>
      </c>
      <c r="R22" s="11"/>
      <c r="S22" s="11"/>
      <c r="T22" s="11">
        <v>30</v>
      </c>
      <c r="U22" s="11">
        <v>40</v>
      </c>
      <c r="V22" s="56" t="s">
        <v>1407</v>
      </c>
      <c r="W22" s="35" t="str">
        <f t="shared" si="2"/>
        <v>OK</v>
      </c>
      <c r="X22" s="38" t="str">
        <f t="shared" si="5"/>
        <v/>
      </c>
      <c r="Y22" s="3"/>
      <c r="Z22" s="116"/>
    </row>
    <row r="23" spans="1:26" ht="15.75" hidden="1" customHeight="1" outlineLevel="1" x14ac:dyDescent="0.3">
      <c r="A23" s="3"/>
      <c r="B23" s="99" t="s">
        <v>443</v>
      </c>
      <c r="C23" s="53"/>
      <c r="D23" s="53" t="s">
        <v>105</v>
      </c>
      <c r="E23" s="11">
        <f t="shared" si="3"/>
        <v>185</v>
      </c>
      <c r="F23" s="92"/>
      <c r="G23" s="58"/>
      <c r="H23" s="54"/>
      <c r="I23" s="54"/>
      <c r="J23" s="55"/>
      <c r="K23" s="11"/>
      <c r="L23" s="53" t="str">
        <f t="shared" si="4"/>
        <v/>
      </c>
      <c r="M23" s="11">
        <v>131.99</v>
      </c>
      <c r="N23" s="11">
        <v>24.57</v>
      </c>
      <c r="O23" s="11">
        <v>12</v>
      </c>
      <c r="P23" s="11">
        <v>6.44</v>
      </c>
      <c r="Q23" s="11"/>
      <c r="R23" s="11">
        <v>10</v>
      </c>
      <c r="S23" s="11"/>
      <c r="T23" s="11"/>
      <c r="U23" s="11"/>
      <c r="V23" s="56"/>
      <c r="W23" s="35" t="str">
        <f t="shared" si="2"/>
        <v>Diferente</v>
      </c>
      <c r="X23" s="38">
        <f t="shared" si="5"/>
        <v>-185</v>
      </c>
      <c r="Y23" s="3"/>
      <c r="Z23" s="116"/>
    </row>
    <row r="24" spans="1:26" ht="15.75" hidden="1" customHeight="1" outlineLevel="1" x14ac:dyDescent="0.3">
      <c r="A24" s="3"/>
      <c r="B24" s="99" t="s">
        <v>444</v>
      </c>
      <c r="C24" s="53"/>
      <c r="D24" s="53" t="s">
        <v>105</v>
      </c>
      <c r="E24" s="11">
        <f t="shared" si="3"/>
        <v>50</v>
      </c>
      <c r="F24" s="92"/>
      <c r="G24" s="58"/>
      <c r="H24" s="54"/>
      <c r="I24" s="54"/>
      <c r="J24" s="55"/>
      <c r="K24" s="11"/>
      <c r="L24" s="53" t="str">
        <f t="shared" si="4"/>
        <v/>
      </c>
      <c r="M24" s="11">
        <v>11.43</v>
      </c>
      <c r="N24" s="11">
        <v>24.57</v>
      </c>
      <c r="O24" s="11">
        <v>12</v>
      </c>
      <c r="P24" s="11">
        <v>2</v>
      </c>
      <c r="Q24" s="11"/>
      <c r="R24" s="11"/>
      <c r="S24" s="11"/>
      <c r="T24" s="11"/>
      <c r="U24" s="11"/>
      <c r="V24" s="56"/>
      <c r="W24" s="35" t="str">
        <f t="shared" si="2"/>
        <v>Diferente</v>
      </c>
      <c r="X24" s="38">
        <f t="shared" si="5"/>
        <v>-50</v>
      </c>
      <c r="Y24" s="3"/>
      <c r="Z24" s="116"/>
    </row>
    <row r="25" spans="1:26" ht="15.75" hidden="1" customHeight="1" outlineLevel="1" x14ac:dyDescent="0.3">
      <c r="A25" s="3"/>
      <c r="B25" s="99" t="s">
        <v>445</v>
      </c>
      <c r="C25" s="53">
        <v>13</v>
      </c>
      <c r="D25" s="53" t="s">
        <v>95</v>
      </c>
      <c r="E25" s="11">
        <f t="shared" si="3"/>
        <v>270</v>
      </c>
      <c r="F25" s="92">
        <f t="shared" ref="F25:F28" si="7">E25</f>
        <v>270</v>
      </c>
      <c r="G25" s="61" t="s">
        <v>1411</v>
      </c>
      <c r="H25" s="54" t="s">
        <v>37</v>
      </c>
      <c r="I25" s="54"/>
      <c r="J25" s="55"/>
      <c r="K25" s="11"/>
      <c r="L25" s="53">
        <f t="shared" si="4"/>
        <v>1</v>
      </c>
      <c r="M25" s="11">
        <v>131.99</v>
      </c>
      <c r="N25" s="11">
        <v>24.57</v>
      </c>
      <c r="O25" s="11">
        <v>12</v>
      </c>
      <c r="P25" s="11">
        <v>11.44</v>
      </c>
      <c r="Q25" s="11">
        <v>5</v>
      </c>
      <c r="R25" s="11">
        <v>5</v>
      </c>
      <c r="S25" s="11">
        <v>10</v>
      </c>
      <c r="T25" s="11">
        <v>30</v>
      </c>
      <c r="U25" s="11">
        <v>40</v>
      </c>
      <c r="V25" s="56" t="s">
        <v>1407</v>
      </c>
      <c r="W25" s="35" t="str">
        <f t="shared" si="2"/>
        <v>OK</v>
      </c>
      <c r="X25" s="38" t="str">
        <f t="shared" si="5"/>
        <v/>
      </c>
      <c r="Y25" s="3"/>
      <c r="Z25" s="116"/>
    </row>
    <row r="26" spans="1:26" ht="15.75" hidden="1" customHeight="1" outlineLevel="1" x14ac:dyDescent="0.3">
      <c r="A26" s="3"/>
      <c r="B26" s="99" t="s">
        <v>447</v>
      </c>
      <c r="C26" s="53">
        <v>13</v>
      </c>
      <c r="D26" s="53" t="s">
        <v>95</v>
      </c>
      <c r="E26" s="11">
        <f t="shared" si="3"/>
        <v>220</v>
      </c>
      <c r="F26" s="92">
        <f t="shared" si="7"/>
        <v>220</v>
      </c>
      <c r="G26" s="58"/>
      <c r="H26" s="54" t="s">
        <v>37</v>
      </c>
      <c r="I26" s="54"/>
      <c r="J26" s="55"/>
      <c r="K26" s="11"/>
      <c r="L26" s="53">
        <f t="shared" si="4"/>
        <v>1</v>
      </c>
      <c r="M26" s="11">
        <v>131.99</v>
      </c>
      <c r="N26" s="11">
        <v>24.57</v>
      </c>
      <c r="O26" s="11">
        <v>12</v>
      </c>
      <c r="P26" s="11">
        <v>1.44</v>
      </c>
      <c r="Q26" s="11">
        <v>5</v>
      </c>
      <c r="R26" s="11">
        <v>5</v>
      </c>
      <c r="S26" s="11">
        <v>10</v>
      </c>
      <c r="T26" s="11">
        <v>30</v>
      </c>
      <c r="U26" s="11"/>
      <c r="V26" s="56"/>
      <c r="W26" s="35" t="str">
        <f t="shared" si="2"/>
        <v>OK</v>
      </c>
      <c r="X26" s="38" t="str">
        <f t="shared" si="5"/>
        <v/>
      </c>
      <c r="Y26" s="3"/>
      <c r="Z26" s="116"/>
    </row>
    <row r="27" spans="1:26" ht="15.75" hidden="1" customHeight="1" outlineLevel="1" x14ac:dyDescent="0.3">
      <c r="A27" s="3"/>
      <c r="B27" s="99" t="s">
        <v>1412</v>
      </c>
      <c r="C27" s="53">
        <v>10</v>
      </c>
      <c r="D27" s="53" t="s">
        <v>95</v>
      </c>
      <c r="E27" s="11">
        <f t="shared" si="3"/>
        <v>209.69</v>
      </c>
      <c r="F27" s="92">
        <f t="shared" si="7"/>
        <v>209.69</v>
      </c>
      <c r="G27" s="58"/>
      <c r="H27" s="54" t="s">
        <v>37</v>
      </c>
      <c r="I27" s="54"/>
      <c r="J27" s="55"/>
      <c r="K27" s="11"/>
      <c r="L27" s="53" t="str">
        <f t="shared" si="4"/>
        <v/>
      </c>
      <c r="M27" s="11">
        <v>116.68</v>
      </c>
      <c r="N27" s="11">
        <v>24.57</v>
      </c>
      <c r="O27" s="11">
        <v>12</v>
      </c>
      <c r="P27" s="11">
        <v>1.44</v>
      </c>
      <c r="Q27" s="11">
        <v>5</v>
      </c>
      <c r="R27" s="11">
        <v>10</v>
      </c>
      <c r="S27" s="11">
        <v>10</v>
      </c>
      <c r="T27" s="11">
        <v>30</v>
      </c>
      <c r="U27" s="11"/>
      <c r="V27" s="56" t="s">
        <v>1407</v>
      </c>
      <c r="W27" s="35" t="str">
        <f t="shared" si="2"/>
        <v>OK</v>
      </c>
      <c r="X27" s="38" t="str">
        <f t="shared" si="5"/>
        <v/>
      </c>
      <c r="Y27" s="3"/>
      <c r="Z27" s="116"/>
    </row>
    <row r="28" spans="1:26" ht="15.75" hidden="1" customHeight="1" outlineLevel="1" x14ac:dyDescent="0.3">
      <c r="A28" s="3"/>
      <c r="B28" s="99" t="s">
        <v>449</v>
      </c>
      <c r="C28" s="53">
        <v>10</v>
      </c>
      <c r="D28" s="53" t="s">
        <v>95</v>
      </c>
      <c r="E28" s="11">
        <f t="shared" si="3"/>
        <v>158.69</v>
      </c>
      <c r="F28" s="92">
        <f t="shared" si="7"/>
        <v>158.69</v>
      </c>
      <c r="G28" s="58"/>
      <c r="H28" s="54" t="s">
        <v>37</v>
      </c>
      <c r="I28" s="54"/>
      <c r="J28" s="55"/>
      <c r="K28" s="11"/>
      <c r="L28" s="53" t="str">
        <f t="shared" si="4"/>
        <v/>
      </c>
      <c r="M28" s="11">
        <v>70.680000000000007</v>
      </c>
      <c r="N28" s="11">
        <v>24.57</v>
      </c>
      <c r="O28" s="11">
        <v>12</v>
      </c>
      <c r="P28" s="11">
        <v>1.44</v>
      </c>
      <c r="Q28" s="11"/>
      <c r="R28" s="11">
        <v>10</v>
      </c>
      <c r="S28" s="11">
        <v>10</v>
      </c>
      <c r="T28" s="11">
        <v>30</v>
      </c>
      <c r="U28" s="11"/>
      <c r="V28" s="56"/>
      <c r="W28" s="35" t="str">
        <f t="shared" si="2"/>
        <v>OK</v>
      </c>
      <c r="X28" s="38" t="str">
        <f t="shared" si="5"/>
        <v/>
      </c>
      <c r="Y28" s="3"/>
      <c r="Z28" s="116"/>
    </row>
    <row r="29" spans="1:26" ht="15.75" hidden="1" customHeight="1" outlineLevel="1" x14ac:dyDescent="0.3">
      <c r="A29" s="3"/>
      <c r="B29" s="99" t="s">
        <v>450</v>
      </c>
      <c r="C29" s="53">
        <v>9</v>
      </c>
      <c r="D29" s="53" t="s">
        <v>95</v>
      </c>
      <c r="E29" s="11">
        <v>187.44</v>
      </c>
      <c r="F29" s="92">
        <f t="shared" ref="F29:F30" si="8">SUM(M29:U29)</f>
        <v>947.20000000000016</v>
      </c>
      <c r="G29" s="61" t="s">
        <v>1413</v>
      </c>
      <c r="H29" s="54" t="s">
        <v>39</v>
      </c>
      <c r="I29" s="54"/>
      <c r="J29" s="55"/>
      <c r="K29" s="11"/>
      <c r="L29" s="53" t="str">
        <f t="shared" si="4"/>
        <v/>
      </c>
      <c r="M29" s="11">
        <f>104.43+759.76</f>
        <v>864.19</v>
      </c>
      <c r="N29" s="11">
        <v>24.57</v>
      </c>
      <c r="O29" s="11">
        <v>12</v>
      </c>
      <c r="P29" s="11">
        <v>1.44</v>
      </c>
      <c r="Q29" s="11">
        <v>5</v>
      </c>
      <c r="R29" s="11"/>
      <c r="S29" s="11">
        <v>10</v>
      </c>
      <c r="T29" s="11">
        <v>10</v>
      </c>
      <c r="U29" s="11">
        <v>20</v>
      </c>
      <c r="V29" s="56" t="s">
        <v>1405</v>
      </c>
      <c r="W29" s="35" t="str">
        <f t="shared" si="2"/>
        <v>OK</v>
      </c>
      <c r="X29" s="38" t="str">
        <f t="shared" si="5"/>
        <v/>
      </c>
      <c r="Y29" s="3"/>
      <c r="Z29" s="116"/>
    </row>
    <row r="30" spans="1:26" ht="15.75" hidden="1" customHeight="1" outlineLevel="1" x14ac:dyDescent="0.3">
      <c r="A30" s="3"/>
      <c r="B30" s="99" t="s">
        <v>451</v>
      </c>
      <c r="C30" s="53">
        <v>9</v>
      </c>
      <c r="D30" s="53" t="s">
        <v>95</v>
      </c>
      <c r="E30" s="11">
        <v>167.44</v>
      </c>
      <c r="F30" s="92">
        <f t="shared" si="8"/>
        <v>167.44</v>
      </c>
      <c r="G30" s="61" t="s">
        <v>1413</v>
      </c>
      <c r="H30" s="54" t="s">
        <v>39</v>
      </c>
      <c r="I30" s="54"/>
      <c r="J30" s="55"/>
      <c r="K30" s="11"/>
      <c r="L30" s="53" t="str">
        <f t="shared" si="4"/>
        <v/>
      </c>
      <c r="M30" s="11">
        <v>104.43</v>
      </c>
      <c r="N30" s="11">
        <v>24.57</v>
      </c>
      <c r="O30" s="11">
        <v>12</v>
      </c>
      <c r="P30" s="11">
        <v>1.44</v>
      </c>
      <c r="Q30" s="11">
        <v>5</v>
      </c>
      <c r="R30" s="11"/>
      <c r="S30" s="11">
        <v>10</v>
      </c>
      <c r="T30" s="11">
        <v>10</v>
      </c>
      <c r="U30" s="11"/>
      <c r="V30" s="56"/>
      <c r="W30" s="35" t="str">
        <f t="shared" si="2"/>
        <v>OK</v>
      </c>
      <c r="X30" s="38" t="str">
        <f t="shared" si="5"/>
        <v/>
      </c>
      <c r="Y30" s="3"/>
      <c r="Z30" s="116"/>
    </row>
    <row r="31" spans="1:26" ht="15.75" hidden="1" customHeight="1" outlineLevel="1" x14ac:dyDescent="0.3">
      <c r="A31" s="3"/>
      <c r="B31" s="99" t="s">
        <v>452</v>
      </c>
      <c r="C31" s="53">
        <v>22</v>
      </c>
      <c r="D31" s="53" t="s">
        <v>95</v>
      </c>
      <c r="E31" s="11">
        <f t="shared" ref="E31:E32" si="9">SUM(M31:U31)</f>
        <v>199.01</v>
      </c>
      <c r="F31" s="92">
        <f t="shared" ref="F31:F32" si="10">E31</f>
        <v>199.01</v>
      </c>
      <c r="G31" s="58"/>
      <c r="H31" s="54" t="s">
        <v>37</v>
      </c>
      <c r="I31" s="54"/>
      <c r="J31" s="55"/>
      <c r="K31" s="11"/>
      <c r="L31" s="53">
        <f t="shared" si="4"/>
        <v>1</v>
      </c>
      <c r="M31" s="11">
        <v>156</v>
      </c>
      <c r="N31" s="11">
        <v>24.57</v>
      </c>
      <c r="O31" s="11">
        <v>12</v>
      </c>
      <c r="P31" s="11">
        <v>1.44</v>
      </c>
      <c r="Q31" s="11">
        <v>5</v>
      </c>
      <c r="R31" s="11"/>
      <c r="S31" s="11"/>
      <c r="T31" s="11"/>
      <c r="U31" s="11"/>
      <c r="V31" s="56"/>
      <c r="W31" s="35" t="str">
        <f t="shared" si="2"/>
        <v>OK</v>
      </c>
      <c r="X31" s="38" t="str">
        <f t="shared" si="5"/>
        <v/>
      </c>
      <c r="Y31" s="3"/>
      <c r="Z31" s="116"/>
    </row>
    <row r="32" spans="1:26" ht="15.75" hidden="1" customHeight="1" outlineLevel="1" x14ac:dyDescent="0.3">
      <c r="A32" s="3"/>
      <c r="B32" s="99" t="s">
        <v>453</v>
      </c>
      <c r="C32" s="53">
        <v>22</v>
      </c>
      <c r="D32" s="53" t="s">
        <v>95</v>
      </c>
      <c r="E32" s="11">
        <f t="shared" si="9"/>
        <v>219.01</v>
      </c>
      <c r="F32" s="92">
        <f t="shared" si="10"/>
        <v>219.01</v>
      </c>
      <c r="G32" s="58"/>
      <c r="H32" s="54" t="s">
        <v>37</v>
      </c>
      <c r="I32" s="54"/>
      <c r="J32" s="55"/>
      <c r="K32" s="11"/>
      <c r="L32" s="53">
        <f t="shared" si="4"/>
        <v>1</v>
      </c>
      <c r="M32" s="11">
        <v>156</v>
      </c>
      <c r="N32" s="11">
        <v>24.57</v>
      </c>
      <c r="O32" s="11">
        <v>12</v>
      </c>
      <c r="P32" s="11">
        <v>11.44</v>
      </c>
      <c r="Q32" s="11">
        <v>5</v>
      </c>
      <c r="R32" s="11">
        <v>10</v>
      </c>
      <c r="S32" s="11"/>
      <c r="T32" s="11"/>
      <c r="U32" s="11"/>
      <c r="V32" s="56"/>
      <c r="W32" s="35" t="str">
        <f t="shared" si="2"/>
        <v>OK</v>
      </c>
      <c r="X32" s="38" t="str">
        <f t="shared" si="5"/>
        <v/>
      </c>
      <c r="Y32" s="3"/>
      <c r="Z32" s="116"/>
    </row>
    <row r="33" spans="1:26" ht="15.75" hidden="1" customHeight="1" outlineLevel="1" x14ac:dyDescent="0.3">
      <c r="A33" s="3"/>
      <c r="B33" s="99" t="s">
        <v>454</v>
      </c>
      <c r="C33" s="53">
        <v>21</v>
      </c>
      <c r="D33" s="53" t="s">
        <v>95</v>
      </c>
      <c r="E33" s="11">
        <v>87</v>
      </c>
      <c r="F33" s="92">
        <f>SUM(M33:U33)</f>
        <v>702.4</v>
      </c>
      <c r="G33" s="58"/>
      <c r="H33" s="54" t="s">
        <v>37</v>
      </c>
      <c r="I33" s="54"/>
      <c r="J33" s="55"/>
      <c r="K33" s="11"/>
      <c r="L33" s="53">
        <f t="shared" si="4"/>
        <v>1</v>
      </c>
      <c r="M33" s="11">
        <f>48.43*3+441.4</f>
        <v>586.68999999999994</v>
      </c>
      <c r="N33" s="11">
        <f>24.57*3</f>
        <v>73.710000000000008</v>
      </c>
      <c r="O33" s="11">
        <f>12*3</f>
        <v>36</v>
      </c>
      <c r="P33" s="11">
        <v>6</v>
      </c>
      <c r="Q33" s="11">
        <v>0</v>
      </c>
      <c r="R33" s="11">
        <v>0</v>
      </c>
      <c r="S33" s="11"/>
      <c r="T33" s="11"/>
      <c r="U33" s="11"/>
      <c r="V33" s="56"/>
      <c r="W33" s="35" t="str">
        <f t="shared" si="2"/>
        <v>OK</v>
      </c>
      <c r="X33" s="38" t="str">
        <f t="shared" si="5"/>
        <v/>
      </c>
      <c r="Y33" s="3"/>
      <c r="Z33" s="116"/>
    </row>
    <row r="34" spans="1:26" ht="15.75" hidden="1" customHeight="1" outlineLevel="1" x14ac:dyDescent="0.3">
      <c r="A34" s="3"/>
      <c r="B34" s="99" t="s">
        <v>455</v>
      </c>
      <c r="C34" s="53">
        <v>5</v>
      </c>
      <c r="D34" s="53" t="s">
        <v>95</v>
      </c>
      <c r="E34" s="11">
        <f t="shared" ref="E34:E41" si="11">SUM(M34:U34)</f>
        <v>253.76</v>
      </c>
      <c r="F34" s="92">
        <f t="shared" ref="F34:F40" si="12">E34</f>
        <v>253.76</v>
      </c>
      <c r="G34" s="58"/>
      <c r="H34" s="54" t="s">
        <v>37</v>
      </c>
      <c r="I34" s="54"/>
      <c r="J34" s="55"/>
      <c r="K34" s="11"/>
      <c r="L34" s="53" t="str">
        <f t="shared" si="4"/>
        <v/>
      </c>
      <c r="M34" s="11">
        <v>132.19</v>
      </c>
      <c r="N34" s="11">
        <v>24.57</v>
      </c>
      <c r="O34" s="11">
        <v>12</v>
      </c>
      <c r="P34" s="11">
        <v>5</v>
      </c>
      <c r="Q34" s="11">
        <v>5</v>
      </c>
      <c r="R34" s="11">
        <v>10</v>
      </c>
      <c r="S34" s="11">
        <v>10</v>
      </c>
      <c r="T34" s="11">
        <v>30</v>
      </c>
      <c r="U34" s="11">
        <v>25</v>
      </c>
      <c r="V34" s="56" t="s">
        <v>1414</v>
      </c>
      <c r="W34" s="35" t="str">
        <f t="shared" si="2"/>
        <v>OK</v>
      </c>
      <c r="X34" s="38" t="str">
        <f t="shared" si="5"/>
        <v/>
      </c>
      <c r="Y34" s="3"/>
      <c r="Z34" s="116"/>
    </row>
    <row r="35" spans="1:26" ht="15.75" hidden="1" customHeight="1" outlineLevel="1" x14ac:dyDescent="0.3">
      <c r="A35" s="3"/>
      <c r="B35" s="99" t="s">
        <v>456</v>
      </c>
      <c r="C35" s="53">
        <v>5</v>
      </c>
      <c r="D35" s="53" t="s">
        <v>95</v>
      </c>
      <c r="E35" s="11">
        <f t="shared" si="11"/>
        <v>112.81</v>
      </c>
      <c r="F35" s="92">
        <f t="shared" si="12"/>
        <v>112.81</v>
      </c>
      <c r="G35" s="58"/>
      <c r="H35" s="54" t="s">
        <v>37</v>
      </c>
      <c r="I35" s="54"/>
      <c r="J35" s="55"/>
      <c r="K35" s="11"/>
      <c r="L35" s="53" t="str">
        <f t="shared" si="4"/>
        <v/>
      </c>
      <c r="M35" s="11">
        <v>74.739999999999995</v>
      </c>
      <c r="N35" s="11">
        <v>24.57</v>
      </c>
      <c r="O35" s="11">
        <v>12</v>
      </c>
      <c r="P35" s="11">
        <v>1.5</v>
      </c>
      <c r="Q35" s="11"/>
      <c r="R35" s="11"/>
      <c r="S35" s="11"/>
      <c r="T35" s="11"/>
      <c r="U35" s="11"/>
      <c r="V35" s="56"/>
      <c r="W35" s="35" t="str">
        <f t="shared" si="2"/>
        <v>OK</v>
      </c>
      <c r="X35" s="38" t="str">
        <f t="shared" si="5"/>
        <v/>
      </c>
      <c r="Y35" s="3"/>
      <c r="Z35" s="116"/>
    </row>
    <row r="36" spans="1:26" ht="15.75" hidden="1" customHeight="1" outlineLevel="1" x14ac:dyDescent="0.3">
      <c r="A36" s="3"/>
      <c r="B36" s="99" t="s">
        <v>457</v>
      </c>
      <c r="C36" s="53">
        <v>5</v>
      </c>
      <c r="D36" s="53" t="s">
        <v>95</v>
      </c>
      <c r="E36" s="11">
        <f t="shared" si="11"/>
        <v>112.81</v>
      </c>
      <c r="F36" s="92">
        <f t="shared" si="12"/>
        <v>112.81</v>
      </c>
      <c r="G36" s="58"/>
      <c r="H36" s="54" t="s">
        <v>37</v>
      </c>
      <c r="I36" s="54"/>
      <c r="J36" s="55"/>
      <c r="K36" s="11"/>
      <c r="L36" s="53" t="str">
        <f t="shared" si="4"/>
        <v/>
      </c>
      <c r="M36" s="11">
        <v>74.739999999999995</v>
      </c>
      <c r="N36" s="11">
        <v>24.57</v>
      </c>
      <c r="O36" s="11">
        <v>12</v>
      </c>
      <c r="P36" s="11">
        <v>1.5</v>
      </c>
      <c r="Q36" s="11"/>
      <c r="R36" s="11"/>
      <c r="S36" s="11"/>
      <c r="T36" s="11"/>
      <c r="U36" s="11"/>
      <c r="V36" s="56"/>
      <c r="W36" s="35" t="str">
        <f t="shared" si="2"/>
        <v>OK</v>
      </c>
      <c r="X36" s="38" t="str">
        <f t="shared" si="5"/>
        <v/>
      </c>
      <c r="Y36" s="3"/>
      <c r="Z36" s="116"/>
    </row>
    <row r="37" spans="1:26" ht="15.75" hidden="1" customHeight="1" outlineLevel="1" x14ac:dyDescent="0.3">
      <c r="A37" s="3"/>
      <c r="B37" s="99" t="s">
        <v>458</v>
      </c>
      <c r="C37" s="53">
        <v>15</v>
      </c>
      <c r="D37" s="53" t="s">
        <v>95</v>
      </c>
      <c r="E37" s="11">
        <f t="shared" si="11"/>
        <v>201.44</v>
      </c>
      <c r="F37" s="92">
        <f t="shared" si="12"/>
        <v>201.44</v>
      </c>
      <c r="G37" s="58"/>
      <c r="H37" s="54" t="s">
        <v>37</v>
      </c>
      <c r="I37" s="54"/>
      <c r="J37" s="55"/>
      <c r="K37" s="11"/>
      <c r="L37" s="53">
        <f t="shared" si="4"/>
        <v>1</v>
      </c>
      <c r="M37" s="11">
        <v>103.43</v>
      </c>
      <c r="N37" s="11">
        <v>24.57</v>
      </c>
      <c r="O37" s="11">
        <v>12</v>
      </c>
      <c r="P37" s="11">
        <v>1.44</v>
      </c>
      <c r="Q37" s="11"/>
      <c r="R37" s="11">
        <v>5</v>
      </c>
      <c r="S37" s="11"/>
      <c r="T37" s="11"/>
      <c r="U37" s="11">
        <v>55</v>
      </c>
      <c r="V37" s="56" t="s">
        <v>1415</v>
      </c>
      <c r="W37" s="35" t="str">
        <f t="shared" si="2"/>
        <v>OK</v>
      </c>
      <c r="X37" s="38" t="str">
        <f t="shared" si="5"/>
        <v/>
      </c>
      <c r="Y37" s="3"/>
      <c r="Z37" s="116"/>
    </row>
    <row r="38" spans="1:26" ht="15.75" hidden="1" customHeight="1" outlineLevel="1" x14ac:dyDescent="0.3">
      <c r="A38" s="3"/>
      <c r="B38" s="99" t="s">
        <v>459</v>
      </c>
      <c r="C38" s="53">
        <v>15</v>
      </c>
      <c r="D38" s="53" t="s">
        <v>95</v>
      </c>
      <c r="E38" s="11">
        <f t="shared" si="11"/>
        <v>671.44</v>
      </c>
      <c r="F38" s="92">
        <f t="shared" si="12"/>
        <v>671.44</v>
      </c>
      <c r="G38" s="58"/>
      <c r="H38" s="54" t="s">
        <v>37</v>
      </c>
      <c r="I38" s="54"/>
      <c r="J38" s="55"/>
      <c r="K38" s="11"/>
      <c r="L38" s="53">
        <f t="shared" si="4"/>
        <v>1</v>
      </c>
      <c r="M38" s="11">
        <v>103.43</v>
      </c>
      <c r="N38" s="11">
        <v>24.57</v>
      </c>
      <c r="O38" s="11">
        <v>12</v>
      </c>
      <c r="P38" s="11">
        <v>1.44</v>
      </c>
      <c r="Q38" s="11">
        <v>5</v>
      </c>
      <c r="R38" s="11">
        <v>5</v>
      </c>
      <c r="S38" s="11"/>
      <c r="T38" s="11"/>
      <c r="U38" s="11">
        <v>520</v>
      </c>
      <c r="V38" s="56" t="s">
        <v>1416</v>
      </c>
      <c r="W38" s="35" t="str">
        <f t="shared" si="2"/>
        <v>OK</v>
      </c>
      <c r="X38" s="38" t="str">
        <f t="shared" si="5"/>
        <v/>
      </c>
      <c r="Y38" s="3"/>
      <c r="Z38" s="116"/>
    </row>
    <row r="39" spans="1:26" ht="15.75" hidden="1" customHeight="1" outlineLevel="1" x14ac:dyDescent="0.3">
      <c r="A39" s="3"/>
      <c r="B39" s="99" t="s">
        <v>460</v>
      </c>
      <c r="C39" s="53">
        <v>15</v>
      </c>
      <c r="D39" s="53" t="s">
        <v>95</v>
      </c>
      <c r="E39" s="11">
        <f t="shared" si="11"/>
        <v>286.44</v>
      </c>
      <c r="F39" s="92">
        <f t="shared" si="12"/>
        <v>286.44</v>
      </c>
      <c r="G39" s="58"/>
      <c r="H39" s="54" t="s">
        <v>37</v>
      </c>
      <c r="I39" s="54"/>
      <c r="J39" s="55"/>
      <c r="K39" s="11"/>
      <c r="L39" s="53">
        <f t="shared" si="4"/>
        <v>1</v>
      </c>
      <c r="M39" s="11">
        <v>103.43</v>
      </c>
      <c r="N39" s="11">
        <v>24.57</v>
      </c>
      <c r="O39" s="11">
        <v>12</v>
      </c>
      <c r="P39" s="11">
        <v>1.44</v>
      </c>
      <c r="Q39" s="11">
        <v>5</v>
      </c>
      <c r="R39" s="11">
        <v>5</v>
      </c>
      <c r="S39" s="11"/>
      <c r="T39" s="11"/>
      <c r="U39" s="11">
        <v>135</v>
      </c>
      <c r="V39" s="56" t="s">
        <v>1417</v>
      </c>
      <c r="W39" s="35" t="str">
        <f t="shared" si="2"/>
        <v>OK</v>
      </c>
      <c r="X39" s="38" t="str">
        <f t="shared" si="5"/>
        <v/>
      </c>
      <c r="Y39" s="3"/>
      <c r="Z39" s="116"/>
    </row>
    <row r="40" spans="1:26" ht="15.75" hidden="1" customHeight="1" outlineLevel="1" x14ac:dyDescent="0.3">
      <c r="A40" s="3"/>
      <c r="B40" s="99" t="s">
        <v>461</v>
      </c>
      <c r="C40" s="53">
        <v>15</v>
      </c>
      <c r="D40" s="53" t="s">
        <v>95</v>
      </c>
      <c r="E40" s="11">
        <f t="shared" si="11"/>
        <v>69.59</v>
      </c>
      <c r="F40" s="92">
        <f t="shared" si="12"/>
        <v>69.59</v>
      </c>
      <c r="G40" s="58"/>
      <c r="H40" s="54" t="s">
        <v>37</v>
      </c>
      <c r="I40" s="54"/>
      <c r="J40" s="55"/>
      <c r="K40" s="11"/>
      <c r="L40" s="53">
        <f t="shared" si="4"/>
        <v>1</v>
      </c>
      <c r="M40" s="11">
        <v>31.58</v>
      </c>
      <c r="N40" s="11">
        <v>24.57</v>
      </c>
      <c r="O40" s="11">
        <v>12</v>
      </c>
      <c r="P40" s="11">
        <v>1.44</v>
      </c>
      <c r="Q40" s="11"/>
      <c r="R40" s="11"/>
      <c r="S40" s="11"/>
      <c r="T40" s="11"/>
      <c r="U40" s="11"/>
      <c r="V40" s="56"/>
      <c r="W40" s="35" t="str">
        <f t="shared" si="2"/>
        <v>OK</v>
      </c>
      <c r="X40" s="38" t="str">
        <f t="shared" si="5"/>
        <v/>
      </c>
      <c r="Y40" s="3"/>
      <c r="Z40" s="116"/>
    </row>
    <row r="41" spans="1:26" ht="15.75" hidden="1" customHeight="1" outlineLevel="1" x14ac:dyDescent="0.3">
      <c r="A41" s="3"/>
      <c r="B41" s="99" t="s">
        <v>462</v>
      </c>
      <c r="C41" s="53"/>
      <c r="D41" s="53" t="s">
        <v>105</v>
      </c>
      <c r="E41" s="11">
        <f t="shared" si="11"/>
        <v>220</v>
      </c>
      <c r="F41" s="92"/>
      <c r="G41" s="58"/>
      <c r="H41" s="54"/>
      <c r="I41" s="54"/>
      <c r="J41" s="55"/>
      <c r="K41" s="11"/>
      <c r="L41" s="53" t="str">
        <f t="shared" si="4"/>
        <v/>
      </c>
      <c r="M41" s="11">
        <v>151.99</v>
      </c>
      <c r="N41" s="11">
        <v>24.57</v>
      </c>
      <c r="O41" s="11">
        <v>12</v>
      </c>
      <c r="P41" s="11">
        <v>1.44</v>
      </c>
      <c r="Q41" s="11"/>
      <c r="R41" s="11">
        <v>5</v>
      </c>
      <c r="S41" s="11">
        <v>5</v>
      </c>
      <c r="T41" s="11"/>
      <c r="U41" s="11">
        <v>20</v>
      </c>
      <c r="V41" s="56" t="s">
        <v>1405</v>
      </c>
      <c r="W41" s="35" t="str">
        <f t="shared" si="2"/>
        <v>Diferente</v>
      </c>
      <c r="X41" s="38">
        <f t="shared" si="5"/>
        <v>-220</v>
      </c>
      <c r="Y41" s="3"/>
      <c r="Z41" s="116"/>
    </row>
    <row r="42" spans="1:26" ht="15.75" hidden="1" customHeight="1" outlineLevel="1" x14ac:dyDescent="0.3">
      <c r="A42" s="3"/>
      <c r="B42" s="99" t="s">
        <v>465</v>
      </c>
      <c r="C42" s="53"/>
      <c r="D42" s="53" t="s">
        <v>95</v>
      </c>
      <c r="E42" s="11"/>
      <c r="F42" s="92"/>
      <c r="G42" s="58"/>
      <c r="H42" s="54"/>
      <c r="I42" s="54"/>
      <c r="J42" s="55"/>
      <c r="K42" s="11"/>
      <c r="L42" s="53" t="str">
        <f t="shared" si="4"/>
        <v/>
      </c>
      <c r="M42" s="11"/>
      <c r="N42" s="11"/>
      <c r="O42" s="11"/>
      <c r="P42" s="11"/>
      <c r="Q42" s="11"/>
      <c r="R42" s="11"/>
      <c r="S42" s="11"/>
      <c r="T42" s="11"/>
      <c r="U42" s="11"/>
      <c r="V42" s="56"/>
      <c r="W42" s="35" t="str">
        <f t="shared" si="2"/>
        <v>OK</v>
      </c>
      <c r="X42" s="38" t="str">
        <f t="shared" si="5"/>
        <v/>
      </c>
      <c r="Y42" s="3"/>
      <c r="Z42" s="116"/>
    </row>
    <row r="43" spans="1:26" ht="15.75" hidden="1" customHeight="1" outlineLevel="1" x14ac:dyDescent="0.3">
      <c r="A43" s="3"/>
      <c r="B43" s="99" t="s">
        <v>466</v>
      </c>
      <c r="C43" s="53"/>
      <c r="D43" s="53" t="s">
        <v>95</v>
      </c>
      <c r="E43" s="11"/>
      <c r="F43" s="92"/>
      <c r="G43" s="58"/>
      <c r="H43" s="54"/>
      <c r="I43" s="54"/>
      <c r="J43" s="55"/>
      <c r="K43" s="11"/>
      <c r="L43" s="53" t="str">
        <f t="shared" si="4"/>
        <v/>
      </c>
      <c r="M43" s="11"/>
      <c r="N43" s="11"/>
      <c r="O43" s="11"/>
      <c r="P43" s="11"/>
      <c r="Q43" s="11"/>
      <c r="R43" s="11"/>
      <c r="S43" s="11"/>
      <c r="T43" s="11"/>
      <c r="U43" s="11"/>
      <c r="V43" s="56"/>
      <c r="W43" s="35" t="str">
        <f t="shared" si="2"/>
        <v>OK</v>
      </c>
      <c r="X43" s="38" t="str">
        <f t="shared" si="5"/>
        <v/>
      </c>
      <c r="Y43" s="3"/>
      <c r="Z43" s="116"/>
    </row>
    <row r="44" spans="1:26" ht="15.75" hidden="1" customHeight="1" outlineLevel="1" x14ac:dyDescent="0.3">
      <c r="A44" s="3"/>
      <c r="B44" s="99" t="s">
        <v>467</v>
      </c>
      <c r="C44" s="53">
        <v>5</v>
      </c>
      <c r="D44" s="53" t="s">
        <v>95</v>
      </c>
      <c r="E44" s="11">
        <f t="shared" ref="E44:E52" si="13">SUM(M44:U44)</f>
        <v>246.99</v>
      </c>
      <c r="F44" s="92">
        <f t="shared" ref="F44:F52" si="14">E44</f>
        <v>246.99</v>
      </c>
      <c r="G44" s="58"/>
      <c r="H44" s="54" t="s">
        <v>37</v>
      </c>
      <c r="I44" s="54"/>
      <c r="J44" s="55"/>
      <c r="K44" s="11"/>
      <c r="L44" s="53" t="str">
        <f t="shared" si="4"/>
        <v/>
      </c>
      <c r="M44" s="11">
        <v>118.98</v>
      </c>
      <c r="N44" s="11">
        <v>24.57</v>
      </c>
      <c r="O44" s="11">
        <v>12</v>
      </c>
      <c r="P44" s="11">
        <v>11.44</v>
      </c>
      <c r="Q44" s="11">
        <v>5</v>
      </c>
      <c r="R44" s="11">
        <v>10</v>
      </c>
      <c r="S44" s="11"/>
      <c r="T44" s="11"/>
      <c r="U44" s="11">
        <v>65</v>
      </c>
      <c r="V44" s="56" t="s">
        <v>1418</v>
      </c>
      <c r="W44" s="35" t="str">
        <f t="shared" si="2"/>
        <v>OK</v>
      </c>
      <c r="X44" s="38" t="str">
        <f t="shared" si="5"/>
        <v/>
      </c>
      <c r="Y44" s="3"/>
      <c r="Z44" s="116"/>
    </row>
    <row r="45" spans="1:26" ht="15.75" hidden="1" customHeight="1" outlineLevel="1" x14ac:dyDescent="0.3">
      <c r="A45" s="3"/>
      <c r="B45" s="99" t="s">
        <v>468</v>
      </c>
      <c r="C45" s="53">
        <v>5</v>
      </c>
      <c r="D45" s="53" t="s">
        <v>95</v>
      </c>
      <c r="E45" s="11">
        <f t="shared" si="13"/>
        <v>93.74</v>
      </c>
      <c r="F45" s="92">
        <f t="shared" si="14"/>
        <v>93.74</v>
      </c>
      <c r="G45" s="58"/>
      <c r="H45" s="54" t="s">
        <v>37</v>
      </c>
      <c r="I45" s="54"/>
      <c r="J45" s="55"/>
      <c r="K45" s="11"/>
      <c r="L45" s="53" t="str">
        <f t="shared" si="4"/>
        <v/>
      </c>
      <c r="M45" s="11">
        <v>55.73</v>
      </c>
      <c r="N45" s="11">
        <v>24.57</v>
      </c>
      <c r="O45" s="11">
        <v>12</v>
      </c>
      <c r="P45" s="11">
        <v>1.44</v>
      </c>
      <c r="Q45" s="11"/>
      <c r="R45" s="11"/>
      <c r="S45" s="11"/>
      <c r="T45" s="11"/>
      <c r="U45" s="11"/>
      <c r="V45" s="56"/>
      <c r="W45" s="35" t="str">
        <f t="shared" si="2"/>
        <v>OK</v>
      </c>
      <c r="X45" s="38" t="str">
        <f t="shared" si="5"/>
        <v/>
      </c>
      <c r="Y45" s="3"/>
      <c r="Z45" s="116"/>
    </row>
    <row r="46" spans="1:26" ht="15.75" hidden="1" customHeight="1" outlineLevel="1" x14ac:dyDescent="0.3">
      <c r="A46" s="3"/>
      <c r="B46" s="99" t="s">
        <v>469</v>
      </c>
      <c r="C46" s="53">
        <v>6</v>
      </c>
      <c r="D46" s="53" t="s">
        <v>95</v>
      </c>
      <c r="E46" s="11">
        <f t="shared" si="13"/>
        <v>134.76</v>
      </c>
      <c r="F46" s="92">
        <f t="shared" si="14"/>
        <v>134.76</v>
      </c>
      <c r="G46" s="58"/>
      <c r="H46" s="54" t="s">
        <v>37</v>
      </c>
      <c r="I46" s="54"/>
      <c r="J46" s="55"/>
      <c r="K46" s="11"/>
      <c r="L46" s="53" t="str">
        <f t="shared" si="4"/>
        <v/>
      </c>
      <c r="M46" s="11">
        <v>58.19</v>
      </c>
      <c r="N46" s="11">
        <v>24.57</v>
      </c>
      <c r="O46" s="11">
        <v>12</v>
      </c>
      <c r="P46" s="11" t="s">
        <v>44</v>
      </c>
      <c r="Q46" s="11" t="s">
        <v>44</v>
      </c>
      <c r="R46" s="11" t="s">
        <v>44</v>
      </c>
      <c r="S46" s="11" t="s">
        <v>44</v>
      </c>
      <c r="T46" s="11"/>
      <c r="U46" s="11">
        <v>40</v>
      </c>
      <c r="V46" s="56" t="s">
        <v>1407</v>
      </c>
      <c r="W46" s="35" t="str">
        <f t="shared" si="2"/>
        <v>OK</v>
      </c>
      <c r="X46" s="38" t="str">
        <f t="shared" si="5"/>
        <v/>
      </c>
      <c r="Y46" s="3"/>
      <c r="Z46" s="116"/>
    </row>
    <row r="47" spans="1:26" ht="15.75" hidden="1" customHeight="1" outlineLevel="1" x14ac:dyDescent="0.3">
      <c r="A47" s="3"/>
      <c r="B47" s="99" t="s">
        <v>470</v>
      </c>
      <c r="C47" s="53">
        <v>6</v>
      </c>
      <c r="D47" s="53" t="s">
        <v>95</v>
      </c>
      <c r="E47" s="11">
        <f t="shared" si="13"/>
        <v>110.45</v>
      </c>
      <c r="F47" s="92">
        <f t="shared" si="14"/>
        <v>110.45</v>
      </c>
      <c r="G47" s="58"/>
      <c r="H47" s="54" t="s">
        <v>37</v>
      </c>
      <c r="I47" s="54"/>
      <c r="J47" s="55"/>
      <c r="K47" s="11"/>
      <c r="L47" s="53" t="str">
        <f t="shared" si="4"/>
        <v/>
      </c>
      <c r="M47" s="11">
        <v>33.880000000000003</v>
      </c>
      <c r="N47" s="11">
        <v>24.57</v>
      </c>
      <c r="O47" s="11">
        <v>12</v>
      </c>
      <c r="P47" s="11" t="s">
        <v>44</v>
      </c>
      <c r="Q47" s="11"/>
      <c r="R47" s="11" t="s">
        <v>44</v>
      </c>
      <c r="S47" s="11"/>
      <c r="T47" s="11"/>
      <c r="U47" s="11">
        <v>40</v>
      </c>
      <c r="V47" s="56" t="s">
        <v>1407</v>
      </c>
      <c r="W47" s="35" t="str">
        <f t="shared" si="2"/>
        <v>OK</v>
      </c>
      <c r="X47" s="38" t="str">
        <f t="shared" si="5"/>
        <v/>
      </c>
      <c r="Y47" s="3"/>
      <c r="Z47" s="116"/>
    </row>
    <row r="48" spans="1:26" ht="15.75" hidden="1" customHeight="1" outlineLevel="1" x14ac:dyDescent="0.3">
      <c r="A48" s="3"/>
      <c r="B48" s="99" t="s">
        <v>471</v>
      </c>
      <c r="C48" s="53">
        <v>18</v>
      </c>
      <c r="D48" s="53" t="s">
        <v>95</v>
      </c>
      <c r="E48" s="11">
        <f t="shared" si="13"/>
        <v>161.69</v>
      </c>
      <c r="F48" s="92">
        <f t="shared" si="14"/>
        <v>161.69</v>
      </c>
      <c r="G48" s="58"/>
      <c r="H48" s="54" t="s">
        <v>37</v>
      </c>
      <c r="I48" s="54"/>
      <c r="J48" s="55"/>
      <c r="K48" s="11"/>
      <c r="L48" s="53">
        <f t="shared" si="4"/>
        <v>1</v>
      </c>
      <c r="M48" s="11">
        <v>93.62</v>
      </c>
      <c r="N48" s="11">
        <v>24.57</v>
      </c>
      <c r="O48" s="11">
        <v>12</v>
      </c>
      <c r="P48" s="11">
        <v>1.5</v>
      </c>
      <c r="Q48" s="11"/>
      <c r="R48" s="11"/>
      <c r="S48" s="11">
        <v>10</v>
      </c>
      <c r="T48" s="11"/>
      <c r="U48" s="11">
        <v>20</v>
      </c>
      <c r="V48" s="56" t="s">
        <v>1405</v>
      </c>
      <c r="W48" s="35" t="str">
        <f t="shared" si="2"/>
        <v>OK</v>
      </c>
      <c r="X48" s="38" t="str">
        <f t="shared" si="5"/>
        <v/>
      </c>
      <c r="Y48" s="3"/>
      <c r="Z48" s="116"/>
    </row>
    <row r="49" spans="1:26" ht="15.75" hidden="1" customHeight="1" outlineLevel="1" x14ac:dyDescent="0.3">
      <c r="A49" s="3"/>
      <c r="B49" s="99" t="s">
        <v>473</v>
      </c>
      <c r="C49" s="53">
        <v>18</v>
      </c>
      <c r="D49" s="53" t="s">
        <v>95</v>
      </c>
      <c r="E49" s="11">
        <f t="shared" si="13"/>
        <v>131.69</v>
      </c>
      <c r="F49" s="92">
        <f t="shared" si="14"/>
        <v>131.69</v>
      </c>
      <c r="G49" s="58"/>
      <c r="H49" s="54" t="s">
        <v>37</v>
      </c>
      <c r="I49" s="54"/>
      <c r="J49" s="55"/>
      <c r="K49" s="11"/>
      <c r="L49" s="53">
        <f t="shared" si="4"/>
        <v>1</v>
      </c>
      <c r="M49" s="11">
        <v>93.62</v>
      </c>
      <c r="N49" s="11">
        <v>24.57</v>
      </c>
      <c r="O49" s="11">
        <v>12</v>
      </c>
      <c r="P49" s="11">
        <v>1.5</v>
      </c>
      <c r="Q49" s="11"/>
      <c r="R49" s="11"/>
      <c r="S49" s="11"/>
      <c r="T49" s="11"/>
      <c r="U49" s="11"/>
      <c r="V49" s="56"/>
      <c r="W49" s="35" t="str">
        <f t="shared" si="2"/>
        <v>OK</v>
      </c>
      <c r="X49" s="38" t="str">
        <f t="shared" si="5"/>
        <v/>
      </c>
      <c r="Y49" s="3"/>
      <c r="Z49" s="116"/>
    </row>
    <row r="50" spans="1:26" ht="15.75" hidden="1" customHeight="1" outlineLevel="1" x14ac:dyDescent="0.3">
      <c r="A50" s="3"/>
      <c r="B50" s="99" t="s">
        <v>474</v>
      </c>
      <c r="C50" s="53">
        <v>9</v>
      </c>
      <c r="D50" s="53" t="s">
        <v>95</v>
      </c>
      <c r="E50" s="11">
        <f t="shared" si="13"/>
        <v>182.44</v>
      </c>
      <c r="F50" s="92">
        <f t="shared" si="14"/>
        <v>182.44</v>
      </c>
      <c r="G50" s="58"/>
      <c r="H50" s="54" t="s">
        <v>37</v>
      </c>
      <c r="I50" s="54"/>
      <c r="J50" s="55"/>
      <c r="K50" s="11"/>
      <c r="L50" s="53" t="str">
        <f t="shared" si="4"/>
        <v/>
      </c>
      <c r="M50" s="11">
        <v>139.43</v>
      </c>
      <c r="N50" s="11">
        <v>24.57</v>
      </c>
      <c r="O50" s="11">
        <v>12</v>
      </c>
      <c r="P50" s="11">
        <v>1.44</v>
      </c>
      <c r="Q50" s="11">
        <v>5</v>
      </c>
      <c r="R50" s="11"/>
      <c r="S50" s="11"/>
      <c r="T50" s="11"/>
      <c r="U50" s="11"/>
      <c r="V50" s="56"/>
      <c r="W50" s="35" t="str">
        <f t="shared" si="2"/>
        <v>OK</v>
      </c>
      <c r="X50" s="38" t="str">
        <f t="shared" si="5"/>
        <v/>
      </c>
      <c r="Y50" s="3"/>
      <c r="Z50" s="116"/>
    </row>
    <row r="51" spans="1:26" ht="15.75" hidden="1" customHeight="1" outlineLevel="1" x14ac:dyDescent="0.3">
      <c r="A51" s="3"/>
      <c r="B51" s="99" t="s">
        <v>475</v>
      </c>
      <c r="C51" s="53">
        <v>5</v>
      </c>
      <c r="D51" s="53" t="s">
        <v>95</v>
      </c>
      <c r="E51" s="11">
        <f t="shared" si="13"/>
        <v>246.29</v>
      </c>
      <c r="F51" s="92">
        <f t="shared" si="14"/>
        <v>246.29</v>
      </c>
      <c r="G51" s="58"/>
      <c r="H51" s="54" t="s">
        <v>37</v>
      </c>
      <c r="I51" s="54"/>
      <c r="J51" s="55"/>
      <c r="K51" s="11"/>
      <c r="L51" s="53" t="str">
        <f t="shared" si="4"/>
        <v/>
      </c>
      <c r="M51" s="11">
        <v>98.28</v>
      </c>
      <c r="N51" s="11">
        <v>24.57</v>
      </c>
      <c r="O51" s="11">
        <v>12</v>
      </c>
      <c r="P51" s="11">
        <v>1.44</v>
      </c>
      <c r="Q51" s="11"/>
      <c r="R51" s="11">
        <v>10</v>
      </c>
      <c r="S51" s="11"/>
      <c r="T51" s="11">
        <v>100</v>
      </c>
      <c r="U51" s="11"/>
      <c r="V51" s="56"/>
      <c r="W51" s="35" t="str">
        <f t="shared" si="2"/>
        <v>OK</v>
      </c>
      <c r="X51" s="38" t="str">
        <f t="shared" si="5"/>
        <v/>
      </c>
      <c r="Y51" s="3"/>
      <c r="Z51" s="116"/>
    </row>
    <row r="52" spans="1:26" ht="15.75" hidden="1" customHeight="1" outlineLevel="1" x14ac:dyDescent="0.3">
      <c r="A52" s="3"/>
      <c r="B52" s="99" t="s">
        <v>477</v>
      </c>
      <c r="C52" s="53">
        <v>5</v>
      </c>
      <c r="D52" s="53" t="s">
        <v>95</v>
      </c>
      <c r="E52" s="11">
        <f t="shared" si="13"/>
        <v>146.29</v>
      </c>
      <c r="F52" s="92">
        <f t="shared" si="14"/>
        <v>146.29</v>
      </c>
      <c r="G52" s="58"/>
      <c r="H52" s="54" t="s">
        <v>37</v>
      </c>
      <c r="I52" s="54"/>
      <c r="J52" s="55"/>
      <c r="K52" s="11"/>
      <c r="L52" s="53" t="str">
        <f t="shared" si="4"/>
        <v/>
      </c>
      <c r="M52" s="11">
        <v>98.28</v>
      </c>
      <c r="N52" s="11">
        <v>24.57</v>
      </c>
      <c r="O52" s="11">
        <v>12</v>
      </c>
      <c r="P52" s="11">
        <v>1.44</v>
      </c>
      <c r="Q52" s="11"/>
      <c r="R52" s="11">
        <v>10</v>
      </c>
      <c r="S52" s="11"/>
      <c r="T52" s="11"/>
      <c r="U52" s="11"/>
      <c r="V52" s="80"/>
      <c r="W52" s="35" t="str">
        <f t="shared" si="2"/>
        <v>OK</v>
      </c>
      <c r="X52" s="38" t="str">
        <f t="shared" si="5"/>
        <v/>
      </c>
      <c r="Y52" s="3"/>
      <c r="Z52" s="116"/>
    </row>
    <row r="53" spans="1:26" ht="15.75" hidden="1" customHeight="1" outlineLevel="1" x14ac:dyDescent="0.3">
      <c r="A53" s="3"/>
      <c r="B53" s="99" t="s">
        <v>478</v>
      </c>
      <c r="C53" s="53">
        <v>10</v>
      </c>
      <c r="D53" s="53" t="s">
        <v>95</v>
      </c>
      <c r="E53" s="11">
        <v>122</v>
      </c>
      <c r="F53" s="92">
        <f>SUM(M53:U53)</f>
        <v>201</v>
      </c>
      <c r="G53" s="61" t="s">
        <v>1419</v>
      </c>
      <c r="H53" s="54" t="s">
        <v>37</v>
      </c>
      <c r="I53" s="54"/>
      <c r="J53" s="55"/>
      <c r="K53" s="11"/>
      <c r="L53" s="53" t="str">
        <f t="shared" si="4"/>
        <v/>
      </c>
      <c r="M53" s="11">
        <f>13.93+79</f>
        <v>92.93</v>
      </c>
      <c r="N53" s="11">
        <v>24.57</v>
      </c>
      <c r="O53" s="11">
        <v>12</v>
      </c>
      <c r="P53" s="11">
        <v>1.5</v>
      </c>
      <c r="Q53" s="11">
        <v>5</v>
      </c>
      <c r="R53" s="11"/>
      <c r="S53" s="11"/>
      <c r="T53" s="11"/>
      <c r="U53" s="11">
        <v>65</v>
      </c>
      <c r="V53" s="56" t="s">
        <v>1418</v>
      </c>
      <c r="W53" s="35" t="str">
        <f t="shared" si="2"/>
        <v>OK</v>
      </c>
      <c r="X53" s="38" t="str">
        <f t="shared" si="5"/>
        <v/>
      </c>
      <c r="Y53" s="3"/>
      <c r="Z53" s="116"/>
    </row>
    <row r="54" spans="1:26" ht="15.75" hidden="1" customHeight="1" outlineLevel="1" x14ac:dyDescent="0.3">
      <c r="A54" s="3"/>
      <c r="B54" s="99" t="s">
        <v>479</v>
      </c>
      <c r="C54" s="53">
        <v>7</v>
      </c>
      <c r="D54" s="53" t="s">
        <v>95</v>
      </c>
      <c r="E54" s="11">
        <f t="shared" ref="E54:E58" si="15">SUM(M54:U54)</f>
        <v>140.5</v>
      </c>
      <c r="F54" s="92">
        <f t="shared" ref="F54:F55" si="16">E54</f>
        <v>140.5</v>
      </c>
      <c r="G54" s="58"/>
      <c r="H54" s="54" t="s">
        <v>37</v>
      </c>
      <c r="I54" s="54"/>
      <c r="J54" s="55"/>
      <c r="K54" s="11"/>
      <c r="L54" s="53" t="str">
        <f t="shared" si="4"/>
        <v/>
      </c>
      <c r="M54" s="11">
        <v>93.43</v>
      </c>
      <c r="N54" s="11">
        <v>24.57</v>
      </c>
      <c r="O54" s="11">
        <v>12</v>
      </c>
      <c r="P54" s="11">
        <v>1.5</v>
      </c>
      <c r="Q54" s="11"/>
      <c r="R54" s="11">
        <v>0</v>
      </c>
      <c r="S54" s="11">
        <v>4</v>
      </c>
      <c r="T54" s="11">
        <v>5</v>
      </c>
      <c r="U54" s="11"/>
      <c r="V54" s="56"/>
      <c r="W54" s="35" t="str">
        <f t="shared" si="2"/>
        <v>OK</v>
      </c>
      <c r="X54" s="38" t="str">
        <f t="shared" si="5"/>
        <v/>
      </c>
      <c r="Y54" s="3"/>
      <c r="Z54" s="116"/>
    </row>
    <row r="55" spans="1:26" ht="15.75" hidden="1" customHeight="1" outlineLevel="1" x14ac:dyDescent="0.3">
      <c r="A55" s="3"/>
      <c r="B55" s="99" t="s">
        <v>480</v>
      </c>
      <c r="C55" s="53">
        <v>7</v>
      </c>
      <c r="D55" s="53" t="s">
        <v>95</v>
      </c>
      <c r="E55" s="11">
        <f t="shared" si="15"/>
        <v>139.5</v>
      </c>
      <c r="F55" s="92">
        <f t="shared" si="16"/>
        <v>139.5</v>
      </c>
      <c r="G55" s="58"/>
      <c r="H55" s="54" t="s">
        <v>37</v>
      </c>
      <c r="I55" s="54"/>
      <c r="J55" s="55"/>
      <c r="K55" s="11"/>
      <c r="L55" s="53" t="str">
        <f t="shared" si="4"/>
        <v/>
      </c>
      <c r="M55" s="11">
        <v>93.43</v>
      </c>
      <c r="N55" s="11">
        <v>24.57</v>
      </c>
      <c r="O55" s="11">
        <v>12</v>
      </c>
      <c r="P55" s="11">
        <v>1.5</v>
      </c>
      <c r="Q55" s="11"/>
      <c r="R55" s="11">
        <v>0</v>
      </c>
      <c r="S55" s="11">
        <v>3</v>
      </c>
      <c r="T55" s="11">
        <v>5</v>
      </c>
      <c r="U55" s="11"/>
      <c r="V55" s="56"/>
      <c r="W55" s="35" t="str">
        <f t="shared" si="2"/>
        <v>OK</v>
      </c>
      <c r="X55" s="38" t="str">
        <f t="shared" si="5"/>
        <v/>
      </c>
      <c r="Y55" s="3"/>
      <c r="Z55" s="116"/>
    </row>
    <row r="56" spans="1:26" ht="15.75" hidden="1" customHeight="1" outlineLevel="1" x14ac:dyDescent="0.3">
      <c r="A56" s="3"/>
      <c r="B56" s="99" t="s">
        <v>482</v>
      </c>
      <c r="C56" s="53"/>
      <c r="D56" s="53" t="s">
        <v>105</v>
      </c>
      <c r="E56" s="11">
        <f t="shared" si="15"/>
        <v>102.37</v>
      </c>
      <c r="F56" s="92"/>
      <c r="G56" s="58"/>
      <c r="H56" s="54"/>
      <c r="I56" s="54"/>
      <c r="J56" s="55"/>
      <c r="K56" s="11"/>
      <c r="L56" s="53" t="str">
        <f t="shared" si="4"/>
        <v/>
      </c>
      <c r="M56" s="11">
        <v>19.36</v>
      </c>
      <c r="N56" s="11">
        <v>24.57</v>
      </c>
      <c r="O56" s="11">
        <v>12</v>
      </c>
      <c r="P56" s="11">
        <v>1.44</v>
      </c>
      <c r="Q56" s="11">
        <v>5</v>
      </c>
      <c r="R56" s="11"/>
      <c r="S56" s="11"/>
      <c r="T56" s="11"/>
      <c r="U56" s="11">
        <v>40</v>
      </c>
      <c r="V56" s="56" t="s">
        <v>1407</v>
      </c>
      <c r="W56" s="35" t="str">
        <f t="shared" si="2"/>
        <v>Diferente</v>
      </c>
      <c r="X56" s="38">
        <f t="shared" si="5"/>
        <v>-102.37</v>
      </c>
      <c r="Y56" s="3"/>
      <c r="Z56" s="116"/>
    </row>
    <row r="57" spans="1:26" ht="15.75" hidden="1" customHeight="1" outlineLevel="1" x14ac:dyDescent="0.3">
      <c r="A57" s="3"/>
      <c r="B57" s="99" t="s">
        <v>483</v>
      </c>
      <c r="C57" s="53">
        <v>9</v>
      </c>
      <c r="D57" s="53" t="s">
        <v>95</v>
      </c>
      <c r="E57" s="11">
        <f t="shared" si="15"/>
        <v>158.47</v>
      </c>
      <c r="F57" s="92">
        <f t="shared" ref="F57:F58" si="17">E57</f>
        <v>158.47</v>
      </c>
      <c r="G57" s="58"/>
      <c r="H57" s="54" t="s">
        <v>37</v>
      </c>
      <c r="I57" s="54"/>
      <c r="J57" s="55"/>
      <c r="K57" s="11"/>
      <c r="L57" s="53" t="str">
        <f t="shared" si="4"/>
        <v/>
      </c>
      <c r="M57" s="11">
        <v>0</v>
      </c>
      <c r="N57" s="11">
        <v>24.57</v>
      </c>
      <c r="O57" s="11">
        <v>12</v>
      </c>
      <c r="P57" s="11">
        <v>0</v>
      </c>
      <c r="Q57" s="11">
        <v>0</v>
      </c>
      <c r="R57" s="11"/>
      <c r="S57" s="11"/>
      <c r="T57" s="11"/>
      <c r="U57" s="11">
        <v>121.9</v>
      </c>
      <c r="V57" s="56" t="s">
        <v>1420</v>
      </c>
      <c r="W57" s="35" t="str">
        <f t="shared" si="2"/>
        <v>OK</v>
      </c>
      <c r="X57" s="38" t="str">
        <f t="shared" si="5"/>
        <v/>
      </c>
      <c r="Y57" s="3"/>
      <c r="Z57" s="116"/>
    </row>
    <row r="58" spans="1:26" ht="15.75" hidden="1" customHeight="1" outlineLevel="1" x14ac:dyDescent="0.3">
      <c r="A58" s="3"/>
      <c r="B58" s="99" t="s">
        <v>484</v>
      </c>
      <c r="C58" s="53">
        <v>9</v>
      </c>
      <c r="D58" s="53" t="s">
        <v>95</v>
      </c>
      <c r="E58" s="11">
        <f t="shared" si="15"/>
        <v>36.57</v>
      </c>
      <c r="F58" s="92">
        <f t="shared" si="17"/>
        <v>36.57</v>
      </c>
      <c r="G58" s="58"/>
      <c r="H58" s="54" t="s">
        <v>37</v>
      </c>
      <c r="I58" s="54"/>
      <c r="J58" s="55"/>
      <c r="K58" s="11"/>
      <c r="L58" s="53" t="str">
        <f t="shared" si="4"/>
        <v/>
      </c>
      <c r="M58" s="11">
        <v>0</v>
      </c>
      <c r="N58" s="11">
        <v>24.57</v>
      </c>
      <c r="O58" s="11">
        <v>12</v>
      </c>
      <c r="P58" s="11">
        <v>0</v>
      </c>
      <c r="Q58" s="11">
        <v>0</v>
      </c>
      <c r="R58" s="11"/>
      <c r="S58" s="11"/>
      <c r="T58" s="11"/>
      <c r="U58" s="11"/>
      <c r="V58" s="56"/>
      <c r="W58" s="35" t="str">
        <f t="shared" si="2"/>
        <v>OK</v>
      </c>
      <c r="X58" s="38" t="str">
        <f t="shared" si="5"/>
        <v/>
      </c>
      <c r="Y58" s="3"/>
      <c r="Z58" s="116"/>
    </row>
    <row r="59" spans="1:26" ht="15.75" hidden="1" customHeight="1" outlineLevel="1" x14ac:dyDescent="0.3">
      <c r="A59" s="3"/>
      <c r="B59" s="99" t="s">
        <v>485</v>
      </c>
      <c r="C59" s="53">
        <v>11</v>
      </c>
      <c r="D59" s="53" t="s">
        <v>95</v>
      </c>
      <c r="E59" s="11">
        <v>100</v>
      </c>
      <c r="F59" s="92">
        <f>SUM(M59:U59)</f>
        <v>215</v>
      </c>
      <c r="G59" s="61" t="s">
        <v>1421</v>
      </c>
      <c r="H59" s="54" t="s">
        <v>37</v>
      </c>
      <c r="I59" s="54"/>
      <c r="J59" s="55"/>
      <c r="K59" s="11"/>
      <c r="L59" s="53" t="str">
        <f t="shared" si="4"/>
        <v/>
      </c>
      <c r="M59" s="11">
        <f>61.99*2+15</f>
        <v>138.98000000000002</v>
      </c>
      <c r="N59" s="11">
        <f>24.57*2</f>
        <v>49.14</v>
      </c>
      <c r="O59" s="11">
        <f>12*2</f>
        <v>24</v>
      </c>
      <c r="P59" s="11">
        <f>1.44*2</f>
        <v>2.88</v>
      </c>
      <c r="Q59" s="11"/>
      <c r="R59" s="11"/>
      <c r="S59" s="11"/>
      <c r="T59" s="11"/>
      <c r="U59" s="11"/>
      <c r="V59" s="56"/>
      <c r="W59" s="35" t="str">
        <f t="shared" si="2"/>
        <v>OK</v>
      </c>
      <c r="X59" s="38" t="str">
        <f t="shared" si="5"/>
        <v/>
      </c>
      <c r="Y59" s="3"/>
      <c r="Z59" s="116"/>
    </row>
    <row r="60" spans="1:26" ht="15.75" hidden="1" customHeight="1" outlineLevel="1" x14ac:dyDescent="0.3">
      <c r="A60" s="3"/>
      <c r="B60" s="99" t="s">
        <v>489</v>
      </c>
      <c r="C60" s="53"/>
      <c r="D60" s="53" t="s">
        <v>105</v>
      </c>
      <c r="E60" s="11">
        <f t="shared" ref="E60:E103" si="18">SUM(M60:U60)</f>
        <v>138.07</v>
      </c>
      <c r="F60" s="92"/>
      <c r="G60" s="58"/>
      <c r="H60" s="54"/>
      <c r="I60" s="54"/>
      <c r="J60" s="55"/>
      <c r="K60" s="11"/>
      <c r="L60" s="53" t="str">
        <f t="shared" si="4"/>
        <v/>
      </c>
      <c r="M60" s="11">
        <v>100</v>
      </c>
      <c r="N60" s="11">
        <v>24.57</v>
      </c>
      <c r="O60" s="11">
        <v>12</v>
      </c>
      <c r="P60" s="11">
        <v>1.5</v>
      </c>
      <c r="Q60" s="11"/>
      <c r="R60" s="11"/>
      <c r="S60" s="11"/>
      <c r="T60" s="11"/>
      <c r="U60" s="11"/>
      <c r="V60" s="56"/>
      <c r="W60" s="35" t="str">
        <f t="shared" si="2"/>
        <v>Diferente</v>
      </c>
      <c r="X60" s="38">
        <f t="shared" si="5"/>
        <v>-138.07</v>
      </c>
      <c r="Y60" s="3"/>
      <c r="Z60" s="116"/>
    </row>
    <row r="61" spans="1:26" ht="15.75" hidden="1" customHeight="1" outlineLevel="1" x14ac:dyDescent="0.3">
      <c r="A61" s="3"/>
      <c r="B61" s="99" t="s">
        <v>1422</v>
      </c>
      <c r="C61" s="53">
        <v>5</v>
      </c>
      <c r="D61" s="53" t="s">
        <v>95</v>
      </c>
      <c r="E61" s="11">
        <f t="shared" si="18"/>
        <v>258.82</v>
      </c>
      <c r="F61" s="92">
        <f t="shared" ref="F61:F62" si="19">E61</f>
        <v>258.82</v>
      </c>
      <c r="G61" s="58"/>
      <c r="H61" s="54" t="s">
        <v>37</v>
      </c>
      <c r="I61" s="54"/>
      <c r="J61" s="55"/>
      <c r="K61" s="11"/>
      <c r="L61" s="53" t="str">
        <f t="shared" si="4"/>
        <v/>
      </c>
      <c r="M61" s="11">
        <v>122.25</v>
      </c>
      <c r="N61" s="11">
        <v>24.57</v>
      </c>
      <c r="O61" s="11">
        <v>12</v>
      </c>
      <c r="P61" s="11">
        <v>10</v>
      </c>
      <c r="Q61" s="11">
        <v>5</v>
      </c>
      <c r="R61" s="11">
        <v>5</v>
      </c>
      <c r="S61" s="11">
        <v>15</v>
      </c>
      <c r="T61" s="11">
        <v>25</v>
      </c>
      <c r="U61" s="11">
        <v>40</v>
      </c>
      <c r="V61" s="56" t="s">
        <v>1407</v>
      </c>
      <c r="W61" s="35" t="str">
        <f t="shared" si="2"/>
        <v>OK</v>
      </c>
      <c r="X61" s="38" t="str">
        <f t="shared" si="5"/>
        <v/>
      </c>
      <c r="Y61" s="3"/>
      <c r="Z61" s="116"/>
    </row>
    <row r="62" spans="1:26" ht="15.75" hidden="1" customHeight="1" outlineLevel="1" x14ac:dyDescent="0.3">
      <c r="A62" s="3"/>
      <c r="B62" s="99" t="s">
        <v>491</v>
      </c>
      <c r="C62" s="53">
        <v>5</v>
      </c>
      <c r="D62" s="53" t="s">
        <v>95</v>
      </c>
      <c r="E62" s="11">
        <f t="shared" si="18"/>
        <v>258.82</v>
      </c>
      <c r="F62" s="92">
        <f t="shared" si="19"/>
        <v>258.82</v>
      </c>
      <c r="G62" s="58"/>
      <c r="H62" s="54" t="s">
        <v>37</v>
      </c>
      <c r="I62" s="54"/>
      <c r="J62" s="55"/>
      <c r="K62" s="11"/>
      <c r="L62" s="53" t="str">
        <f t="shared" si="4"/>
        <v/>
      </c>
      <c r="M62" s="11">
        <v>122.25</v>
      </c>
      <c r="N62" s="11">
        <v>24.57</v>
      </c>
      <c r="O62" s="11">
        <v>12</v>
      </c>
      <c r="P62" s="11">
        <v>10</v>
      </c>
      <c r="Q62" s="11">
        <v>5</v>
      </c>
      <c r="R62" s="11">
        <v>5</v>
      </c>
      <c r="S62" s="11">
        <v>15</v>
      </c>
      <c r="T62" s="11">
        <v>25</v>
      </c>
      <c r="U62" s="11">
        <v>40</v>
      </c>
      <c r="V62" s="56" t="s">
        <v>1407</v>
      </c>
      <c r="W62" s="35" t="str">
        <f t="shared" si="2"/>
        <v>OK</v>
      </c>
      <c r="X62" s="38" t="str">
        <f t="shared" si="5"/>
        <v/>
      </c>
      <c r="Y62" s="3"/>
      <c r="Z62" s="116"/>
    </row>
    <row r="63" spans="1:26" ht="15.75" hidden="1" customHeight="1" outlineLevel="1" x14ac:dyDescent="0.3">
      <c r="A63" s="3"/>
      <c r="B63" s="99" t="s">
        <v>492</v>
      </c>
      <c r="C63" s="53"/>
      <c r="D63" s="53" t="s">
        <v>105</v>
      </c>
      <c r="E63" s="11">
        <f t="shared" si="18"/>
        <v>181.44</v>
      </c>
      <c r="F63" s="92"/>
      <c r="G63" s="58"/>
      <c r="H63" s="54"/>
      <c r="I63" s="54"/>
      <c r="J63" s="55"/>
      <c r="K63" s="11"/>
      <c r="L63" s="53" t="str">
        <f t="shared" si="4"/>
        <v/>
      </c>
      <c r="M63" s="11">
        <v>113.43</v>
      </c>
      <c r="N63" s="11">
        <v>24.57</v>
      </c>
      <c r="O63" s="11">
        <v>12</v>
      </c>
      <c r="P63" s="11">
        <v>1.44</v>
      </c>
      <c r="Q63" s="11">
        <v>5</v>
      </c>
      <c r="R63" s="11">
        <v>20</v>
      </c>
      <c r="S63" s="11">
        <v>5</v>
      </c>
      <c r="T63" s="11"/>
      <c r="U63" s="11"/>
      <c r="V63" s="56"/>
      <c r="W63" s="35" t="str">
        <f t="shared" si="2"/>
        <v>Diferente</v>
      </c>
      <c r="X63" s="38">
        <f t="shared" si="5"/>
        <v>-181.44</v>
      </c>
      <c r="Y63" s="3"/>
      <c r="Z63" s="116"/>
    </row>
    <row r="64" spans="1:26" ht="15.75" hidden="1" customHeight="1" outlineLevel="1" x14ac:dyDescent="0.3">
      <c r="A64" s="3"/>
      <c r="B64" s="99" t="s">
        <v>494</v>
      </c>
      <c r="C64" s="53">
        <v>5</v>
      </c>
      <c r="D64" s="53" t="s">
        <v>95</v>
      </c>
      <c r="E64" s="11">
        <f t="shared" si="18"/>
        <v>120</v>
      </c>
      <c r="F64" s="92">
        <f t="shared" ref="F64:F68" si="20">E64</f>
        <v>120</v>
      </c>
      <c r="G64" s="58"/>
      <c r="H64" s="54" t="s">
        <v>39</v>
      </c>
      <c r="I64" s="54"/>
      <c r="J64" s="55"/>
      <c r="K64" s="11"/>
      <c r="L64" s="53" t="str">
        <f t="shared" si="4"/>
        <v/>
      </c>
      <c r="M64" s="11">
        <v>81.93</v>
      </c>
      <c r="N64" s="11">
        <v>24.57</v>
      </c>
      <c r="O64" s="11">
        <v>12</v>
      </c>
      <c r="P64" s="11">
        <v>1.5</v>
      </c>
      <c r="Q64" s="11"/>
      <c r="R64" s="11"/>
      <c r="S64" s="11"/>
      <c r="T64" s="11"/>
      <c r="U64" s="11"/>
      <c r="V64" s="56"/>
      <c r="W64" s="35" t="str">
        <f t="shared" si="2"/>
        <v>OK</v>
      </c>
      <c r="X64" s="38" t="str">
        <f t="shared" si="5"/>
        <v/>
      </c>
      <c r="Y64" s="3"/>
      <c r="Z64" s="116"/>
    </row>
    <row r="65" spans="1:26" ht="15.75" hidden="1" customHeight="1" outlineLevel="1" x14ac:dyDescent="0.3">
      <c r="A65" s="3"/>
      <c r="B65" s="99" t="s">
        <v>495</v>
      </c>
      <c r="C65" s="53">
        <v>21</v>
      </c>
      <c r="D65" s="53" t="s">
        <v>95</v>
      </c>
      <c r="E65" s="11">
        <f t="shared" si="18"/>
        <v>52</v>
      </c>
      <c r="F65" s="92">
        <f t="shared" si="20"/>
        <v>52</v>
      </c>
      <c r="G65" s="58"/>
      <c r="H65" s="54" t="s">
        <v>37</v>
      </c>
      <c r="I65" s="54"/>
      <c r="J65" s="55"/>
      <c r="K65" s="11"/>
      <c r="L65" s="53">
        <f t="shared" si="4"/>
        <v>1</v>
      </c>
      <c r="M65" s="11">
        <v>13.93</v>
      </c>
      <c r="N65" s="11">
        <v>24.57</v>
      </c>
      <c r="O65" s="11">
        <v>12</v>
      </c>
      <c r="P65" s="11">
        <v>1.5</v>
      </c>
      <c r="Q65" s="11"/>
      <c r="R65" s="11"/>
      <c r="S65" s="11"/>
      <c r="T65" s="11"/>
      <c r="U65" s="11"/>
      <c r="V65" s="56"/>
      <c r="W65" s="35" t="str">
        <f t="shared" si="2"/>
        <v>OK</v>
      </c>
      <c r="X65" s="38" t="str">
        <f t="shared" si="5"/>
        <v/>
      </c>
      <c r="Y65" s="3"/>
      <c r="Z65" s="116"/>
    </row>
    <row r="66" spans="1:26" ht="15.75" hidden="1" customHeight="1" outlineLevel="1" x14ac:dyDescent="0.3">
      <c r="A66" s="3"/>
      <c r="B66" s="99" t="s">
        <v>496</v>
      </c>
      <c r="C66" s="53">
        <v>21</v>
      </c>
      <c r="D66" s="53" t="s">
        <v>95</v>
      </c>
      <c r="E66" s="11">
        <f t="shared" si="18"/>
        <v>52</v>
      </c>
      <c r="F66" s="92">
        <f t="shared" si="20"/>
        <v>52</v>
      </c>
      <c r="G66" s="58"/>
      <c r="H66" s="54" t="s">
        <v>37</v>
      </c>
      <c r="I66" s="54"/>
      <c r="J66" s="55"/>
      <c r="K66" s="11"/>
      <c r="L66" s="53">
        <f t="shared" si="4"/>
        <v>1</v>
      </c>
      <c r="M66" s="11">
        <v>13.93</v>
      </c>
      <c r="N66" s="11">
        <v>24.57</v>
      </c>
      <c r="O66" s="11">
        <v>12</v>
      </c>
      <c r="P66" s="11">
        <v>1.5</v>
      </c>
      <c r="Q66" s="11"/>
      <c r="R66" s="11"/>
      <c r="S66" s="11"/>
      <c r="T66" s="11"/>
      <c r="U66" s="11"/>
      <c r="V66" s="56"/>
      <c r="W66" s="35" t="str">
        <f t="shared" si="2"/>
        <v>OK</v>
      </c>
      <c r="X66" s="38" t="str">
        <f t="shared" si="5"/>
        <v/>
      </c>
      <c r="Y66" s="3"/>
      <c r="Z66" s="116"/>
    </row>
    <row r="67" spans="1:26" ht="15.75" hidden="1" customHeight="1" outlineLevel="1" x14ac:dyDescent="0.3">
      <c r="A67" s="3"/>
      <c r="B67" s="99" t="s">
        <v>497</v>
      </c>
      <c r="C67" s="53">
        <v>10</v>
      </c>
      <c r="D67" s="53" t="s">
        <v>95</v>
      </c>
      <c r="E67" s="11">
        <f t="shared" si="18"/>
        <v>100</v>
      </c>
      <c r="F67" s="92">
        <f t="shared" si="20"/>
        <v>100</v>
      </c>
      <c r="G67" s="58"/>
      <c r="H67" s="54" t="s">
        <v>37</v>
      </c>
      <c r="I67" s="54"/>
      <c r="J67" s="55"/>
      <c r="K67" s="11"/>
      <c r="L67" s="53" t="str">
        <f t="shared" si="4"/>
        <v/>
      </c>
      <c r="M67" s="11">
        <v>56.93</v>
      </c>
      <c r="N67" s="11">
        <v>24.57</v>
      </c>
      <c r="O67" s="11">
        <v>12</v>
      </c>
      <c r="P67" s="11">
        <v>1.5</v>
      </c>
      <c r="Q67" s="11">
        <v>5</v>
      </c>
      <c r="R67" s="11"/>
      <c r="S67" s="11"/>
      <c r="T67" s="11"/>
      <c r="U67" s="11"/>
      <c r="V67" s="56"/>
      <c r="W67" s="35" t="str">
        <f t="shared" si="2"/>
        <v>OK</v>
      </c>
      <c r="X67" s="38" t="str">
        <f t="shared" si="5"/>
        <v/>
      </c>
      <c r="Y67" s="3"/>
      <c r="Z67" s="116"/>
    </row>
    <row r="68" spans="1:26" ht="15.75" hidden="1" customHeight="1" outlineLevel="1" x14ac:dyDescent="0.3">
      <c r="A68" s="3"/>
      <c r="B68" s="99" t="s">
        <v>498</v>
      </c>
      <c r="C68" s="53">
        <v>7</v>
      </c>
      <c r="D68" s="53" t="s">
        <v>95</v>
      </c>
      <c r="E68" s="11">
        <f t="shared" si="18"/>
        <v>250</v>
      </c>
      <c r="F68" s="92">
        <f t="shared" si="20"/>
        <v>250</v>
      </c>
      <c r="G68" s="58"/>
      <c r="H68" s="54" t="s">
        <v>38</v>
      </c>
      <c r="I68" s="54"/>
      <c r="J68" s="55"/>
      <c r="K68" s="11"/>
      <c r="L68" s="53" t="str">
        <f t="shared" si="4"/>
        <v/>
      </c>
      <c r="M68" s="11">
        <v>148.43</v>
      </c>
      <c r="N68" s="11">
        <v>24.57</v>
      </c>
      <c r="O68" s="11">
        <v>12</v>
      </c>
      <c r="P68" s="11">
        <v>5</v>
      </c>
      <c r="Q68" s="11">
        <v>10</v>
      </c>
      <c r="R68" s="11"/>
      <c r="S68" s="11"/>
      <c r="T68" s="11"/>
      <c r="U68" s="11">
        <v>50</v>
      </c>
      <c r="V68" s="56" t="s">
        <v>1423</v>
      </c>
      <c r="W68" s="35" t="str">
        <f t="shared" si="2"/>
        <v>OK</v>
      </c>
      <c r="X68" s="38" t="str">
        <f t="shared" si="5"/>
        <v/>
      </c>
      <c r="Y68" s="3"/>
      <c r="Z68" s="116"/>
    </row>
    <row r="69" spans="1:26" ht="15.75" hidden="1" customHeight="1" outlineLevel="1" x14ac:dyDescent="0.3">
      <c r="A69" s="3"/>
      <c r="B69" s="99" t="s">
        <v>499</v>
      </c>
      <c r="C69" s="53"/>
      <c r="D69" s="53" t="s">
        <v>105</v>
      </c>
      <c r="E69" s="11">
        <f t="shared" si="18"/>
        <v>57.39</v>
      </c>
      <c r="F69" s="92"/>
      <c r="G69" s="58"/>
      <c r="H69" s="54"/>
      <c r="I69" s="54"/>
      <c r="J69" s="55"/>
      <c r="K69" s="11"/>
      <c r="L69" s="53" t="str">
        <f t="shared" si="4"/>
        <v/>
      </c>
      <c r="M69" s="11">
        <v>19.32</v>
      </c>
      <c r="N69" s="11">
        <v>24.57</v>
      </c>
      <c r="O69" s="11">
        <v>12</v>
      </c>
      <c r="P69" s="11">
        <v>1.5</v>
      </c>
      <c r="Q69" s="11"/>
      <c r="R69" s="11"/>
      <c r="S69" s="11"/>
      <c r="T69" s="11"/>
      <c r="U69" s="11"/>
      <c r="V69" s="56"/>
      <c r="W69" s="35" t="str">
        <f t="shared" si="2"/>
        <v>Diferente</v>
      </c>
      <c r="X69" s="38">
        <f t="shared" si="5"/>
        <v>-57.39</v>
      </c>
      <c r="Y69" s="3"/>
      <c r="Z69" s="116"/>
    </row>
    <row r="70" spans="1:26" ht="15.75" hidden="1" customHeight="1" outlineLevel="1" x14ac:dyDescent="0.3">
      <c r="A70" s="3"/>
      <c r="B70" s="99" t="s">
        <v>500</v>
      </c>
      <c r="C70" s="53"/>
      <c r="D70" s="53" t="s">
        <v>105</v>
      </c>
      <c r="E70" s="11">
        <f t="shared" si="18"/>
        <v>67.740000000000009</v>
      </c>
      <c r="F70" s="92"/>
      <c r="G70" s="58"/>
      <c r="H70" s="54"/>
      <c r="I70" s="54"/>
      <c r="J70" s="55"/>
      <c r="K70" s="11"/>
      <c r="L70" s="53" t="str">
        <f t="shared" si="4"/>
        <v/>
      </c>
      <c r="M70" s="11">
        <v>29.67</v>
      </c>
      <c r="N70" s="11">
        <v>24.57</v>
      </c>
      <c r="O70" s="11">
        <v>12</v>
      </c>
      <c r="P70" s="11">
        <v>1.5</v>
      </c>
      <c r="Q70" s="11"/>
      <c r="R70" s="11"/>
      <c r="S70" s="11"/>
      <c r="T70" s="11"/>
      <c r="U70" s="11"/>
      <c r="V70" s="56"/>
      <c r="W70" s="35" t="str">
        <f t="shared" si="2"/>
        <v>Diferente</v>
      </c>
      <c r="X70" s="38">
        <f t="shared" si="5"/>
        <v>-67.740000000000009</v>
      </c>
      <c r="Y70" s="3"/>
      <c r="Z70" s="116"/>
    </row>
    <row r="71" spans="1:26" ht="15.75" hidden="1" customHeight="1" outlineLevel="1" x14ac:dyDescent="0.3">
      <c r="A71" s="3"/>
      <c r="B71" s="99" t="s">
        <v>501</v>
      </c>
      <c r="C71" s="53">
        <v>19</v>
      </c>
      <c r="D71" s="53" t="s">
        <v>95</v>
      </c>
      <c r="E71" s="11">
        <f t="shared" si="18"/>
        <v>134.43</v>
      </c>
      <c r="F71" s="92">
        <f t="shared" ref="F71:F90" si="21">E71</f>
        <v>134.43</v>
      </c>
      <c r="G71" s="58"/>
      <c r="H71" s="54" t="s">
        <v>37</v>
      </c>
      <c r="I71" s="54"/>
      <c r="J71" s="55"/>
      <c r="K71" s="11"/>
      <c r="L71" s="53">
        <f t="shared" si="4"/>
        <v>1</v>
      </c>
      <c r="M71" s="11">
        <v>50.86</v>
      </c>
      <c r="N71" s="11">
        <v>24.57</v>
      </c>
      <c r="O71" s="11">
        <v>12</v>
      </c>
      <c r="P71" s="11">
        <v>2</v>
      </c>
      <c r="Q71" s="11">
        <v>5</v>
      </c>
      <c r="R71" s="11"/>
      <c r="S71" s="11"/>
      <c r="T71" s="11"/>
      <c r="U71" s="11">
        <v>40</v>
      </c>
      <c r="V71" s="56" t="s">
        <v>1407</v>
      </c>
      <c r="W71" s="35" t="str">
        <f t="shared" si="2"/>
        <v>OK</v>
      </c>
      <c r="X71" s="38" t="str">
        <f t="shared" si="5"/>
        <v/>
      </c>
      <c r="Y71" s="3"/>
      <c r="Z71" s="116"/>
    </row>
    <row r="72" spans="1:26" ht="15.75" hidden="1" customHeight="1" outlineLevel="1" x14ac:dyDescent="0.3">
      <c r="A72" s="3"/>
      <c r="B72" s="99" t="s">
        <v>502</v>
      </c>
      <c r="C72" s="53">
        <v>19</v>
      </c>
      <c r="D72" s="53" t="s">
        <v>95</v>
      </c>
      <c r="E72" s="11">
        <f t="shared" si="18"/>
        <v>93.57</v>
      </c>
      <c r="F72" s="92">
        <f t="shared" si="21"/>
        <v>93.57</v>
      </c>
      <c r="G72" s="58"/>
      <c r="H72" s="54" t="s">
        <v>37</v>
      </c>
      <c r="I72" s="54"/>
      <c r="J72" s="55"/>
      <c r="K72" s="11"/>
      <c r="L72" s="53">
        <f t="shared" si="4"/>
        <v>1</v>
      </c>
      <c r="M72" s="11">
        <v>50</v>
      </c>
      <c r="N72" s="11">
        <v>24.57</v>
      </c>
      <c r="O72" s="11">
        <v>12</v>
      </c>
      <c r="P72" s="11">
        <v>2</v>
      </c>
      <c r="Q72" s="11">
        <v>5</v>
      </c>
      <c r="R72" s="11"/>
      <c r="S72" s="11"/>
      <c r="T72" s="11"/>
      <c r="U72" s="11"/>
      <c r="V72" s="56"/>
      <c r="W72" s="35" t="str">
        <f t="shared" si="2"/>
        <v>OK</v>
      </c>
      <c r="X72" s="38" t="str">
        <f t="shared" si="5"/>
        <v/>
      </c>
      <c r="Y72" s="3"/>
      <c r="Z72" s="116"/>
    </row>
    <row r="73" spans="1:26" ht="15.75" hidden="1" customHeight="1" outlineLevel="1" x14ac:dyDescent="0.3">
      <c r="A73" s="3"/>
      <c r="B73" s="99" t="s">
        <v>503</v>
      </c>
      <c r="C73" s="53">
        <v>5</v>
      </c>
      <c r="D73" s="53" t="s">
        <v>95</v>
      </c>
      <c r="E73" s="11">
        <f t="shared" si="18"/>
        <v>131.69</v>
      </c>
      <c r="F73" s="92">
        <f t="shared" si="21"/>
        <v>131.69</v>
      </c>
      <c r="G73" s="58"/>
      <c r="H73" s="54" t="s">
        <v>37</v>
      </c>
      <c r="I73" s="54"/>
      <c r="J73" s="55"/>
      <c r="K73" s="11"/>
      <c r="L73" s="53" t="str">
        <f t="shared" si="4"/>
        <v/>
      </c>
      <c r="M73" s="11">
        <v>93.62</v>
      </c>
      <c r="N73" s="11">
        <v>24.57</v>
      </c>
      <c r="O73" s="11">
        <v>12</v>
      </c>
      <c r="P73" s="11">
        <v>1.5</v>
      </c>
      <c r="Q73" s="11"/>
      <c r="R73" s="11"/>
      <c r="S73" s="11"/>
      <c r="T73" s="11"/>
      <c r="U73" s="11"/>
      <c r="V73" s="56"/>
      <c r="W73" s="35" t="str">
        <f t="shared" si="2"/>
        <v>OK</v>
      </c>
      <c r="X73" s="38" t="str">
        <f t="shared" si="5"/>
        <v/>
      </c>
      <c r="Y73" s="3"/>
      <c r="Z73" s="116"/>
    </row>
    <row r="74" spans="1:26" ht="15.75" hidden="1" customHeight="1" outlineLevel="1" x14ac:dyDescent="0.3">
      <c r="A74" s="3"/>
      <c r="B74" s="99" t="s">
        <v>504</v>
      </c>
      <c r="C74" s="53">
        <v>5</v>
      </c>
      <c r="D74" s="53" t="s">
        <v>95</v>
      </c>
      <c r="E74" s="11">
        <f t="shared" si="18"/>
        <v>131.69</v>
      </c>
      <c r="F74" s="92">
        <f t="shared" si="21"/>
        <v>131.69</v>
      </c>
      <c r="G74" s="58"/>
      <c r="H74" s="54" t="s">
        <v>37</v>
      </c>
      <c r="I74" s="54"/>
      <c r="J74" s="55"/>
      <c r="K74" s="11"/>
      <c r="L74" s="53" t="str">
        <f t="shared" si="4"/>
        <v/>
      </c>
      <c r="M74" s="11">
        <v>93.62</v>
      </c>
      <c r="N74" s="11">
        <v>24.57</v>
      </c>
      <c r="O74" s="11">
        <v>12</v>
      </c>
      <c r="P74" s="11">
        <v>1.5</v>
      </c>
      <c r="Q74" s="11"/>
      <c r="R74" s="11"/>
      <c r="S74" s="11"/>
      <c r="T74" s="11"/>
      <c r="U74" s="11"/>
      <c r="V74" s="56"/>
      <c r="W74" s="35" t="str">
        <f t="shared" si="2"/>
        <v>OK</v>
      </c>
      <c r="X74" s="38" t="str">
        <f t="shared" si="5"/>
        <v/>
      </c>
      <c r="Y74" s="3"/>
      <c r="Z74" s="116"/>
    </row>
    <row r="75" spans="1:26" ht="15.75" hidden="1" customHeight="1" outlineLevel="1" x14ac:dyDescent="0.3">
      <c r="A75" s="3"/>
      <c r="B75" s="99" t="s">
        <v>505</v>
      </c>
      <c r="C75" s="53">
        <v>11</v>
      </c>
      <c r="D75" s="53" t="s">
        <v>95</v>
      </c>
      <c r="E75" s="11">
        <f t="shared" si="18"/>
        <v>143.57</v>
      </c>
      <c r="F75" s="92">
        <f t="shared" si="21"/>
        <v>143.57</v>
      </c>
      <c r="G75" s="58"/>
      <c r="H75" s="54" t="s">
        <v>37</v>
      </c>
      <c r="I75" s="54"/>
      <c r="J75" s="55"/>
      <c r="K75" s="11"/>
      <c r="L75" s="53" t="str">
        <f t="shared" si="4"/>
        <v/>
      </c>
      <c r="M75" s="11">
        <v>100</v>
      </c>
      <c r="N75" s="11">
        <v>24.57</v>
      </c>
      <c r="O75" s="11">
        <v>12</v>
      </c>
      <c r="P75" s="11">
        <v>2</v>
      </c>
      <c r="Q75" s="11"/>
      <c r="R75" s="11"/>
      <c r="S75" s="11">
        <v>5</v>
      </c>
      <c r="T75" s="11"/>
      <c r="U75" s="11"/>
      <c r="V75" s="56"/>
      <c r="W75" s="35" t="str">
        <f t="shared" si="2"/>
        <v>OK</v>
      </c>
      <c r="X75" s="38" t="str">
        <f t="shared" si="5"/>
        <v/>
      </c>
      <c r="Y75" s="3"/>
      <c r="Z75" s="116"/>
    </row>
    <row r="76" spans="1:26" ht="15.75" hidden="1" customHeight="1" outlineLevel="1" x14ac:dyDescent="0.3">
      <c r="A76" s="3"/>
      <c r="B76" s="99" t="s">
        <v>507</v>
      </c>
      <c r="C76" s="53">
        <v>11</v>
      </c>
      <c r="D76" s="53" t="s">
        <v>95</v>
      </c>
      <c r="E76" s="11">
        <f t="shared" si="18"/>
        <v>143.57</v>
      </c>
      <c r="F76" s="92">
        <f t="shared" si="21"/>
        <v>143.57</v>
      </c>
      <c r="G76" s="58"/>
      <c r="H76" s="54" t="s">
        <v>37</v>
      </c>
      <c r="I76" s="54"/>
      <c r="J76" s="55"/>
      <c r="K76" s="11"/>
      <c r="L76" s="53" t="str">
        <f t="shared" si="4"/>
        <v/>
      </c>
      <c r="M76" s="11">
        <v>100</v>
      </c>
      <c r="N76" s="11">
        <v>24.57</v>
      </c>
      <c r="O76" s="11">
        <v>12</v>
      </c>
      <c r="P76" s="11">
        <v>2</v>
      </c>
      <c r="Q76" s="11"/>
      <c r="R76" s="11"/>
      <c r="S76" s="11">
        <v>5</v>
      </c>
      <c r="T76" s="11"/>
      <c r="U76" s="11"/>
      <c r="V76" s="56"/>
      <c r="W76" s="35" t="str">
        <f t="shared" si="2"/>
        <v>OK</v>
      </c>
      <c r="X76" s="38" t="str">
        <f t="shared" si="5"/>
        <v/>
      </c>
      <c r="Y76" s="3"/>
      <c r="Z76" s="116"/>
    </row>
    <row r="77" spans="1:26" ht="15.75" hidden="1" customHeight="1" outlineLevel="1" x14ac:dyDescent="0.3">
      <c r="A77" s="3"/>
      <c r="B77" s="99" t="s">
        <v>493</v>
      </c>
      <c r="C77" s="53">
        <v>11</v>
      </c>
      <c r="D77" s="53" t="s">
        <v>95</v>
      </c>
      <c r="E77" s="11">
        <f t="shared" si="18"/>
        <v>65.67</v>
      </c>
      <c r="F77" s="92">
        <f t="shared" si="21"/>
        <v>65.67</v>
      </c>
      <c r="G77" s="58"/>
      <c r="H77" s="54" t="s">
        <v>37</v>
      </c>
      <c r="I77" s="54"/>
      <c r="J77" s="55"/>
      <c r="K77" s="11"/>
      <c r="L77" s="53" t="str">
        <f t="shared" si="4"/>
        <v/>
      </c>
      <c r="M77" s="11">
        <v>27.66</v>
      </c>
      <c r="N77" s="11">
        <v>24.57</v>
      </c>
      <c r="O77" s="11">
        <v>12</v>
      </c>
      <c r="P77" s="11">
        <v>1.44</v>
      </c>
      <c r="Q77" s="11"/>
      <c r="R77" s="11"/>
      <c r="S77" s="11"/>
      <c r="T77" s="11"/>
      <c r="U77" s="11"/>
      <c r="V77" s="56"/>
      <c r="W77" s="35" t="str">
        <f t="shared" si="2"/>
        <v>OK</v>
      </c>
      <c r="X77" s="38" t="str">
        <f t="shared" si="5"/>
        <v/>
      </c>
      <c r="Y77" s="3"/>
      <c r="Z77" s="116"/>
    </row>
    <row r="78" spans="1:26" ht="15.75" hidden="1" customHeight="1" outlineLevel="1" x14ac:dyDescent="0.3">
      <c r="A78" s="3"/>
      <c r="B78" s="99" t="s">
        <v>1424</v>
      </c>
      <c r="C78" s="53">
        <v>10</v>
      </c>
      <c r="D78" s="53" t="s">
        <v>95</v>
      </c>
      <c r="E78" s="11">
        <f t="shared" si="18"/>
        <v>250</v>
      </c>
      <c r="F78" s="92">
        <f t="shared" si="21"/>
        <v>250</v>
      </c>
      <c r="G78" s="58"/>
      <c r="H78" s="54" t="s">
        <v>37</v>
      </c>
      <c r="I78" s="54"/>
      <c r="J78" s="55"/>
      <c r="K78" s="11"/>
      <c r="L78" s="53" t="str">
        <f t="shared" si="4"/>
        <v/>
      </c>
      <c r="M78" s="11">
        <v>196.43</v>
      </c>
      <c r="N78" s="11">
        <v>24.57</v>
      </c>
      <c r="O78" s="11">
        <v>12</v>
      </c>
      <c r="P78" s="11">
        <v>2</v>
      </c>
      <c r="Q78" s="11"/>
      <c r="R78" s="11"/>
      <c r="S78" s="11">
        <v>5</v>
      </c>
      <c r="T78" s="11">
        <v>10</v>
      </c>
      <c r="U78" s="11"/>
      <c r="V78" s="56"/>
      <c r="W78" s="35" t="str">
        <f t="shared" si="2"/>
        <v>OK</v>
      </c>
      <c r="X78" s="38" t="str">
        <f t="shared" si="5"/>
        <v/>
      </c>
      <c r="Y78" s="3"/>
      <c r="Z78" s="116"/>
    </row>
    <row r="79" spans="1:26" ht="15.75" hidden="1" customHeight="1" outlineLevel="1" x14ac:dyDescent="0.3">
      <c r="A79" s="3"/>
      <c r="B79" s="99" t="s">
        <v>1425</v>
      </c>
      <c r="C79" s="53">
        <v>10</v>
      </c>
      <c r="D79" s="53" t="s">
        <v>95</v>
      </c>
      <c r="E79" s="11">
        <f t="shared" si="18"/>
        <v>132.19</v>
      </c>
      <c r="F79" s="92">
        <f t="shared" si="21"/>
        <v>132.19</v>
      </c>
      <c r="G79" s="58"/>
      <c r="H79" s="54" t="s">
        <v>37</v>
      </c>
      <c r="I79" s="54"/>
      <c r="J79" s="55"/>
      <c r="K79" s="11"/>
      <c r="L79" s="53" t="str">
        <f t="shared" si="4"/>
        <v/>
      </c>
      <c r="M79" s="11">
        <v>93.62</v>
      </c>
      <c r="N79" s="11">
        <v>24.57</v>
      </c>
      <c r="O79" s="11">
        <v>12</v>
      </c>
      <c r="P79" s="11">
        <v>2</v>
      </c>
      <c r="Q79" s="11"/>
      <c r="R79" s="11"/>
      <c r="S79" s="11">
        <v>0</v>
      </c>
      <c r="T79" s="11">
        <v>0</v>
      </c>
      <c r="U79" s="11"/>
      <c r="V79" s="56"/>
      <c r="W79" s="35" t="str">
        <f t="shared" si="2"/>
        <v>OK</v>
      </c>
      <c r="X79" s="38" t="str">
        <f t="shared" si="5"/>
        <v/>
      </c>
      <c r="Y79" s="3"/>
      <c r="Z79" s="116"/>
    </row>
    <row r="80" spans="1:26" ht="15.75" hidden="1" customHeight="1" outlineLevel="1" x14ac:dyDescent="0.3">
      <c r="A80" s="3"/>
      <c r="B80" s="99" t="s">
        <v>509</v>
      </c>
      <c r="C80" s="53">
        <v>5</v>
      </c>
      <c r="D80" s="53" t="s">
        <v>95</v>
      </c>
      <c r="E80" s="11">
        <f t="shared" si="18"/>
        <v>262</v>
      </c>
      <c r="F80" s="92">
        <f t="shared" si="21"/>
        <v>262</v>
      </c>
      <c r="G80" s="58"/>
      <c r="H80" s="54" t="s">
        <v>37</v>
      </c>
      <c r="I80" s="54"/>
      <c r="J80" s="55"/>
      <c r="K80" s="11"/>
      <c r="L80" s="53" t="str">
        <f t="shared" si="4"/>
        <v/>
      </c>
      <c r="M80" s="11">
        <v>138.43</v>
      </c>
      <c r="N80" s="11">
        <v>24.57</v>
      </c>
      <c r="O80" s="11">
        <v>12</v>
      </c>
      <c r="P80" s="11">
        <v>2</v>
      </c>
      <c r="Q80" s="11">
        <v>5</v>
      </c>
      <c r="R80" s="11">
        <v>5</v>
      </c>
      <c r="S80" s="11">
        <v>10</v>
      </c>
      <c r="T80" s="11"/>
      <c r="U80" s="11">
        <v>65</v>
      </c>
      <c r="V80" s="56" t="s">
        <v>1418</v>
      </c>
      <c r="W80" s="35" t="str">
        <f t="shared" si="2"/>
        <v>OK</v>
      </c>
      <c r="X80" s="38" t="str">
        <f t="shared" si="5"/>
        <v/>
      </c>
      <c r="Y80" s="3"/>
      <c r="Z80" s="116"/>
    </row>
    <row r="81" spans="1:26" ht="15.75" hidden="1" customHeight="1" outlineLevel="1" x14ac:dyDescent="0.3">
      <c r="A81" s="3"/>
      <c r="B81" s="99" t="s">
        <v>510</v>
      </c>
      <c r="C81" s="53">
        <v>5</v>
      </c>
      <c r="D81" s="53" t="s">
        <v>95</v>
      </c>
      <c r="E81" s="11">
        <f t="shared" si="18"/>
        <v>277</v>
      </c>
      <c r="F81" s="92">
        <f t="shared" si="21"/>
        <v>277</v>
      </c>
      <c r="G81" s="58"/>
      <c r="H81" s="54" t="s">
        <v>37</v>
      </c>
      <c r="I81" s="54"/>
      <c r="J81" s="55"/>
      <c r="K81" s="11"/>
      <c r="L81" s="53" t="str">
        <f t="shared" si="4"/>
        <v/>
      </c>
      <c r="M81" s="11">
        <v>138.43</v>
      </c>
      <c r="N81" s="11">
        <v>24.57</v>
      </c>
      <c r="O81" s="11">
        <v>12</v>
      </c>
      <c r="P81" s="11">
        <v>2</v>
      </c>
      <c r="Q81" s="11">
        <v>5</v>
      </c>
      <c r="R81" s="11">
        <v>5</v>
      </c>
      <c r="S81" s="11">
        <v>10</v>
      </c>
      <c r="T81" s="11"/>
      <c r="U81" s="11">
        <v>80</v>
      </c>
      <c r="V81" s="56" t="s">
        <v>1426</v>
      </c>
      <c r="W81" s="35" t="str">
        <f t="shared" si="2"/>
        <v>OK</v>
      </c>
      <c r="X81" s="38" t="str">
        <f t="shared" si="5"/>
        <v/>
      </c>
      <c r="Y81" s="3"/>
      <c r="Z81" s="116"/>
    </row>
    <row r="82" spans="1:26" ht="15.75" hidden="1" customHeight="1" outlineLevel="1" x14ac:dyDescent="0.3">
      <c r="A82" s="3"/>
      <c r="B82" s="99" t="s">
        <v>513</v>
      </c>
      <c r="C82" s="53">
        <v>5</v>
      </c>
      <c r="D82" s="53" t="s">
        <v>95</v>
      </c>
      <c r="E82" s="11">
        <f t="shared" si="18"/>
        <v>163.57</v>
      </c>
      <c r="F82" s="92">
        <f t="shared" si="21"/>
        <v>163.57</v>
      </c>
      <c r="G82" s="58"/>
      <c r="H82" s="54" t="s">
        <v>37</v>
      </c>
      <c r="I82" s="54"/>
      <c r="J82" s="55"/>
      <c r="K82" s="11"/>
      <c r="L82" s="53" t="str">
        <f t="shared" si="4"/>
        <v/>
      </c>
      <c r="M82" s="11">
        <v>120</v>
      </c>
      <c r="N82" s="11">
        <v>24.57</v>
      </c>
      <c r="O82" s="11">
        <v>12</v>
      </c>
      <c r="P82" s="11">
        <v>2</v>
      </c>
      <c r="Q82" s="11"/>
      <c r="R82" s="11"/>
      <c r="S82" s="11">
        <v>5</v>
      </c>
      <c r="T82" s="11"/>
      <c r="U82" s="11"/>
      <c r="V82" s="56"/>
      <c r="W82" s="35" t="str">
        <f t="shared" si="2"/>
        <v>OK</v>
      </c>
      <c r="X82" s="38" t="str">
        <f t="shared" si="5"/>
        <v/>
      </c>
      <c r="Y82" s="3"/>
      <c r="Z82" s="116"/>
    </row>
    <row r="83" spans="1:26" ht="15.75" hidden="1" customHeight="1" outlineLevel="1" x14ac:dyDescent="0.3">
      <c r="A83" s="3"/>
      <c r="B83" s="99" t="s">
        <v>514</v>
      </c>
      <c r="C83" s="53">
        <v>5</v>
      </c>
      <c r="D83" s="53" t="s">
        <v>95</v>
      </c>
      <c r="E83" s="11">
        <f t="shared" si="18"/>
        <v>163.57</v>
      </c>
      <c r="F83" s="92">
        <f t="shared" si="21"/>
        <v>163.57</v>
      </c>
      <c r="G83" s="58"/>
      <c r="H83" s="54" t="s">
        <v>37</v>
      </c>
      <c r="I83" s="54"/>
      <c r="J83" s="55"/>
      <c r="K83" s="11"/>
      <c r="L83" s="53" t="str">
        <f t="shared" si="4"/>
        <v/>
      </c>
      <c r="M83" s="11">
        <v>120</v>
      </c>
      <c r="N83" s="11">
        <v>24.57</v>
      </c>
      <c r="O83" s="11">
        <v>12</v>
      </c>
      <c r="P83" s="11">
        <v>2</v>
      </c>
      <c r="Q83" s="11"/>
      <c r="R83" s="11"/>
      <c r="S83" s="11">
        <v>5</v>
      </c>
      <c r="T83" s="11"/>
      <c r="U83" s="11"/>
      <c r="V83" s="56"/>
      <c r="W83" s="35" t="str">
        <f t="shared" si="2"/>
        <v>OK</v>
      </c>
      <c r="X83" s="38" t="str">
        <f t="shared" si="5"/>
        <v/>
      </c>
      <c r="Y83" s="3"/>
      <c r="Z83" s="116"/>
    </row>
    <row r="84" spans="1:26" ht="15.75" hidden="1" customHeight="1" outlineLevel="1" x14ac:dyDescent="0.3">
      <c r="A84" s="3"/>
      <c r="B84" s="99" t="s">
        <v>515</v>
      </c>
      <c r="C84" s="53">
        <v>6</v>
      </c>
      <c r="D84" s="53" t="s">
        <v>95</v>
      </c>
      <c r="E84" s="11">
        <f t="shared" si="18"/>
        <v>152</v>
      </c>
      <c r="F84" s="92">
        <f t="shared" si="21"/>
        <v>152</v>
      </c>
      <c r="G84" s="58"/>
      <c r="H84" s="54" t="s">
        <v>37</v>
      </c>
      <c r="I84" s="54"/>
      <c r="J84" s="55"/>
      <c r="K84" s="11"/>
      <c r="L84" s="53" t="str">
        <f t="shared" si="4"/>
        <v/>
      </c>
      <c r="M84" s="11">
        <v>108.43</v>
      </c>
      <c r="N84" s="11">
        <v>24.57</v>
      </c>
      <c r="O84" s="11">
        <v>12</v>
      </c>
      <c r="P84" s="11">
        <v>2</v>
      </c>
      <c r="Q84" s="11"/>
      <c r="R84" s="11"/>
      <c r="S84" s="11">
        <v>5</v>
      </c>
      <c r="T84" s="11"/>
      <c r="U84" s="11"/>
      <c r="V84" s="56"/>
      <c r="W84" s="35" t="str">
        <f t="shared" si="2"/>
        <v>OK</v>
      </c>
      <c r="X84" s="38" t="str">
        <f t="shared" si="5"/>
        <v/>
      </c>
      <c r="Y84" s="3"/>
      <c r="Z84" s="116"/>
    </row>
    <row r="85" spans="1:26" ht="15.75" hidden="1" customHeight="1" outlineLevel="1" x14ac:dyDescent="0.3">
      <c r="A85" s="3"/>
      <c r="B85" s="99" t="s">
        <v>516</v>
      </c>
      <c r="C85" s="53">
        <v>7</v>
      </c>
      <c r="D85" s="53" t="s">
        <v>95</v>
      </c>
      <c r="E85" s="11">
        <f t="shared" si="18"/>
        <v>126.5</v>
      </c>
      <c r="F85" s="92">
        <f t="shared" si="21"/>
        <v>126.5</v>
      </c>
      <c r="G85" s="58"/>
      <c r="H85" s="54" t="s">
        <v>37</v>
      </c>
      <c r="I85" s="54"/>
      <c r="J85" s="55"/>
      <c r="K85" s="11"/>
      <c r="L85" s="53" t="str">
        <f t="shared" si="4"/>
        <v/>
      </c>
      <c r="M85" s="11">
        <v>88.43</v>
      </c>
      <c r="N85" s="11">
        <v>24.57</v>
      </c>
      <c r="O85" s="11">
        <v>12</v>
      </c>
      <c r="P85" s="11">
        <v>1.5</v>
      </c>
      <c r="Q85" s="11"/>
      <c r="R85" s="11"/>
      <c r="S85" s="11"/>
      <c r="T85" s="11"/>
      <c r="U85" s="11"/>
      <c r="V85" s="56"/>
      <c r="W85" s="35" t="str">
        <f t="shared" si="2"/>
        <v>OK</v>
      </c>
      <c r="X85" s="38" t="str">
        <f t="shared" si="5"/>
        <v/>
      </c>
      <c r="Y85" s="3"/>
      <c r="Z85" s="116"/>
    </row>
    <row r="86" spans="1:26" ht="15.75" hidden="1" customHeight="1" outlineLevel="1" x14ac:dyDescent="0.3">
      <c r="A86" s="3"/>
      <c r="B86" s="99" t="s">
        <v>517</v>
      </c>
      <c r="C86" s="53">
        <v>7</v>
      </c>
      <c r="D86" s="53" t="s">
        <v>95</v>
      </c>
      <c r="E86" s="11">
        <f t="shared" si="18"/>
        <v>126.5</v>
      </c>
      <c r="F86" s="92">
        <f t="shared" si="21"/>
        <v>126.5</v>
      </c>
      <c r="G86" s="58"/>
      <c r="H86" s="54" t="s">
        <v>37</v>
      </c>
      <c r="I86" s="54"/>
      <c r="J86" s="55"/>
      <c r="K86" s="11"/>
      <c r="L86" s="53" t="str">
        <f t="shared" si="4"/>
        <v/>
      </c>
      <c r="M86" s="11">
        <v>88.43</v>
      </c>
      <c r="N86" s="11">
        <v>24.57</v>
      </c>
      <c r="O86" s="11">
        <v>12</v>
      </c>
      <c r="P86" s="11">
        <v>1.5</v>
      </c>
      <c r="Q86" s="11"/>
      <c r="R86" s="11"/>
      <c r="S86" s="11"/>
      <c r="T86" s="11"/>
      <c r="U86" s="11"/>
      <c r="V86" s="56"/>
      <c r="W86" s="35" t="str">
        <f t="shared" si="2"/>
        <v>OK</v>
      </c>
      <c r="X86" s="38" t="str">
        <f t="shared" si="5"/>
        <v/>
      </c>
      <c r="Y86" s="3"/>
      <c r="Z86" s="116"/>
    </row>
    <row r="87" spans="1:26" ht="15.75" hidden="1" customHeight="1" outlineLevel="1" x14ac:dyDescent="0.3">
      <c r="A87" s="3"/>
      <c r="B87" s="99" t="s">
        <v>518</v>
      </c>
      <c r="C87" s="53">
        <v>9</v>
      </c>
      <c r="D87" s="53" t="s">
        <v>95</v>
      </c>
      <c r="E87" s="11">
        <f t="shared" si="18"/>
        <v>172</v>
      </c>
      <c r="F87" s="92">
        <f t="shared" si="21"/>
        <v>172</v>
      </c>
      <c r="G87" s="58"/>
      <c r="H87" s="54" t="s">
        <v>37</v>
      </c>
      <c r="I87" s="54"/>
      <c r="J87" s="55"/>
      <c r="K87" s="11"/>
      <c r="L87" s="53" t="str">
        <f t="shared" si="4"/>
        <v/>
      </c>
      <c r="M87" s="11">
        <v>93.93</v>
      </c>
      <c r="N87" s="11">
        <v>24.57</v>
      </c>
      <c r="O87" s="11">
        <v>12</v>
      </c>
      <c r="P87" s="11">
        <v>1.5</v>
      </c>
      <c r="Q87" s="11">
        <v>5</v>
      </c>
      <c r="R87" s="11"/>
      <c r="S87" s="11">
        <v>10</v>
      </c>
      <c r="T87" s="11"/>
      <c r="U87" s="11">
        <v>25</v>
      </c>
      <c r="V87" s="56" t="s">
        <v>1414</v>
      </c>
      <c r="W87" s="35" t="str">
        <f t="shared" si="2"/>
        <v>OK</v>
      </c>
      <c r="X87" s="38" t="str">
        <f t="shared" si="5"/>
        <v/>
      </c>
      <c r="Y87" s="3"/>
      <c r="Z87" s="116"/>
    </row>
    <row r="88" spans="1:26" ht="15.75" hidden="1" customHeight="1" outlineLevel="1" x14ac:dyDescent="0.3">
      <c r="A88" s="3"/>
      <c r="B88" s="99" t="s">
        <v>519</v>
      </c>
      <c r="C88" s="53">
        <v>22</v>
      </c>
      <c r="D88" s="53" t="s">
        <v>95</v>
      </c>
      <c r="E88" s="11">
        <f t="shared" si="18"/>
        <v>192</v>
      </c>
      <c r="F88" s="92">
        <f t="shared" si="21"/>
        <v>192</v>
      </c>
      <c r="G88" s="58"/>
      <c r="H88" s="54" t="s">
        <v>37</v>
      </c>
      <c r="I88" s="54"/>
      <c r="J88" s="55"/>
      <c r="K88" s="11"/>
      <c r="L88" s="53">
        <f t="shared" si="4"/>
        <v>1</v>
      </c>
      <c r="M88" s="11">
        <v>108.43</v>
      </c>
      <c r="N88" s="11">
        <v>24.57</v>
      </c>
      <c r="O88" s="11">
        <v>12</v>
      </c>
      <c r="P88" s="11">
        <v>2</v>
      </c>
      <c r="Q88" s="11"/>
      <c r="R88" s="11"/>
      <c r="S88" s="11">
        <v>5</v>
      </c>
      <c r="T88" s="11"/>
      <c r="U88" s="11">
        <v>40</v>
      </c>
      <c r="V88" s="56" t="s">
        <v>1407</v>
      </c>
      <c r="W88" s="35" t="str">
        <f t="shared" si="2"/>
        <v>OK</v>
      </c>
      <c r="X88" s="38" t="str">
        <f t="shared" si="5"/>
        <v/>
      </c>
      <c r="Y88" s="3"/>
      <c r="Z88" s="116"/>
    </row>
    <row r="89" spans="1:26" ht="15.75" hidden="1" customHeight="1" outlineLevel="1" x14ac:dyDescent="0.3">
      <c r="A89" s="3"/>
      <c r="B89" s="99" t="s">
        <v>524</v>
      </c>
      <c r="C89" s="53">
        <v>11</v>
      </c>
      <c r="D89" s="53" t="s">
        <v>95</v>
      </c>
      <c r="E89" s="11">
        <f t="shared" si="18"/>
        <v>50</v>
      </c>
      <c r="F89" s="92">
        <f t="shared" si="21"/>
        <v>50</v>
      </c>
      <c r="G89" s="58"/>
      <c r="H89" s="54" t="s">
        <v>37</v>
      </c>
      <c r="I89" s="54"/>
      <c r="J89" s="55"/>
      <c r="K89" s="11"/>
      <c r="L89" s="53" t="str">
        <f t="shared" si="4"/>
        <v/>
      </c>
      <c r="M89" s="11">
        <v>13.43</v>
      </c>
      <c r="N89" s="11">
        <v>24.57</v>
      </c>
      <c r="O89" s="11">
        <v>12</v>
      </c>
      <c r="P89" s="11"/>
      <c r="Q89" s="11"/>
      <c r="R89" s="11"/>
      <c r="S89" s="11"/>
      <c r="T89" s="11"/>
      <c r="U89" s="11"/>
      <c r="V89" s="56"/>
      <c r="W89" s="35" t="str">
        <f t="shared" si="2"/>
        <v>OK</v>
      </c>
      <c r="X89" s="38" t="str">
        <f t="shared" si="5"/>
        <v/>
      </c>
      <c r="Y89" s="3"/>
      <c r="Z89" s="116"/>
    </row>
    <row r="90" spans="1:26" ht="15.75" hidden="1" customHeight="1" outlineLevel="1" x14ac:dyDescent="0.3">
      <c r="A90" s="3"/>
      <c r="B90" s="99" t="s">
        <v>520</v>
      </c>
      <c r="C90" s="53">
        <v>10</v>
      </c>
      <c r="D90" s="53" t="s">
        <v>95</v>
      </c>
      <c r="E90" s="11">
        <f t="shared" si="18"/>
        <v>150</v>
      </c>
      <c r="F90" s="92">
        <f t="shared" si="21"/>
        <v>150</v>
      </c>
      <c r="G90" s="58"/>
      <c r="H90" s="54" t="s">
        <v>37</v>
      </c>
      <c r="I90" s="54"/>
      <c r="J90" s="55"/>
      <c r="K90" s="11"/>
      <c r="L90" s="53" t="str">
        <f t="shared" si="4"/>
        <v/>
      </c>
      <c r="M90" s="11">
        <v>113.43</v>
      </c>
      <c r="N90" s="11">
        <v>24.57</v>
      </c>
      <c r="O90" s="11">
        <v>12</v>
      </c>
      <c r="P90" s="11"/>
      <c r="Q90" s="11"/>
      <c r="R90" s="11"/>
      <c r="S90" s="11"/>
      <c r="T90" s="11"/>
      <c r="U90" s="11"/>
      <c r="V90" s="56"/>
      <c r="W90" s="35" t="str">
        <f t="shared" si="2"/>
        <v>OK</v>
      </c>
      <c r="X90" s="38" t="str">
        <f t="shared" si="5"/>
        <v/>
      </c>
      <c r="Y90" s="3"/>
      <c r="Z90" s="116"/>
    </row>
    <row r="91" spans="1:26" ht="15.75" hidden="1" customHeight="1" outlineLevel="1" x14ac:dyDescent="0.3">
      <c r="A91" s="3"/>
      <c r="B91" s="99" t="s">
        <v>521</v>
      </c>
      <c r="C91" s="53"/>
      <c r="D91" s="53" t="s">
        <v>105</v>
      </c>
      <c r="E91" s="11">
        <f t="shared" si="18"/>
        <v>24</v>
      </c>
      <c r="F91" s="92"/>
      <c r="G91" s="58"/>
      <c r="H91" s="54"/>
      <c r="I91" s="54"/>
      <c r="J91" s="55"/>
      <c r="K91" s="11"/>
      <c r="L91" s="53" t="str">
        <f t="shared" si="4"/>
        <v/>
      </c>
      <c r="M91" s="11">
        <v>-12.57</v>
      </c>
      <c r="N91" s="11">
        <v>24.57</v>
      </c>
      <c r="O91" s="11">
        <v>12</v>
      </c>
      <c r="P91" s="11"/>
      <c r="Q91" s="11"/>
      <c r="R91" s="11"/>
      <c r="S91" s="11"/>
      <c r="T91" s="11"/>
      <c r="U91" s="11"/>
      <c r="V91" s="56"/>
      <c r="W91" s="35" t="str">
        <f t="shared" si="2"/>
        <v>Diferente</v>
      </c>
      <c r="X91" s="38">
        <f t="shared" si="5"/>
        <v>-24</v>
      </c>
      <c r="Y91" s="3"/>
      <c r="Z91" s="116"/>
    </row>
    <row r="92" spans="1:26" ht="15.75" hidden="1" customHeight="1" outlineLevel="1" x14ac:dyDescent="0.3">
      <c r="A92" s="3"/>
      <c r="B92" s="99" t="s">
        <v>523</v>
      </c>
      <c r="C92" s="53">
        <v>5</v>
      </c>
      <c r="D92" s="53" t="s">
        <v>95</v>
      </c>
      <c r="E92" s="11">
        <f t="shared" si="18"/>
        <v>165</v>
      </c>
      <c r="F92" s="92">
        <f>E92</f>
        <v>165</v>
      </c>
      <c r="G92" s="58"/>
      <c r="H92" s="54" t="s">
        <v>37</v>
      </c>
      <c r="I92" s="54"/>
      <c r="J92" s="55"/>
      <c r="K92" s="11"/>
      <c r="L92" s="53" t="str">
        <f t="shared" si="4"/>
        <v/>
      </c>
      <c r="M92" s="11">
        <v>88.43</v>
      </c>
      <c r="N92" s="11">
        <v>24.57</v>
      </c>
      <c r="O92" s="11">
        <v>12</v>
      </c>
      <c r="P92" s="11"/>
      <c r="Q92" s="11"/>
      <c r="R92" s="11"/>
      <c r="S92" s="11"/>
      <c r="T92" s="11"/>
      <c r="U92" s="11">
        <v>40</v>
      </c>
      <c r="V92" s="56" t="s">
        <v>1407</v>
      </c>
      <c r="W92" s="35" t="str">
        <f t="shared" si="2"/>
        <v>OK</v>
      </c>
      <c r="X92" s="38" t="str">
        <f t="shared" si="5"/>
        <v/>
      </c>
      <c r="Y92" s="3"/>
      <c r="Z92" s="116"/>
    </row>
    <row r="93" spans="1:26" ht="15.75" hidden="1" customHeight="1" outlineLevel="1" x14ac:dyDescent="0.3">
      <c r="A93" s="3"/>
      <c r="B93" s="99" t="s">
        <v>527</v>
      </c>
      <c r="C93" s="53"/>
      <c r="D93" s="53" t="s">
        <v>105</v>
      </c>
      <c r="E93" s="11">
        <f t="shared" si="18"/>
        <v>65</v>
      </c>
      <c r="F93" s="92"/>
      <c r="G93" s="58"/>
      <c r="H93" s="54"/>
      <c r="I93" s="54"/>
      <c r="J93" s="55"/>
      <c r="K93" s="11"/>
      <c r="L93" s="53" t="str">
        <f t="shared" si="4"/>
        <v/>
      </c>
      <c r="M93" s="11">
        <v>26.43</v>
      </c>
      <c r="N93" s="11">
        <v>24.57</v>
      </c>
      <c r="O93" s="11">
        <v>12</v>
      </c>
      <c r="P93" s="11">
        <v>2</v>
      </c>
      <c r="Q93" s="11"/>
      <c r="R93" s="11"/>
      <c r="S93" s="11"/>
      <c r="T93" s="11"/>
      <c r="U93" s="11"/>
      <c r="V93" s="56"/>
      <c r="W93" s="35" t="str">
        <f t="shared" si="2"/>
        <v>Diferente</v>
      </c>
      <c r="X93" s="38">
        <f t="shared" si="5"/>
        <v>-65</v>
      </c>
      <c r="Y93" s="3"/>
      <c r="Z93" s="116"/>
    </row>
    <row r="94" spans="1:26" ht="15.75" hidden="1" customHeight="1" outlineLevel="1" x14ac:dyDescent="0.3">
      <c r="A94" s="3"/>
      <c r="B94" s="99" t="s">
        <v>528</v>
      </c>
      <c r="C94" s="53">
        <v>7</v>
      </c>
      <c r="D94" s="53" t="s">
        <v>95</v>
      </c>
      <c r="E94" s="11">
        <f t="shared" si="18"/>
        <v>204</v>
      </c>
      <c r="F94" s="92">
        <f t="shared" ref="F94:F103" si="22">E94</f>
        <v>204</v>
      </c>
      <c r="G94" s="58"/>
      <c r="H94" s="54" t="s">
        <v>37</v>
      </c>
      <c r="I94" s="54"/>
      <c r="J94" s="55"/>
      <c r="K94" s="11"/>
      <c r="L94" s="53" t="str">
        <f t="shared" si="4"/>
        <v/>
      </c>
      <c r="M94" s="11">
        <v>100.43</v>
      </c>
      <c r="N94" s="11">
        <v>24.57</v>
      </c>
      <c r="O94" s="11">
        <v>12</v>
      </c>
      <c r="P94" s="11">
        <v>2</v>
      </c>
      <c r="Q94" s="11"/>
      <c r="R94" s="11"/>
      <c r="S94" s="11"/>
      <c r="T94" s="11"/>
      <c r="U94" s="11">
        <v>65</v>
      </c>
      <c r="V94" s="56" t="s">
        <v>1418</v>
      </c>
      <c r="W94" s="35" t="str">
        <f t="shared" si="2"/>
        <v>OK</v>
      </c>
      <c r="X94" s="38" t="str">
        <f t="shared" si="5"/>
        <v/>
      </c>
      <c r="Y94" s="3"/>
      <c r="Z94" s="116"/>
    </row>
    <row r="95" spans="1:26" ht="15.75" hidden="1" customHeight="1" outlineLevel="1" x14ac:dyDescent="0.3">
      <c r="A95" s="3"/>
      <c r="B95" s="99" t="s">
        <v>713</v>
      </c>
      <c r="C95" s="53">
        <v>10</v>
      </c>
      <c r="D95" s="53" t="s">
        <v>95</v>
      </c>
      <c r="E95" s="11">
        <f t="shared" si="18"/>
        <v>70</v>
      </c>
      <c r="F95" s="92">
        <f t="shared" si="22"/>
        <v>70</v>
      </c>
      <c r="G95" s="58"/>
      <c r="H95" s="54" t="s">
        <v>37</v>
      </c>
      <c r="I95" s="54"/>
      <c r="J95" s="55"/>
      <c r="K95" s="11"/>
      <c r="L95" s="53" t="str">
        <f t="shared" si="4"/>
        <v/>
      </c>
      <c r="M95" s="11">
        <v>31.43</v>
      </c>
      <c r="N95" s="11">
        <v>24.57</v>
      </c>
      <c r="O95" s="11">
        <v>12</v>
      </c>
      <c r="P95" s="11">
        <v>2</v>
      </c>
      <c r="Q95" s="11"/>
      <c r="R95" s="11"/>
      <c r="S95" s="11"/>
      <c r="T95" s="11"/>
      <c r="U95" s="11"/>
      <c r="V95" s="56"/>
      <c r="W95" s="35" t="str">
        <f t="shared" si="2"/>
        <v>OK</v>
      </c>
      <c r="X95" s="38" t="str">
        <f t="shared" si="5"/>
        <v/>
      </c>
      <c r="Y95" s="3"/>
      <c r="Z95" s="116"/>
    </row>
    <row r="96" spans="1:26" ht="15.75" hidden="1" customHeight="1" outlineLevel="1" x14ac:dyDescent="0.3">
      <c r="A96" s="3"/>
      <c r="B96" s="99" t="s">
        <v>896</v>
      </c>
      <c r="C96" s="71">
        <v>10</v>
      </c>
      <c r="D96" s="53" t="s">
        <v>95</v>
      </c>
      <c r="E96" s="11">
        <f t="shared" si="18"/>
        <v>175.57</v>
      </c>
      <c r="F96" s="92">
        <f t="shared" si="22"/>
        <v>175.57</v>
      </c>
      <c r="G96" s="58"/>
      <c r="H96" s="54" t="s">
        <v>37</v>
      </c>
      <c r="I96" s="54"/>
      <c r="J96" s="55"/>
      <c r="K96" s="11"/>
      <c r="L96" s="53" t="str">
        <f t="shared" si="4"/>
        <v/>
      </c>
      <c r="M96" s="11">
        <v>94</v>
      </c>
      <c r="N96" s="11">
        <v>24.57</v>
      </c>
      <c r="O96" s="11">
        <v>12</v>
      </c>
      <c r="P96" s="11">
        <v>0</v>
      </c>
      <c r="Q96" s="11"/>
      <c r="R96" s="11"/>
      <c r="S96" s="11"/>
      <c r="T96" s="11"/>
      <c r="U96" s="11">
        <v>45</v>
      </c>
      <c r="V96" s="56" t="s">
        <v>1427</v>
      </c>
      <c r="W96" s="35" t="str">
        <f t="shared" si="2"/>
        <v>OK</v>
      </c>
      <c r="X96" s="38" t="str">
        <f t="shared" si="5"/>
        <v/>
      </c>
      <c r="Y96" s="3"/>
      <c r="Z96" s="116"/>
    </row>
    <row r="97" spans="1:26" ht="15.75" hidden="1" customHeight="1" outlineLevel="1" x14ac:dyDescent="0.3">
      <c r="A97" s="3"/>
      <c r="B97" s="99" t="s">
        <v>897</v>
      </c>
      <c r="C97" s="53">
        <v>10</v>
      </c>
      <c r="D97" s="53" t="s">
        <v>95</v>
      </c>
      <c r="E97" s="11">
        <f t="shared" si="18"/>
        <v>130.57</v>
      </c>
      <c r="F97" s="92">
        <f t="shared" si="22"/>
        <v>130.57</v>
      </c>
      <c r="G97" s="58"/>
      <c r="H97" s="54" t="s">
        <v>37</v>
      </c>
      <c r="I97" s="54"/>
      <c r="J97" s="55"/>
      <c r="K97" s="11"/>
      <c r="L97" s="53" t="str">
        <f t="shared" si="4"/>
        <v/>
      </c>
      <c r="M97" s="11">
        <v>94</v>
      </c>
      <c r="N97" s="11">
        <v>24.57</v>
      </c>
      <c r="O97" s="11">
        <v>12</v>
      </c>
      <c r="P97" s="11">
        <v>0</v>
      </c>
      <c r="Q97" s="11"/>
      <c r="R97" s="11"/>
      <c r="S97" s="11"/>
      <c r="T97" s="11"/>
      <c r="U97" s="11"/>
      <c r="V97" s="56"/>
      <c r="W97" s="35" t="str">
        <f t="shared" si="2"/>
        <v>OK</v>
      </c>
      <c r="X97" s="38" t="str">
        <f t="shared" si="5"/>
        <v/>
      </c>
      <c r="Y97" s="3"/>
      <c r="Z97" s="116"/>
    </row>
    <row r="98" spans="1:26" ht="15.75" hidden="1" customHeight="1" outlineLevel="1" x14ac:dyDescent="0.3">
      <c r="A98" s="3"/>
      <c r="B98" s="99" t="s">
        <v>1317</v>
      </c>
      <c r="C98" s="53">
        <v>1</v>
      </c>
      <c r="D98" s="53" t="s">
        <v>95</v>
      </c>
      <c r="E98" s="11">
        <f t="shared" si="18"/>
        <v>151.80000000000001</v>
      </c>
      <c r="F98" s="92">
        <f t="shared" si="22"/>
        <v>151.80000000000001</v>
      </c>
      <c r="G98" s="58"/>
      <c r="H98" s="54" t="s">
        <v>37</v>
      </c>
      <c r="I98" s="54"/>
      <c r="J98" s="55"/>
      <c r="K98" s="11"/>
      <c r="L98" s="53" t="str">
        <f t="shared" si="4"/>
        <v/>
      </c>
      <c r="M98" s="11">
        <v>113.23</v>
      </c>
      <c r="N98" s="11">
        <v>24.57</v>
      </c>
      <c r="O98" s="11">
        <v>12</v>
      </c>
      <c r="P98" s="11">
        <v>2</v>
      </c>
      <c r="Q98" s="11"/>
      <c r="R98" s="11"/>
      <c r="S98" s="11"/>
      <c r="T98" s="11"/>
      <c r="U98" s="11"/>
      <c r="V98" s="56"/>
      <c r="W98" s="35" t="str">
        <f t="shared" si="2"/>
        <v>OK</v>
      </c>
      <c r="X98" s="38" t="str">
        <f t="shared" si="5"/>
        <v/>
      </c>
      <c r="Y98" s="3"/>
      <c r="Z98" s="116"/>
    </row>
    <row r="99" spans="1:26" ht="15.75" hidden="1" customHeight="1" outlineLevel="1" x14ac:dyDescent="0.3">
      <c r="A99" s="3"/>
      <c r="B99" s="99" t="s">
        <v>1319</v>
      </c>
      <c r="C99" s="53">
        <v>7</v>
      </c>
      <c r="D99" s="53" t="s">
        <v>95</v>
      </c>
      <c r="E99" s="11">
        <f t="shared" si="18"/>
        <v>130</v>
      </c>
      <c r="F99" s="92">
        <f t="shared" si="22"/>
        <v>130</v>
      </c>
      <c r="G99" s="58"/>
      <c r="H99" s="54" t="s">
        <v>37</v>
      </c>
      <c r="I99" s="54"/>
      <c r="J99" s="55"/>
      <c r="K99" s="11"/>
      <c r="L99" s="53" t="str">
        <f t="shared" si="4"/>
        <v/>
      </c>
      <c r="M99" s="11">
        <v>93.43</v>
      </c>
      <c r="N99" s="11">
        <v>24.57</v>
      </c>
      <c r="O99" s="11">
        <v>12</v>
      </c>
      <c r="P99" s="11">
        <v>0</v>
      </c>
      <c r="Q99" s="11"/>
      <c r="R99" s="11"/>
      <c r="S99" s="11"/>
      <c r="T99" s="11"/>
      <c r="U99" s="11"/>
      <c r="V99" s="56"/>
      <c r="W99" s="35" t="str">
        <f t="shared" si="2"/>
        <v>OK</v>
      </c>
      <c r="X99" s="38" t="str">
        <f t="shared" si="5"/>
        <v/>
      </c>
      <c r="Y99" s="3"/>
      <c r="Z99" s="3"/>
    </row>
    <row r="100" spans="1:26" ht="15.75" hidden="1" customHeight="1" outlineLevel="1" x14ac:dyDescent="0.3">
      <c r="A100" s="3"/>
      <c r="B100" s="99" t="s">
        <v>487</v>
      </c>
      <c r="C100" s="53">
        <v>6</v>
      </c>
      <c r="D100" s="53" t="s">
        <v>95</v>
      </c>
      <c r="E100" s="11">
        <f t="shared" si="18"/>
        <v>70</v>
      </c>
      <c r="F100" s="92">
        <f t="shared" si="22"/>
        <v>70</v>
      </c>
      <c r="G100" s="58"/>
      <c r="H100" s="54" t="s">
        <v>37</v>
      </c>
      <c r="I100" s="54"/>
      <c r="J100" s="55"/>
      <c r="K100" s="53"/>
      <c r="L100" s="53" t="str">
        <f t="shared" si="4"/>
        <v/>
      </c>
      <c r="M100" s="11">
        <v>33.43</v>
      </c>
      <c r="N100" s="11">
        <v>24.57</v>
      </c>
      <c r="O100" s="11">
        <v>12</v>
      </c>
      <c r="P100" s="11">
        <v>0</v>
      </c>
      <c r="Q100" s="11"/>
      <c r="R100" s="11"/>
      <c r="S100" s="11"/>
      <c r="T100" s="11"/>
      <c r="U100" s="11"/>
      <c r="V100" s="56"/>
      <c r="W100" s="35" t="str">
        <f t="shared" si="2"/>
        <v>OK</v>
      </c>
      <c r="X100" s="38" t="str">
        <f t="shared" si="5"/>
        <v/>
      </c>
      <c r="Y100" s="3"/>
      <c r="Z100" s="3"/>
    </row>
    <row r="101" spans="1:26" ht="15.75" hidden="1" customHeight="1" outlineLevel="1" x14ac:dyDescent="0.3">
      <c r="A101" s="3"/>
      <c r="B101" s="99" t="s">
        <v>1428</v>
      </c>
      <c r="C101" s="53">
        <v>7</v>
      </c>
      <c r="D101" s="53" t="s">
        <v>95</v>
      </c>
      <c r="E101" s="11">
        <f t="shared" si="18"/>
        <v>125</v>
      </c>
      <c r="F101" s="92">
        <f t="shared" si="22"/>
        <v>125</v>
      </c>
      <c r="G101" s="58"/>
      <c r="H101" s="54" t="s">
        <v>37</v>
      </c>
      <c r="I101" s="54"/>
      <c r="J101" s="55"/>
      <c r="K101" s="53"/>
      <c r="L101" s="53" t="str">
        <f t="shared" si="4"/>
        <v/>
      </c>
      <c r="M101" s="11">
        <v>88.43</v>
      </c>
      <c r="N101" s="11">
        <v>24.57</v>
      </c>
      <c r="O101" s="11">
        <v>12</v>
      </c>
      <c r="P101" s="11">
        <v>0</v>
      </c>
      <c r="Q101" s="11"/>
      <c r="R101" s="11"/>
      <c r="S101" s="11"/>
      <c r="T101" s="11"/>
      <c r="U101" s="11"/>
      <c r="V101" s="56"/>
      <c r="W101" s="35" t="str">
        <f t="shared" si="2"/>
        <v>OK</v>
      </c>
      <c r="X101" s="38" t="str">
        <f t="shared" si="5"/>
        <v/>
      </c>
      <c r="Y101" s="3"/>
      <c r="Z101" s="3"/>
    </row>
    <row r="102" spans="1:26" ht="15.75" hidden="1" customHeight="1" outlineLevel="1" x14ac:dyDescent="0.3">
      <c r="A102" s="3"/>
      <c r="B102" s="99" t="s">
        <v>1429</v>
      </c>
      <c r="C102" s="53">
        <v>7</v>
      </c>
      <c r="D102" s="53" t="s">
        <v>95</v>
      </c>
      <c r="E102" s="11">
        <f t="shared" si="18"/>
        <v>125</v>
      </c>
      <c r="F102" s="92">
        <f t="shared" si="22"/>
        <v>125</v>
      </c>
      <c r="G102" s="58"/>
      <c r="H102" s="54" t="s">
        <v>37</v>
      </c>
      <c r="I102" s="54"/>
      <c r="J102" s="55"/>
      <c r="K102" s="53"/>
      <c r="L102" s="53" t="str">
        <f t="shared" si="4"/>
        <v/>
      </c>
      <c r="M102" s="11">
        <v>88.43</v>
      </c>
      <c r="N102" s="11">
        <v>24.57</v>
      </c>
      <c r="O102" s="11">
        <v>12</v>
      </c>
      <c r="P102" s="11">
        <v>0</v>
      </c>
      <c r="Q102" s="11"/>
      <c r="R102" s="11"/>
      <c r="S102" s="11"/>
      <c r="T102" s="11"/>
      <c r="U102" s="11"/>
      <c r="V102" s="56"/>
      <c r="W102" s="35" t="str">
        <f t="shared" si="2"/>
        <v>OK</v>
      </c>
      <c r="X102" s="38" t="str">
        <f t="shared" si="5"/>
        <v/>
      </c>
      <c r="Y102" s="3"/>
      <c r="Z102" s="3"/>
    </row>
    <row r="103" spans="1:26" ht="15.75" hidden="1" customHeight="1" outlineLevel="1" x14ac:dyDescent="0.3">
      <c r="A103" s="3"/>
      <c r="B103" s="99" t="s">
        <v>1430</v>
      </c>
      <c r="C103" s="53">
        <v>7</v>
      </c>
      <c r="D103" s="53" t="s">
        <v>95</v>
      </c>
      <c r="E103" s="11">
        <f t="shared" si="18"/>
        <v>80</v>
      </c>
      <c r="F103" s="11">
        <f t="shared" si="22"/>
        <v>80</v>
      </c>
      <c r="G103" s="58"/>
      <c r="H103" s="54" t="s">
        <v>37</v>
      </c>
      <c r="I103" s="54"/>
      <c r="J103" s="55"/>
      <c r="K103" s="53"/>
      <c r="L103" s="53" t="str">
        <f t="shared" si="4"/>
        <v/>
      </c>
      <c r="M103" s="11">
        <v>43.43</v>
      </c>
      <c r="N103" s="11">
        <v>24.57</v>
      </c>
      <c r="O103" s="11">
        <v>12</v>
      </c>
      <c r="P103" s="11">
        <v>0</v>
      </c>
      <c r="Q103" s="11"/>
      <c r="R103" s="11"/>
      <c r="S103" s="11"/>
      <c r="T103" s="11"/>
      <c r="U103" s="11"/>
      <c r="V103" s="56"/>
      <c r="W103" s="35" t="str">
        <f t="shared" si="2"/>
        <v>OK</v>
      </c>
      <c r="X103" s="38" t="str">
        <f t="shared" si="5"/>
        <v/>
      </c>
      <c r="Y103" s="3"/>
      <c r="Z103" s="3"/>
    </row>
    <row r="104" spans="1:26" ht="15.75" hidden="1" customHeight="1" outlineLevel="1" x14ac:dyDescent="0.3">
      <c r="A104" s="3"/>
      <c r="B104" s="99"/>
      <c r="C104" s="53"/>
      <c r="D104" s="53"/>
      <c r="E104" s="11"/>
      <c r="F104" s="11"/>
      <c r="G104" s="58"/>
      <c r="H104" s="54"/>
      <c r="I104" s="54"/>
      <c r="J104" s="55"/>
      <c r="K104" s="53"/>
      <c r="L104" s="53" t="str">
        <f t="shared" si="4"/>
        <v/>
      </c>
      <c r="M104" s="11"/>
      <c r="N104" s="11"/>
      <c r="O104" s="11"/>
      <c r="P104" s="11"/>
      <c r="Q104" s="11"/>
      <c r="R104" s="11"/>
      <c r="S104" s="11"/>
      <c r="T104" s="11"/>
      <c r="U104" s="11"/>
      <c r="V104" s="53"/>
      <c r="W104" s="35" t="str">
        <f t="shared" si="2"/>
        <v>OK</v>
      </c>
      <c r="X104" s="38" t="str">
        <f t="shared" si="5"/>
        <v/>
      </c>
      <c r="Y104" s="3"/>
      <c r="Z104" s="3"/>
    </row>
    <row r="105" spans="1:26" ht="15.75" hidden="1" customHeight="1" outlineLevel="1" x14ac:dyDescent="0.3">
      <c r="A105" s="3"/>
      <c r="B105" s="99"/>
      <c r="C105" s="53"/>
      <c r="D105" s="53"/>
      <c r="E105" s="11"/>
      <c r="F105" s="11"/>
      <c r="G105" s="58"/>
      <c r="H105" s="54"/>
      <c r="I105" s="54"/>
      <c r="J105" s="55"/>
      <c r="K105" s="53"/>
      <c r="L105" s="53" t="str">
        <f t="shared" si="4"/>
        <v/>
      </c>
      <c r="M105" s="11"/>
      <c r="N105" s="11"/>
      <c r="O105" s="11"/>
      <c r="P105" s="11"/>
      <c r="Q105" s="11"/>
      <c r="R105" s="11"/>
      <c r="S105" s="11"/>
      <c r="T105" s="11"/>
      <c r="U105" s="11"/>
      <c r="V105" s="53"/>
      <c r="W105" s="35" t="str">
        <f t="shared" si="2"/>
        <v>OK</v>
      </c>
      <c r="X105" s="38" t="str">
        <f t="shared" si="5"/>
        <v/>
      </c>
      <c r="Y105" s="3"/>
      <c r="Z105" s="3"/>
    </row>
    <row r="106" spans="1:26" ht="15.75" hidden="1" customHeight="1" outlineLevel="1" x14ac:dyDescent="0.3">
      <c r="A106" s="3"/>
      <c r="B106" s="99"/>
      <c r="C106" s="53"/>
      <c r="D106" s="53"/>
      <c r="E106" s="11"/>
      <c r="F106" s="11"/>
      <c r="G106" s="58"/>
      <c r="H106" s="54"/>
      <c r="I106" s="54"/>
      <c r="J106" s="55"/>
      <c r="K106" s="53"/>
      <c r="L106" s="53" t="str">
        <f t="shared" si="4"/>
        <v/>
      </c>
      <c r="M106" s="11"/>
      <c r="N106" s="11"/>
      <c r="O106" s="11"/>
      <c r="P106" s="11"/>
      <c r="Q106" s="11"/>
      <c r="R106" s="11"/>
      <c r="S106" s="11"/>
      <c r="T106" s="11"/>
      <c r="U106" s="11"/>
      <c r="V106" s="53"/>
      <c r="W106" s="35" t="str">
        <f t="shared" si="2"/>
        <v>OK</v>
      </c>
      <c r="X106" s="38" t="str">
        <f t="shared" si="5"/>
        <v/>
      </c>
      <c r="Y106" s="3"/>
      <c r="Z106" s="3"/>
    </row>
    <row r="107" spans="1:26" ht="15.75" hidden="1" customHeight="1" outlineLevel="1" x14ac:dyDescent="0.3">
      <c r="A107" s="3"/>
      <c r="B107" s="99"/>
      <c r="C107" s="53"/>
      <c r="D107" s="53"/>
      <c r="E107" s="11"/>
      <c r="F107" s="11"/>
      <c r="G107" s="58"/>
      <c r="H107" s="54"/>
      <c r="I107" s="54"/>
      <c r="J107" s="55" t="s">
        <v>97</v>
      </c>
      <c r="K107" s="53"/>
      <c r="L107" s="53" t="str">
        <f t="shared" si="4"/>
        <v/>
      </c>
      <c r="M107" s="11"/>
      <c r="N107" s="11"/>
      <c r="O107" s="11"/>
      <c r="P107" s="11"/>
      <c r="Q107" s="11"/>
      <c r="R107" s="11"/>
      <c r="S107" s="11"/>
      <c r="T107" s="11"/>
      <c r="U107" s="11"/>
      <c r="V107" s="53"/>
      <c r="W107" s="35" t="str">
        <f t="shared" si="2"/>
        <v>OK</v>
      </c>
      <c r="X107" s="38" t="str">
        <f t="shared" si="5"/>
        <v/>
      </c>
      <c r="Y107" s="3"/>
      <c r="Z107" s="3"/>
    </row>
    <row r="108" spans="1:26" ht="15.75" hidden="1" customHeight="1" outlineLevel="1" x14ac:dyDescent="0.3">
      <c r="A108" s="3"/>
      <c r="B108" s="99"/>
      <c r="C108" s="53"/>
      <c r="D108" s="53"/>
      <c r="E108" s="11"/>
      <c r="F108" s="11"/>
      <c r="G108" s="58"/>
      <c r="H108" s="54"/>
      <c r="I108" s="54"/>
      <c r="J108" s="55" t="s">
        <v>97</v>
      </c>
      <c r="K108" s="53"/>
      <c r="L108" s="53" t="str">
        <f t="shared" si="4"/>
        <v/>
      </c>
      <c r="M108" s="11"/>
      <c r="N108" s="11"/>
      <c r="O108" s="11"/>
      <c r="P108" s="11"/>
      <c r="Q108" s="11"/>
      <c r="R108" s="11"/>
      <c r="S108" s="11"/>
      <c r="T108" s="11"/>
      <c r="U108" s="11"/>
      <c r="V108" s="53"/>
      <c r="W108" s="35" t="str">
        <f t="shared" si="2"/>
        <v>OK</v>
      </c>
      <c r="X108" s="38" t="str">
        <f t="shared" si="5"/>
        <v/>
      </c>
      <c r="Y108" s="3"/>
      <c r="Z108" s="3"/>
    </row>
    <row r="109" spans="1:26" ht="15.75" hidden="1" customHeight="1" outlineLevel="1" x14ac:dyDescent="0.3">
      <c r="A109" s="3"/>
      <c r="B109" s="99"/>
      <c r="C109" s="53"/>
      <c r="D109" s="53"/>
      <c r="E109" s="11"/>
      <c r="F109" s="11"/>
      <c r="G109" s="58"/>
      <c r="H109" s="54"/>
      <c r="I109" s="54"/>
      <c r="J109" s="55" t="s">
        <v>97</v>
      </c>
      <c r="K109" s="53"/>
      <c r="L109" s="53" t="str">
        <f t="shared" si="4"/>
        <v/>
      </c>
      <c r="M109" s="11"/>
      <c r="N109" s="11"/>
      <c r="O109" s="11"/>
      <c r="P109" s="11"/>
      <c r="Q109" s="11"/>
      <c r="R109" s="11"/>
      <c r="S109" s="11"/>
      <c r="T109" s="11"/>
      <c r="U109" s="11"/>
      <c r="V109" s="53"/>
      <c r="W109" s="35" t="str">
        <f t="shared" si="2"/>
        <v>OK</v>
      </c>
      <c r="X109" s="38" t="str">
        <f t="shared" si="5"/>
        <v/>
      </c>
      <c r="Y109" s="3"/>
      <c r="Z109" s="3"/>
    </row>
    <row r="110" spans="1:26" ht="15.75" hidden="1" customHeight="1" outlineLevel="1" x14ac:dyDescent="0.3">
      <c r="A110" s="3"/>
      <c r="B110" s="9"/>
      <c r="C110" s="53"/>
      <c r="D110" s="53"/>
      <c r="E110" s="11"/>
      <c r="F110" s="11"/>
      <c r="G110" s="58"/>
      <c r="H110" s="54"/>
      <c r="I110" s="54"/>
      <c r="J110" s="55" t="s">
        <v>97</v>
      </c>
      <c r="K110" s="53"/>
      <c r="L110" s="53" t="str">
        <f t="shared" si="4"/>
        <v/>
      </c>
      <c r="M110" s="11"/>
      <c r="N110" s="11"/>
      <c r="O110" s="11"/>
      <c r="P110" s="11"/>
      <c r="Q110" s="11"/>
      <c r="R110" s="11"/>
      <c r="S110" s="11"/>
      <c r="T110" s="11"/>
      <c r="U110" s="11"/>
      <c r="V110" s="53"/>
      <c r="W110" s="35" t="str">
        <f t="shared" si="2"/>
        <v>OK</v>
      </c>
      <c r="X110" s="38" t="str">
        <f t="shared" si="5"/>
        <v/>
      </c>
      <c r="Y110" s="3"/>
      <c r="Z110" s="3"/>
    </row>
    <row r="111" spans="1:26" ht="15.75" hidden="1" customHeight="1" outlineLevel="1" x14ac:dyDescent="0.3">
      <c r="A111" s="3"/>
      <c r="B111" s="9"/>
      <c r="C111" s="53"/>
      <c r="D111" s="53"/>
      <c r="E111" s="11"/>
      <c r="F111" s="11"/>
      <c r="G111" s="58"/>
      <c r="H111" s="54"/>
      <c r="I111" s="54"/>
      <c r="J111" s="55" t="s">
        <v>97</v>
      </c>
      <c r="K111" s="53"/>
      <c r="L111" s="53" t="str">
        <f t="shared" si="4"/>
        <v/>
      </c>
      <c r="M111" s="11"/>
      <c r="N111" s="11"/>
      <c r="O111" s="11"/>
      <c r="P111" s="11"/>
      <c r="Q111" s="11"/>
      <c r="R111" s="11"/>
      <c r="S111" s="11"/>
      <c r="T111" s="11"/>
      <c r="U111" s="11"/>
      <c r="V111" s="53"/>
      <c r="W111" s="35" t="str">
        <f t="shared" si="2"/>
        <v>OK</v>
      </c>
      <c r="X111" s="38" t="str">
        <f t="shared" si="5"/>
        <v/>
      </c>
      <c r="Y111" s="3"/>
      <c r="Z111" s="3"/>
    </row>
    <row r="112" spans="1:26" ht="15.75" hidden="1" customHeight="1" outlineLevel="1" x14ac:dyDescent="0.3">
      <c r="A112" s="3"/>
      <c r="B112" s="9"/>
      <c r="C112" s="53"/>
      <c r="D112" s="53"/>
      <c r="E112" s="11"/>
      <c r="F112" s="11"/>
      <c r="G112" s="58"/>
      <c r="H112" s="54"/>
      <c r="I112" s="54"/>
      <c r="J112" s="55" t="s">
        <v>97</v>
      </c>
      <c r="K112" s="53"/>
      <c r="L112" s="53" t="str">
        <f t="shared" si="4"/>
        <v/>
      </c>
      <c r="M112" s="11"/>
      <c r="N112" s="11"/>
      <c r="O112" s="11"/>
      <c r="P112" s="11"/>
      <c r="Q112" s="11"/>
      <c r="R112" s="11"/>
      <c r="S112" s="11"/>
      <c r="T112" s="11"/>
      <c r="U112" s="11"/>
      <c r="V112" s="53"/>
      <c r="W112" s="35" t="str">
        <f t="shared" si="2"/>
        <v>OK</v>
      </c>
      <c r="X112" s="38" t="str">
        <f t="shared" si="5"/>
        <v/>
      </c>
      <c r="Y112" s="3"/>
      <c r="Z112" s="3"/>
    </row>
    <row r="113" spans="1:26" ht="15.75" hidden="1" customHeight="1" outlineLevel="1" x14ac:dyDescent="0.3">
      <c r="A113" s="3"/>
      <c r="B113" s="9"/>
      <c r="C113" s="53"/>
      <c r="D113" s="53"/>
      <c r="E113" s="11"/>
      <c r="F113" s="11"/>
      <c r="G113" s="58"/>
      <c r="H113" s="54"/>
      <c r="I113" s="54"/>
      <c r="J113" s="55" t="s">
        <v>97</v>
      </c>
      <c r="K113" s="53"/>
      <c r="L113" s="53" t="str">
        <f t="shared" si="4"/>
        <v/>
      </c>
      <c r="M113" s="11"/>
      <c r="N113" s="11"/>
      <c r="O113" s="11"/>
      <c r="P113" s="11"/>
      <c r="Q113" s="11"/>
      <c r="R113" s="11"/>
      <c r="S113" s="11"/>
      <c r="T113" s="11"/>
      <c r="U113" s="11"/>
      <c r="V113" s="53"/>
      <c r="W113" s="35" t="str">
        <f t="shared" si="2"/>
        <v>OK</v>
      </c>
      <c r="X113" s="38" t="str">
        <f t="shared" si="5"/>
        <v/>
      </c>
      <c r="Y113" s="3"/>
      <c r="Z113" s="3"/>
    </row>
    <row r="114" spans="1:26" ht="15.75" hidden="1" customHeight="1" outlineLevel="1" x14ac:dyDescent="0.3">
      <c r="A114" s="3"/>
      <c r="B114" s="9"/>
      <c r="C114" s="53"/>
      <c r="D114" s="53"/>
      <c r="E114" s="11"/>
      <c r="F114" s="11"/>
      <c r="G114" s="58"/>
      <c r="H114" s="54"/>
      <c r="I114" s="54"/>
      <c r="J114" s="55" t="s">
        <v>97</v>
      </c>
      <c r="K114" s="53"/>
      <c r="L114" s="53" t="str">
        <f t="shared" si="4"/>
        <v/>
      </c>
      <c r="M114" s="11"/>
      <c r="N114" s="11"/>
      <c r="O114" s="11"/>
      <c r="P114" s="11"/>
      <c r="Q114" s="11"/>
      <c r="R114" s="11"/>
      <c r="S114" s="11"/>
      <c r="T114" s="11"/>
      <c r="U114" s="11"/>
      <c r="V114" s="53"/>
      <c r="W114" s="35" t="str">
        <f t="shared" si="2"/>
        <v>OK</v>
      </c>
      <c r="X114" s="38" t="str">
        <f t="shared" si="5"/>
        <v/>
      </c>
      <c r="Y114" s="3"/>
      <c r="Z114" s="3"/>
    </row>
    <row r="115" spans="1:26" ht="15.75" hidden="1" customHeight="1" outlineLevel="1" x14ac:dyDescent="0.3">
      <c r="A115" s="3"/>
      <c r="B115" s="9"/>
      <c r="C115" s="53"/>
      <c r="D115" s="53"/>
      <c r="E115" s="11"/>
      <c r="F115" s="11"/>
      <c r="G115" s="58"/>
      <c r="H115" s="54"/>
      <c r="I115" s="54"/>
      <c r="J115" s="55" t="s">
        <v>97</v>
      </c>
      <c r="K115" s="53"/>
      <c r="L115" s="53" t="str">
        <f t="shared" si="4"/>
        <v/>
      </c>
      <c r="M115" s="11"/>
      <c r="N115" s="11"/>
      <c r="O115" s="11"/>
      <c r="P115" s="11"/>
      <c r="Q115" s="11"/>
      <c r="R115" s="11"/>
      <c r="S115" s="11"/>
      <c r="T115" s="11"/>
      <c r="U115" s="11"/>
      <c r="V115" s="53"/>
      <c r="W115" s="35" t="str">
        <f t="shared" si="2"/>
        <v>OK</v>
      </c>
      <c r="X115" s="38" t="str">
        <f t="shared" si="5"/>
        <v/>
      </c>
      <c r="Y115" s="3"/>
      <c r="Z115" s="3"/>
    </row>
    <row r="116" spans="1:26" ht="15.75" hidden="1" customHeight="1" outlineLevel="1" x14ac:dyDescent="0.3">
      <c r="A116" s="3"/>
      <c r="B116" s="9"/>
      <c r="C116" s="53"/>
      <c r="D116" s="53"/>
      <c r="E116" s="11"/>
      <c r="F116" s="11"/>
      <c r="G116" s="58"/>
      <c r="H116" s="54"/>
      <c r="I116" s="54"/>
      <c r="J116" s="55" t="s">
        <v>97</v>
      </c>
      <c r="K116" s="53"/>
      <c r="L116" s="53" t="str">
        <f t="shared" si="4"/>
        <v/>
      </c>
      <c r="M116" s="11"/>
      <c r="N116" s="11"/>
      <c r="O116" s="11"/>
      <c r="P116" s="11"/>
      <c r="Q116" s="11"/>
      <c r="R116" s="11"/>
      <c r="S116" s="11"/>
      <c r="T116" s="11"/>
      <c r="U116" s="11"/>
      <c r="V116" s="53"/>
      <c r="W116" s="35" t="str">
        <f t="shared" si="2"/>
        <v>OK</v>
      </c>
      <c r="X116" s="38" t="str">
        <f t="shared" si="5"/>
        <v/>
      </c>
      <c r="Y116" s="3"/>
      <c r="Z116" s="3"/>
    </row>
    <row r="117" spans="1:26" ht="15.75" hidden="1" customHeight="1" outlineLevel="1" x14ac:dyDescent="0.3">
      <c r="A117" s="3"/>
      <c r="B117" s="9"/>
      <c r="C117" s="53"/>
      <c r="D117" s="53"/>
      <c r="E117" s="11"/>
      <c r="F117" s="11"/>
      <c r="G117" s="58"/>
      <c r="H117" s="54"/>
      <c r="I117" s="54"/>
      <c r="J117" s="55" t="s">
        <v>97</v>
      </c>
      <c r="K117" s="53"/>
      <c r="L117" s="53" t="str">
        <f t="shared" si="4"/>
        <v/>
      </c>
      <c r="M117" s="11"/>
      <c r="N117" s="11"/>
      <c r="O117" s="11"/>
      <c r="P117" s="11"/>
      <c r="Q117" s="11"/>
      <c r="R117" s="11"/>
      <c r="S117" s="11"/>
      <c r="T117" s="11"/>
      <c r="U117" s="11"/>
      <c r="V117" s="53"/>
      <c r="W117" s="35" t="str">
        <f t="shared" si="2"/>
        <v>OK</v>
      </c>
      <c r="X117" s="38" t="str">
        <f t="shared" si="5"/>
        <v/>
      </c>
      <c r="Y117" s="3"/>
      <c r="Z117" s="3"/>
    </row>
    <row r="118" spans="1:26" ht="15.75" hidden="1" customHeight="1" outlineLevel="1" x14ac:dyDescent="0.3">
      <c r="A118" s="3"/>
      <c r="B118" s="9"/>
      <c r="C118" s="53"/>
      <c r="D118" s="53"/>
      <c r="E118" s="11"/>
      <c r="F118" s="11"/>
      <c r="G118" s="58"/>
      <c r="H118" s="54"/>
      <c r="I118" s="54"/>
      <c r="J118" s="55" t="s">
        <v>97</v>
      </c>
      <c r="K118" s="53"/>
      <c r="L118" s="53" t="str">
        <f t="shared" si="4"/>
        <v/>
      </c>
      <c r="M118" s="11"/>
      <c r="N118" s="11"/>
      <c r="O118" s="11"/>
      <c r="P118" s="11"/>
      <c r="Q118" s="11"/>
      <c r="R118" s="11"/>
      <c r="S118" s="11"/>
      <c r="T118" s="11"/>
      <c r="U118" s="11"/>
      <c r="V118" s="53"/>
      <c r="W118" s="35" t="str">
        <f t="shared" si="2"/>
        <v>OK</v>
      </c>
      <c r="X118" s="38" t="str">
        <f t="shared" si="5"/>
        <v/>
      </c>
      <c r="Y118" s="3"/>
      <c r="Z118" s="3"/>
    </row>
    <row r="119" spans="1:26" ht="15.75" hidden="1" customHeight="1" outlineLevel="1" x14ac:dyDescent="0.3">
      <c r="A119" s="3"/>
      <c r="B119" s="9"/>
      <c r="C119" s="53"/>
      <c r="D119" s="53"/>
      <c r="E119" s="11"/>
      <c r="F119" s="11"/>
      <c r="G119" s="58"/>
      <c r="H119" s="54"/>
      <c r="I119" s="54"/>
      <c r="J119" s="55"/>
      <c r="K119" s="53"/>
      <c r="L119" s="53" t="str">
        <f t="shared" si="4"/>
        <v/>
      </c>
      <c r="M119" s="11"/>
      <c r="N119" s="11"/>
      <c r="O119" s="11"/>
      <c r="P119" s="11"/>
      <c r="Q119" s="11"/>
      <c r="R119" s="11"/>
      <c r="S119" s="11"/>
      <c r="T119" s="11"/>
      <c r="U119" s="11"/>
      <c r="V119" s="53"/>
      <c r="W119" s="35" t="str">
        <f t="shared" si="2"/>
        <v>OK</v>
      </c>
      <c r="X119" s="38" t="str">
        <f t="shared" si="5"/>
        <v/>
      </c>
      <c r="Y119" s="3"/>
      <c r="Z119" s="3"/>
    </row>
    <row r="120" spans="1:26" ht="15.75" hidden="1" customHeight="1" outlineLevel="1" x14ac:dyDescent="0.3">
      <c r="A120" s="3"/>
      <c r="B120" s="9"/>
      <c r="C120" s="53"/>
      <c r="D120" s="53"/>
      <c r="E120" s="11"/>
      <c r="F120" s="11"/>
      <c r="G120" s="58"/>
      <c r="H120" s="54"/>
      <c r="I120" s="54"/>
      <c r="J120" s="55"/>
      <c r="K120" s="53"/>
      <c r="L120" s="53" t="str">
        <f t="shared" si="4"/>
        <v/>
      </c>
      <c r="M120" s="11"/>
      <c r="N120" s="11"/>
      <c r="O120" s="11"/>
      <c r="P120" s="11"/>
      <c r="Q120" s="11"/>
      <c r="R120" s="11"/>
      <c r="S120" s="11"/>
      <c r="T120" s="11"/>
      <c r="U120" s="11"/>
      <c r="V120" s="53"/>
      <c r="W120" s="35" t="str">
        <f t="shared" si="2"/>
        <v>OK</v>
      </c>
      <c r="X120" s="38" t="str">
        <f t="shared" si="5"/>
        <v/>
      </c>
      <c r="Y120" s="3"/>
      <c r="Z120" s="3"/>
    </row>
    <row r="121" spans="1:26" ht="15.75" hidden="1" customHeight="1" outlineLevel="1" x14ac:dyDescent="0.3">
      <c r="A121" s="3"/>
      <c r="B121" s="9"/>
      <c r="C121" s="53"/>
      <c r="D121" s="53"/>
      <c r="E121" s="11"/>
      <c r="F121" s="11"/>
      <c r="G121" s="58"/>
      <c r="H121" s="54"/>
      <c r="I121" s="54"/>
      <c r="J121" s="55"/>
      <c r="K121" s="53"/>
      <c r="L121" s="53" t="str">
        <f t="shared" si="4"/>
        <v/>
      </c>
      <c r="M121" s="11"/>
      <c r="N121" s="11"/>
      <c r="O121" s="11"/>
      <c r="P121" s="11"/>
      <c r="Q121" s="11"/>
      <c r="R121" s="11"/>
      <c r="S121" s="11"/>
      <c r="T121" s="11"/>
      <c r="U121" s="11"/>
      <c r="V121" s="53"/>
      <c r="W121" s="35" t="str">
        <f t="shared" si="2"/>
        <v>OK</v>
      </c>
      <c r="X121" s="38" t="str">
        <f t="shared" si="5"/>
        <v/>
      </c>
      <c r="Y121" s="3"/>
      <c r="Z121" s="3"/>
    </row>
    <row r="122" spans="1:26" ht="15.75" hidden="1" customHeight="1" outlineLevel="1" x14ac:dyDescent="0.3">
      <c r="A122" s="3"/>
      <c r="B122" s="9"/>
      <c r="C122" s="53"/>
      <c r="D122" s="53"/>
      <c r="E122" s="11"/>
      <c r="F122" s="11"/>
      <c r="G122" s="58"/>
      <c r="H122" s="54"/>
      <c r="I122" s="54"/>
      <c r="J122" s="55"/>
      <c r="K122" s="53"/>
      <c r="L122" s="53" t="str">
        <f t="shared" si="4"/>
        <v/>
      </c>
      <c r="M122" s="11"/>
      <c r="N122" s="11"/>
      <c r="O122" s="11"/>
      <c r="P122" s="11"/>
      <c r="Q122" s="11"/>
      <c r="R122" s="11"/>
      <c r="S122" s="11"/>
      <c r="T122" s="11"/>
      <c r="U122" s="11"/>
      <c r="V122" s="53"/>
      <c r="W122" s="35" t="str">
        <f t="shared" si="2"/>
        <v>OK</v>
      </c>
      <c r="X122" s="38" t="str">
        <f t="shared" si="5"/>
        <v/>
      </c>
      <c r="Y122" s="3"/>
      <c r="Z122" s="3"/>
    </row>
    <row r="123" spans="1:26" ht="15.75" hidden="1" customHeight="1" outlineLevel="1" x14ac:dyDescent="0.3">
      <c r="A123" s="3"/>
      <c r="B123" s="9"/>
      <c r="C123" s="53"/>
      <c r="D123" s="53"/>
      <c r="E123" s="11"/>
      <c r="F123" s="11"/>
      <c r="G123" s="58"/>
      <c r="H123" s="54"/>
      <c r="I123" s="54"/>
      <c r="J123" s="55"/>
      <c r="K123" s="53"/>
      <c r="L123" s="53" t="str">
        <f t="shared" si="4"/>
        <v/>
      </c>
      <c r="M123" s="11"/>
      <c r="N123" s="11"/>
      <c r="O123" s="11"/>
      <c r="P123" s="11"/>
      <c r="Q123" s="11"/>
      <c r="R123" s="11"/>
      <c r="S123" s="11"/>
      <c r="T123" s="11"/>
      <c r="U123" s="11"/>
      <c r="V123" s="53"/>
      <c r="W123" s="35" t="str">
        <f t="shared" si="2"/>
        <v>OK</v>
      </c>
      <c r="X123" s="38" t="str">
        <f t="shared" si="5"/>
        <v/>
      </c>
      <c r="Y123" s="3"/>
      <c r="Z123" s="3"/>
    </row>
    <row r="124" spans="1:26" ht="15.75" hidden="1" customHeight="1" outlineLevel="1" x14ac:dyDescent="0.3">
      <c r="A124" s="3"/>
      <c r="B124" s="9"/>
      <c r="C124" s="53"/>
      <c r="D124" s="53"/>
      <c r="E124" s="11"/>
      <c r="F124" s="11"/>
      <c r="G124" s="58"/>
      <c r="H124" s="54"/>
      <c r="I124" s="54"/>
      <c r="J124" s="55"/>
      <c r="K124" s="53"/>
      <c r="L124" s="53" t="str">
        <f t="shared" si="4"/>
        <v/>
      </c>
      <c r="M124" s="11"/>
      <c r="N124" s="11"/>
      <c r="O124" s="11"/>
      <c r="P124" s="11"/>
      <c r="Q124" s="11"/>
      <c r="R124" s="11"/>
      <c r="S124" s="11"/>
      <c r="T124" s="11"/>
      <c r="U124" s="11"/>
      <c r="V124" s="53"/>
      <c r="W124" s="35" t="str">
        <f t="shared" si="2"/>
        <v>OK</v>
      </c>
      <c r="X124" s="38" t="str">
        <f t="shared" si="5"/>
        <v/>
      </c>
      <c r="Y124" s="3"/>
      <c r="Z124" s="3"/>
    </row>
    <row r="125" spans="1:26" ht="15.75" hidden="1" customHeight="1" outlineLevel="1" x14ac:dyDescent="0.3">
      <c r="A125" s="3"/>
      <c r="B125" s="9"/>
      <c r="C125" s="53"/>
      <c r="D125" s="53"/>
      <c r="E125" s="11"/>
      <c r="F125" s="11"/>
      <c r="G125" s="58"/>
      <c r="H125" s="54"/>
      <c r="I125" s="54"/>
      <c r="J125" s="55"/>
      <c r="K125" s="53"/>
      <c r="L125" s="53" t="str">
        <f t="shared" si="4"/>
        <v/>
      </c>
      <c r="M125" s="11"/>
      <c r="N125" s="11"/>
      <c r="O125" s="11"/>
      <c r="P125" s="11"/>
      <c r="Q125" s="11"/>
      <c r="R125" s="11"/>
      <c r="S125" s="11"/>
      <c r="T125" s="11"/>
      <c r="U125" s="11"/>
      <c r="V125" s="53"/>
      <c r="W125" s="35" t="str">
        <f t="shared" si="2"/>
        <v>OK</v>
      </c>
      <c r="X125" s="38" t="str">
        <f t="shared" si="5"/>
        <v/>
      </c>
      <c r="Y125" s="3"/>
      <c r="Z125" s="3"/>
    </row>
    <row r="126" spans="1:26" ht="19.5" customHeight="1" collapsed="1" x14ac:dyDescent="0.3">
      <c r="A126" s="3"/>
      <c r="B126" s="64" t="s">
        <v>63</v>
      </c>
      <c r="C126" s="47" t="s">
        <v>44</v>
      </c>
      <c r="D126" s="47" t="s">
        <v>44</v>
      </c>
      <c r="E126" s="48">
        <f t="shared" ref="E126:F126" si="23">SUM(E127,E130,,E134,E139,E146)</f>
        <v>0</v>
      </c>
      <c r="F126" s="48">
        <f t="shared" si="23"/>
        <v>14629.029999999999</v>
      </c>
      <c r="G126" s="49" t="s">
        <v>44</v>
      </c>
      <c r="H126" s="65"/>
      <c r="I126" s="65"/>
      <c r="J126" s="3"/>
      <c r="K126" s="3"/>
      <c r="L126" s="3"/>
      <c r="M126" s="3"/>
      <c r="N126" s="3"/>
      <c r="O126" s="3"/>
      <c r="P126" s="3"/>
      <c r="Q126" s="3"/>
      <c r="R126" s="3"/>
      <c r="S126" s="3"/>
      <c r="T126" s="3"/>
      <c r="U126" s="3"/>
      <c r="V126" s="3"/>
      <c r="W126" s="35"/>
      <c r="X126" s="32"/>
      <c r="Y126" s="3"/>
      <c r="Z126" s="3"/>
    </row>
    <row r="127" spans="1:26" ht="15.75" hidden="1" customHeight="1" outlineLevel="1" x14ac:dyDescent="0.3">
      <c r="A127" s="3"/>
      <c r="B127" s="66" t="s">
        <v>231</v>
      </c>
      <c r="C127" s="67" t="s">
        <v>44</v>
      </c>
      <c r="D127" s="67" t="s">
        <v>44</v>
      </c>
      <c r="E127" s="68">
        <f>SUM(E128:E129)</f>
        <v>0</v>
      </c>
      <c r="F127" s="68">
        <f>SUMIF(D128:D129,"OK",F128:F129)</f>
        <v>368.83</v>
      </c>
      <c r="G127" s="69" t="s">
        <v>44</v>
      </c>
      <c r="H127" s="70"/>
      <c r="I127" s="70"/>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9" t="s">
        <v>232</v>
      </c>
      <c r="C128" s="53">
        <v>8</v>
      </c>
      <c r="D128" s="53" t="s">
        <v>95</v>
      </c>
      <c r="E128" s="11">
        <v>0</v>
      </c>
      <c r="F128" s="11">
        <v>368.83</v>
      </c>
      <c r="G128" s="58"/>
      <c r="H128" s="54" t="s">
        <v>37</v>
      </c>
      <c r="I128" s="54"/>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9" t="s">
        <v>62</v>
      </c>
      <c r="C129" s="53"/>
      <c r="D129" s="53"/>
      <c r="E129" s="11">
        <v>0</v>
      </c>
      <c r="F129" s="11">
        <v>0</v>
      </c>
      <c r="G129" s="58"/>
      <c r="H129" s="54"/>
      <c r="I129" s="54"/>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66" t="s">
        <v>233</v>
      </c>
      <c r="C130" s="67" t="s">
        <v>44</v>
      </c>
      <c r="D130" s="67" t="s">
        <v>44</v>
      </c>
      <c r="E130" s="68">
        <f>SUM(E131:E133)</f>
        <v>0</v>
      </c>
      <c r="F130" s="68">
        <f>SUMIF(D131:D133,"OK",F131:F133)</f>
        <v>1316.2</v>
      </c>
      <c r="G130" s="69" t="s">
        <v>44</v>
      </c>
      <c r="H130" s="70"/>
      <c r="I130" s="70"/>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9" t="s">
        <v>716</v>
      </c>
      <c r="C131" s="53"/>
      <c r="D131" s="53"/>
      <c r="E131" s="11">
        <v>0</v>
      </c>
      <c r="F131" s="11">
        <v>0</v>
      </c>
      <c r="G131" s="60"/>
      <c r="H131" s="54"/>
      <c r="I131" s="54"/>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9" t="s">
        <v>530</v>
      </c>
      <c r="C132" s="53" t="s">
        <v>714</v>
      </c>
      <c r="D132" s="53" t="s">
        <v>95</v>
      </c>
      <c r="E132" s="11">
        <v>0</v>
      </c>
      <c r="F132" s="11">
        <f>2458.84-354.88-759.76-120+92</f>
        <v>1316.2</v>
      </c>
      <c r="G132" s="61"/>
      <c r="H132" s="54" t="s">
        <v>39</v>
      </c>
      <c r="I132" s="54"/>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9" t="s">
        <v>533</v>
      </c>
      <c r="C133" s="53"/>
      <c r="D133" s="53"/>
      <c r="E133" s="11">
        <v>0</v>
      </c>
      <c r="F133" s="11">
        <v>0</v>
      </c>
      <c r="G133" s="60"/>
      <c r="H133" s="54"/>
      <c r="I133" s="54"/>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66" t="s">
        <v>652</v>
      </c>
      <c r="C134" s="67" t="s">
        <v>44</v>
      </c>
      <c r="D134" s="67" t="s">
        <v>44</v>
      </c>
      <c r="E134" s="68">
        <f>SUM(E135:E137)</f>
        <v>0</v>
      </c>
      <c r="F134" s="68">
        <f>SUMIF(D135:D138,"OK",F135:F138)</f>
        <v>0</v>
      </c>
      <c r="G134" s="69" t="s">
        <v>44</v>
      </c>
      <c r="H134" s="70"/>
      <c r="I134" s="70"/>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9" t="s">
        <v>716</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532</v>
      </c>
      <c r="C136" s="53"/>
      <c r="D136" s="53"/>
      <c r="E136" s="11">
        <v>0</v>
      </c>
      <c r="F136" s="11">
        <v>0</v>
      </c>
      <c r="G136" s="61"/>
      <c r="H136" s="54"/>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9" t="s">
        <v>533</v>
      </c>
      <c r="C137" s="53"/>
      <c r="D137" s="53"/>
      <c r="E137" s="11">
        <v>0</v>
      </c>
      <c r="F137" s="11">
        <v>0</v>
      </c>
      <c r="G137" s="60"/>
      <c r="H137" s="54"/>
      <c r="I137" s="54"/>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9" t="s">
        <v>530</v>
      </c>
      <c r="C138" s="53"/>
      <c r="D138" s="53"/>
      <c r="E138" s="11">
        <v>0</v>
      </c>
      <c r="F138" s="11">
        <v>0</v>
      </c>
      <c r="G138" s="60"/>
      <c r="H138" s="54"/>
      <c r="I138" s="54"/>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66" t="s">
        <v>902</v>
      </c>
      <c r="C139" s="67" t="s">
        <v>44</v>
      </c>
      <c r="D139" s="67" t="s">
        <v>44</v>
      </c>
      <c r="E139" s="68">
        <f>SUM(E140:E145)</f>
        <v>0</v>
      </c>
      <c r="F139" s="68">
        <f>SUMIF(D140:D145,"OK",F140:F145)</f>
        <v>0</v>
      </c>
      <c r="G139" s="69" t="s">
        <v>44</v>
      </c>
      <c r="H139" s="70"/>
      <c r="I139" s="70"/>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9" t="s">
        <v>1037</v>
      </c>
      <c r="C140" s="53"/>
      <c r="D140" s="53"/>
      <c r="E140" s="11">
        <v>0</v>
      </c>
      <c r="F140" s="11">
        <v>0</v>
      </c>
      <c r="G140" s="58"/>
      <c r="H140" s="54"/>
      <c r="I140" s="54"/>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905</v>
      </c>
      <c r="C141" s="53"/>
      <c r="D141" s="53"/>
      <c r="E141" s="11">
        <v>0</v>
      </c>
      <c r="F141" s="11">
        <v>0</v>
      </c>
      <c r="G141" s="58"/>
      <c r="H141" s="54"/>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906</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1041</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9" t="s">
        <v>908</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9" t="s">
        <v>909</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t="15.75" hidden="1" customHeight="1" outlineLevel="1" x14ac:dyDescent="0.3">
      <c r="A146" s="3"/>
      <c r="B146" s="66" t="s">
        <v>690</v>
      </c>
      <c r="C146" s="67" t="s">
        <v>44</v>
      </c>
      <c r="D146" s="67" t="s">
        <v>44</v>
      </c>
      <c r="E146" s="68">
        <f>SUM(E147:E152)</f>
        <v>0</v>
      </c>
      <c r="F146" s="68">
        <f>SUMIF(D147:D153,"OK",F147:F153)</f>
        <v>12943.999999999998</v>
      </c>
      <c r="G146" s="69" t="s">
        <v>44</v>
      </c>
      <c r="H146" s="70"/>
      <c r="I146" s="70"/>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1324</v>
      </c>
      <c r="C147" s="53" t="s">
        <v>1431</v>
      </c>
      <c r="D147" s="53" t="s">
        <v>95</v>
      </c>
      <c r="E147" s="11">
        <v>0</v>
      </c>
      <c r="F147" s="11">
        <f>18543.42+6000-11980.44-250-74-2.98</f>
        <v>12235.999999999998</v>
      </c>
      <c r="G147" s="60"/>
      <c r="H147" s="54" t="s">
        <v>38</v>
      </c>
      <c r="I147" s="54"/>
      <c r="J147" s="3"/>
      <c r="K147" s="3"/>
      <c r="L147" s="3"/>
      <c r="M147" s="3"/>
      <c r="N147" s="3"/>
      <c r="O147" s="3"/>
      <c r="P147" s="3"/>
      <c r="Q147" s="3"/>
      <c r="R147" s="3"/>
      <c r="S147" s="3"/>
      <c r="T147" s="3"/>
      <c r="U147" s="3"/>
      <c r="V147" s="3"/>
      <c r="W147" s="35"/>
      <c r="X147" s="32"/>
      <c r="Y147" s="3"/>
      <c r="Z147" s="3"/>
    </row>
    <row r="148" spans="1:26" ht="15.75" hidden="1" customHeight="1" outlineLevel="1" x14ac:dyDescent="0.3">
      <c r="A148" s="3"/>
      <c r="B148" s="9" t="s">
        <v>1325</v>
      </c>
      <c r="C148" s="53">
        <v>9</v>
      </c>
      <c r="D148" s="53" t="s">
        <v>95</v>
      </c>
      <c r="E148" s="11">
        <v>0</v>
      </c>
      <c r="F148" s="11">
        <f>24+80+300</f>
        <v>404</v>
      </c>
      <c r="G148" s="60" t="s">
        <v>1432</v>
      </c>
      <c r="H148" s="54" t="s">
        <v>37</v>
      </c>
      <c r="I148" s="54"/>
      <c r="J148" s="3"/>
      <c r="K148" s="3"/>
      <c r="L148" s="3"/>
      <c r="M148" s="3"/>
      <c r="N148" s="3"/>
      <c r="O148" s="3"/>
      <c r="P148" s="3"/>
      <c r="Q148" s="3"/>
      <c r="R148" s="3"/>
      <c r="S148" s="3"/>
      <c r="T148" s="3"/>
      <c r="U148" s="3"/>
      <c r="V148" s="3"/>
      <c r="W148" s="35"/>
      <c r="X148" s="32"/>
      <c r="Y148" s="3"/>
      <c r="Z148" s="3"/>
    </row>
    <row r="149" spans="1:26" ht="15.75" hidden="1" customHeight="1" outlineLevel="1" x14ac:dyDescent="0.3">
      <c r="A149" s="3"/>
      <c r="B149" s="9" t="s">
        <v>1433</v>
      </c>
      <c r="C149" s="53" t="s">
        <v>1434</v>
      </c>
      <c r="D149" s="53" t="s">
        <v>95</v>
      </c>
      <c r="E149" s="11">
        <v>0</v>
      </c>
      <c r="F149" s="11">
        <f>50+24+60+24+24+120+2</f>
        <v>304</v>
      </c>
      <c r="G149" s="60"/>
      <c r="H149" s="54" t="s">
        <v>38</v>
      </c>
      <c r="I149" s="54"/>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9" t="s">
        <v>43</v>
      </c>
      <c r="C150" s="53"/>
      <c r="D150" s="53"/>
      <c r="E150" s="11">
        <v>0</v>
      </c>
      <c r="F150" s="11">
        <v>0</v>
      </c>
      <c r="G150" s="60"/>
      <c r="H150" s="54"/>
      <c r="I150" s="54"/>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43</v>
      </c>
      <c r="C151" s="53"/>
      <c r="D151" s="53"/>
      <c r="E151" s="11">
        <v>0</v>
      </c>
      <c r="F151" s="11">
        <v>0</v>
      </c>
      <c r="G151" s="60"/>
      <c r="H151" s="54"/>
      <c r="I151" s="54"/>
      <c r="J151" s="3"/>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43</v>
      </c>
      <c r="C152" s="53"/>
      <c r="D152" s="53"/>
      <c r="E152" s="11">
        <v>0</v>
      </c>
      <c r="F152" s="11">
        <v>0</v>
      </c>
      <c r="G152" s="60"/>
      <c r="H152" s="54"/>
      <c r="I152" s="54"/>
      <c r="J152" s="116"/>
      <c r="K152" s="3"/>
      <c r="L152" s="3"/>
      <c r="M152" s="3"/>
      <c r="N152" s="3"/>
      <c r="O152" s="3"/>
      <c r="P152" s="3"/>
      <c r="Q152" s="3"/>
      <c r="R152" s="3"/>
      <c r="S152" s="3"/>
      <c r="T152" s="3"/>
      <c r="U152" s="3"/>
      <c r="V152" s="3"/>
      <c r="W152" s="35"/>
      <c r="X152" s="32"/>
      <c r="Y152" s="3"/>
      <c r="Z152" s="3"/>
    </row>
    <row r="153" spans="1:26" ht="15.75" hidden="1" customHeight="1" outlineLevel="1" x14ac:dyDescent="0.3">
      <c r="A153" s="3"/>
      <c r="B153" s="9" t="s">
        <v>43</v>
      </c>
      <c r="C153" s="53"/>
      <c r="D153" s="53"/>
      <c r="E153" s="11">
        <v>0</v>
      </c>
      <c r="F153" s="11">
        <v>0</v>
      </c>
      <c r="G153" s="60"/>
      <c r="H153" s="54"/>
      <c r="I153" s="54"/>
      <c r="J153" s="3"/>
      <c r="K153" s="3"/>
      <c r="L153" s="3"/>
      <c r="M153" s="3"/>
      <c r="N153" s="3"/>
      <c r="O153" s="3"/>
      <c r="P153" s="3"/>
      <c r="Q153" s="3"/>
      <c r="R153" s="3"/>
      <c r="S153" s="3"/>
      <c r="T153" s="3"/>
      <c r="U153" s="3"/>
      <c r="V153" s="3"/>
      <c r="W153" s="35"/>
      <c r="X153" s="32"/>
      <c r="Y153" s="3"/>
      <c r="Z153" s="3"/>
    </row>
    <row r="154" spans="1:26" ht="19.5" customHeight="1" collapsed="1" x14ac:dyDescent="0.3">
      <c r="A154" s="3"/>
      <c r="B154" s="64" t="s">
        <v>240</v>
      </c>
      <c r="C154" s="47" t="s">
        <v>44</v>
      </c>
      <c r="D154" s="47" t="s">
        <v>44</v>
      </c>
      <c r="E154" s="48">
        <f t="shared" ref="E154:F154" si="24">SUM(E155,E160,E165,E169)</f>
        <v>0</v>
      </c>
      <c r="F154" s="48">
        <f t="shared" si="24"/>
        <v>4165</v>
      </c>
      <c r="G154" s="49" t="s">
        <v>44</v>
      </c>
      <c r="H154" s="65"/>
      <c r="I154" s="65"/>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66" t="s">
        <v>241</v>
      </c>
      <c r="C155" s="67" t="s">
        <v>44</v>
      </c>
      <c r="D155" s="67" t="s">
        <v>44</v>
      </c>
      <c r="E155" s="68">
        <f>SUM(E156:E159)</f>
        <v>0</v>
      </c>
      <c r="F155" s="68">
        <f>SUMIF(D156:D159,"OK",F156:F159)</f>
        <v>685</v>
      </c>
      <c r="G155" s="69" t="s">
        <v>44</v>
      </c>
      <c r="H155" s="70"/>
      <c r="I155" s="70"/>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242</v>
      </c>
      <c r="C156" s="53">
        <v>5</v>
      </c>
      <c r="D156" s="53" t="s">
        <v>95</v>
      </c>
      <c r="E156" s="11">
        <v>0</v>
      </c>
      <c r="F156" s="11">
        <f>10+30+10+10+10+30+30+10+10+30+50+10+117</f>
        <v>357</v>
      </c>
      <c r="G156" s="61"/>
      <c r="H156" s="54" t="s">
        <v>37</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243</v>
      </c>
      <c r="C157" s="53"/>
      <c r="D157" s="53"/>
      <c r="E157" s="11">
        <v>0</v>
      </c>
      <c r="F157" s="11">
        <v>0</v>
      </c>
      <c r="G157" s="58"/>
      <c r="H157" s="54" t="s">
        <v>36</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244</v>
      </c>
      <c r="C158" s="53" t="s">
        <v>1435</v>
      </c>
      <c r="D158" s="53" t="s">
        <v>95</v>
      </c>
      <c r="E158" s="11">
        <v>0</v>
      </c>
      <c r="F158" s="11">
        <f>10+20+10+30+5+10+10+50+10+50+35+5+30+5+48</f>
        <v>328</v>
      </c>
      <c r="G158" s="58"/>
      <c r="H158" s="54" t="s">
        <v>37</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9" t="s">
        <v>245</v>
      </c>
      <c r="C159" s="53"/>
      <c r="D159" s="53"/>
      <c r="E159" s="11">
        <v>0</v>
      </c>
      <c r="F159" s="11">
        <v>0</v>
      </c>
      <c r="G159" s="120"/>
      <c r="H159" s="54" t="s">
        <v>36</v>
      </c>
      <c r="I159" s="54"/>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66" t="s">
        <v>246</v>
      </c>
      <c r="C160" s="67" t="s">
        <v>44</v>
      </c>
      <c r="D160" s="67" t="s">
        <v>44</v>
      </c>
      <c r="E160" s="68">
        <f>SUM(E161:E164)</f>
        <v>0</v>
      </c>
      <c r="F160" s="68">
        <f>SUMIF(D161:D164,"OK",F161:F164)</f>
        <v>480</v>
      </c>
      <c r="G160" s="69" t="s">
        <v>44</v>
      </c>
      <c r="H160" s="70"/>
      <c r="I160" s="70"/>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242</v>
      </c>
      <c r="C161" s="53">
        <v>5</v>
      </c>
      <c r="D161" s="53" t="s">
        <v>95</v>
      </c>
      <c r="E161" s="11">
        <v>0</v>
      </c>
      <c r="F161" s="11">
        <f>10+40+10+10+20+20+10+10+10+20+20+10+40+10+30+20+20+20+10+10+10+10+30+20+60</f>
        <v>480</v>
      </c>
      <c r="G161" s="60"/>
      <c r="H161" s="54" t="s">
        <v>37</v>
      </c>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243</v>
      </c>
      <c r="C162" s="53"/>
      <c r="D162" s="53"/>
      <c r="E162" s="11">
        <v>0</v>
      </c>
      <c r="F162" s="11">
        <v>0</v>
      </c>
      <c r="G162" s="58"/>
      <c r="H162" s="54" t="s">
        <v>36</v>
      </c>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9" t="s">
        <v>244</v>
      </c>
      <c r="C163" s="53"/>
      <c r="D163" s="53"/>
      <c r="E163" s="11">
        <v>0</v>
      </c>
      <c r="F163" s="11">
        <v>0</v>
      </c>
      <c r="G163" s="58"/>
      <c r="H163" s="54" t="s">
        <v>37</v>
      </c>
      <c r="I163" s="54"/>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9" t="s">
        <v>245</v>
      </c>
      <c r="C164" s="53"/>
      <c r="D164" s="53"/>
      <c r="E164" s="11">
        <v>0</v>
      </c>
      <c r="F164" s="11">
        <v>0</v>
      </c>
      <c r="G164" s="58"/>
      <c r="H164" s="54" t="s">
        <v>36</v>
      </c>
      <c r="I164" s="54"/>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66" t="s">
        <v>247</v>
      </c>
      <c r="C165" s="67" t="s">
        <v>44</v>
      </c>
      <c r="D165" s="67" t="s">
        <v>44</v>
      </c>
      <c r="E165" s="68">
        <f>SUM(E166:E168)</f>
        <v>0</v>
      </c>
      <c r="F165" s="68">
        <f>SUMIF(D166:D168,"OK",F166:F168)</f>
        <v>0</v>
      </c>
      <c r="G165" s="69" t="s">
        <v>44</v>
      </c>
      <c r="H165" s="70"/>
      <c r="I165" s="70"/>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43</v>
      </c>
      <c r="C166" s="71"/>
      <c r="D166" s="53"/>
      <c r="E166" s="11">
        <v>0</v>
      </c>
      <c r="F166" s="11">
        <v>0</v>
      </c>
      <c r="G166" s="60"/>
      <c r="H166" s="54"/>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43</v>
      </c>
      <c r="C167" s="71"/>
      <c r="D167" s="53"/>
      <c r="E167" s="11">
        <v>0</v>
      </c>
      <c r="F167" s="11">
        <v>0</v>
      </c>
      <c r="G167" s="60"/>
      <c r="H167" s="54"/>
      <c r="I167" s="54"/>
      <c r="J167" s="3"/>
      <c r="K167" s="3"/>
      <c r="L167" s="3"/>
      <c r="M167" s="3"/>
      <c r="N167" s="3"/>
      <c r="O167" s="3"/>
      <c r="P167" s="3"/>
      <c r="Q167" s="3"/>
      <c r="R167" s="3"/>
      <c r="S167" s="3"/>
      <c r="T167" s="3"/>
      <c r="U167" s="3"/>
      <c r="V167" s="3"/>
      <c r="W167" s="35"/>
      <c r="X167" s="32"/>
      <c r="Y167" s="3"/>
      <c r="Z167" s="3"/>
    </row>
    <row r="168" spans="1:26" ht="15.75" hidden="1" customHeight="1" outlineLevel="1" x14ac:dyDescent="0.3">
      <c r="A168" s="3"/>
      <c r="B168" s="9" t="s">
        <v>43</v>
      </c>
      <c r="C168" s="53"/>
      <c r="D168" s="53"/>
      <c r="E168" s="11">
        <v>0</v>
      </c>
      <c r="F168" s="11">
        <v>0</v>
      </c>
      <c r="G168" s="60"/>
      <c r="H168" s="54"/>
      <c r="I168" s="54"/>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66" t="s">
        <v>62</v>
      </c>
      <c r="C169" s="67" t="s">
        <v>44</v>
      </c>
      <c r="D169" s="67" t="s">
        <v>44</v>
      </c>
      <c r="E169" s="68">
        <f>SUM(E170:E177)</f>
        <v>0</v>
      </c>
      <c r="F169" s="68">
        <f>SUMIF(D170:D183,"OK",F170:F183)</f>
        <v>3000</v>
      </c>
      <c r="G169" s="69"/>
      <c r="H169" s="70"/>
      <c r="I169" s="70"/>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1436</v>
      </c>
      <c r="C170" s="71">
        <v>17</v>
      </c>
      <c r="D170" s="53" t="s">
        <v>95</v>
      </c>
      <c r="E170" s="11">
        <v>0</v>
      </c>
      <c r="F170" s="11">
        <v>2800</v>
      </c>
      <c r="G170" s="61" t="s">
        <v>1437</v>
      </c>
      <c r="H170" s="54" t="s">
        <v>37</v>
      </c>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1438</v>
      </c>
      <c r="C171" s="71" t="s">
        <v>1439</v>
      </c>
      <c r="D171" s="53" t="s">
        <v>95</v>
      </c>
      <c r="E171" s="11">
        <v>0</v>
      </c>
      <c r="F171" s="11">
        <f>100+100</f>
        <v>200</v>
      </c>
      <c r="G171" s="61" t="s">
        <v>1440</v>
      </c>
      <c r="H171" s="54" t="s">
        <v>37</v>
      </c>
      <c r="I171" s="54"/>
      <c r="J171" s="3"/>
      <c r="K171" s="3"/>
      <c r="L171" s="3"/>
      <c r="M171" s="3"/>
      <c r="N171" s="3"/>
      <c r="O171" s="3"/>
      <c r="P171" s="3"/>
      <c r="Q171" s="3"/>
      <c r="R171" s="3"/>
      <c r="S171" s="3"/>
      <c r="T171" s="3"/>
      <c r="U171" s="3"/>
      <c r="V171" s="3"/>
      <c r="W171" s="35"/>
      <c r="X171" s="32"/>
      <c r="Y171" s="3"/>
      <c r="Z171" s="3"/>
    </row>
    <row r="172" spans="1:26" ht="15.75" hidden="1" customHeight="1" outlineLevel="1" x14ac:dyDescent="0.3">
      <c r="A172" s="3"/>
      <c r="B172" s="9" t="s">
        <v>62</v>
      </c>
      <c r="C172" s="53"/>
      <c r="D172" s="53"/>
      <c r="E172" s="11">
        <v>0</v>
      </c>
      <c r="F172" s="11">
        <v>0</v>
      </c>
      <c r="G172" s="60"/>
      <c r="H172" s="54"/>
      <c r="I172" s="54"/>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62</v>
      </c>
      <c r="C173" s="53"/>
      <c r="D173" s="53"/>
      <c r="E173" s="11">
        <v>0</v>
      </c>
      <c r="F173" s="11">
        <v>0</v>
      </c>
      <c r="G173" s="61"/>
      <c r="H173" s="54"/>
      <c r="I173" s="54"/>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62</v>
      </c>
      <c r="C180" s="53"/>
      <c r="D180" s="53"/>
      <c r="E180" s="11">
        <v>0</v>
      </c>
      <c r="F180" s="11">
        <v>0</v>
      </c>
      <c r="G180" s="60"/>
      <c r="H180" s="54"/>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62</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62</v>
      </c>
      <c r="C182" s="53"/>
      <c r="D182" s="53"/>
      <c r="E182" s="11">
        <v>0</v>
      </c>
      <c r="F182" s="11">
        <v>0</v>
      </c>
      <c r="G182" s="60"/>
      <c r="H182" s="54"/>
      <c r="I182" s="54"/>
      <c r="J182" s="3"/>
      <c r="K182" s="3"/>
      <c r="L182" s="3"/>
      <c r="M182" s="3"/>
      <c r="N182" s="3"/>
      <c r="O182" s="3"/>
      <c r="P182" s="3"/>
      <c r="Q182" s="3"/>
      <c r="R182" s="3"/>
      <c r="S182" s="3"/>
      <c r="T182" s="3"/>
      <c r="U182" s="3"/>
      <c r="V182" s="3"/>
      <c r="W182" s="35"/>
      <c r="X182" s="32"/>
      <c r="Y182" s="3"/>
      <c r="Z182" s="3"/>
    </row>
    <row r="183" spans="1:26" ht="15.75" hidden="1" customHeight="1" outlineLevel="1" x14ac:dyDescent="0.3">
      <c r="A183" s="3"/>
      <c r="B183" s="9" t="s">
        <v>62</v>
      </c>
      <c r="C183" s="53"/>
      <c r="D183" s="53"/>
      <c r="E183" s="11">
        <v>0</v>
      </c>
      <c r="F183" s="11">
        <v>0</v>
      </c>
      <c r="G183" s="60"/>
      <c r="H183" s="54"/>
      <c r="I183" s="54"/>
      <c r="J183" s="3"/>
      <c r="K183" s="3"/>
      <c r="L183" s="3"/>
      <c r="M183" s="3"/>
      <c r="N183" s="3"/>
      <c r="O183" s="3"/>
      <c r="P183" s="3"/>
      <c r="Q183" s="3"/>
      <c r="R183" s="3"/>
      <c r="S183" s="3"/>
      <c r="T183" s="3"/>
      <c r="U183" s="3"/>
      <c r="V183" s="3"/>
      <c r="W183" s="35"/>
      <c r="X183" s="32"/>
      <c r="Y183" s="3"/>
      <c r="Z183" s="3"/>
    </row>
    <row r="184" spans="1:26" ht="19.5" customHeight="1" collapsed="1" x14ac:dyDescent="0.3">
      <c r="A184" s="3"/>
      <c r="B184" s="64" t="s">
        <v>64</v>
      </c>
      <c r="C184" s="47" t="s">
        <v>44</v>
      </c>
      <c r="D184" s="47" t="s">
        <v>44</v>
      </c>
      <c r="E184" s="48">
        <f>SUM(E185:E187)</f>
        <v>0</v>
      </c>
      <c r="F184" s="48">
        <f>SUMIF(D185:D187,"OK",F185:F187)</f>
        <v>1085.05</v>
      </c>
      <c r="G184" s="49"/>
      <c r="H184" s="65"/>
      <c r="I184" s="65"/>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1441</v>
      </c>
      <c r="C185" s="53">
        <v>4</v>
      </c>
      <c r="D185" s="53" t="s">
        <v>95</v>
      </c>
      <c r="E185" s="11">
        <v>0</v>
      </c>
      <c r="F185" s="11">
        <v>200</v>
      </c>
      <c r="G185" s="60" t="s">
        <v>1442</v>
      </c>
      <c r="H185" s="54" t="s">
        <v>37</v>
      </c>
      <c r="I185" s="54"/>
      <c r="J185" s="3"/>
      <c r="K185" s="3"/>
      <c r="L185" s="3"/>
      <c r="M185" s="3"/>
      <c r="N185" s="3"/>
      <c r="O185" s="3"/>
      <c r="P185" s="3"/>
      <c r="Q185" s="3"/>
      <c r="R185" s="3"/>
      <c r="S185" s="3"/>
      <c r="T185" s="3"/>
      <c r="U185" s="3"/>
      <c r="V185" s="3"/>
      <c r="W185" s="35"/>
      <c r="X185" s="32"/>
      <c r="Y185" s="3"/>
      <c r="Z185" s="3"/>
    </row>
    <row r="186" spans="1:26" ht="36" hidden="1" outlineLevel="1" x14ac:dyDescent="0.3">
      <c r="A186" s="3"/>
      <c r="B186" s="9" t="s">
        <v>1443</v>
      </c>
      <c r="C186" s="53" t="s">
        <v>1444</v>
      </c>
      <c r="D186" s="53" t="s">
        <v>95</v>
      </c>
      <c r="E186" s="11">
        <v>0</v>
      </c>
      <c r="F186" s="11">
        <f>100+100+200+70+50+100+100+70+50</f>
        <v>840</v>
      </c>
      <c r="G186" s="60" t="s">
        <v>1445</v>
      </c>
      <c r="H186" s="54" t="s">
        <v>37</v>
      </c>
      <c r="I186" s="54"/>
      <c r="J186" s="3"/>
      <c r="K186" s="3"/>
      <c r="L186" s="3"/>
      <c r="M186" s="3"/>
      <c r="N186" s="3"/>
      <c r="O186" s="3"/>
      <c r="P186" s="3"/>
      <c r="Q186" s="3"/>
      <c r="R186" s="3"/>
      <c r="S186" s="3"/>
      <c r="T186" s="3"/>
      <c r="U186" s="3"/>
      <c r="V186" s="3"/>
      <c r="W186" s="35"/>
      <c r="X186" s="32"/>
      <c r="Y186" s="3"/>
      <c r="Z186" s="3"/>
    </row>
    <row r="187" spans="1:26" ht="15.75" hidden="1" customHeight="1" outlineLevel="1" x14ac:dyDescent="0.3">
      <c r="A187" s="3"/>
      <c r="B187" s="9" t="s">
        <v>1446</v>
      </c>
      <c r="C187" s="53">
        <v>25</v>
      </c>
      <c r="D187" s="53" t="s">
        <v>95</v>
      </c>
      <c r="E187" s="11">
        <v>0</v>
      </c>
      <c r="F187" s="11">
        <v>45.05</v>
      </c>
      <c r="G187" s="61" t="s">
        <v>1447</v>
      </c>
      <c r="H187" s="54" t="s">
        <v>37</v>
      </c>
      <c r="I187" s="54"/>
      <c r="J187" s="3"/>
      <c r="K187" s="3"/>
      <c r="L187" s="3"/>
      <c r="M187" s="3"/>
      <c r="N187" s="3"/>
      <c r="O187" s="3"/>
      <c r="P187" s="3"/>
      <c r="Q187" s="3"/>
      <c r="R187" s="3"/>
      <c r="S187" s="3"/>
      <c r="T187" s="3"/>
      <c r="U187" s="3"/>
      <c r="V187" s="3"/>
      <c r="W187" s="35"/>
      <c r="X187" s="32"/>
      <c r="Y187" s="3"/>
      <c r="Z187" s="3"/>
    </row>
    <row r="188" spans="1:26" ht="19.5" customHeight="1" collapsed="1" x14ac:dyDescent="0.3">
      <c r="A188" s="3"/>
      <c r="B188" s="64" t="s">
        <v>260</v>
      </c>
      <c r="C188" s="47" t="s">
        <v>44</v>
      </c>
      <c r="D188" s="47" t="s">
        <v>44</v>
      </c>
      <c r="E188" s="48">
        <f>SUM(E189:E195)</f>
        <v>0</v>
      </c>
      <c r="F188" s="48">
        <f>SUMIF(D189:D195,"OK",F189:F195)</f>
        <v>4.09</v>
      </c>
      <c r="G188" s="49" t="s">
        <v>44</v>
      </c>
      <c r="H188" s="65"/>
      <c r="I188" s="65"/>
      <c r="J188" s="3"/>
      <c r="K188" s="3"/>
      <c r="L188" s="3"/>
      <c r="M188" s="3"/>
      <c r="N188" s="3"/>
      <c r="O188" s="3"/>
      <c r="P188" s="3"/>
      <c r="Q188" s="3"/>
      <c r="R188" s="3"/>
      <c r="S188" s="3"/>
      <c r="T188" s="3"/>
      <c r="U188" s="3"/>
      <c r="V188" s="3"/>
      <c r="W188" s="35"/>
      <c r="X188" s="32"/>
      <c r="Y188" s="3"/>
      <c r="Z188" s="3"/>
    </row>
    <row r="189" spans="1:26" ht="15.75" hidden="1" customHeight="1" outlineLevel="1" x14ac:dyDescent="0.3">
      <c r="A189" s="3"/>
      <c r="B189" s="9" t="s">
        <v>261</v>
      </c>
      <c r="C189" s="53"/>
      <c r="D189" s="53"/>
      <c r="E189" s="11">
        <v>0</v>
      </c>
      <c r="F189" s="11">
        <v>0</v>
      </c>
      <c r="G189" s="58"/>
      <c r="H189" s="54" t="s">
        <v>37</v>
      </c>
      <c r="I189" s="54"/>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262</v>
      </c>
      <c r="C190" s="53">
        <v>30</v>
      </c>
      <c r="D190" s="53" t="s">
        <v>95</v>
      </c>
      <c r="E190" s="11">
        <v>0</v>
      </c>
      <c r="F190" s="11">
        <f>0.08+0.14+0.84+0.29+0.84+1.19+0.2+0.27+0.24</f>
        <v>4.09</v>
      </c>
      <c r="G190" s="60"/>
      <c r="H190" s="54" t="s">
        <v>38</v>
      </c>
      <c r="I190" s="54"/>
      <c r="J190" s="3"/>
      <c r="K190" s="3"/>
      <c r="L190" s="3"/>
      <c r="M190" s="3"/>
      <c r="N190" s="3"/>
      <c r="O190" s="3"/>
      <c r="P190" s="3"/>
      <c r="Q190" s="3"/>
      <c r="R190" s="3"/>
      <c r="S190" s="3"/>
      <c r="T190" s="3"/>
      <c r="U190" s="3"/>
      <c r="V190" s="3"/>
      <c r="W190" s="35"/>
      <c r="X190" s="32"/>
      <c r="Y190" s="3"/>
      <c r="Z190" s="3"/>
    </row>
    <row r="191" spans="1:26" ht="15.75" hidden="1" customHeight="1" outlineLevel="1" x14ac:dyDescent="0.3">
      <c r="A191" s="3"/>
      <c r="B191" s="9" t="s">
        <v>264</v>
      </c>
      <c r="C191" s="53"/>
      <c r="D191" s="53"/>
      <c r="E191" s="11">
        <v>0</v>
      </c>
      <c r="F191" s="11">
        <v>0</v>
      </c>
      <c r="G191" s="58"/>
      <c r="H191" s="54" t="s">
        <v>235</v>
      </c>
      <c r="I191" s="54"/>
      <c r="J191" s="3"/>
      <c r="K191" s="3"/>
      <c r="L191" s="3"/>
      <c r="M191" s="3"/>
      <c r="N191" s="3"/>
      <c r="O191" s="3"/>
      <c r="P191" s="3"/>
      <c r="Q191" s="3"/>
      <c r="R191" s="3"/>
      <c r="S191" s="3"/>
      <c r="T191" s="3"/>
      <c r="U191" s="3"/>
      <c r="V191" s="3"/>
      <c r="W191" s="35"/>
      <c r="X191" s="32"/>
      <c r="Y191" s="3"/>
      <c r="Z191" s="3"/>
    </row>
    <row r="192" spans="1:26" ht="15.75" hidden="1" customHeight="1" outlineLevel="1" x14ac:dyDescent="0.3">
      <c r="A192" s="3"/>
      <c r="B192" s="9" t="s">
        <v>265</v>
      </c>
      <c r="C192" s="53"/>
      <c r="D192" s="53"/>
      <c r="E192" s="11">
        <v>0</v>
      </c>
      <c r="F192" s="11">
        <v>0</v>
      </c>
      <c r="G192" s="58"/>
      <c r="H192" s="54" t="s">
        <v>266</v>
      </c>
      <c r="I192" s="54"/>
      <c r="J192" s="3"/>
      <c r="K192" s="3"/>
      <c r="L192" s="3"/>
      <c r="M192" s="3"/>
      <c r="N192" s="3"/>
      <c r="O192" s="3"/>
      <c r="P192" s="3"/>
      <c r="Q192" s="3"/>
      <c r="R192" s="3"/>
      <c r="S192" s="3"/>
      <c r="T192" s="3"/>
      <c r="U192" s="3"/>
      <c r="V192" s="3"/>
      <c r="W192" s="35"/>
      <c r="X192" s="32"/>
      <c r="Y192" s="3"/>
      <c r="Z192" s="3"/>
    </row>
    <row r="193" spans="1:26" ht="15.75" hidden="1" customHeight="1" outlineLevel="1" x14ac:dyDescent="0.3">
      <c r="A193" s="3"/>
      <c r="B193" s="9" t="s">
        <v>552</v>
      </c>
      <c r="C193" s="53"/>
      <c r="D193" s="53"/>
      <c r="E193" s="11">
        <v>0</v>
      </c>
      <c r="F193" s="11">
        <v>0</v>
      </c>
      <c r="G193" s="58"/>
      <c r="H193" s="54" t="s">
        <v>39</v>
      </c>
      <c r="I193" s="54"/>
      <c r="J193" s="3"/>
      <c r="K193" s="3"/>
      <c r="L193" s="3"/>
      <c r="M193" s="3"/>
      <c r="N193" s="3"/>
      <c r="O193" s="3"/>
      <c r="P193" s="3"/>
      <c r="Q193" s="3"/>
      <c r="R193" s="3"/>
      <c r="S193" s="3"/>
      <c r="T193" s="3"/>
      <c r="U193" s="3"/>
      <c r="V193" s="3"/>
      <c r="W193" s="35"/>
      <c r="X193" s="32"/>
      <c r="Y193" s="3"/>
      <c r="Z193" s="3"/>
    </row>
    <row r="194" spans="1:26" ht="15.75" hidden="1" customHeight="1" outlineLevel="1" x14ac:dyDescent="0.3">
      <c r="A194" s="3"/>
      <c r="B194" s="9" t="s">
        <v>917</v>
      </c>
      <c r="C194" s="53"/>
      <c r="D194" s="53"/>
      <c r="E194" s="11">
        <v>0</v>
      </c>
      <c r="F194" s="11">
        <v>0</v>
      </c>
      <c r="G194" s="58"/>
      <c r="H194" s="54"/>
      <c r="I194" s="54"/>
      <c r="J194" s="3"/>
      <c r="K194" s="3"/>
      <c r="L194" s="3"/>
      <c r="M194" s="3"/>
      <c r="N194" s="3"/>
      <c r="O194" s="3"/>
      <c r="P194" s="3"/>
      <c r="Q194" s="3"/>
      <c r="R194" s="3"/>
      <c r="S194" s="3"/>
      <c r="T194" s="3"/>
      <c r="U194" s="3"/>
      <c r="V194" s="3"/>
      <c r="W194" s="35"/>
      <c r="X194" s="32"/>
      <c r="Y194" s="3"/>
      <c r="Z194" s="3"/>
    </row>
    <row r="195" spans="1:26" ht="15.75" hidden="1" customHeight="1" outlineLevel="1" x14ac:dyDescent="0.3">
      <c r="A195" s="3"/>
      <c r="B195" s="9" t="s">
        <v>917</v>
      </c>
      <c r="C195" s="53"/>
      <c r="D195" s="53"/>
      <c r="E195" s="11">
        <v>0</v>
      </c>
      <c r="F195" s="11">
        <v>0</v>
      </c>
      <c r="G195" s="58"/>
      <c r="H195" s="54"/>
      <c r="I195" s="54"/>
      <c r="J195" s="3"/>
      <c r="K195" s="3"/>
      <c r="L195" s="3"/>
      <c r="M195" s="3"/>
      <c r="N195" s="3"/>
      <c r="O195" s="3"/>
      <c r="P195" s="3"/>
      <c r="Q195" s="3"/>
      <c r="R195" s="3"/>
      <c r="S195" s="3"/>
      <c r="T195" s="3"/>
      <c r="U195" s="3"/>
      <c r="V195" s="3"/>
      <c r="W195" s="35"/>
      <c r="X195" s="32"/>
      <c r="Y195" s="3"/>
      <c r="Z195" s="3"/>
    </row>
    <row r="196" spans="1:26" ht="15.75" customHeight="1" collapsed="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6" ht="15.75" customHeight="1" x14ac:dyDescent="0.3">
      <c r="A197" s="3"/>
      <c r="B197" s="3"/>
      <c r="C197" s="28"/>
      <c r="D197" s="28"/>
      <c r="E197" s="28"/>
      <c r="F197" s="101"/>
      <c r="G197" s="112"/>
      <c r="H197" s="28"/>
      <c r="I197" s="28"/>
      <c r="J197" s="28"/>
      <c r="K197" s="28"/>
      <c r="L197" s="28"/>
      <c r="M197" s="28"/>
      <c r="N197" s="28"/>
      <c r="O197" s="28"/>
      <c r="P197" s="28"/>
      <c r="Q197" s="28"/>
      <c r="R197" s="28"/>
      <c r="S197" s="28"/>
      <c r="T197" s="28"/>
      <c r="U197" s="28"/>
      <c r="V197" s="28"/>
      <c r="W197" s="35"/>
      <c r="X197" s="32"/>
    </row>
    <row r="198" spans="1:26"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6"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6"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6"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6"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6"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6"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6"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6"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6"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6"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c r="A392" s="3"/>
      <c r="B392" s="3"/>
      <c r="C392" s="28"/>
      <c r="D392" s="28"/>
      <c r="E392" s="28"/>
      <c r="F392" s="28"/>
      <c r="G392" s="112"/>
      <c r="H392" s="28"/>
      <c r="I392" s="28"/>
      <c r="J392" s="28"/>
      <c r="K392" s="28"/>
      <c r="L392" s="28"/>
      <c r="M392" s="28"/>
      <c r="N392" s="28"/>
      <c r="O392" s="28"/>
      <c r="P392" s="28"/>
      <c r="Q392" s="28"/>
      <c r="R392" s="28"/>
      <c r="S392" s="28"/>
      <c r="T392" s="28"/>
      <c r="U392" s="28"/>
      <c r="V392" s="28"/>
      <c r="W392" s="35"/>
      <c r="X392" s="32"/>
    </row>
    <row r="393" spans="1:24" ht="15.75" customHeight="1" x14ac:dyDescent="0.3">
      <c r="A393" s="3"/>
      <c r="B393" s="3"/>
      <c r="C393" s="28"/>
      <c r="D393" s="28"/>
      <c r="E393" s="28"/>
      <c r="F393" s="28"/>
      <c r="G393" s="112"/>
      <c r="H393" s="28"/>
      <c r="I393" s="28"/>
      <c r="J393" s="28"/>
      <c r="K393" s="28"/>
      <c r="L393" s="28"/>
      <c r="M393" s="28"/>
      <c r="N393" s="28"/>
      <c r="O393" s="28"/>
      <c r="P393" s="28"/>
      <c r="Q393" s="28"/>
      <c r="R393" s="28"/>
      <c r="S393" s="28"/>
      <c r="T393" s="28"/>
      <c r="U393" s="28"/>
      <c r="V393" s="28"/>
      <c r="W393" s="35"/>
      <c r="X393" s="32"/>
    </row>
    <row r="394" spans="1:24" ht="15.75" customHeight="1" x14ac:dyDescent="0.3">
      <c r="A394" s="3"/>
      <c r="B394" s="3"/>
      <c r="C394" s="28"/>
      <c r="D394" s="28"/>
      <c r="E394" s="28"/>
      <c r="F394" s="28"/>
      <c r="G394" s="112"/>
      <c r="H394" s="28"/>
      <c r="I394" s="28"/>
      <c r="J394" s="28"/>
      <c r="K394" s="28"/>
      <c r="L394" s="28"/>
      <c r="M394" s="28"/>
      <c r="N394" s="28"/>
      <c r="O394" s="28"/>
      <c r="P394" s="28"/>
      <c r="Q394" s="28"/>
      <c r="R394" s="28"/>
      <c r="S394" s="28"/>
      <c r="T394" s="28"/>
      <c r="U394" s="28"/>
      <c r="V394" s="28"/>
      <c r="W394" s="35"/>
      <c r="X394" s="32"/>
    </row>
    <row r="395" spans="1:24" ht="15.75" customHeight="1" x14ac:dyDescent="0.3">
      <c r="A395" s="3"/>
      <c r="B395" s="3"/>
      <c r="C395" s="28"/>
      <c r="D395" s="28"/>
      <c r="E395" s="28"/>
      <c r="F395" s="28"/>
      <c r="G395" s="112"/>
      <c r="H395" s="28"/>
      <c r="I395" s="28"/>
      <c r="J395" s="28"/>
      <c r="K395" s="28"/>
      <c r="L395" s="28"/>
      <c r="M395" s="28"/>
      <c r="N395" s="28"/>
      <c r="O395" s="28"/>
      <c r="P395" s="28"/>
      <c r="Q395" s="28"/>
      <c r="R395" s="28"/>
      <c r="S395" s="28"/>
      <c r="T395" s="28"/>
      <c r="U395" s="28"/>
      <c r="V395" s="28"/>
      <c r="W395" s="35"/>
      <c r="X395" s="32"/>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4000000}"/>
  <mergeCells count="4">
    <mergeCell ref="B2:B3"/>
    <mergeCell ref="B4:B5"/>
    <mergeCell ref="H4:H5"/>
    <mergeCell ref="I4:I5"/>
  </mergeCells>
  <conditionalFormatting sqref="W6:W125">
    <cfRule type="cellIs" dxfId="15" priority="1" operator="equal">
      <formula>"Diferente"</formula>
    </cfRule>
    <cfRule type="cellIs" dxfId="14" priority="2" operator="equal">
      <formula>"OK"</formula>
    </cfRule>
  </conditionalFormatting>
  <dataValidations count="1">
    <dataValidation type="list" allowBlank="1" showErrorMessage="1" sqref="D7:D125 D128:D129 D131:D133 D135:D138 D140:D145 D147:D153 D156:D159 D161:D164 D166:D168 D170:D183 D185:D187 D189:D195" xr:uid="{00000000-0002-0000-14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'Plano de contas DG'!$C$5:$C$38</xm:f>
          </x14:formula1>
          <xm:sqref>I6:I195</xm:sqref>
        </x14:dataValidation>
        <x14:dataValidation type="list" allowBlank="1" showErrorMessage="1" xr:uid="{00000000-0002-0000-1400-000001000000}">
          <x14:formula1>
            <xm:f>Caixa!$B$5:$B$8</xm:f>
          </x14:formula1>
          <xm:sqref>H7:H125 H128:H129 H131:H133 H135:H138 H140:H145 H147:H153 H156:H159 H161:H164 H166:H168 H170:H183 H185:H187 H189:H195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sheetPr>
  <dimension ref="A1:Z1002"/>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14.4"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4" x14ac:dyDescent="0.3">
      <c r="A2" s="3"/>
      <c r="B2" s="231" t="s">
        <v>270</v>
      </c>
      <c r="C2" s="232"/>
      <c r="D2" s="206"/>
      <c r="E2" s="206"/>
      <c r="F2" s="207"/>
      <c r="G2" s="73"/>
      <c r="H2" s="73"/>
      <c r="I2" s="74"/>
      <c r="J2" s="73"/>
      <c r="K2" s="28"/>
      <c r="L2" s="28"/>
      <c r="M2" s="28"/>
      <c r="N2" s="28"/>
      <c r="O2" s="28"/>
      <c r="P2" s="28"/>
      <c r="Q2" s="28"/>
      <c r="R2" s="28"/>
      <c r="S2" s="28"/>
      <c r="T2" s="28"/>
      <c r="U2" s="3"/>
    </row>
    <row r="3" spans="1:26" ht="14.4" x14ac:dyDescent="0.3">
      <c r="A3" s="3"/>
      <c r="B3" s="202"/>
      <c r="C3" s="233"/>
      <c r="D3" s="234"/>
      <c r="E3" s="234"/>
      <c r="F3" s="235"/>
      <c r="G3" s="73"/>
      <c r="H3" s="73"/>
      <c r="I3" s="74"/>
      <c r="J3" s="73"/>
      <c r="K3" s="28"/>
      <c r="L3" s="28"/>
      <c r="M3" s="28"/>
      <c r="N3" s="28"/>
      <c r="O3" s="28"/>
      <c r="P3" s="28"/>
      <c r="Q3" s="28"/>
      <c r="R3" s="28"/>
      <c r="S3" s="28"/>
      <c r="T3" s="28"/>
      <c r="U3" s="3"/>
    </row>
    <row r="4" spans="1:26" ht="14.4" x14ac:dyDescent="0.3">
      <c r="A4" s="3"/>
      <c r="B4" s="220" t="s">
        <v>74</v>
      </c>
      <c r="C4" s="39" t="s">
        <v>44</v>
      </c>
      <c r="D4" s="39" t="s">
        <v>44</v>
      </c>
      <c r="E4" s="18">
        <f>SUBTOTAL(9,E16,E63,E38,E150,E175,E181,E88,E6,E34,E260,E323,E210,E220,E230,E240,E250,E114)</f>
        <v>0</v>
      </c>
      <c r="F4" s="18">
        <f>SUBTOTAL(9,F16,F63,F38,F140,F150,F175,F181,F88,F6,F34,F260,F323,F210,F220,F230,F240,F250,F114)</f>
        <v>53257.929999999993</v>
      </c>
      <c r="G4" s="39" t="s">
        <v>44</v>
      </c>
      <c r="H4" s="230" t="s">
        <v>1</v>
      </c>
      <c r="I4" s="236" t="s">
        <v>271</v>
      </c>
      <c r="J4" s="230" t="s">
        <v>75</v>
      </c>
      <c r="K4" s="28"/>
      <c r="L4" s="28"/>
      <c r="M4" s="28"/>
      <c r="N4" s="28"/>
      <c r="O4" s="28"/>
      <c r="P4" s="28"/>
      <c r="Q4" s="28"/>
      <c r="R4" s="28"/>
      <c r="S4" s="28"/>
      <c r="T4" s="28"/>
      <c r="U4" s="3"/>
      <c r="W4" s="3"/>
      <c r="X4" s="3"/>
      <c r="Y4" s="3"/>
      <c r="Z4" s="3"/>
    </row>
    <row r="5" spans="1:26" ht="14.4"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1231.9000000000001</v>
      </c>
      <c r="G6" s="78"/>
      <c r="H6" s="78"/>
      <c r="I6" s="79"/>
      <c r="J6" s="78"/>
      <c r="K6" s="28"/>
      <c r="L6" s="28"/>
      <c r="M6" s="28"/>
      <c r="N6" s="28"/>
      <c r="O6" s="28"/>
      <c r="P6" s="28"/>
      <c r="Q6" s="28"/>
      <c r="R6" s="28"/>
      <c r="S6" s="28"/>
      <c r="T6" s="28"/>
      <c r="U6" s="3"/>
      <c r="W6" s="3"/>
      <c r="X6" s="3"/>
      <c r="Y6" s="3"/>
      <c r="Z6" s="3"/>
    </row>
    <row r="7" spans="1:26" ht="14.4" hidden="1" outlineLevel="1" x14ac:dyDescent="0.3">
      <c r="A7" s="3"/>
      <c r="B7" s="9" t="s">
        <v>274</v>
      </c>
      <c r="C7" s="53">
        <v>1</v>
      </c>
      <c r="D7" s="53" t="s">
        <v>95</v>
      </c>
      <c r="E7" s="11">
        <v>0</v>
      </c>
      <c r="F7" s="11">
        <v>753.64</v>
      </c>
      <c r="G7" s="80"/>
      <c r="H7" s="56" t="s">
        <v>37</v>
      </c>
      <c r="I7" s="102" t="s">
        <v>1448</v>
      </c>
      <c r="J7" s="56"/>
      <c r="K7" s="28"/>
      <c r="L7" s="28"/>
      <c r="M7" s="28"/>
      <c r="N7" s="28"/>
      <c r="O7" s="28"/>
      <c r="P7" s="28"/>
      <c r="Q7" s="28"/>
      <c r="R7" s="28"/>
      <c r="S7" s="28"/>
      <c r="T7" s="28"/>
      <c r="U7" s="3"/>
      <c r="W7" s="3"/>
      <c r="X7" s="3"/>
      <c r="Y7" s="3"/>
      <c r="Z7" s="3"/>
    </row>
    <row r="8" spans="1:26" ht="14.4" hidden="1" outlineLevel="1" x14ac:dyDescent="0.3">
      <c r="A8" s="3"/>
      <c r="B8" s="9" t="s">
        <v>278</v>
      </c>
      <c r="C8" s="53"/>
      <c r="D8" s="53"/>
      <c r="E8" s="11">
        <v>0</v>
      </c>
      <c r="F8" s="11">
        <v>0</v>
      </c>
      <c r="G8" s="80"/>
      <c r="H8" s="56"/>
      <c r="I8" s="102"/>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80"/>
      <c r="H9" s="56"/>
      <c r="I9" s="102"/>
      <c r="J9" s="56"/>
      <c r="K9" s="28"/>
      <c r="L9" s="28"/>
      <c r="M9" s="28"/>
      <c r="N9" s="28"/>
      <c r="O9" s="28"/>
      <c r="P9" s="28"/>
      <c r="Q9" s="28"/>
      <c r="R9" s="28"/>
      <c r="S9" s="28"/>
      <c r="T9" s="28"/>
      <c r="U9" s="3"/>
      <c r="W9" s="3"/>
      <c r="X9" s="3"/>
      <c r="Y9" s="3"/>
      <c r="Z9" s="3"/>
    </row>
    <row r="10" spans="1:26" ht="14.4" hidden="1" outlineLevel="1" x14ac:dyDescent="0.3">
      <c r="A10" s="3"/>
      <c r="B10" s="9" t="s">
        <v>282</v>
      </c>
      <c r="C10" s="53">
        <v>11</v>
      </c>
      <c r="D10" s="53" t="s">
        <v>95</v>
      </c>
      <c r="E10" s="11">
        <v>0</v>
      </c>
      <c r="F10" s="11">
        <v>306.18</v>
      </c>
      <c r="G10" s="80"/>
      <c r="H10" s="56" t="s">
        <v>37</v>
      </c>
      <c r="I10" s="102" t="s">
        <v>1449</v>
      </c>
      <c r="J10" s="80"/>
      <c r="K10" s="28"/>
      <c r="L10" s="28"/>
      <c r="M10" s="28"/>
      <c r="N10" s="28"/>
      <c r="O10" s="28"/>
      <c r="P10" s="28"/>
      <c r="Q10" s="28"/>
      <c r="R10" s="28"/>
      <c r="S10" s="28"/>
      <c r="T10" s="28"/>
      <c r="U10" s="3"/>
      <c r="W10" s="3"/>
      <c r="X10" s="3"/>
      <c r="Y10" s="3"/>
      <c r="Z10" s="3"/>
    </row>
    <row r="11" spans="1:26" ht="14.4" hidden="1" outlineLevel="1" x14ac:dyDescent="0.3">
      <c r="A11" s="3"/>
      <c r="B11" s="9" t="s">
        <v>282</v>
      </c>
      <c r="C11" s="53">
        <v>11</v>
      </c>
      <c r="D11" s="53" t="s">
        <v>95</v>
      </c>
      <c r="E11" s="11">
        <v>0</v>
      </c>
      <c r="F11" s="11">
        <v>48.79</v>
      </c>
      <c r="G11" s="80"/>
      <c r="H11" s="56" t="s">
        <v>37</v>
      </c>
      <c r="I11" s="102" t="s">
        <v>1450</v>
      </c>
      <c r="J11" s="80"/>
      <c r="K11" s="28"/>
      <c r="L11" s="28"/>
      <c r="M11" s="28"/>
      <c r="N11" s="28"/>
      <c r="O11" s="28"/>
      <c r="P11" s="28"/>
      <c r="Q11" s="28"/>
      <c r="R11" s="28"/>
      <c r="S11" s="28"/>
      <c r="T11" s="28"/>
      <c r="U11" s="3"/>
      <c r="W11" s="3"/>
      <c r="X11" s="3"/>
      <c r="Y11" s="3"/>
      <c r="Z11" s="3"/>
    </row>
    <row r="12" spans="1:26" ht="14.4" hidden="1" outlineLevel="1" x14ac:dyDescent="0.3">
      <c r="A12" s="3"/>
      <c r="B12" s="9" t="s">
        <v>282</v>
      </c>
      <c r="C12" s="53">
        <v>11</v>
      </c>
      <c r="D12" s="53" t="s">
        <v>95</v>
      </c>
      <c r="E12" s="11">
        <v>0</v>
      </c>
      <c r="F12" s="11">
        <v>69.39</v>
      </c>
      <c r="G12" s="80"/>
      <c r="H12" s="56" t="s">
        <v>37</v>
      </c>
      <c r="I12" s="102" t="s">
        <v>1451</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v>6</v>
      </c>
      <c r="D14" s="53" t="s">
        <v>95</v>
      </c>
      <c r="E14" s="11">
        <v>0</v>
      </c>
      <c r="F14" s="11">
        <v>53.9</v>
      </c>
      <c r="G14" s="80"/>
      <c r="H14" s="56" t="s">
        <v>37</v>
      </c>
      <c r="I14" s="102" t="s">
        <v>1452</v>
      </c>
      <c r="J14" s="80"/>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80"/>
      <c r="H15" s="56"/>
      <c r="I15" s="102"/>
      <c r="J15" s="56"/>
      <c r="K15" s="28"/>
      <c r="L15" s="28"/>
      <c r="M15" s="28"/>
      <c r="N15" s="28"/>
      <c r="O15" s="28"/>
      <c r="P15" s="28"/>
      <c r="Q15" s="28"/>
      <c r="R15" s="28"/>
      <c r="S15" s="28"/>
      <c r="T15" s="28"/>
      <c r="U15" s="3"/>
      <c r="W15" s="3"/>
      <c r="X15" s="3"/>
      <c r="Y15" s="3"/>
      <c r="Z15" s="3"/>
    </row>
    <row r="16" spans="1:26" ht="20.399999999999999" collapsed="1" x14ac:dyDescent="0.3">
      <c r="A16" s="3"/>
      <c r="B16" s="75" t="s">
        <v>288</v>
      </c>
      <c r="C16" s="76" t="s">
        <v>44</v>
      </c>
      <c r="D16" s="76" t="s">
        <v>44</v>
      </c>
      <c r="E16" s="77">
        <f>SUM(E17:E33)</f>
        <v>0</v>
      </c>
      <c r="F16" s="77">
        <f>SUMIF(D17:D33,"OK",F17:F33)</f>
        <v>10172.9</v>
      </c>
      <c r="G16" s="78"/>
      <c r="H16" s="78"/>
      <c r="I16" s="79"/>
      <c r="J16" s="78"/>
      <c r="K16" s="28"/>
      <c r="L16" s="28"/>
      <c r="M16" s="28"/>
      <c r="N16" s="28"/>
      <c r="O16" s="28"/>
      <c r="P16" s="28"/>
      <c r="Q16" s="28"/>
      <c r="R16" s="28"/>
      <c r="S16" s="28"/>
      <c r="T16" s="28"/>
      <c r="U16" s="3"/>
    </row>
    <row r="17" spans="1:22" ht="14.4" hidden="1" outlineLevel="1" x14ac:dyDescent="0.3">
      <c r="A17" s="3"/>
      <c r="B17" s="9" t="s">
        <v>562</v>
      </c>
      <c r="C17" s="53">
        <v>25</v>
      </c>
      <c r="D17" s="53" t="s">
        <v>95</v>
      </c>
      <c r="E17" s="11">
        <v>0</v>
      </c>
      <c r="F17" s="11">
        <v>1394.86</v>
      </c>
      <c r="G17" s="242"/>
      <c r="H17" s="56" t="s">
        <v>37</v>
      </c>
      <c r="I17" s="239" t="s">
        <v>1453</v>
      </c>
      <c r="J17" s="56"/>
      <c r="K17" s="28"/>
      <c r="L17" s="28"/>
      <c r="M17" s="28"/>
      <c r="N17" s="28"/>
      <c r="O17" s="28"/>
      <c r="P17" s="28"/>
      <c r="Q17" s="28"/>
      <c r="R17" s="28"/>
      <c r="S17" s="28"/>
      <c r="T17" s="28"/>
      <c r="U17" s="3"/>
    </row>
    <row r="18" spans="1:22" ht="14.4" hidden="1" outlineLevel="1" x14ac:dyDescent="0.3">
      <c r="A18" s="3"/>
      <c r="B18" s="9" t="s">
        <v>564</v>
      </c>
      <c r="C18" s="53">
        <v>25</v>
      </c>
      <c r="D18" s="53" t="s">
        <v>95</v>
      </c>
      <c r="E18" s="11">
        <v>0</v>
      </c>
      <c r="F18" s="11">
        <v>794.43</v>
      </c>
      <c r="G18" s="213"/>
      <c r="H18" s="56" t="s">
        <v>37</v>
      </c>
      <c r="I18" s="213"/>
      <c r="J18" s="56"/>
      <c r="K18" s="28"/>
      <c r="L18" s="28"/>
      <c r="M18" s="28"/>
      <c r="N18" s="28"/>
      <c r="O18" s="28"/>
      <c r="P18" s="28"/>
      <c r="Q18" s="28"/>
      <c r="R18" s="28"/>
      <c r="S18" s="28"/>
      <c r="T18" s="28"/>
      <c r="U18" s="3"/>
    </row>
    <row r="19" spans="1:22" ht="14.4" hidden="1" outlineLevel="1" x14ac:dyDescent="0.3">
      <c r="A19" s="3"/>
      <c r="B19" s="9" t="s">
        <v>565</v>
      </c>
      <c r="C19" s="53">
        <v>25</v>
      </c>
      <c r="D19" s="53" t="s">
        <v>95</v>
      </c>
      <c r="E19" s="11">
        <v>0</v>
      </c>
      <c r="F19" s="11">
        <v>97</v>
      </c>
      <c r="G19" s="213"/>
      <c r="H19" s="56" t="s">
        <v>37</v>
      </c>
      <c r="I19" s="213"/>
      <c r="J19" s="56"/>
      <c r="K19" s="28"/>
      <c r="L19" s="28"/>
      <c r="M19" s="28"/>
      <c r="N19" s="28"/>
      <c r="O19" s="28"/>
      <c r="P19" s="28"/>
      <c r="Q19" s="28"/>
      <c r="R19" s="28"/>
      <c r="S19" s="28"/>
      <c r="T19" s="28"/>
      <c r="U19" s="3"/>
    </row>
    <row r="20" spans="1:22" ht="14.4" hidden="1" outlineLevel="1" x14ac:dyDescent="0.3">
      <c r="A20" s="3"/>
      <c r="B20" s="9" t="s">
        <v>566</v>
      </c>
      <c r="C20" s="53">
        <v>25</v>
      </c>
      <c r="D20" s="53" t="s">
        <v>95</v>
      </c>
      <c r="E20" s="11">
        <v>0</v>
      </c>
      <c r="F20" s="11">
        <v>97</v>
      </c>
      <c r="G20" s="213"/>
      <c r="H20" s="56" t="s">
        <v>37</v>
      </c>
      <c r="I20" s="213"/>
      <c r="J20" s="56"/>
      <c r="K20" s="28"/>
      <c r="L20" s="28"/>
      <c r="M20" s="28"/>
      <c r="N20" s="28"/>
      <c r="O20" s="28"/>
      <c r="P20" s="28"/>
      <c r="Q20" s="28"/>
      <c r="R20" s="28"/>
      <c r="S20" s="28"/>
      <c r="T20" s="28"/>
      <c r="U20" s="3"/>
    </row>
    <row r="21" spans="1:22" ht="14.4" hidden="1" outlineLevel="1" x14ac:dyDescent="0.3">
      <c r="A21" s="3"/>
      <c r="B21" s="9" t="s">
        <v>567</v>
      </c>
      <c r="C21" s="53">
        <v>25</v>
      </c>
      <c r="D21" s="53" t="s">
        <v>95</v>
      </c>
      <c r="E21" s="11">
        <v>0</v>
      </c>
      <c r="F21" s="11">
        <v>388</v>
      </c>
      <c r="G21" s="214"/>
      <c r="H21" s="56" t="s">
        <v>37</v>
      </c>
      <c r="I21" s="214"/>
      <c r="J21" s="56"/>
      <c r="K21" s="28"/>
      <c r="L21" s="28"/>
      <c r="M21" s="28"/>
      <c r="N21" s="28"/>
      <c r="O21" s="28"/>
      <c r="P21" s="28"/>
      <c r="Q21" s="28"/>
      <c r="R21" s="28"/>
      <c r="S21" s="28"/>
      <c r="T21" s="28"/>
      <c r="U21" s="3"/>
    </row>
    <row r="22" spans="1:22" ht="14.4" hidden="1" outlineLevel="1" x14ac:dyDescent="0.3">
      <c r="A22" s="3"/>
      <c r="B22" s="9" t="s">
        <v>568</v>
      </c>
      <c r="C22" s="53">
        <v>17</v>
      </c>
      <c r="D22" s="53" t="s">
        <v>95</v>
      </c>
      <c r="E22" s="11">
        <v>0</v>
      </c>
      <c r="F22" s="11">
        <v>3379</v>
      </c>
      <c r="G22" s="242"/>
      <c r="H22" s="56" t="s">
        <v>37</v>
      </c>
      <c r="I22" s="239" t="s">
        <v>1454</v>
      </c>
      <c r="J22" s="56"/>
      <c r="K22" s="28"/>
      <c r="L22" s="28"/>
      <c r="M22" s="28"/>
      <c r="N22" s="28"/>
      <c r="O22" s="28"/>
      <c r="P22" s="28"/>
      <c r="Q22" s="28"/>
      <c r="R22" s="28"/>
      <c r="S22" s="28"/>
      <c r="T22" s="28"/>
      <c r="U22" s="3"/>
      <c r="V22" s="14"/>
    </row>
    <row r="23" spans="1:22" ht="14.4" hidden="1" outlineLevel="1" x14ac:dyDescent="0.3">
      <c r="A23" s="3"/>
      <c r="B23" s="9" t="s">
        <v>571</v>
      </c>
      <c r="C23" s="53">
        <v>17</v>
      </c>
      <c r="D23" s="53" t="s">
        <v>95</v>
      </c>
      <c r="E23" s="11">
        <v>0</v>
      </c>
      <c r="F23" s="11">
        <v>0</v>
      </c>
      <c r="G23" s="213"/>
      <c r="H23" s="56" t="s">
        <v>37</v>
      </c>
      <c r="I23" s="213"/>
      <c r="J23" s="56"/>
      <c r="K23" s="28"/>
      <c r="L23" s="28"/>
      <c r="M23" s="28"/>
      <c r="N23" s="28"/>
      <c r="O23" s="28"/>
      <c r="P23" s="28"/>
      <c r="Q23" s="28"/>
      <c r="R23" s="28"/>
      <c r="S23" s="28"/>
      <c r="T23" s="28"/>
      <c r="U23" s="3"/>
      <c r="V23" s="14"/>
    </row>
    <row r="24" spans="1:22" ht="14.4" hidden="1" outlineLevel="1" x14ac:dyDescent="0.3">
      <c r="A24" s="3"/>
      <c r="B24" s="9" t="s">
        <v>572</v>
      </c>
      <c r="C24" s="53">
        <v>17</v>
      </c>
      <c r="D24" s="53" t="s">
        <v>95</v>
      </c>
      <c r="E24" s="11">
        <v>0</v>
      </c>
      <c r="F24" s="11">
        <v>0</v>
      </c>
      <c r="G24" s="213"/>
      <c r="H24" s="56" t="s">
        <v>37</v>
      </c>
      <c r="I24" s="213"/>
      <c r="J24" s="56"/>
      <c r="K24" s="28"/>
      <c r="L24" s="28"/>
      <c r="M24" s="28"/>
      <c r="N24" s="28"/>
      <c r="O24" s="28"/>
      <c r="P24" s="28"/>
      <c r="Q24" s="28"/>
      <c r="R24" s="28"/>
      <c r="S24" s="28"/>
      <c r="T24" s="28"/>
      <c r="U24" s="3"/>
      <c r="V24" s="14"/>
    </row>
    <row r="25" spans="1:22" ht="14.4" hidden="1" outlineLevel="1" x14ac:dyDescent="0.3">
      <c r="A25" s="3"/>
      <c r="B25" s="9" t="s">
        <v>573</v>
      </c>
      <c r="C25" s="53">
        <v>17</v>
      </c>
      <c r="D25" s="53" t="s">
        <v>95</v>
      </c>
      <c r="E25" s="11">
        <v>0</v>
      </c>
      <c r="F25" s="11">
        <v>0</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1185</v>
      </c>
      <c r="C28" s="53">
        <v>17</v>
      </c>
      <c r="D28" s="53" t="s">
        <v>95</v>
      </c>
      <c r="E28" s="11">
        <v>0</v>
      </c>
      <c r="F28" s="11">
        <v>0</v>
      </c>
      <c r="G28" s="214"/>
      <c r="H28" s="56" t="s">
        <v>37</v>
      </c>
      <c r="I28" s="214"/>
      <c r="J28" s="56"/>
      <c r="K28" s="28"/>
      <c r="L28" s="28"/>
      <c r="M28" s="28"/>
      <c r="N28" s="28"/>
      <c r="O28" s="28"/>
      <c r="P28" s="28"/>
      <c r="Q28" s="28"/>
      <c r="R28" s="28"/>
      <c r="S28" s="28"/>
      <c r="T28" s="28"/>
      <c r="U28" s="3"/>
      <c r="V28" s="14"/>
    </row>
    <row r="29" spans="1:22" ht="14.4" hidden="1" outlineLevel="1" x14ac:dyDescent="0.3">
      <c r="A29" s="3"/>
      <c r="B29" s="9" t="s">
        <v>293</v>
      </c>
      <c r="C29" s="53">
        <v>11</v>
      </c>
      <c r="D29" s="53" t="s">
        <v>95</v>
      </c>
      <c r="E29" s="11">
        <v>0</v>
      </c>
      <c r="F29" s="11">
        <v>117</v>
      </c>
      <c r="G29" s="56"/>
      <c r="H29" s="56" t="s">
        <v>37</v>
      </c>
      <c r="I29" s="102" t="s">
        <v>1455</v>
      </c>
      <c r="J29" s="56"/>
      <c r="K29" s="28"/>
      <c r="L29" s="28"/>
      <c r="M29" s="28"/>
      <c r="N29" s="28"/>
      <c r="O29" s="28"/>
      <c r="P29" s="28"/>
      <c r="Q29" s="28"/>
      <c r="R29" s="28"/>
      <c r="S29" s="28"/>
      <c r="T29" s="28"/>
      <c r="U29" s="3"/>
      <c r="V29" s="14"/>
    </row>
    <row r="30" spans="1:22" ht="14.4" hidden="1" outlineLevel="1" x14ac:dyDescent="0.3">
      <c r="A30" s="3"/>
      <c r="B30" s="9" t="s">
        <v>295</v>
      </c>
      <c r="C30" s="53">
        <v>15</v>
      </c>
      <c r="D30" s="53" t="s">
        <v>95</v>
      </c>
      <c r="E30" s="11">
        <v>0</v>
      </c>
      <c r="F30" s="11">
        <f>1549.75-80</f>
        <v>1469.75</v>
      </c>
      <c r="G30" s="80" t="s">
        <v>1456</v>
      </c>
      <c r="H30" s="56" t="s">
        <v>37</v>
      </c>
      <c r="I30" s="117" t="s">
        <v>1457</v>
      </c>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02"/>
      <c r="J31" s="56"/>
      <c r="K31" s="28"/>
      <c r="L31" s="28"/>
      <c r="M31" s="28"/>
      <c r="N31" s="28"/>
      <c r="O31" s="28"/>
      <c r="P31" s="28"/>
      <c r="Q31" s="28"/>
      <c r="R31" s="28"/>
      <c r="S31" s="28"/>
      <c r="T31" s="28"/>
      <c r="U31" s="3"/>
    </row>
    <row r="32" spans="1:22" ht="14.4" hidden="1" outlineLevel="1" x14ac:dyDescent="0.3">
      <c r="A32" s="3"/>
      <c r="B32" s="9" t="s">
        <v>295</v>
      </c>
      <c r="C32" s="53">
        <v>31</v>
      </c>
      <c r="D32" s="53" t="s">
        <v>95</v>
      </c>
      <c r="E32" s="11">
        <v>0</v>
      </c>
      <c r="F32" s="11">
        <f>2515.86-80</f>
        <v>2435.86</v>
      </c>
      <c r="G32" s="80" t="s">
        <v>1458</v>
      </c>
      <c r="H32" s="56" t="s">
        <v>37</v>
      </c>
      <c r="I32" s="117" t="s">
        <v>1457</v>
      </c>
      <c r="J32" s="56"/>
      <c r="K32" s="28"/>
      <c r="L32" s="28"/>
      <c r="M32" s="28"/>
      <c r="N32" s="28"/>
      <c r="O32" s="28"/>
      <c r="P32" s="28"/>
      <c r="Q32" s="28"/>
      <c r="R32" s="28"/>
      <c r="S32" s="28"/>
      <c r="T32" s="28"/>
      <c r="U32" s="3"/>
    </row>
    <row r="33" spans="1:26" ht="14.4" hidden="1"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20.399999999999999" collapsed="1" x14ac:dyDescent="0.3">
      <c r="A34" s="3"/>
      <c r="B34" s="75" t="s">
        <v>301</v>
      </c>
      <c r="C34" s="76" t="s">
        <v>44</v>
      </c>
      <c r="D34" s="76" t="s">
        <v>44</v>
      </c>
      <c r="E34" s="77">
        <f>SUM(E35:E37)</f>
        <v>0</v>
      </c>
      <c r="F34" s="77">
        <f>SUMIF(D35:D37,"OK",F35:F37)</f>
        <v>0.92000000000000015</v>
      </c>
      <c r="G34" s="78"/>
      <c r="H34" s="78"/>
      <c r="I34" s="79"/>
      <c r="J34" s="78"/>
      <c r="K34" s="28"/>
      <c r="L34" s="28"/>
      <c r="M34" s="28"/>
      <c r="N34" s="28"/>
      <c r="O34" s="28"/>
      <c r="P34" s="28"/>
      <c r="Q34" s="28"/>
      <c r="R34" s="28"/>
      <c r="S34" s="28"/>
      <c r="T34" s="28"/>
      <c r="U34" s="3"/>
      <c r="W34" s="3"/>
      <c r="X34" s="3"/>
      <c r="Y34" s="3"/>
      <c r="Z34" s="3"/>
    </row>
    <row r="35" spans="1:26" ht="14.4" hidden="1" outlineLevel="1" x14ac:dyDescent="0.3">
      <c r="A35" s="3"/>
      <c r="B35" s="9" t="s">
        <v>584</v>
      </c>
      <c r="C35" s="53" t="s">
        <v>714</v>
      </c>
      <c r="D35" s="53" t="s">
        <v>95</v>
      </c>
      <c r="E35" s="11">
        <v>0</v>
      </c>
      <c r="F35" s="11">
        <f>0.02+0.03+0.19+0.07+0.19+0.27+0.04+0.06+0.05</f>
        <v>0.92000000000000015</v>
      </c>
      <c r="G35" s="56"/>
      <c r="H35" s="56" t="s">
        <v>38</v>
      </c>
      <c r="I35" s="102" t="s">
        <v>1459</v>
      </c>
      <c r="J35" s="56"/>
      <c r="K35" s="28"/>
      <c r="L35" s="28"/>
      <c r="M35" s="28"/>
      <c r="N35" s="28"/>
      <c r="O35" s="28"/>
      <c r="P35" s="28"/>
      <c r="Q35" s="28"/>
      <c r="R35" s="28"/>
      <c r="S35" s="28"/>
      <c r="T35" s="28"/>
      <c r="U35" s="3"/>
      <c r="W35" s="3"/>
      <c r="X35" s="3"/>
      <c r="Y35" s="3"/>
      <c r="Z35" s="3"/>
    </row>
    <row r="36" spans="1:26" ht="14.4" hidden="1" outlineLevel="1" x14ac:dyDescent="0.3">
      <c r="A36" s="3"/>
      <c r="B36" s="9" t="s">
        <v>1460</v>
      </c>
      <c r="C36" s="53"/>
      <c r="D36" s="53"/>
      <c r="E36" s="11">
        <v>0</v>
      </c>
      <c r="F36" s="11">
        <v>0</v>
      </c>
      <c r="G36" s="56"/>
      <c r="H36" s="56"/>
      <c r="I36" s="102"/>
      <c r="J36" s="56"/>
      <c r="K36" s="28"/>
      <c r="L36" s="28"/>
      <c r="M36" s="28"/>
      <c r="N36" s="28"/>
      <c r="O36" s="28"/>
      <c r="P36" s="28"/>
      <c r="Q36" s="28"/>
      <c r="R36" s="28"/>
      <c r="S36" s="28"/>
      <c r="T36" s="28"/>
      <c r="U36" s="3"/>
      <c r="W36" s="3"/>
      <c r="X36" s="3"/>
      <c r="Y36" s="3"/>
      <c r="Z36" s="3"/>
    </row>
    <row r="37" spans="1:26" ht="14.4" hidden="1" outlineLevel="1" x14ac:dyDescent="0.3">
      <c r="A37" s="3"/>
      <c r="B37" s="9" t="s">
        <v>1461</v>
      </c>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collapsed="1" x14ac:dyDescent="0.3">
      <c r="A38" s="3"/>
      <c r="B38" s="75" t="s">
        <v>307</v>
      </c>
      <c r="C38" s="76" t="s">
        <v>44</v>
      </c>
      <c r="D38" s="76" t="s">
        <v>44</v>
      </c>
      <c r="E38" s="77">
        <f>SUM(E39:E62)</f>
        <v>0</v>
      </c>
      <c r="F38" s="77">
        <f>SUMIF(D39:D62,"OK",F39:F62)</f>
        <v>2624.14</v>
      </c>
      <c r="G38" s="78"/>
      <c r="H38" s="78"/>
      <c r="I38" s="79"/>
      <c r="J38" s="78"/>
      <c r="K38" s="28"/>
      <c r="L38" s="28"/>
      <c r="M38" s="28"/>
      <c r="N38" s="28"/>
      <c r="O38" s="28"/>
      <c r="P38" s="28"/>
      <c r="Q38" s="28"/>
      <c r="R38" s="28"/>
      <c r="S38" s="28"/>
      <c r="T38" s="28"/>
      <c r="U38" s="3"/>
      <c r="W38" s="3"/>
      <c r="X38" s="3"/>
      <c r="Y38" s="3"/>
      <c r="Z38" s="3"/>
    </row>
    <row r="39" spans="1:26" ht="14.4" hidden="1" outlineLevel="1" x14ac:dyDescent="0.3">
      <c r="A39" s="3"/>
      <c r="B39" s="9" t="s">
        <v>308</v>
      </c>
      <c r="C39" s="53">
        <v>22</v>
      </c>
      <c r="D39" s="53" t="s">
        <v>95</v>
      </c>
      <c r="E39" s="11">
        <v>0</v>
      </c>
      <c r="F39" s="11">
        <v>779.89</v>
      </c>
      <c r="G39" s="56"/>
      <c r="H39" s="56" t="s">
        <v>37</v>
      </c>
      <c r="I39" s="102" t="s">
        <v>1462</v>
      </c>
      <c r="J39" s="56"/>
      <c r="K39" s="28"/>
      <c r="L39" s="28"/>
      <c r="M39" s="28"/>
      <c r="N39" s="28"/>
      <c r="O39" s="28"/>
      <c r="P39" s="28"/>
      <c r="Q39" s="28"/>
      <c r="R39" s="28"/>
      <c r="S39" s="28"/>
      <c r="T39" s="28"/>
      <c r="U39" s="3"/>
      <c r="W39" s="3"/>
      <c r="X39" s="3"/>
      <c r="Y39" s="3"/>
      <c r="Z39" s="3"/>
    </row>
    <row r="40" spans="1:26" ht="14.4" hidden="1" outlineLevel="1" x14ac:dyDescent="0.3">
      <c r="A40" s="3"/>
      <c r="B40" s="9" t="s">
        <v>590</v>
      </c>
      <c r="C40" s="53">
        <v>20</v>
      </c>
      <c r="D40" s="53" t="s">
        <v>95</v>
      </c>
      <c r="E40" s="11">
        <v>0</v>
      </c>
      <c r="F40" s="11">
        <v>650</v>
      </c>
      <c r="G40" s="56"/>
      <c r="H40" s="56" t="s">
        <v>37</v>
      </c>
      <c r="I40" s="102" t="s">
        <v>1463</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hidden="1" outlineLevel="1" x14ac:dyDescent="0.3">
      <c r="A43" s="3"/>
      <c r="B43" s="9" t="s">
        <v>315</v>
      </c>
      <c r="C43" s="53">
        <v>16</v>
      </c>
      <c r="D43" s="53" t="s">
        <v>95</v>
      </c>
      <c r="E43" s="11">
        <v>0</v>
      </c>
      <c r="F43" s="11">
        <v>84.9</v>
      </c>
      <c r="G43" s="56"/>
      <c r="H43" s="56" t="s">
        <v>37</v>
      </c>
      <c r="I43" s="102" t="s">
        <v>1464</v>
      </c>
      <c r="J43" s="56"/>
      <c r="K43" s="28"/>
      <c r="L43" s="28"/>
      <c r="M43" s="28"/>
      <c r="N43" s="28"/>
      <c r="O43" s="28"/>
      <c r="P43" s="28"/>
      <c r="Q43" s="28"/>
      <c r="R43" s="28"/>
      <c r="S43" s="28"/>
      <c r="T43" s="28"/>
      <c r="U43" s="3"/>
      <c r="W43" s="3"/>
      <c r="X43" s="3"/>
      <c r="Y43" s="3"/>
      <c r="Z43" s="3"/>
    </row>
    <row r="44" spans="1:26" ht="14.4" hidden="1" outlineLevel="1" x14ac:dyDescent="0.3">
      <c r="A44" s="3"/>
      <c r="B44" s="9" t="s">
        <v>318</v>
      </c>
      <c r="C44" s="53">
        <v>4</v>
      </c>
      <c r="D44" s="53" t="s">
        <v>95</v>
      </c>
      <c r="E44" s="11">
        <v>0</v>
      </c>
      <c r="F44" s="11">
        <v>345</v>
      </c>
      <c r="G44" s="80" t="s">
        <v>1465</v>
      </c>
      <c r="H44" s="56" t="s">
        <v>37</v>
      </c>
      <c r="I44" s="102" t="s">
        <v>1466</v>
      </c>
      <c r="J44" s="56"/>
      <c r="K44" s="28"/>
      <c r="L44" s="28"/>
      <c r="M44" s="28"/>
      <c r="N44" s="28"/>
      <c r="O44" s="28"/>
      <c r="P44" s="28"/>
      <c r="Q44" s="28"/>
      <c r="R44" s="28"/>
      <c r="S44" s="28"/>
      <c r="T44" s="28"/>
      <c r="U44" s="3"/>
      <c r="W44" s="3"/>
      <c r="X44" s="3"/>
      <c r="Y44" s="3"/>
      <c r="Z44" s="3"/>
    </row>
    <row r="45" spans="1:26" ht="14.4" hidden="1" outlineLevel="1" x14ac:dyDescent="0.3">
      <c r="A45" s="3"/>
      <c r="B45" s="9" t="s">
        <v>318</v>
      </c>
      <c r="C45" s="53">
        <v>4</v>
      </c>
      <c r="D45" s="53" t="s">
        <v>95</v>
      </c>
      <c r="E45" s="11">
        <v>0</v>
      </c>
      <c r="F45" s="11">
        <v>52</v>
      </c>
      <c r="G45" s="80" t="s">
        <v>1465</v>
      </c>
      <c r="H45" s="56" t="s">
        <v>37</v>
      </c>
      <c r="I45" s="102" t="s">
        <v>1466</v>
      </c>
      <c r="J45" s="56"/>
      <c r="K45" s="28"/>
      <c r="L45" s="28"/>
      <c r="M45" s="28"/>
      <c r="N45" s="28"/>
      <c r="O45" s="28"/>
      <c r="P45" s="28"/>
      <c r="Q45" s="28"/>
      <c r="R45" s="28"/>
      <c r="S45" s="28"/>
      <c r="T45" s="28"/>
      <c r="U45" s="3"/>
      <c r="W45" s="3"/>
      <c r="X45" s="3"/>
      <c r="Y45" s="3"/>
      <c r="Z45" s="3"/>
    </row>
    <row r="46" spans="1:26" ht="14.4" hidden="1" outlineLevel="1" x14ac:dyDescent="0.3">
      <c r="A46" s="3"/>
      <c r="B46" s="9" t="s">
        <v>318</v>
      </c>
      <c r="C46" s="53"/>
      <c r="D46" s="53"/>
      <c r="E46" s="11">
        <v>0</v>
      </c>
      <c r="F46" s="11">
        <v>0</v>
      </c>
      <c r="G46" s="56"/>
      <c r="H46" s="56"/>
      <c r="I46" s="80"/>
      <c r="J46" s="56"/>
      <c r="K46" s="28"/>
      <c r="L46" s="28"/>
      <c r="M46" s="28"/>
      <c r="N46" s="28"/>
      <c r="O46" s="28"/>
      <c r="P46" s="28"/>
      <c r="Q46" s="28"/>
      <c r="R46" s="28"/>
      <c r="S46" s="28"/>
      <c r="T46" s="28"/>
      <c r="U46" s="3"/>
      <c r="W46" s="3"/>
      <c r="X46" s="3"/>
      <c r="Y46" s="3"/>
      <c r="Z46" s="3"/>
    </row>
    <row r="47" spans="1:26" ht="14.4" hidden="1" outlineLevel="1" x14ac:dyDescent="0.3">
      <c r="A47" s="3"/>
      <c r="B47" s="9" t="s">
        <v>1194</v>
      </c>
      <c r="C47" s="53">
        <v>4</v>
      </c>
      <c r="D47" s="53" t="s">
        <v>95</v>
      </c>
      <c r="E47" s="11">
        <v>0</v>
      </c>
      <c r="F47" s="11">
        <v>264.02</v>
      </c>
      <c r="G47" s="56" t="s">
        <v>1467</v>
      </c>
      <c r="H47" s="56" t="s">
        <v>37</v>
      </c>
      <c r="I47" s="102" t="s">
        <v>1468</v>
      </c>
      <c r="J47" s="56"/>
      <c r="K47" s="28"/>
      <c r="L47" s="28"/>
      <c r="M47" s="28"/>
      <c r="N47" s="28"/>
      <c r="O47" s="28"/>
      <c r="P47" s="28"/>
      <c r="Q47" s="28"/>
      <c r="R47" s="28"/>
      <c r="S47" s="28"/>
      <c r="T47" s="28"/>
      <c r="U47" s="3"/>
      <c r="W47" s="3"/>
      <c r="X47" s="3"/>
      <c r="Y47" s="3"/>
      <c r="Z47" s="3"/>
    </row>
    <row r="48" spans="1:26" ht="14.4" hidden="1" outlineLevel="1" x14ac:dyDescent="0.3">
      <c r="A48" s="3"/>
      <c r="B48" s="9" t="s">
        <v>1197</v>
      </c>
      <c r="C48" s="53">
        <v>4</v>
      </c>
      <c r="D48" s="53" t="s">
        <v>95</v>
      </c>
      <c r="E48" s="11">
        <v>0</v>
      </c>
      <c r="F48" s="11">
        <v>448.33</v>
      </c>
      <c r="G48" s="56" t="s">
        <v>1469</v>
      </c>
      <c r="H48" s="56" t="s">
        <v>37</v>
      </c>
      <c r="I48" s="102" t="s">
        <v>1470</v>
      </c>
      <c r="J48" s="56"/>
      <c r="K48" s="28"/>
      <c r="L48" s="28"/>
      <c r="M48" s="28"/>
      <c r="N48" s="28"/>
      <c r="O48" s="28"/>
      <c r="P48" s="28"/>
      <c r="Q48" s="28"/>
      <c r="R48" s="28"/>
      <c r="S48" s="28"/>
      <c r="T48" s="28"/>
      <c r="U48" s="3"/>
      <c r="W48" s="3"/>
      <c r="X48" s="3"/>
      <c r="Y48" s="3"/>
      <c r="Z48" s="3"/>
    </row>
    <row r="49" spans="1:26" ht="14.4" hidden="1" outlineLevel="1" x14ac:dyDescent="0.3">
      <c r="A49" s="3"/>
      <c r="B49" s="9" t="s">
        <v>51</v>
      </c>
      <c r="C49" s="53"/>
      <c r="D49" s="53"/>
      <c r="E49" s="11">
        <v>0</v>
      </c>
      <c r="F49" s="11">
        <v>0</v>
      </c>
      <c r="G49" s="56"/>
      <c r="H49" s="56"/>
      <c r="I49" s="102"/>
      <c r="J49" s="56"/>
      <c r="K49" s="28"/>
      <c r="L49" s="28"/>
      <c r="M49" s="28"/>
      <c r="N49" s="28"/>
      <c r="O49" s="28"/>
      <c r="P49" s="28"/>
      <c r="Q49" s="28"/>
      <c r="R49" s="28"/>
      <c r="S49" s="28"/>
      <c r="T49" s="28"/>
      <c r="U49" s="3"/>
      <c r="W49" s="3"/>
      <c r="X49" s="3"/>
      <c r="Y49" s="3"/>
      <c r="Z49" s="3"/>
    </row>
    <row r="50" spans="1:26" ht="14.4" hidden="1" outlineLevel="1" x14ac:dyDescent="0.3">
      <c r="A50" s="3"/>
      <c r="B50" s="9" t="s">
        <v>51</v>
      </c>
      <c r="C50" s="53"/>
      <c r="D50" s="53"/>
      <c r="E50" s="11">
        <v>0</v>
      </c>
      <c r="F50" s="11">
        <v>0</v>
      </c>
      <c r="G50" s="56"/>
      <c r="H50" s="56"/>
      <c r="I50" s="102"/>
      <c r="J50" s="56"/>
      <c r="K50" s="28"/>
      <c r="L50" s="28"/>
      <c r="M50" s="28"/>
      <c r="N50" s="28"/>
      <c r="O50" s="28"/>
      <c r="P50" s="28"/>
      <c r="Q50" s="28"/>
      <c r="R50" s="28"/>
      <c r="S50" s="28"/>
      <c r="T50" s="28"/>
      <c r="U50" s="3"/>
      <c r="W50" s="3"/>
      <c r="X50" s="3"/>
      <c r="Y50" s="3"/>
      <c r="Z50" s="3"/>
    </row>
    <row r="51" spans="1:26" ht="14.4" hidden="1" outlineLevel="1" x14ac:dyDescent="0.3">
      <c r="A51" s="3"/>
      <c r="B51" s="9" t="s">
        <v>51</v>
      </c>
      <c r="C51" s="53"/>
      <c r="D51" s="53"/>
      <c r="E51" s="11">
        <v>0</v>
      </c>
      <c r="F51" s="11">
        <v>0</v>
      </c>
      <c r="G51" s="80"/>
      <c r="H51" s="56"/>
      <c r="I51" s="102"/>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56"/>
      <c r="H52" s="56"/>
      <c r="I52" s="102"/>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collapsed="1" x14ac:dyDescent="0.3">
      <c r="A63" s="3"/>
      <c r="B63" s="75" t="s">
        <v>330</v>
      </c>
      <c r="C63" s="76" t="s">
        <v>44</v>
      </c>
      <c r="D63" s="76" t="s">
        <v>44</v>
      </c>
      <c r="E63" s="77">
        <f>SUM(E64:E87)</f>
        <v>0</v>
      </c>
      <c r="F63" s="77">
        <f>SUMIF(D64:D87,"OK",F64:F87)</f>
        <v>2520.14</v>
      </c>
      <c r="G63" s="78"/>
      <c r="H63" s="78"/>
      <c r="I63" s="79"/>
      <c r="J63" s="78"/>
      <c r="K63" s="28"/>
      <c r="L63" s="28"/>
      <c r="M63" s="28"/>
      <c r="N63" s="28"/>
      <c r="O63" s="28"/>
      <c r="P63" s="28"/>
      <c r="Q63" s="28"/>
      <c r="R63" s="28"/>
      <c r="S63" s="28"/>
      <c r="T63" s="28"/>
      <c r="U63" s="3"/>
    </row>
    <row r="64" spans="1:26" ht="14.4" hidden="1" outlineLevel="1" x14ac:dyDescent="0.3">
      <c r="A64" s="3"/>
      <c r="B64" s="9" t="s">
        <v>1200</v>
      </c>
      <c r="C64" s="71">
        <v>5</v>
      </c>
      <c r="D64" s="53" t="s">
        <v>95</v>
      </c>
      <c r="E64" s="11">
        <v>0</v>
      </c>
      <c r="F64" s="11">
        <v>63.77</v>
      </c>
      <c r="G64" s="56" t="s">
        <v>1471</v>
      </c>
      <c r="H64" s="56" t="s">
        <v>37</v>
      </c>
      <c r="I64" s="102" t="s">
        <v>1472</v>
      </c>
      <c r="J64" s="80"/>
      <c r="K64" s="28"/>
      <c r="L64" s="28"/>
      <c r="M64" s="28"/>
      <c r="N64" s="28"/>
      <c r="O64" s="28"/>
      <c r="P64" s="28"/>
      <c r="Q64" s="28"/>
      <c r="R64" s="28"/>
      <c r="S64" s="28"/>
      <c r="T64" s="28"/>
      <c r="U64" s="3"/>
      <c r="V64" s="14"/>
    </row>
    <row r="65" spans="1:22" ht="14.4" hidden="1" outlineLevel="1" x14ac:dyDescent="0.3">
      <c r="A65" s="3"/>
      <c r="B65" s="9" t="s">
        <v>1200</v>
      </c>
      <c r="C65" s="71">
        <v>5</v>
      </c>
      <c r="D65" s="53" t="s">
        <v>95</v>
      </c>
      <c r="E65" s="11">
        <v>0</v>
      </c>
      <c r="F65" s="11">
        <v>78.83</v>
      </c>
      <c r="G65" s="56" t="s">
        <v>1471</v>
      </c>
      <c r="H65" s="56" t="s">
        <v>37</v>
      </c>
      <c r="I65" s="102" t="s">
        <v>1473</v>
      </c>
      <c r="J65" s="80"/>
      <c r="K65" s="28"/>
      <c r="L65" s="28"/>
      <c r="M65" s="28"/>
      <c r="N65" s="28"/>
      <c r="O65" s="28"/>
      <c r="P65" s="28"/>
      <c r="Q65" s="28"/>
      <c r="R65" s="28"/>
      <c r="S65" s="28"/>
      <c r="T65" s="28"/>
      <c r="U65" s="3"/>
      <c r="V65" s="14"/>
    </row>
    <row r="66" spans="1:22" ht="14.4" hidden="1" outlineLevel="1" x14ac:dyDescent="0.3">
      <c r="A66" s="3"/>
      <c r="B66" s="9" t="s">
        <v>1200</v>
      </c>
      <c r="C66" s="71">
        <v>5</v>
      </c>
      <c r="D66" s="53" t="s">
        <v>95</v>
      </c>
      <c r="E66" s="11">
        <v>0</v>
      </c>
      <c r="F66" s="11">
        <v>19.91</v>
      </c>
      <c r="G66" s="56" t="s">
        <v>1471</v>
      </c>
      <c r="H66" s="56" t="s">
        <v>37</v>
      </c>
      <c r="I66" s="102" t="s">
        <v>1474</v>
      </c>
      <c r="J66" s="80"/>
      <c r="K66" s="28"/>
      <c r="L66" s="28"/>
      <c r="M66" s="28"/>
      <c r="N66" s="28"/>
      <c r="O66" s="28"/>
      <c r="P66" s="28"/>
      <c r="Q66" s="28"/>
      <c r="R66" s="28"/>
      <c r="S66" s="28"/>
      <c r="T66" s="28"/>
      <c r="U66" s="3"/>
      <c r="V66" s="14"/>
    </row>
    <row r="67" spans="1:22" ht="14.4" hidden="1" outlineLevel="1" x14ac:dyDescent="0.3">
      <c r="A67" s="3"/>
      <c r="B67" s="9" t="s">
        <v>1200</v>
      </c>
      <c r="C67" s="71">
        <v>5</v>
      </c>
      <c r="D67" s="53" t="s">
        <v>95</v>
      </c>
      <c r="E67" s="11">
        <v>0</v>
      </c>
      <c r="F67" s="11">
        <v>239.06</v>
      </c>
      <c r="G67" s="56" t="s">
        <v>1471</v>
      </c>
      <c r="H67" s="56" t="s">
        <v>37</v>
      </c>
      <c r="I67" s="102" t="s">
        <v>1475</v>
      </c>
      <c r="J67" s="80"/>
      <c r="K67" s="28"/>
      <c r="L67" s="28"/>
      <c r="M67" s="28"/>
      <c r="N67" s="28"/>
      <c r="O67" s="28"/>
      <c r="P67" s="28"/>
      <c r="Q67" s="28"/>
      <c r="R67" s="28"/>
      <c r="S67" s="28"/>
      <c r="T67" s="28"/>
      <c r="U67" s="3"/>
      <c r="V67" s="14"/>
    </row>
    <row r="68" spans="1:22" ht="14.4" hidden="1" outlineLevel="1" x14ac:dyDescent="0.3">
      <c r="A68" s="3"/>
      <c r="B68" s="9" t="s">
        <v>1200</v>
      </c>
      <c r="C68" s="71">
        <v>9</v>
      </c>
      <c r="D68" s="53" t="s">
        <v>95</v>
      </c>
      <c r="E68" s="11">
        <v>0</v>
      </c>
      <c r="F68" s="11">
        <v>90</v>
      </c>
      <c r="G68" s="56" t="s">
        <v>1476</v>
      </c>
      <c r="H68" s="56" t="s">
        <v>37</v>
      </c>
      <c r="I68" s="102" t="s">
        <v>1477</v>
      </c>
      <c r="J68" s="80"/>
      <c r="K68" s="28"/>
      <c r="L68" s="28"/>
      <c r="M68" s="28"/>
      <c r="N68" s="28"/>
      <c r="O68" s="28"/>
      <c r="P68" s="28"/>
      <c r="Q68" s="28"/>
      <c r="R68" s="28"/>
      <c r="S68" s="28"/>
      <c r="T68" s="28"/>
      <c r="U68" s="3"/>
      <c r="V68" s="14"/>
    </row>
    <row r="69" spans="1:22" ht="14.4" hidden="1" outlineLevel="1" x14ac:dyDescent="0.3">
      <c r="A69" s="3"/>
      <c r="B69" s="9" t="s">
        <v>1200</v>
      </c>
      <c r="C69" s="71">
        <v>10</v>
      </c>
      <c r="D69" s="53" t="s">
        <v>95</v>
      </c>
      <c r="E69" s="11">
        <v>0</v>
      </c>
      <c r="F69" s="11">
        <v>40</v>
      </c>
      <c r="G69" s="56" t="s">
        <v>1478</v>
      </c>
      <c r="H69" s="56" t="s">
        <v>37</v>
      </c>
      <c r="I69" s="102" t="s">
        <v>1479</v>
      </c>
      <c r="J69" s="80"/>
      <c r="K69" s="28"/>
      <c r="L69" s="28"/>
      <c r="M69" s="28"/>
      <c r="N69" s="28"/>
      <c r="O69" s="28"/>
      <c r="P69" s="28"/>
      <c r="Q69" s="28"/>
      <c r="R69" s="28"/>
      <c r="S69" s="28"/>
      <c r="T69" s="28"/>
      <c r="U69" s="3"/>
      <c r="V69" s="14"/>
    </row>
    <row r="70" spans="1:22" ht="14.4" hidden="1" outlineLevel="1" x14ac:dyDescent="0.3">
      <c r="A70" s="3"/>
      <c r="B70" s="9" t="s">
        <v>1200</v>
      </c>
      <c r="C70" s="71">
        <v>14</v>
      </c>
      <c r="D70" s="53" t="s">
        <v>95</v>
      </c>
      <c r="E70" s="11">
        <v>0</v>
      </c>
      <c r="F70" s="11">
        <v>31.95</v>
      </c>
      <c r="G70" s="56"/>
      <c r="H70" s="56" t="s">
        <v>37</v>
      </c>
      <c r="I70" s="102" t="s">
        <v>1480</v>
      </c>
      <c r="J70" s="80"/>
      <c r="K70" s="28"/>
      <c r="L70" s="28"/>
      <c r="M70" s="28"/>
      <c r="N70" s="28"/>
      <c r="O70" s="28"/>
      <c r="P70" s="28"/>
      <c r="Q70" s="28"/>
      <c r="R70" s="28"/>
      <c r="S70" s="28"/>
      <c r="T70" s="28"/>
      <c r="U70" s="3"/>
      <c r="V70" s="14"/>
    </row>
    <row r="71" spans="1:22" ht="14.4" hidden="1" outlineLevel="1" x14ac:dyDescent="0.3">
      <c r="A71" s="3"/>
      <c r="B71" s="9" t="s">
        <v>1200</v>
      </c>
      <c r="C71" s="71">
        <v>14</v>
      </c>
      <c r="D71" s="53" t="s">
        <v>95</v>
      </c>
      <c r="E71" s="11">
        <v>0</v>
      </c>
      <c r="F71" s="11">
        <v>18.47</v>
      </c>
      <c r="G71" s="56"/>
      <c r="H71" s="56" t="s">
        <v>37</v>
      </c>
      <c r="I71" s="102" t="s">
        <v>1481</v>
      </c>
      <c r="J71" s="80"/>
      <c r="K71" s="28"/>
      <c r="L71" s="28"/>
      <c r="M71" s="28"/>
      <c r="N71" s="28"/>
      <c r="O71" s="28"/>
      <c r="P71" s="28"/>
      <c r="Q71" s="28"/>
      <c r="R71" s="28"/>
      <c r="S71" s="28"/>
      <c r="T71" s="28"/>
      <c r="U71" s="3"/>
      <c r="V71" s="14"/>
    </row>
    <row r="72" spans="1:22" ht="14.4" hidden="1" outlineLevel="1" x14ac:dyDescent="0.3">
      <c r="A72" s="3"/>
      <c r="B72" s="9" t="s">
        <v>1203</v>
      </c>
      <c r="C72" s="71">
        <v>19</v>
      </c>
      <c r="D72" s="53" t="s">
        <v>95</v>
      </c>
      <c r="E72" s="11">
        <v>0</v>
      </c>
      <c r="F72" s="11">
        <v>20.059999999999999</v>
      </c>
      <c r="G72" s="56" t="s">
        <v>1482</v>
      </c>
      <c r="H72" s="56" t="s">
        <v>37</v>
      </c>
      <c r="I72" s="102" t="s">
        <v>1483</v>
      </c>
      <c r="J72" s="80"/>
      <c r="K72" s="28"/>
      <c r="L72" s="28"/>
      <c r="M72" s="28"/>
      <c r="N72" s="28"/>
      <c r="O72" s="28"/>
      <c r="P72" s="28"/>
      <c r="Q72" s="28"/>
      <c r="R72" s="28"/>
      <c r="S72" s="28"/>
      <c r="T72" s="28"/>
      <c r="U72" s="3"/>
      <c r="V72" s="14"/>
    </row>
    <row r="73" spans="1:22" ht="14.4" hidden="1" outlineLevel="1" x14ac:dyDescent="0.3">
      <c r="A73" s="3"/>
      <c r="B73" s="9" t="s">
        <v>1203</v>
      </c>
      <c r="C73" s="71">
        <v>19</v>
      </c>
      <c r="D73" s="53" t="s">
        <v>95</v>
      </c>
      <c r="E73" s="11">
        <v>0</v>
      </c>
      <c r="F73" s="11">
        <v>361.46</v>
      </c>
      <c r="G73" s="56"/>
      <c r="H73" s="56" t="s">
        <v>37</v>
      </c>
      <c r="I73" s="102" t="s">
        <v>1484</v>
      </c>
      <c r="J73" s="80"/>
      <c r="K73" s="28"/>
      <c r="L73" s="28"/>
      <c r="M73" s="28"/>
      <c r="N73" s="28"/>
      <c r="O73" s="28"/>
      <c r="P73" s="28"/>
      <c r="Q73" s="28"/>
      <c r="R73" s="28"/>
      <c r="S73" s="28"/>
      <c r="T73" s="28"/>
      <c r="U73" s="3"/>
      <c r="V73" s="14"/>
    </row>
    <row r="74" spans="1:22" ht="14.4" hidden="1" outlineLevel="1" x14ac:dyDescent="0.3">
      <c r="A74" s="3"/>
      <c r="B74" s="9" t="s">
        <v>1203</v>
      </c>
      <c r="C74" s="71">
        <v>19</v>
      </c>
      <c r="D74" s="53" t="s">
        <v>95</v>
      </c>
      <c r="E74" s="11">
        <v>0</v>
      </c>
      <c r="F74" s="11">
        <v>95.96</v>
      </c>
      <c r="G74" s="56"/>
      <c r="H74" s="56" t="s">
        <v>37</v>
      </c>
      <c r="I74" s="102" t="s">
        <v>1485</v>
      </c>
      <c r="J74" s="80"/>
      <c r="K74" s="28"/>
      <c r="L74" s="28"/>
      <c r="M74" s="28"/>
      <c r="N74" s="28"/>
      <c r="O74" s="28"/>
      <c r="P74" s="28"/>
      <c r="Q74" s="28"/>
      <c r="R74" s="28"/>
      <c r="S74" s="28"/>
      <c r="T74" s="28"/>
      <c r="U74" s="3"/>
      <c r="V74" s="14"/>
    </row>
    <row r="75" spans="1:22" ht="14.4" hidden="1" outlineLevel="1" x14ac:dyDescent="0.3">
      <c r="A75" s="3"/>
      <c r="B75" s="9" t="s">
        <v>1203</v>
      </c>
      <c r="C75" s="71">
        <v>21</v>
      </c>
      <c r="D75" s="53" t="s">
        <v>95</v>
      </c>
      <c r="E75" s="11">
        <v>0</v>
      </c>
      <c r="F75" s="11">
        <v>40</v>
      </c>
      <c r="G75" s="56" t="s">
        <v>1478</v>
      </c>
      <c r="H75" s="56" t="s">
        <v>37</v>
      </c>
      <c r="I75" s="102" t="s">
        <v>1479</v>
      </c>
      <c r="J75" s="80"/>
      <c r="K75" s="28"/>
      <c r="L75" s="28"/>
      <c r="M75" s="28"/>
      <c r="N75" s="28"/>
      <c r="O75" s="28"/>
      <c r="P75" s="28"/>
      <c r="Q75" s="28"/>
      <c r="R75" s="28"/>
      <c r="S75" s="28"/>
      <c r="T75" s="28"/>
      <c r="U75" s="3"/>
      <c r="V75" s="14"/>
    </row>
    <row r="76" spans="1:22" ht="14.4" hidden="1" outlineLevel="1" x14ac:dyDescent="0.3">
      <c r="A76" s="3"/>
      <c r="B76" s="9" t="s">
        <v>331</v>
      </c>
      <c r="C76" s="71">
        <v>4</v>
      </c>
      <c r="D76" s="53" t="s">
        <v>95</v>
      </c>
      <c r="E76" s="11">
        <v>0</v>
      </c>
      <c r="F76" s="11">
        <v>155.75</v>
      </c>
      <c r="G76" s="56" t="s">
        <v>342</v>
      </c>
      <c r="H76" s="56" t="s">
        <v>37</v>
      </c>
      <c r="I76" s="117" t="s">
        <v>1486</v>
      </c>
      <c r="J76" s="80"/>
      <c r="K76" s="28"/>
      <c r="L76" s="28"/>
      <c r="M76" s="28"/>
      <c r="N76" s="28"/>
      <c r="O76" s="28"/>
      <c r="P76" s="28"/>
      <c r="Q76" s="28"/>
      <c r="R76" s="28"/>
      <c r="S76" s="28"/>
      <c r="T76" s="28"/>
      <c r="U76" s="3"/>
      <c r="V76" s="14"/>
    </row>
    <row r="77" spans="1:22" ht="14.4" hidden="1" outlineLevel="1" x14ac:dyDescent="0.3">
      <c r="A77" s="3"/>
      <c r="B77" s="9" t="s">
        <v>331</v>
      </c>
      <c r="C77" s="71">
        <v>10</v>
      </c>
      <c r="D77" s="53" t="s">
        <v>95</v>
      </c>
      <c r="E77" s="11">
        <v>0</v>
      </c>
      <c r="F77" s="11">
        <v>28.38</v>
      </c>
      <c r="G77" s="56"/>
      <c r="H77" s="56" t="s">
        <v>37</v>
      </c>
      <c r="I77" s="102" t="s">
        <v>1487</v>
      </c>
      <c r="J77" s="80"/>
      <c r="K77" s="28"/>
      <c r="L77" s="28"/>
      <c r="M77" s="28"/>
      <c r="N77" s="28"/>
      <c r="O77" s="28"/>
      <c r="P77" s="28"/>
      <c r="Q77" s="28"/>
      <c r="R77" s="28"/>
      <c r="S77" s="28"/>
      <c r="T77" s="28"/>
      <c r="U77" s="3"/>
      <c r="V77" s="14"/>
    </row>
    <row r="78" spans="1:22" ht="14.4" hidden="1" outlineLevel="1" x14ac:dyDescent="0.3">
      <c r="A78" s="3"/>
      <c r="B78" s="9" t="s">
        <v>335</v>
      </c>
      <c r="C78" s="53">
        <v>11</v>
      </c>
      <c r="D78" s="53" t="s">
        <v>95</v>
      </c>
      <c r="E78" s="11">
        <v>0</v>
      </c>
      <c r="F78" s="11">
        <v>200</v>
      </c>
      <c r="G78" s="56"/>
      <c r="H78" s="56" t="s">
        <v>37</v>
      </c>
      <c r="I78" s="102" t="s">
        <v>1488</v>
      </c>
      <c r="J78" s="56"/>
      <c r="K78" s="28"/>
      <c r="L78" s="28"/>
      <c r="M78" s="28"/>
      <c r="N78" s="28"/>
      <c r="O78" s="28"/>
      <c r="P78" s="28"/>
      <c r="Q78" s="28"/>
      <c r="R78" s="28"/>
      <c r="S78" s="28"/>
      <c r="T78" s="28"/>
      <c r="U78" s="3"/>
    </row>
    <row r="79" spans="1:22" ht="14.4" hidden="1" outlineLevel="1" x14ac:dyDescent="0.3">
      <c r="A79" s="3"/>
      <c r="B79" s="9" t="s">
        <v>335</v>
      </c>
      <c r="C79" s="53">
        <v>25</v>
      </c>
      <c r="D79" s="53" t="s">
        <v>95</v>
      </c>
      <c r="E79" s="11">
        <v>0</v>
      </c>
      <c r="F79" s="11">
        <v>136</v>
      </c>
      <c r="G79" s="56"/>
      <c r="H79" s="56" t="s">
        <v>37</v>
      </c>
      <c r="I79" s="102" t="s">
        <v>1489</v>
      </c>
      <c r="J79" s="56"/>
      <c r="K79" s="28"/>
      <c r="L79" s="28"/>
      <c r="M79" s="28"/>
      <c r="N79" s="28"/>
      <c r="O79" s="28"/>
      <c r="P79" s="28"/>
      <c r="Q79" s="28"/>
      <c r="R79" s="28"/>
      <c r="S79" s="28"/>
      <c r="T79" s="28"/>
      <c r="U79" s="3"/>
    </row>
    <row r="80" spans="1:22" ht="14.4" hidden="1" outlineLevel="1" x14ac:dyDescent="0.3">
      <c r="A80" s="3"/>
      <c r="B80" s="9" t="s">
        <v>628</v>
      </c>
      <c r="C80" s="71">
        <v>5</v>
      </c>
      <c r="D80" s="53" t="s">
        <v>95</v>
      </c>
      <c r="E80" s="11">
        <v>0</v>
      </c>
      <c r="F80" s="11">
        <v>309.38</v>
      </c>
      <c r="G80" s="56"/>
      <c r="H80" s="56" t="s">
        <v>37</v>
      </c>
      <c r="I80" s="102" t="s">
        <v>1490</v>
      </c>
      <c r="J80" s="80"/>
      <c r="K80" s="28"/>
      <c r="L80" s="28"/>
      <c r="M80" s="28"/>
      <c r="N80" s="28"/>
      <c r="O80" s="28"/>
      <c r="P80" s="28"/>
      <c r="Q80" s="28"/>
      <c r="R80" s="28"/>
      <c r="S80" s="28"/>
      <c r="T80" s="28"/>
      <c r="U80" s="3"/>
    </row>
    <row r="81" spans="1:26" ht="14.4" hidden="1" outlineLevel="1" x14ac:dyDescent="0.3">
      <c r="A81" s="3"/>
      <c r="B81" s="9" t="s">
        <v>628</v>
      </c>
      <c r="C81" s="71">
        <v>5</v>
      </c>
      <c r="D81" s="53" t="s">
        <v>95</v>
      </c>
      <c r="E81" s="11">
        <v>0</v>
      </c>
      <c r="F81" s="11">
        <v>473.16</v>
      </c>
      <c r="G81" s="56"/>
      <c r="H81" s="56" t="s">
        <v>37</v>
      </c>
      <c r="I81" s="102" t="s">
        <v>1491</v>
      </c>
      <c r="J81" s="80"/>
      <c r="K81" s="28"/>
      <c r="L81" s="28"/>
      <c r="M81" s="28"/>
      <c r="N81" s="28"/>
      <c r="O81" s="28"/>
      <c r="P81" s="28"/>
      <c r="Q81" s="28"/>
      <c r="R81" s="28"/>
      <c r="S81" s="28"/>
      <c r="T81" s="28"/>
      <c r="U81" s="3"/>
    </row>
    <row r="82" spans="1:26" ht="14.4" hidden="1" outlineLevel="1" x14ac:dyDescent="0.3">
      <c r="A82" s="3"/>
      <c r="B82" s="9" t="s">
        <v>630</v>
      </c>
      <c r="C82" s="71"/>
      <c r="D82" s="53"/>
      <c r="E82" s="11">
        <v>0</v>
      </c>
      <c r="F82" s="11">
        <v>0</v>
      </c>
      <c r="G82" s="56"/>
      <c r="H82" s="56"/>
      <c r="I82" s="102"/>
      <c r="J82" s="80"/>
      <c r="K82" s="28"/>
      <c r="L82" s="28"/>
      <c r="M82" s="28"/>
      <c r="N82" s="28"/>
      <c r="O82" s="28"/>
      <c r="P82" s="28"/>
      <c r="Q82" s="28"/>
      <c r="R82" s="28"/>
      <c r="S82" s="28"/>
      <c r="T82" s="28"/>
      <c r="U82" s="3"/>
    </row>
    <row r="83" spans="1:26" ht="14.4" hidden="1" outlineLevel="1" x14ac:dyDescent="0.3">
      <c r="A83" s="3"/>
      <c r="B83" s="9" t="s">
        <v>630</v>
      </c>
      <c r="C83" s="71"/>
      <c r="D83" s="53"/>
      <c r="E83" s="11">
        <v>0</v>
      </c>
      <c r="F83" s="11">
        <v>0</v>
      </c>
      <c r="G83" s="56"/>
      <c r="H83" s="56"/>
      <c r="I83" s="102"/>
      <c r="J83" s="80"/>
      <c r="K83" s="28"/>
      <c r="L83" s="28"/>
      <c r="M83" s="28"/>
      <c r="N83" s="28"/>
      <c r="O83" s="28"/>
      <c r="P83" s="28"/>
      <c r="Q83" s="28"/>
      <c r="R83" s="28"/>
      <c r="S83" s="28"/>
      <c r="T83" s="28"/>
      <c r="U83" s="3"/>
    </row>
    <row r="84" spans="1:26" ht="14.4" hidden="1" outlineLevel="1" x14ac:dyDescent="0.3">
      <c r="A84" s="3"/>
      <c r="B84" s="9" t="s">
        <v>630</v>
      </c>
      <c r="C84" s="71"/>
      <c r="D84" s="53"/>
      <c r="E84" s="11">
        <v>0</v>
      </c>
      <c r="F84" s="11">
        <v>0</v>
      </c>
      <c r="G84" s="56"/>
      <c r="H84" s="56"/>
      <c r="I84" s="102"/>
      <c r="J84" s="80"/>
      <c r="K84" s="28"/>
      <c r="L84" s="28"/>
      <c r="M84" s="28"/>
      <c r="N84" s="28"/>
      <c r="O84" s="28"/>
      <c r="P84" s="28"/>
      <c r="Q84" s="28"/>
      <c r="R84" s="28"/>
      <c r="S84" s="28"/>
      <c r="T84" s="28"/>
      <c r="U84" s="3"/>
    </row>
    <row r="85" spans="1:26" ht="14.4" hidden="1" outlineLevel="1" x14ac:dyDescent="0.3">
      <c r="A85" s="3"/>
      <c r="B85" s="9" t="s">
        <v>66</v>
      </c>
      <c r="C85" s="71"/>
      <c r="D85" s="53"/>
      <c r="E85" s="11">
        <v>0</v>
      </c>
      <c r="F85" s="11">
        <v>0</v>
      </c>
      <c r="G85" s="56"/>
      <c r="H85" s="56"/>
      <c r="I85" s="117"/>
      <c r="J85" s="56"/>
      <c r="K85" s="28"/>
      <c r="L85" s="28"/>
      <c r="M85" s="28"/>
      <c r="N85" s="28"/>
      <c r="O85" s="28"/>
      <c r="P85" s="28"/>
      <c r="Q85" s="28"/>
      <c r="R85" s="28"/>
      <c r="S85" s="28"/>
      <c r="T85" s="28"/>
      <c r="U85" s="3"/>
      <c r="W85" s="3"/>
      <c r="X85" s="3"/>
      <c r="Y85" s="3"/>
      <c r="Z85" s="3"/>
    </row>
    <row r="86" spans="1:26" ht="14.4" hidden="1" outlineLevel="1" x14ac:dyDescent="0.3">
      <c r="A86" s="3"/>
      <c r="B86" s="9" t="s">
        <v>66</v>
      </c>
      <c r="C86" s="53"/>
      <c r="D86" s="53"/>
      <c r="E86" s="11">
        <v>0</v>
      </c>
      <c r="F86" s="11">
        <v>0</v>
      </c>
      <c r="G86" s="56"/>
      <c r="H86" s="56"/>
      <c r="I86" s="117"/>
      <c r="J86" s="56"/>
      <c r="K86" s="28"/>
      <c r="L86" s="28"/>
      <c r="M86" s="28"/>
      <c r="N86" s="28"/>
      <c r="O86" s="28"/>
      <c r="P86" s="28"/>
      <c r="Q86" s="28"/>
      <c r="R86" s="28"/>
      <c r="S86" s="28"/>
      <c r="T86" s="28"/>
      <c r="U86" s="3"/>
      <c r="W86" s="3"/>
      <c r="X86" s="3"/>
      <c r="Y86" s="3"/>
      <c r="Z86" s="3"/>
    </row>
    <row r="87" spans="1:26" ht="14.4" hidden="1" outlineLevel="1" x14ac:dyDescent="0.3">
      <c r="A87" s="3"/>
      <c r="B87" s="9" t="s">
        <v>812</v>
      </c>
      <c r="C87" s="53">
        <v>5</v>
      </c>
      <c r="D87" s="53" t="s">
        <v>95</v>
      </c>
      <c r="E87" s="11">
        <v>0</v>
      </c>
      <c r="F87" s="11">
        <v>118</v>
      </c>
      <c r="G87" s="80"/>
      <c r="H87" s="56" t="s">
        <v>37</v>
      </c>
      <c r="I87" s="102" t="s">
        <v>1492</v>
      </c>
      <c r="J87" s="56"/>
      <c r="K87" s="28"/>
      <c r="L87" s="28"/>
      <c r="M87" s="28"/>
      <c r="N87" s="28"/>
      <c r="O87" s="28"/>
      <c r="P87" s="28"/>
      <c r="Q87" s="28"/>
      <c r="R87" s="28"/>
      <c r="S87" s="28"/>
      <c r="T87" s="28"/>
      <c r="U87" s="3"/>
      <c r="W87" s="3"/>
      <c r="X87" s="3"/>
      <c r="Y87" s="3"/>
      <c r="Z87" s="3"/>
    </row>
    <row r="88" spans="1:26" ht="20.399999999999999" collapsed="1" x14ac:dyDescent="0.3">
      <c r="A88" s="3"/>
      <c r="B88" s="75" t="s">
        <v>349</v>
      </c>
      <c r="C88" s="76" t="s">
        <v>44</v>
      </c>
      <c r="D88" s="76" t="s">
        <v>44</v>
      </c>
      <c r="E88" s="77">
        <f t="shared" ref="E88:F88" si="0">SUM(E89,E105,E110)</f>
        <v>0</v>
      </c>
      <c r="F88" s="77">
        <f t="shared" si="0"/>
        <v>0</v>
      </c>
      <c r="G88" s="78"/>
      <c r="H88" s="78"/>
      <c r="I88" s="79"/>
      <c r="J88" s="78"/>
      <c r="K88" s="28"/>
      <c r="L88" s="28"/>
      <c r="M88" s="28"/>
      <c r="N88" s="28"/>
      <c r="O88" s="28"/>
      <c r="P88" s="28"/>
      <c r="Q88" s="28"/>
      <c r="R88" s="28"/>
      <c r="S88" s="28"/>
      <c r="T88" s="28"/>
      <c r="U88" s="3"/>
      <c r="W88" s="3"/>
      <c r="X88" s="3"/>
      <c r="Y88" s="3"/>
      <c r="Z88" s="3"/>
    </row>
    <row r="89" spans="1:26" hidden="1" outlineLevel="1" x14ac:dyDescent="0.3">
      <c r="A89" s="3"/>
      <c r="B89" s="82" t="s">
        <v>350</v>
      </c>
      <c r="C89" s="83"/>
      <c r="D89" s="83"/>
      <c r="E89" s="84">
        <f>SUM(E90:E104)</f>
        <v>0</v>
      </c>
      <c r="F89" s="84">
        <f>SUMIF(D90:D104,"OK",F90:F104)</f>
        <v>0</v>
      </c>
      <c r="G89" s="85"/>
      <c r="H89" s="85"/>
      <c r="I89" s="86"/>
      <c r="J89" s="85"/>
      <c r="K89" s="28"/>
      <c r="L89" s="28"/>
      <c r="M89" s="28"/>
      <c r="N89" s="28"/>
      <c r="O89" s="28"/>
      <c r="P89" s="28"/>
      <c r="Q89" s="28"/>
      <c r="R89" s="28"/>
      <c r="S89" s="28"/>
      <c r="T89" s="28"/>
      <c r="U89" s="3"/>
      <c r="W89" s="3"/>
      <c r="X89" s="3"/>
      <c r="Y89" s="3"/>
      <c r="Z89" s="3"/>
    </row>
    <row r="90" spans="1:26" ht="14.4" hidden="1" outlineLevel="1" x14ac:dyDescent="0.3">
      <c r="A90" s="3"/>
      <c r="B90" s="9" t="s">
        <v>51</v>
      </c>
      <c r="C90" s="53"/>
      <c r="D90" s="53"/>
      <c r="E90" s="11">
        <v>0</v>
      </c>
      <c r="F90" s="11">
        <v>0</v>
      </c>
      <c r="G90" s="56"/>
      <c r="H90" s="56"/>
      <c r="I90" s="102"/>
      <c r="J90" s="56"/>
      <c r="K90" s="28"/>
      <c r="L90" s="28"/>
      <c r="M90" s="28"/>
      <c r="N90" s="28"/>
      <c r="O90" s="28"/>
      <c r="P90" s="28"/>
      <c r="Q90" s="28"/>
      <c r="R90" s="28"/>
      <c r="S90" s="28"/>
      <c r="T90" s="28"/>
      <c r="U90" s="3"/>
      <c r="W90" s="3"/>
      <c r="X90" s="3"/>
      <c r="Y90" s="3"/>
      <c r="Z90" s="3"/>
    </row>
    <row r="91" spans="1:26" ht="14.4" hidden="1" outlineLevel="1" x14ac:dyDescent="0.3">
      <c r="A91" s="3"/>
      <c r="B91" s="9" t="s">
        <v>51</v>
      </c>
      <c r="C91" s="53"/>
      <c r="D91" s="53"/>
      <c r="E91" s="11">
        <v>0</v>
      </c>
      <c r="F91" s="11">
        <v>0</v>
      </c>
      <c r="G91" s="56"/>
      <c r="H91" s="56"/>
      <c r="I91" s="102"/>
      <c r="J91" s="56"/>
      <c r="K91" s="28"/>
      <c r="L91" s="28"/>
      <c r="M91" s="28"/>
      <c r="N91" s="28"/>
      <c r="O91" s="28"/>
      <c r="P91" s="28"/>
      <c r="Q91" s="28"/>
      <c r="R91" s="28"/>
      <c r="S91" s="28"/>
      <c r="T91" s="28"/>
      <c r="U91" s="3"/>
      <c r="W91" s="3"/>
      <c r="X91" s="3"/>
      <c r="Y91" s="3"/>
      <c r="Z91" s="3"/>
    </row>
    <row r="92" spans="1:26" ht="14.4" hidden="1" outlineLevel="1" x14ac:dyDescent="0.3">
      <c r="A92" s="3"/>
      <c r="B92" s="9" t="s">
        <v>51</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4.4" hidden="1" outlineLevel="1" x14ac:dyDescent="0.3">
      <c r="A93" s="3"/>
      <c r="B93" s="9" t="s">
        <v>51</v>
      </c>
      <c r="C93" s="53"/>
      <c r="D93" s="53"/>
      <c r="E93" s="11">
        <v>0</v>
      </c>
      <c r="F93" s="11">
        <v>0</v>
      </c>
      <c r="G93" s="56"/>
      <c r="H93" s="56"/>
      <c r="I93" s="102"/>
      <c r="J93" s="56"/>
      <c r="K93" s="28"/>
      <c r="L93" s="28"/>
      <c r="M93" s="28"/>
      <c r="N93" s="28"/>
      <c r="O93" s="28"/>
      <c r="P93" s="28"/>
      <c r="Q93" s="28"/>
      <c r="R93" s="28"/>
      <c r="S93" s="28"/>
      <c r="T93" s="28"/>
      <c r="U93" s="3"/>
      <c r="W93" s="3"/>
      <c r="X93" s="3"/>
      <c r="Y93" s="3"/>
      <c r="Z93" s="3"/>
    </row>
    <row r="94" spans="1:26" ht="14.4" hidden="1" outlineLevel="1" x14ac:dyDescent="0.3">
      <c r="A94" s="3"/>
      <c r="B94" s="9" t="s">
        <v>51</v>
      </c>
      <c r="C94" s="53"/>
      <c r="D94" s="53"/>
      <c r="E94" s="11">
        <v>0</v>
      </c>
      <c r="F94" s="11">
        <v>0</v>
      </c>
      <c r="G94" s="56"/>
      <c r="H94" s="56"/>
      <c r="I94" s="102"/>
      <c r="J94" s="56"/>
      <c r="K94" s="28"/>
      <c r="L94" s="28"/>
      <c r="M94" s="28"/>
      <c r="N94" s="28"/>
      <c r="O94" s="28"/>
      <c r="P94" s="28"/>
      <c r="Q94" s="28"/>
      <c r="R94" s="28"/>
      <c r="S94" s="28"/>
      <c r="T94" s="28"/>
      <c r="U94" s="3"/>
      <c r="W94" s="3"/>
      <c r="X94" s="3"/>
      <c r="Y94" s="3"/>
      <c r="Z94" s="3"/>
    </row>
    <row r="95" spans="1:26" ht="14.4" hidden="1" outlineLevel="1" x14ac:dyDescent="0.3">
      <c r="A95" s="3"/>
      <c r="B95" s="9" t="s">
        <v>51</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hidden="1" outlineLevel="1" x14ac:dyDescent="0.3">
      <c r="A96" s="3"/>
      <c r="B96" s="9" t="s">
        <v>51</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hidden="1" outlineLevel="1" x14ac:dyDescent="0.3">
      <c r="A97" s="3"/>
      <c r="B97" s="9" t="s">
        <v>51</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hidden="1" outlineLevel="1" x14ac:dyDescent="0.3">
      <c r="A98" s="3"/>
      <c r="B98" s="9" t="s">
        <v>51</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hidden="1" outlineLevel="1" x14ac:dyDescent="0.3">
      <c r="A99" s="3"/>
      <c r="B99" s="9" t="s">
        <v>51</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hidden="1" outlineLevel="1" x14ac:dyDescent="0.3">
      <c r="A100" s="3"/>
      <c r="B100" s="9" t="s">
        <v>51</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51</v>
      </c>
      <c r="C101" s="53"/>
      <c r="D101" s="53"/>
      <c r="E101" s="11">
        <v>0</v>
      </c>
      <c r="F101" s="11">
        <v>0</v>
      </c>
      <c r="G101" s="56"/>
      <c r="H101" s="56"/>
      <c r="I101" s="117"/>
      <c r="J101" s="56"/>
      <c r="K101" s="28"/>
      <c r="L101" s="28"/>
      <c r="M101" s="28"/>
      <c r="N101" s="28"/>
      <c r="O101" s="28"/>
      <c r="P101" s="28"/>
      <c r="Q101" s="28"/>
      <c r="R101" s="28"/>
      <c r="S101" s="28"/>
      <c r="T101" s="28"/>
      <c r="U101" s="3"/>
      <c r="W101" s="3"/>
      <c r="X101" s="3"/>
      <c r="Y101" s="3"/>
      <c r="Z101" s="3"/>
    </row>
    <row r="102" spans="1:26" ht="14.4" hidden="1" outlineLevel="1" x14ac:dyDescent="0.3">
      <c r="A102" s="3"/>
      <c r="B102" s="9" t="s">
        <v>51</v>
      </c>
      <c r="C102" s="53"/>
      <c r="D102" s="53"/>
      <c r="E102" s="11">
        <v>0</v>
      </c>
      <c r="F102" s="11">
        <v>0</v>
      </c>
      <c r="G102" s="56"/>
      <c r="H102" s="56"/>
      <c r="I102" s="102"/>
      <c r="J102" s="56"/>
      <c r="K102" s="28"/>
      <c r="L102" s="28"/>
      <c r="M102" s="28"/>
      <c r="N102" s="28"/>
      <c r="O102" s="28"/>
      <c r="P102" s="28"/>
      <c r="Q102" s="28"/>
      <c r="R102" s="28"/>
      <c r="S102" s="28"/>
      <c r="T102" s="28"/>
      <c r="U102" s="3"/>
      <c r="W102" s="3"/>
      <c r="X102" s="3"/>
      <c r="Y102" s="3"/>
      <c r="Z102" s="3"/>
    </row>
    <row r="103" spans="1:26" ht="14.4" hidden="1" outlineLevel="1" x14ac:dyDescent="0.3">
      <c r="A103" s="3"/>
      <c r="B103" s="9" t="s">
        <v>51</v>
      </c>
      <c r="C103" s="53"/>
      <c r="D103" s="53"/>
      <c r="E103" s="11">
        <v>0</v>
      </c>
      <c r="F103" s="11">
        <v>0</v>
      </c>
      <c r="G103" s="56"/>
      <c r="H103" s="56"/>
      <c r="I103" s="117"/>
      <c r="J103" s="56"/>
      <c r="K103" s="28"/>
      <c r="L103" s="28"/>
      <c r="M103" s="28"/>
      <c r="N103" s="28"/>
      <c r="O103" s="28"/>
      <c r="P103" s="28"/>
      <c r="Q103" s="28"/>
      <c r="R103" s="28"/>
      <c r="S103" s="28"/>
      <c r="T103" s="28"/>
      <c r="U103" s="3"/>
      <c r="W103" s="3"/>
      <c r="X103" s="3"/>
      <c r="Y103" s="3"/>
      <c r="Z103" s="3"/>
    </row>
    <row r="104" spans="1:26" ht="14.4" hidden="1" outlineLevel="1" x14ac:dyDescent="0.3">
      <c r="A104" s="3"/>
      <c r="B104" s="9" t="s">
        <v>51</v>
      </c>
      <c r="C104" s="53"/>
      <c r="D104" s="53"/>
      <c r="E104" s="11">
        <v>0</v>
      </c>
      <c r="F104" s="11">
        <v>0</v>
      </c>
      <c r="G104" s="56"/>
      <c r="H104" s="56"/>
      <c r="I104" s="117"/>
      <c r="J104" s="56"/>
      <c r="K104" s="28"/>
      <c r="L104" s="28"/>
      <c r="M104" s="28"/>
      <c r="N104" s="28"/>
      <c r="O104" s="28"/>
      <c r="P104" s="28"/>
      <c r="Q104" s="28"/>
      <c r="R104" s="28"/>
      <c r="S104" s="28"/>
      <c r="T104" s="28"/>
      <c r="U104" s="3"/>
      <c r="W104" s="3"/>
      <c r="X104" s="3"/>
      <c r="Y104" s="3"/>
      <c r="Z104" s="3"/>
    </row>
    <row r="105" spans="1:26" hidden="1" outlineLevel="1" x14ac:dyDescent="0.3">
      <c r="A105" s="3"/>
      <c r="B105" s="82" t="s">
        <v>353</v>
      </c>
      <c r="C105" s="83"/>
      <c r="D105" s="83"/>
      <c r="E105" s="84">
        <f>SUM(E106:E109)</f>
        <v>0</v>
      </c>
      <c r="F105" s="84">
        <f>SUMIF(D106:D109,"OK",F106:F109)</f>
        <v>0</v>
      </c>
      <c r="G105" s="85"/>
      <c r="H105" s="85"/>
      <c r="I105" s="86"/>
      <c r="J105" s="85"/>
      <c r="K105" s="28"/>
      <c r="L105" s="28"/>
      <c r="M105" s="28"/>
      <c r="N105" s="28"/>
      <c r="O105" s="28"/>
      <c r="P105" s="28"/>
      <c r="Q105" s="28"/>
      <c r="R105" s="28"/>
      <c r="S105" s="28"/>
      <c r="T105" s="28"/>
      <c r="U105" s="3"/>
      <c r="W105" s="3"/>
      <c r="X105" s="3"/>
      <c r="Y105" s="3"/>
      <c r="Z105" s="3"/>
    </row>
    <row r="106" spans="1:26" ht="14.4" hidden="1" outlineLevel="1" x14ac:dyDescent="0.3">
      <c r="A106" s="3"/>
      <c r="B106" s="9" t="s">
        <v>1493</v>
      </c>
      <c r="C106" s="53"/>
      <c r="D106" s="53"/>
      <c r="E106" s="11">
        <v>0</v>
      </c>
      <c r="F106" s="11">
        <v>0</v>
      </c>
      <c r="G106" s="56"/>
      <c r="H106" s="56"/>
      <c r="I106" s="102"/>
      <c r="J106" s="56"/>
      <c r="K106" s="28"/>
      <c r="L106" s="28"/>
      <c r="M106" s="28"/>
      <c r="N106" s="28"/>
      <c r="O106" s="28"/>
      <c r="P106" s="28"/>
      <c r="Q106" s="28"/>
      <c r="R106" s="28"/>
      <c r="S106" s="28"/>
      <c r="T106" s="28"/>
      <c r="U106" s="3"/>
      <c r="W106" s="3"/>
      <c r="X106" s="3"/>
      <c r="Y106" s="3"/>
      <c r="Z106" s="3"/>
    </row>
    <row r="107" spans="1:26" ht="14.4" hidden="1" outlineLevel="1" x14ac:dyDescent="0.3">
      <c r="A107" s="3"/>
      <c r="B107" s="9" t="s">
        <v>51</v>
      </c>
      <c r="C107" s="53"/>
      <c r="D107" s="53"/>
      <c r="E107" s="11">
        <v>0</v>
      </c>
      <c r="F107" s="11">
        <v>0</v>
      </c>
      <c r="G107" s="56"/>
      <c r="H107" s="56"/>
      <c r="I107" s="102"/>
      <c r="J107" s="56"/>
      <c r="K107" s="28"/>
      <c r="L107" s="28"/>
      <c r="M107" s="28"/>
      <c r="N107" s="28"/>
      <c r="O107" s="28"/>
      <c r="P107" s="28"/>
      <c r="Q107" s="28"/>
      <c r="R107" s="28"/>
      <c r="S107" s="28"/>
      <c r="T107" s="28"/>
      <c r="U107" s="3"/>
      <c r="W107" s="3"/>
      <c r="X107" s="3"/>
      <c r="Y107" s="3"/>
      <c r="Z107" s="3"/>
    </row>
    <row r="108" spans="1:26" ht="14.4" hidden="1" outlineLevel="1" x14ac:dyDescent="0.3">
      <c r="A108" s="3"/>
      <c r="B108" s="9" t="s">
        <v>51</v>
      </c>
      <c r="C108" s="53"/>
      <c r="D108" s="53"/>
      <c r="E108" s="11">
        <v>0</v>
      </c>
      <c r="F108" s="11">
        <v>0</v>
      </c>
      <c r="G108" s="56"/>
      <c r="H108" s="56"/>
      <c r="I108" s="102"/>
      <c r="J108" s="56"/>
      <c r="K108" s="28"/>
      <c r="L108" s="28"/>
      <c r="M108" s="28"/>
      <c r="N108" s="28"/>
      <c r="O108" s="28"/>
      <c r="P108" s="28"/>
      <c r="Q108" s="28"/>
      <c r="R108" s="28"/>
      <c r="S108" s="28"/>
      <c r="T108" s="28"/>
      <c r="U108" s="3"/>
      <c r="W108" s="3"/>
      <c r="X108" s="3"/>
      <c r="Y108" s="3"/>
      <c r="Z108" s="3"/>
    </row>
    <row r="109" spans="1:26" ht="14.4" hidden="1" outlineLevel="1" x14ac:dyDescent="0.3">
      <c r="A109" s="3"/>
      <c r="B109" s="9" t="s">
        <v>51</v>
      </c>
      <c r="C109" s="53"/>
      <c r="D109" s="53"/>
      <c r="E109" s="11">
        <v>0</v>
      </c>
      <c r="F109" s="11">
        <v>0</v>
      </c>
      <c r="G109" s="80"/>
      <c r="H109" s="56"/>
      <c r="I109" s="102"/>
      <c r="J109" s="56"/>
      <c r="K109" s="28"/>
      <c r="L109" s="28"/>
      <c r="M109" s="28"/>
      <c r="N109" s="28"/>
      <c r="O109" s="28"/>
      <c r="P109" s="28"/>
      <c r="Q109" s="28"/>
      <c r="R109" s="28"/>
      <c r="S109" s="28"/>
      <c r="T109" s="28"/>
      <c r="U109" s="3"/>
      <c r="W109" s="3"/>
      <c r="X109" s="3"/>
      <c r="Y109" s="3"/>
      <c r="Z109" s="3"/>
    </row>
    <row r="110" spans="1:26" hidden="1" outlineLevel="1" x14ac:dyDescent="0.3">
      <c r="A110" s="3"/>
      <c r="B110" s="82" t="s">
        <v>357</v>
      </c>
      <c r="C110" s="83"/>
      <c r="D110" s="83"/>
      <c r="E110" s="84">
        <f>SUM(E111:E113)</f>
        <v>0</v>
      </c>
      <c r="F110" s="84">
        <f>SUMIF(D111:D113,"OK",F111:F113)</f>
        <v>0</v>
      </c>
      <c r="G110" s="85"/>
      <c r="H110" s="85"/>
      <c r="I110" s="86"/>
      <c r="J110" s="85"/>
      <c r="K110" s="28"/>
      <c r="L110" s="28"/>
      <c r="M110" s="28"/>
      <c r="N110" s="28"/>
      <c r="O110" s="28"/>
      <c r="P110" s="28"/>
      <c r="Q110" s="28"/>
      <c r="R110" s="28"/>
      <c r="S110" s="28"/>
      <c r="T110" s="28"/>
      <c r="U110" s="3"/>
      <c r="W110" s="3"/>
      <c r="X110" s="3"/>
      <c r="Y110" s="3"/>
      <c r="Z110" s="3"/>
    </row>
    <row r="111" spans="1:26" ht="14.4" hidden="1" outlineLevel="1" x14ac:dyDescent="0.3">
      <c r="A111" s="3"/>
      <c r="B111" s="9" t="s">
        <v>51</v>
      </c>
      <c r="C111" s="53"/>
      <c r="D111" s="53"/>
      <c r="E111" s="11">
        <v>0</v>
      </c>
      <c r="F111" s="11">
        <v>0</v>
      </c>
      <c r="G111" s="56"/>
      <c r="H111" s="56"/>
      <c r="I111" s="102"/>
      <c r="J111" s="56"/>
      <c r="K111" s="28"/>
      <c r="L111" s="28"/>
      <c r="M111" s="28"/>
      <c r="N111" s="28"/>
      <c r="O111" s="28"/>
      <c r="P111" s="28"/>
      <c r="Q111" s="28"/>
      <c r="R111" s="28"/>
      <c r="S111" s="28"/>
      <c r="T111" s="28"/>
      <c r="U111" s="3"/>
      <c r="W111" s="3"/>
      <c r="X111" s="3"/>
      <c r="Y111" s="3"/>
      <c r="Z111" s="3"/>
    </row>
    <row r="112" spans="1:26" ht="14.4" hidden="1" outlineLevel="1" x14ac:dyDescent="0.3">
      <c r="A112" s="3"/>
      <c r="B112" s="9" t="s">
        <v>51</v>
      </c>
      <c r="C112" s="53"/>
      <c r="D112" s="53"/>
      <c r="E112" s="11">
        <v>0</v>
      </c>
      <c r="F112" s="11">
        <v>0</v>
      </c>
      <c r="G112" s="56"/>
      <c r="H112" s="56"/>
      <c r="I112" s="102"/>
      <c r="J112" s="56"/>
      <c r="K112" s="28"/>
      <c r="L112" s="28"/>
      <c r="M112" s="28"/>
      <c r="N112" s="28"/>
      <c r="O112" s="28"/>
      <c r="P112" s="28"/>
      <c r="Q112" s="28"/>
      <c r="R112" s="28"/>
      <c r="S112" s="28"/>
      <c r="T112" s="28"/>
      <c r="U112" s="3"/>
      <c r="W112" s="3"/>
      <c r="X112" s="3"/>
      <c r="Y112" s="3"/>
      <c r="Z112" s="3"/>
    </row>
    <row r="113" spans="1:26" ht="14.4" hidden="1" outlineLevel="1" x14ac:dyDescent="0.3">
      <c r="A113" s="3"/>
      <c r="B113" s="9" t="s">
        <v>51</v>
      </c>
      <c r="C113" s="53"/>
      <c r="D113" s="53"/>
      <c r="E113" s="11">
        <v>0</v>
      </c>
      <c r="F113" s="11">
        <v>0</v>
      </c>
      <c r="G113" s="56"/>
      <c r="H113" s="56"/>
      <c r="I113" s="117"/>
      <c r="J113" s="56"/>
      <c r="K113" s="28"/>
      <c r="L113" s="28"/>
      <c r="M113" s="28"/>
      <c r="N113" s="28"/>
      <c r="O113" s="28"/>
      <c r="P113" s="28"/>
      <c r="Q113" s="28"/>
      <c r="R113" s="28"/>
      <c r="S113" s="28"/>
      <c r="T113" s="28"/>
      <c r="U113" s="3"/>
      <c r="W113" s="3"/>
      <c r="X113" s="3"/>
      <c r="Y113" s="3"/>
      <c r="Z113" s="3"/>
    </row>
    <row r="114" spans="1:26" ht="20.399999999999999" collapsed="1" x14ac:dyDescent="0.3">
      <c r="A114" s="3"/>
      <c r="B114" s="75" t="s">
        <v>358</v>
      </c>
      <c r="C114" s="76" t="s">
        <v>44</v>
      </c>
      <c r="D114" s="76" t="s">
        <v>44</v>
      </c>
      <c r="E114" s="77">
        <f t="shared" ref="E114:F114" si="1">SUM(E115,E121)</f>
        <v>0</v>
      </c>
      <c r="F114" s="77">
        <f t="shared" si="1"/>
        <v>1738.63</v>
      </c>
      <c r="G114" s="78"/>
      <c r="H114" s="78"/>
      <c r="I114" s="79"/>
      <c r="J114" s="78"/>
      <c r="K114" s="28"/>
      <c r="L114" s="28"/>
      <c r="M114" s="28"/>
      <c r="N114" s="28"/>
      <c r="O114" s="28"/>
      <c r="P114" s="28"/>
      <c r="Q114" s="28"/>
      <c r="R114" s="28"/>
      <c r="S114" s="28"/>
      <c r="T114" s="28"/>
      <c r="U114" s="3"/>
      <c r="W114" s="3"/>
      <c r="X114" s="3"/>
      <c r="Y114" s="3"/>
      <c r="Z114" s="3"/>
    </row>
    <row r="115" spans="1:26" hidden="1" outlineLevel="1" x14ac:dyDescent="0.3">
      <c r="A115" s="3"/>
      <c r="B115" s="82" t="s">
        <v>359</v>
      </c>
      <c r="C115" s="83"/>
      <c r="D115" s="83"/>
      <c r="E115" s="84">
        <f>SUM(E116:E120)</f>
        <v>0</v>
      </c>
      <c r="F115" s="84">
        <f>SUMIF(D116:D120,"OK",F116:F120)</f>
        <v>0</v>
      </c>
      <c r="G115" s="85"/>
      <c r="H115" s="85"/>
      <c r="I115" s="86"/>
      <c r="J115" s="85"/>
      <c r="K115" s="28"/>
      <c r="L115" s="28"/>
      <c r="M115" s="28"/>
      <c r="N115" s="28"/>
      <c r="O115" s="28"/>
      <c r="P115" s="28"/>
      <c r="Q115" s="28"/>
      <c r="R115" s="28"/>
      <c r="S115" s="28"/>
      <c r="T115" s="28"/>
      <c r="U115" s="3"/>
      <c r="W115" s="3"/>
      <c r="X115" s="3"/>
      <c r="Y115" s="3"/>
      <c r="Z115" s="3"/>
    </row>
    <row r="116" spans="1:26" ht="14.4" hidden="1" outlineLevel="1" x14ac:dyDescent="0.3">
      <c r="A116" s="3"/>
      <c r="B116" s="9" t="s">
        <v>354</v>
      </c>
      <c r="C116" s="53"/>
      <c r="D116" s="53"/>
      <c r="E116" s="11">
        <v>0</v>
      </c>
      <c r="F116" s="11">
        <v>0</v>
      </c>
      <c r="G116" s="80"/>
      <c r="H116" s="56"/>
      <c r="I116" s="102"/>
      <c r="J116" s="56"/>
      <c r="K116" s="28"/>
      <c r="L116" s="28"/>
      <c r="M116" s="28"/>
      <c r="N116" s="28"/>
      <c r="O116" s="28"/>
      <c r="P116" s="28"/>
      <c r="Q116" s="28"/>
      <c r="R116" s="28"/>
      <c r="S116" s="28"/>
      <c r="T116" s="28"/>
      <c r="U116" s="3"/>
      <c r="W116" s="3"/>
      <c r="X116" s="3"/>
      <c r="Y116" s="3"/>
      <c r="Z116" s="3"/>
    </row>
    <row r="117" spans="1:26" ht="14.4" hidden="1" outlineLevel="1" x14ac:dyDescent="0.3">
      <c r="A117" s="3"/>
      <c r="B117" s="9" t="s">
        <v>355</v>
      </c>
      <c r="C117" s="53"/>
      <c r="D117" s="53"/>
      <c r="E117" s="11">
        <v>0</v>
      </c>
      <c r="F117" s="11">
        <v>0</v>
      </c>
      <c r="G117" s="56"/>
      <c r="H117" s="56"/>
      <c r="I117" s="102"/>
      <c r="J117" s="56"/>
      <c r="K117" s="28"/>
      <c r="L117" s="28"/>
      <c r="M117" s="28"/>
      <c r="N117" s="28"/>
      <c r="O117" s="28"/>
      <c r="P117" s="28"/>
      <c r="Q117" s="28"/>
      <c r="R117" s="28"/>
      <c r="S117" s="28"/>
      <c r="T117" s="28"/>
      <c r="U117" s="3"/>
      <c r="W117" s="3"/>
      <c r="X117" s="3"/>
      <c r="Y117" s="3"/>
      <c r="Z117" s="3"/>
    </row>
    <row r="118" spans="1:26" ht="14.4" hidden="1" outlineLevel="1" x14ac:dyDescent="0.3">
      <c r="A118" s="3"/>
      <c r="B118" s="9" t="s">
        <v>356</v>
      </c>
      <c r="C118" s="53"/>
      <c r="D118" s="53"/>
      <c r="E118" s="11">
        <v>0</v>
      </c>
      <c r="F118" s="11">
        <v>0</v>
      </c>
      <c r="G118" s="56"/>
      <c r="H118" s="56"/>
      <c r="I118" s="102"/>
      <c r="J118" s="56"/>
      <c r="K118" s="28"/>
      <c r="L118" s="28"/>
      <c r="M118" s="28"/>
      <c r="N118" s="28"/>
      <c r="O118" s="28"/>
      <c r="P118" s="28"/>
      <c r="Q118" s="28"/>
      <c r="R118" s="28"/>
      <c r="S118" s="28"/>
      <c r="T118" s="28"/>
      <c r="U118" s="3"/>
      <c r="W118" s="3"/>
      <c r="X118" s="3"/>
      <c r="Y118" s="3"/>
      <c r="Z118" s="3"/>
    </row>
    <row r="119" spans="1:26" ht="14.4" hidden="1" outlineLevel="1" x14ac:dyDescent="0.3">
      <c r="A119" s="3"/>
      <c r="B119" s="9" t="s">
        <v>370</v>
      </c>
      <c r="C119" s="53"/>
      <c r="D119" s="53"/>
      <c r="E119" s="11">
        <v>0</v>
      </c>
      <c r="F119" s="11">
        <v>0</v>
      </c>
      <c r="G119" s="56"/>
      <c r="H119" s="56"/>
      <c r="I119" s="102"/>
      <c r="J119" s="56"/>
      <c r="K119" s="28"/>
      <c r="L119" s="28"/>
      <c r="M119" s="28"/>
      <c r="N119" s="28"/>
      <c r="O119" s="28"/>
      <c r="P119" s="28"/>
      <c r="Q119" s="28"/>
      <c r="R119" s="28"/>
      <c r="S119" s="28"/>
      <c r="T119" s="28"/>
      <c r="U119" s="3"/>
      <c r="W119" s="3"/>
      <c r="X119" s="3"/>
      <c r="Y119" s="3"/>
      <c r="Z119" s="3"/>
    </row>
    <row r="120" spans="1:26" ht="14.4" hidden="1" outlineLevel="1" x14ac:dyDescent="0.3">
      <c r="A120" s="3"/>
      <c r="B120" s="9" t="s">
        <v>328</v>
      </c>
      <c r="C120" s="53"/>
      <c r="D120" s="53"/>
      <c r="E120" s="11">
        <v>0</v>
      </c>
      <c r="F120" s="11">
        <v>0</v>
      </c>
      <c r="G120" s="56"/>
      <c r="H120" s="56"/>
      <c r="I120" s="80"/>
      <c r="J120" s="56"/>
      <c r="K120" s="28"/>
      <c r="L120" s="28"/>
      <c r="M120" s="28"/>
      <c r="N120" s="28"/>
      <c r="O120" s="28"/>
      <c r="P120" s="28"/>
      <c r="Q120" s="28"/>
      <c r="R120" s="28"/>
      <c r="S120" s="28"/>
      <c r="T120" s="28"/>
      <c r="U120" s="3"/>
      <c r="W120" s="3"/>
      <c r="X120" s="3"/>
      <c r="Y120" s="3"/>
      <c r="Z120" s="3"/>
    </row>
    <row r="121" spans="1:26" hidden="1" outlineLevel="1" x14ac:dyDescent="0.3">
      <c r="A121" s="3"/>
      <c r="B121" s="82" t="s">
        <v>633</v>
      </c>
      <c r="C121" s="83"/>
      <c r="D121" s="83"/>
      <c r="E121" s="84">
        <f>SUM(E122:E139)</f>
        <v>0</v>
      </c>
      <c r="F121" s="84">
        <f>SUMIF(D122:D139,"OK",F122:F139)</f>
        <v>1738.63</v>
      </c>
      <c r="G121" s="85"/>
      <c r="H121" s="85"/>
      <c r="I121" s="86"/>
      <c r="J121" s="85"/>
      <c r="K121" s="28"/>
      <c r="L121" s="28"/>
      <c r="M121" s="28"/>
      <c r="N121" s="28"/>
      <c r="O121" s="28"/>
      <c r="P121" s="28"/>
      <c r="Q121" s="28"/>
      <c r="R121" s="28"/>
      <c r="S121" s="28"/>
      <c r="T121" s="28"/>
      <c r="U121" s="3"/>
      <c r="W121" s="3"/>
      <c r="X121" s="3"/>
      <c r="Y121" s="3"/>
      <c r="Z121" s="3"/>
    </row>
    <row r="122" spans="1:26" ht="14.4" hidden="1" outlineLevel="1" x14ac:dyDescent="0.3">
      <c r="A122" s="3"/>
      <c r="B122" s="9" t="s">
        <v>1494</v>
      </c>
      <c r="C122" s="53">
        <v>21</v>
      </c>
      <c r="D122" s="53" t="s">
        <v>95</v>
      </c>
      <c r="E122" s="11">
        <v>0</v>
      </c>
      <c r="F122" s="11">
        <v>299.8</v>
      </c>
      <c r="G122" s="56"/>
      <c r="H122" s="56" t="s">
        <v>37</v>
      </c>
      <c r="I122" s="102" t="s">
        <v>1495</v>
      </c>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1496</v>
      </c>
      <c r="C123" s="53">
        <v>24</v>
      </c>
      <c r="D123" s="53" t="s">
        <v>95</v>
      </c>
      <c r="E123" s="11">
        <v>0</v>
      </c>
      <c r="F123" s="11">
        <v>240</v>
      </c>
      <c r="G123" s="80"/>
      <c r="H123" s="56" t="s">
        <v>37</v>
      </c>
      <c r="I123" s="102" t="s">
        <v>1497</v>
      </c>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1498</v>
      </c>
      <c r="C124" s="53">
        <v>24</v>
      </c>
      <c r="D124" s="53" t="s">
        <v>95</v>
      </c>
      <c r="E124" s="11">
        <v>0</v>
      </c>
      <c r="F124" s="11">
        <v>402.75</v>
      </c>
      <c r="G124" s="80"/>
      <c r="H124" s="56" t="s">
        <v>37</v>
      </c>
      <c r="I124" s="102" t="s">
        <v>1499</v>
      </c>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1494</v>
      </c>
      <c r="C125" s="53">
        <v>25</v>
      </c>
      <c r="D125" s="53" t="s">
        <v>95</v>
      </c>
      <c r="E125" s="11">
        <v>0</v>
      </c>
      <c r="F125" s="11">
        <v>43.96</v>
      </c>
      <c r="G125" s="56"/>
      <c r="H125" s="56" t="s">
        <v>37</v>
      </c>
      <c r="I125" s="102" t="s">
        <v>1500</v>
      </c>
      <c r="J125" s="56"/>
      <c r="K125" s="28"/>
      <c r="L125" s="28"/>
      <c r="M125" s="28"/>
      <c r="N125" s="28"/>
      <c r="O125" s="28"/>
      <c r="P125" s="28"/>
      <c r="Q125" s="28"/>
      <c r="R125" s="28"/>
      <c r="S125" s="28"/>
      <c r="T125" s="28"/>
      <c r="U125" s="3"/>
      <c r="W125" s="3"/>
      <c r="X125" s="3"/>
      <c r="Y125" s="3"/>
      <c r="Z125" s="3"/>
    </row>
    <row r="126" spans="1:26" ht="14.4" hidden="1" outlineLevel="1" x14ac:dyDescent="0.3">
      <c r="A126" s="3"/>
      <c r="B126" s="9" t="s">
        <v>1494</v>
      </c>
      <c r="C126" s="53">
        <v>25</v>
      </c>
      <c r="D126" s="53" t="s">
        <v>95</v>
      </c>
      <c r="E126" s="11">
        <v>0</v>
      </c>
      <c r="F126" s="11">
        <v>387.37</v>
      </c>
      <c r="G126" s="56"/>
      <c r="H126" s="56" t="s">
        <v>37</v>
      </c>
      <c r="I126" s="102" t="s">
        <v>1501</v>
      </c>
      <c r="J126" s="56"/>
      <c r="K126" s="28"/>
      <c r="L126" s="28"/>
      <c r="M126" s="28"/>
      <c r="N126" s="28"/>
      <c r="O126" s="28"/>
      <c r="P126" s="28"/>
      <c r="Q126" s="28"/>
      <c r="R126" s="28"/>
      <c r="S126" s="28"/>
      <c r="T126" s="28"/>
      <c r="U126" s="3"/>
      <c r="W126" s="3"/>
      <c r="X126" s="3"/>
      <c r="Y126" s="3"/>
      <c r="Z126" s="3"/>
    </row>
    <row r="127" spans="1:26" ht="14.4" hidden="1" outlineLevel="1" x14ac:dyDescent="0.3">
      <c r="A127" s="3"/>
      <c r="B127" s="9" t="s">
        <v>1494</v>
      </c>
      <c r="C127" s="71">
        <v>25</v>
      </c>
      <c r="D127" s="53" t="s">
        <v>95</v>
      </c>
      <c r="E127" s="11">
        <v>0</v>
      </c>
      <c r="F127" s="11">
        <v>125.78</v>
      </c>
      <c r="G127" s="56"/>
      <c r="H127" s="56" t="s">
        <v>37</v>
      </c>
      <c r="I127" s="102" t="s">
        <v>1502</v>
      </c>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1494</v>
      </c>
      <c r="C128" s="53">
        <v>25</v>
      </c>
      <c r="D128" s="53" t="s">
        <v>95</v>
      </c>
      <c r="E128" s="11">
        <v>0</v>
      </c>
      <c r="F128" s="11">
        <v>238.97</v>
      </c>
      <c r="G128" s="56"/>
      <c r="H128" s="56" t="s">
        <v>37</v>
      </c>
      <c r="I128" s="102" t="s">
        <v>1503</v>
      </c>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51</v>
      </c>
      <c r="C129" s="53"/>
      <c r="D129" s="53"/>
      <c r="E129" s="11">
        <v>0</v>
      </c>
      <c r="F129" s="11">
        <v>0</v>
      </c>
      <c r="G129" s="56"/>
      <c r="H129" s="56"/>
      <c r="I129" s="102"/>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51</v>
      </c>
      <c r="C130" s="53"/>
      <c r="D130" s="53"/>
      <c r="E130" s="11">
        <v>0</v>
      </c>
      <c r="F130" s="11">
        <v>0</v>
      </c>
      <c r="G130" s="56"/>
      <c r="H130" s="56"/>
      <c r="I130" s="102"/>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51</v>
      </c>
      <c r="C131" s="53"/>
      <c r="D131" s="53"/>
      <c r="E131" s="11">
        <v>0</v>
      </c>
      <c r="F131" s="11">
        <v>0</v>
      </c>
      <c r="G131" s="56"/>
      <c r="H131" s="56"/>
      <c r="I131" s="102"/>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51</v>
      </c>
      <c r="C132" s="53"/>
      <c r="D132" s="53"/>
      <c r="E132" s="11">
        <v>0</v>
      </c>
      <c r="F132" s="11">
        <v>0</v>
      </c>
      <c r="G132" s="56"/>
      <c r="H132" s="56"/>
      <c r="I132" s="140"/>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51</v>
      </c>
      <c r="C133" s="53"/>
      <c r="D133" s="53"/>
      <c r="E133" s="11">
        <v>0</v>
      </c>
      <c r="F133" s="11">
        <v>0</v>
      </c>
      <c r="G133" s="56"/>
      <c r="H133" s="56"/>
      <c r="I133" s="102"/>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51</v>
      </c>
      <c r="C134" s="53"/>
      <c r="D134" s="53"/>
      <c r="E134" s="11">
        <v>0</v>
      </c>
      <c r="F134" s="11">
        <v>0</v>
      </c>
      <c r="G134" s="56"/>
      <c r="H134" s="56"/>
      <c r="I134" s="102"/>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51</v>
      </c>
      <c r="C135" s="53"/>
      <c r="D135" s="53"/>
      <c r="E135" s="11">
        <v>0</v>
      </c>
      <c r="F135" s="11">
        <v>0</v>
      </c>
      <c r="G135" s="56"/>
      <c r="H135" s="56"/>
      <c r="I135" s="102"/>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51</v>
      </c>
      <c r="C136" s="53"/>
      <c r="D136" s="53"/>
      <c r="E136" s="11">
        <v>0</v>
      </c>
      <c r="F136" s="11">
        <v>0</v>
      </c>
      <c r="G136" s="56"/>
      <c r="H136" s="56"/>
      <c r="I136" s="102"/>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51</v>
      </c>
      <c r="C137" s="53"/>
      <c r="D137" s="53"/>
      <c r="E137" s="11">
        <v>0</v>
      </c>
      <c r="F137" s="11">
        <v>0</v>
      </c>
      <c r="G137" s="56"/>
      <c r="H137" s="56"/>
      <c r="I137" s="102"/>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51</v>
      </c>
      <c r="C138" s="53"/>
      <c r="D138" s="53"/>
      <c r="E138" s="11">
        <v>0</v>
      </c>
      <c r="F138" s="11">
        <v>0</v>
      </c>
      <c r="G138" s="56"/>
      <c r="H138" s="56"/>
      <c r="I138" s="102"/>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51</v>
      </c>
      <c r="C139" s="53"/>
      <c r="D139" s="53"/>
      <c r="E139" s="11">
        <v>0</v>
      </c>
      <c r="F139" s="11">
        <v>0</v>
      </c>
      <c r="G139" s="56"/>
      <c r="H139" s="56"/>
      <c r="I139" s="102"/>
      <c r="J139" s="56"/>
      <c r="K139" s="28"/>
      <c r="L139" s="28"/>
      <c r="M139" s="28"/>
      <c r="N139" s="28"/>
      <c r="O139" s="28"/>
      <c r="P139" s="28"/>
      <c r="Q139" s="28"/>
      <c r="R139" s="28"/>
      <c r="S139" s="28"/>
      <c r="T139" s="28"/>
      <c r="U139" s="3"/>
      <c r="W139" s="3"/>
      <c r="X139" s="3"/>
      <c r="Y139" s="3"/>
      <c r="Z139" s="3"/>
    </row>
    <row r="140" spans="1:26" ht="20.399999999999999" collapsed="1" x14ac:dyDescent="0.3">
      <c r="A140" s="3"/>
      <c r="B140" s="75" t="s">
        <v>88</v>
      </c>
      <c r="C140" s="76" t="s">
        <v>44</v>
      </c>
      <c r="D140" s="76" t="s">
        <v>44</v>
      </c>
      <c r="E140" s="77">
        <f>SUM(E141:E149)</f>
        <v>0</v>
      </c>
      <c r="F140" s="77">
        <f>SUMIF(D141:D149,"OK",F141:F149)</f>
        <v>1500</v>
      </c>
      <c r="G140" s="78"/>
      <c r="H140" s="78"/>
      <c r="I140" s="79"/>
      <c r="J140" s="78"/>
      <c r="K140" s="28"/>
      <c r="L140" s="28"/>
      <c r="M140" s="28"/>
      <c r="N140" s="28"/>
      <c r="O140" s="28"/>
      <c r="P140" s="28"/>
      <c r="Q140" s="28"/>
      <c r="R140" s="28"/>
      <c r="S140" s="28"/>
      <c r="T140" s="28"/>
      <c r="U140" s="3"/>
      <c r="W140" s="3"/>
      <c r="X140" s="3"/>
      <c r="Y140" s="3"/>
      <c r="Z140" s="3"/>
    </row>
    <row r="141" spans="1:26" ht="14.4" hidden="1" outlineLevel="1" x14ac:dyDescent="0.3">
      <c r="A141" s="3"/>
      <c r="B141" s="9" t="s">
        <v>1504</v>
      </c>
      <c r="C141" s="71">
        <v>6</v>
      </c>
      <c r="D141" s="53" t="s">
        <v>95</v>
      </c>
      <c r="E141" s="11">
        <v>0</v>
      </c>
      <c r="F141" s="11">
        <v>1000</v>
      </c>
      <c r="G141" s="80"/>
      <c r="H141" s="56" t="s">
        <v>37</v>
      </c>
      <c r="I141" s="117" t="s">
        <v>1457</v>
      </c>
      <c r="J141" s="80"/>
      <c r="K141" s="28"/>
      <c r="L141" s="28"/>
      <c r="M141" s="28"/>
      <c r="N141" s="28"/>
      <c r="O141" s="28"/>
      <c r="P141" s="28"/>
      <c r="Q141" s="28"/>
      <c r="R141" s="28"/>
      <c r="S141" s="28"/>
      <c r="T141" s="28"/>
      <c r="U141" s="3"/>
      <c r="W141" s="3"/>
      <c r="X141" s="3"/>
      <c r="Y141" s="3"/>
      <c r="Z141" s="3"/>
    </row>
    <row r="142" spans="1:26" ht="14.4" hidden="1" outlineLevel="1" x14ac:dyDescent="0.3">
      <c r="A142" s="3"/>
      <c r="B142" s="9" t="s">
        <v>1504</v>
      </c>
      <c r="C142" s="53">
        <v>13</v>
      </c>
      <c r="D142" s="53" t="s">
        <v>95</v>
      </c>
      <c r="E142" s="11">
        <v>0</v>
      </c>
      <c r="F142" s="11">
        <v>500</v>
      </c>
      <c r="G142" s="80"/>
      <c r="H142" s="56" t="s">
        <v>37</v>
      </c>
      <c r="I142" s="117" t="s">
        <v>1457</v>
      </c>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356</v>
      </c>
      <c r="C143" s="53"/>
      <c r="D143" s="53"/>
      <c r="E143" s="11">
        <v>0</v>
      </c>
      <c r="F143" s="11">
        <v>0</v>
      </c>
      <c r="G143" s="56"/>
      <c r="H143" s="56"/>
      <c r="I143" s="80"/>
      <c r="J143" s="56"/>
      <c r="K143" s="28"/>
      <c r="L143" s="28"/>
      <c r="M143" s="28"/>
      <c r="N143" s="28"/>
      <c r="O143" s="28"/>
      <c r="P143" s="28"/>
      <c r="Q143" s="28"/>
      <c r="R143" s="28"/>
      <c r="S143" s="28"/>
      <c r="T143" s="28"/>
      <c r="U143" s="3"/>
      <c r="W143" s="3"/>
      <c r="X143" s="3"/>
      <c r="Y143" s="3"/>
      <c r="Z143" s="3"/>
    </row>
    <row r="144" spans="1:26" ht="14.4" hidden="1" outlineLevel="1" x14ac:dyDescent="0.3">
      <c r="A144" s="3"/>
      <c r="B144" s="9" t="s">
        <v>370</v>
      </c>
      <c r="C144" s="53"/>
      <c r="D144" s="53"/>
      <c r="E144" s="11">
        <v>0</v>
      </c>
      <c r="F144" s="11">
        <v>0</v>
      </c>
      <c r="G144" s="56"/>
      <c r="H144" s="56"/>
      <c r="I144" s="80"/>
      <c r="J144" s="56"/>
      <c r="K144" s="28"/>
      <c r="L144" s="28"/>
      <c r="M144" s="28"/>
      <c r="N144" s="28"/>
      <c r="O144" s="28"/>
      <c r="P144" s="28"/>
      <c r="Q144" s="28"/>
      <c r="R144" s="28"/>
      <c r="S144" s="28"/>
      <c r="T144" s="28"/>
      <c r="U144" s="3"/>
      <c r="W144" s="3"/>
      <c r="X144" s="3"/>
      <c r="Y144" s="3"/>
      <c r="Z144" s="3"/>
    </row>
    <row r="145" spans="1:26" ht="14.4" hidden="1" outlineLevel="1" x14ac:dyDescent="0.3">
      <c r="A145" s="3"/>
      <c r="B145" s="9" t="s">
        <v>328</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14.4" hidden="1" outlineLevel="1" x14ac:dyDescent="0.3">
      <c r="A146" s="3"/>
      <c r="B146" s="9" t="s">
        <v>329</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14.4" hidden="1" outlineLevel="1" x14ac:dyDescent="0.3">
      <c r="A147" s="3"/>
      <c r="B147" s="9" t="s">
        <v>371</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4.4" hidden="1" outlineLevel="1" x14ac:dyDescent="0.3">
      <c r="A148" s="3"/>
      <c r="B148" s="9" t="s">
        <v>372</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14.4" hidden="1" outlineLevel="1" x14ac:dyDescent="0.3">
      <c r="A149" s="3"/>
      <c r="B149" s="9" t="s">
        <v>373</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20.399999999999999" collapsed="1" x14ac:dyDescent="0.3">
      <c r="A150" s="3"/>
      <c r="B150" s="75" t="s">
        <v>89</v>
      </c>
      <c r="C150" s="76" t="s">
        <v>44</v>
      </c>
      <c r="D150" s="76" t="s">
        <v>44</v>
      </c>
      <c r="E150" s="77">
        <f t="shared" ref="E150:F150" si="2">SUM(E151,E157,E163,E169)</f>
        <v>0</v>
      </c>
      <c r="F150" s="77">
        <f t="shared" si="2"/>
        <v>28698.080000000002</v>
      </c>
      <c r="G150" s="78"/>
      <c r="H150" s="78"/>
      <c r="I150" s="79"/>
      <c r="J150" s="78"/>
      <c r="K150" s="28"/>
      <c r="L150" s="28"/>
      <c r="M150" s="28"/>
      <c r="N150" s="28"/>
      <c r="O150" s="28"/>
      <c r="P150" s="28"/>
      <c r="Q150" s="28"/>
      <c r="R150" s="28"/>
      <c r="S150" s="28"/>
      <c r="T150" s="28"/>
      <c r="U150" s="3"/>
      <c r="W150" s="3"/>
      <c r="X150" s="3"/>
      <c r="Y150" s="3"/>
      <c r="Z150" s="3"/>
    </row>
    <row r="151" spans="1:26" hidden="1" outlineLevel="1" x14ac:dyDescent="0.3">
      <c r="A151" s="3"/>
      <c r="B151" s="82" t="s">
        <v>381</v>
      </c>
      <c r="C151" s="83"/>
      <c r="D151" s="83"/>
      <c r="E151" s="84">
        <f>SUM(E152:E156)</f>
        <v>0</v>
      </c>
      <c r="F151" s="84">
        <f>SUMIF(D152:D156,"OK",F152:F156)</f>
        <v>28698.080000000002</v>
      </c>
      <c r="G151" s="85"/>
      <c r="H151" s="85"/>
      <c r="I151" s="86"/>
      <c r="J151" s="85"/>
      <c r="K151" s="28"/>
      <c r="L151" s="28"/>
      <c r="M151" s="28"/>
      <c r="N151" s="28"/>
      <c r="O151" s="28"/>
      <c r="P151" s="28"/>
      <c r="Q151" s="28"/>
      <c r="R151" s="28"/>
      <c r="S151" s="28"/>
      <c r="T151" s="28"/>
      <c r="U151" s="3"/>
      <c r="W151" s="3"/>
      <c r="X151" s="3"/>
      <c r="Y151" s="3"/>
      <c r="Z151" s="3"/>
    </row>
    <row r="152" spans="1:26" ht="14.4" hidden="1" outlineLevel="1" x14ac:dyDescent="0.3">
      <c r="A152" s="3"/>
      <c r="B152" s="9" t="s">
        <v>845</v>
      </c>
      <c r="C152" s="53">
        <v>4</v>
      </c>
      <c r="D152" s="53" t="s">
        <v>95</v>
      </c>
      <c r="E152" s="11">
        <v>0</v>
      </c>
      <c r="F152" s="11">
        <v>537</v>
      </c>
      <c r="G152" s="56" t="s">
        <v>1505</v>
      </c>
      <c r="H152" s="56" t="s">
        <v>37</v>
      </c>
      <c r="I152" s="102" t="s">
        <v>1506</v>
      </c>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851</v>
      </c>
      <c r="C153" s="53">
        <v>4</v>
      </c>
      <c r="D153" s="53" t="s">
        <v>95</v>
      </c>
      <c r="E153" s="11">
        <v>0</v>
      </c>
      <c r="F153" s="11">
        <v>665.08</v>
      </c>
      <c r="G153" s="56" t="s">
        <v>1507</v>
      </c>
      <c r="H153" s="56" t="s">
        <v>37</v>
      </c>
      <c r="I153" s="102" t="s">
        <v>1508</v>
      </c>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1118</v>
      </c>
      <c r="C154" s="53">
        <v>28</v>
      </c>
      <c r="D154" s="53" t="s">
        <v>95</v>
      </c>
      <c r="E154" s="11">
        <v>0</v>
      </c>
      <c r="F154" s="11">
        <v>21813</v>
      </c>
      <c r="G154" s="56"/>
      <c r="H154" s="56" t="s">
        <v>38</v>
      </c>
      <c r="I154" s="117" t="s">
        <v>1457</v>
      </c>
      <c r="J154" s="56"/>
      <c r="K154" s="28"/>
      <c r="L154" s="28"/>
      <c r="M154" s="28"/>
      <c r="N154" s="28"/>
      <c r="O154" s="28"/>
      <c r="P154" s="28"/>
      <c r="Q154" s="28"/>
      <c r="R154" s="28"/>
      <c r="S154" s="28"/>
      <c r="T154" s="28"/>
      <c r="U154" s="3"/>
      <c r="W154" s="3"/>
      <c r="X154" s="3"/>
      <c r="Y154" s="3"/>
      <c r="Z154" s="3"/>
    </row>
    <row r="155" spans="1:26" ht="24" hidden="1" outlineLevel="1" x14ac:dyDescent="0.3">
      <c r="A155" s="3"/>
      <c r="B155" s="9" t="s">
        <v>1381</v>
      </c>
      <c r="C155" s="53">
        <v>25</v>
      </c>
      <c r="D155" s="53" t="s">
        <v>95</v>
      </c>
      <c r="E155" s="11">
        <v>0</v>
      </c>
      <c r="F155" s="11">
        <v>5683</v>
      </c>
      <c r="G155" s="80" t="s">
        <v>1509</v>
      </c>
      <c r="H155" s="56" t="s">
        <v>38</v>
      </c>
      <c r="I155" s="102" t="s">
        <v>1510</v>
      </c>
      <c r="J155" s="56"/>
      <c r="K155" s="28"/>
      <c r="L155" s="28"/>
      <c r="M155" s="28"/>
      <c r="N155" s="28"/>
      <c r="O155" s="28"/>
      <c r="P155" s="28"/>
      <c r="Q155" s="28"/>
      <c r="R155" s="28"/>
      <c r="S155" s="28"/>
      <c r="T155" s="28"/>
      <c r="U155" s="3"/>
      <c r="W155" s="3"/>
      <c r="X155" s="3"/>
      <c r="Y155" s="3"/>
      <c r="Z155" s="3"/>
    </row>
    <row r="156" spans="1:26" ht="14.4" hidden="1" outlineLevel="1" x14ac:dyDescent="0.3">
      <c r="A156" s="3"/>
      <c r="B156" s="9" t="s">
        <v>328</v>
      </c>
      <c r="C156" s="53"/>
      <c r="D156" s="53"/>
      <c r="E156" s="11">
        <v>0</v>
      </c>
      <c r="F156" s="11">
        <v>0</v>
      </c>
      <c r="G156" s="56"/>
      <c r="H156" s="56"/>
      <c r="I156" s="80"/>
      <c r="J156" s="56"/>
      <c r="K156" s="28"/>
      <c r="L156" s="28"/>
      <c r="M156" s="28"/>
      <c r="N156" s="28"/>
      <c r="O156" s="28"/>
      <c r="P156" s="28"/>
      <c r="Q156" s="28"/>
      <c r="R156" s="28"/>
      <c r="S156" s="28"/>
      <c r="T156" s="28"/>
      <c r="U156" s="3"/>
      <c r="W156" s="3"/>
      <c r="X156" s="3"/>
      <c r="Y156" s="3"/>
      <c r="Z156" s="3"/>
    </row>
    <row r="157" spans="1:26" hidden="1" outlineLevel="1" x14ac:dyDescent="0.3">
      <c r="A157" s="3"/>
      <c r="B157" s="82" t="s">
        <v>644</v>
      </c>
      <c r="C157" s="83"/>
      <c r="D157" s="83"/>
      <c r="E157" s="84">
        <f>SUM(E158:E162)</f>
        <v>0</v>
      </c>
      <c r="F157" s="84">
        <f>SUMIF(D158:D162,"OK",F158:F162)</f>
        <v>0</v>
      </c>
      <c r="G157" s="85"/>
      <c r="H157" s="85"/>
      <c r="I157" s="86"/>
      <c r="J157" s="85"/>
      <c r="K157" s="28"/>
      <c r="L157" s="28"/>
      <c r="M157" s="28"/>
      <c r="N157" s="28"/>
      <c r="O157" s="28"/>
      <c r="P157" s="28"/>
      <c r="Q157" s="28"/>
      <c r="R157" s="28"/>
      <c r="S157" s="28"/>
      <c r="T157" s="28"/>
      <c r="U157" s="3"/>
      <c r="W157" s="3"/>
      <c r="X157" s="3"/>
      <c r="Y157" s="3"/>
      <c r="Z157" s="3"/>
    </row>
    <row r="158" spans="1:26" ht="14.4" hidden="1" outlineLevel="1" x14ac:dyDescent="0.3">
      <c r="A158" s="3"/>
      <c r="B158" s="9" t="s">
        <v>354</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355</v>
      </c>
      <c r="C159" s="53"/>
      <c r="D159" s="53"/>
      <c r="E159" s="11">
        <v>0</v>
      </c>
      <c r="F159" s="11">
        <v>0</v>
      </c>
      <c r="G159" s="56"/>
      <c r="H159" s="56"/>
      <c r="I159" s="80"/>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356</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ht="14.4" hidden="1" outlineLevel="1" x14ac:dyDescent="0.3">
      <c r="A161" s="3"/>
      <c r="B161" s="9" t="s">
        <v>370</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ht="14.4" hidden="1" outlineLevel="1" x14ac:dyDescent="0.3">
      <c r="A162" s="3"/>
      <c r="B162" s="9" t="s">
        <v>328</v>
      </c>
      <c r="C162" s="53"/>
      <c r="D162" s="53"/>
      <c r="E162" s="11">
        <v>0</v>
      </c>
      <c r="F162" s="11">
        <v>0</v>
      </c>
      <c r="G162" s="56"/>
      <c r="H162" s="56"/>
      <c r="I162" s="80"/>
      <c r="J162" s="56"/>
      <c r="K162" s="28"/>
      <c r="L162" s="28"/>
      <c r="M162" s="28"/>
      <c r="N162" s="28"/>
      <c r="O162" s="28"/>
      <c r="P162" s="28"/>
      <c r="Q162" s="28"/>
      <c r="R162" s="28"/>
      <c r="S162" s="28"/>
      <c r="T162" s="28"/>
      <c r="U162" s="3"/>
      <c r="W162" s="3"/>
      <c r="X162" s="3"/>
      <c r="Y162" s="3"/>
      <c r="Z162" s="3"/>
    </row>
    <row r="163" spans="1:26" hidden="1" outlineLevel="1" x14ac:dyDescent="0.3">
      <c r="A163" s="3"/>
      <c r="B163" s="82" t="s">
        <v>382</v>
      </c>
      <c r="C163" s="83"/>
      <c r="D163" s="83"/>
      <c r="E163" s="84">
        <f>SUM(E164:E168)</f>
        <v>0</v>
      </c>
      <c r="F163" s="84">
        <f>SUMIF(D164:D168,"OK",F164:F168)</f>
        <v>0</v>
      </c>
      <c r="G163" s="85"/>
      <c r="H163" s="85"/>
      <c r="I163" s="86"/>
      <c r="J163" s="85"/>
      <c r="K163" s="28"/>
      <c r="L163" s="28"/>
      <c r="M163" s="28"/>
      <c r="N163" s="28"/>
      <c r="O163" s="28"/>
      <c r="P163" s="28"/>
      <c r="Q163" s="28"/>
      <c r="R163" s="28"/>
      <c r="S163" s="28"/>
      <c r="T163" s="28"/>
      <c r="U163" s="3"/>
      <c r="W163" s="3"/>
      <c r="X163" s="3"/>
      <c r="Y163" s="3"/>
      <c r="Z163" s="3"/>
    </row>
    <row r="164" spans="1:26" ht="14.4" hidden="1" outlineLevel="1" x14ac:dyDescent="0.3">
      <c r="A164" s="3"/>
      <c r="B164" s="9" t="s">
        <v>354</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4.4" hidden="1" outlineLevel="1" x14ac:dyDescent="0.3">
      <c r="A165" s="3"/>
      <c r="B165" s="9" t="s">
        <v>355</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4.4" hidden="1" outlineLevel="1" x14ac:dyDescent="0.3">
      <c r="A166" s="3"/>
      <c r="B166" s="9" t="s">
        <v>356</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370</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t="14.4" hidden="1" outlineLevel="1" x14ac:dyDescent="0.3">
      <c r="A168" s="3"/>
      <c r="B168" s="9" t="s">
        <v>328</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idden="1" outlineLevel="1" x14ac:dyDescent="0.3">
      <c r="A169" s="3"/>
      <c r="B169" s="82" t="s">
        <v>383</v>
      </c>
      <c r="C169" s="83"/>
      <c r="D169" s="83"/>
      <c r="E169" s="84">
        <f>SUM(E170:E174)</f>
        <v>0</v>
      </c>
      <c r="F169" s="84">
        <f>SUMIF(D170:D174,"OK",F170:F174)</f>
        <v>0</v>
      </c>
      <c r="G169" s="85"/>
      <c r="H169" s="85"/>
      <c r="I169" s="86"/>
      <c r="J169" s="85"/>
      <c r="K169" s="28"/>
      <c r="L169" s="28"/>
      <c r="M169" s="28"/>
      <c r="N169" s="28"/>
      <c r="O169" s="28"/>
      <c r="P169" s="28"/>
      <c r="Q169" s="28"/>
      <c r="R169" s="28"/>
      <c r="S169" s="28"/>
      <c r="T169" s="28"/>
      <c r="U169" s="3"/>
      <c r="W169" s="3"/>
      <c r="X169" s="3"/>
      <c r="Y169" s="3"/>
      <c r="Z169" s="3"/>
    </row>
    <row r="170" spans="1:26" ht="14.4" hidden="1" outlineLevel="1" x14ac:dyDescent="0.3">
      <c r="A170" s="3"/>
      <c r="B170" s="9" t="s">
        <v>354</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4.4" hidden="1" outlineLevel="1" x14ac:dyDescent="0.3">
      <c r="A171" s="3"/>
      <c r="B171" s="9" t="s">
        <v>355</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356</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370</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14.4" hidden="1" outlineLevel="1" x14ac:dyDescent="0.3">
      <c r="A174" s="3"/>
      <c r="B174" s="9" t="s">
        <v>328</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20.399999999999999" collapsed="1" x14ac:dyDescent="0.3">
      <c r="A175" s="3"/>
      <c r="B175" s="75" t="s">
        <v>384</v>
      </c>
      <c r="C175" s="76" t="s">
        <v>44</v>
      </c>
      <c r="D175" s="76" t="s">
        <v>44</v>
      </c>
      <c r="E175" s="77">
        <f>SUM(E176:E180)</f>
        <v>0</v>
      </c>
      <c r="F175" s="77">
        <f>SUMIF(D176:D180,"OK",F176:F180)</f>
        <v>0</v>
      </c>
      <c r="G175" s="78"/>
      <c r="H175" s="78"/>
      <c r="I175" s="79"/>
      <c r="J175" s="78"/>
      <c r="K175" s="28"/>
      <c r="L175" s="28"/>
      <c r="M175" s="28"/>
      <c r="N175" s="28"/>
      <c r="O175" s="28"/>
      <c r="P175" s="28"/>
      <c r="Q175" s="28"/>
      <c r="R175" s="28"/>
      <c r="S175" s="28"/>
      <c r="T175" s="28"/>
      <c r="U175" s="3"/>
      <c r="W175" s="3"/>
      <c r="X175" s="3"/>
      <c r="Y175" s="3"/>
      <c r="Z175" s="3"/>
    </row>
    <row r="176" spans="1:26" ht="14.4" hidden="1" outlineLevel="1" x14ac:dyDescent="0.3">
      <c r="A176" s="3"/>
      <c r="B176" s="9" t="s">
        <v>354</v>
      </c>
      <c r="C176" s="53"/>
      <c r="D176" s="53"/>
      <c r="E176" s="11">
        <v>0</v>
      </c>
      <c r="F176" s="11">
        <v>0</v>
      </c>
      <c r="G176" s="56"/>
      <c r="H176" s="56"/>
      <c r="I176" s="102"/>
      <c r="J176" s="56"/>
      <c r="K176" s="28"/>
      <c r="L176" s="28"/>
      <c r="M176" s="28"/>
      <c r="N176" s="28"/>
      <c r="O176" s="28"/>
      <c r="P176" s="28"/>
      <c r="Q176" s="28"/>
      <c r="R176" s="28"/>
      <c r="S176" s="28"/>
      <c r="T176" s="28"/>
      <c r="U176" s="3"/>
      <c r="W176" s="3"/>
      <c r="X176" s="3"/>
      <c r="Y176" s="3"/>
      <c r="Z176" s="3"/>
    </row>
    <row r="177" spans="1:26" ht="14.4" hidden="1" outlineLevel="1" x14ac:dyDescent="0.3">
      <c r="A177" s="3"/>
      <c r="B177" s="9" t="s">
        <v>355</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4.4" hidden="1" outlineLevel="1" x14ac:dyDescent="0.3">
      <c r="A178" s="3"/>
      <c r="B178" s="9" t="s">
        <v>356</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370</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4.4" hidden="1" outlineLevel="1" x14ac:dyDescent="0.3">
      <c r="A180" s="3"/>
      <c r="B180" s="9" t="s">
        <v>328</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20.399999999999999" collapsed="1" x14ac:dyDescent="0.3">
      <c r="A181" s="3"/>
      <c r="B181" s="75" t="s">
        <v>385</v>
      </c>
      <c r="C181" s="76" t="s">
        <v>44</v>
      </c>
      <c r="D181" s="76" t="s">
        <v>44</v>
      </c>
      <c r="E181" s="77">
        <f>SUM(E182:E209)</f>
        <v>0</v>
      </c>
      <c r="F181" s="77">
        <f>SUMIF(D182:D209,"OK",F182:F209)</f>
        <v>2920.45</v>
      </c>
      <c r="G181" s="78"/>
      <c r="H181" s="78"/>
      <c r="I181" s="79"/>
      <c r="J181" s="78"/>
      <c r="K181" s="28"/>
      <c r="L181" s="28"/>
      <c r="M181" s="28"/>
      <c r="N181" s="28"/>
      <c r="O181" s="28"/>
      <c r="P181" s="28"/>
      <c r="Q181" s="28"/>
      <c r="R181" s="28"/>
      <c r="S181" s="28"/>
      <c r="T181" s="28"/>
      <c r="U181" s="3"/>
      <c r="W181" s="3"/>
      <c r="X181" s="3"/>
      <c r="Y181" s="3"/>
      <c r="Z181" s="3"/>
    </row>
    <row r="182" spans="1:26" ht="14.4" hidden="1" outlineLevel="1" x14ac:dyDescent="0.3">
      <c r="A182" s="3"/>
      <c r="B182" s="9" t="s">
        <v>1511</v>
      </c>
      <c r="C182" s="71">
        <v>1</v>
      </c>
      <c r="D182" s="53" t="s">
        <v>95</v>
      </c>
      <c r="E182" s="11">
        <v>0</v>
      </c>
      <c r="F182" s="11">
        <v>305.33</v>
      </c>
      <c r="G182" s="80"/>
      <c r="H182" s="56" t="s">
        <v>37</v>
      </c>
      <c r="I182" s="102" t="s">
        <v>1512</v>
      </c>
      <c r="J182" s="56"/>
      <c r="K182" s="28"/>
      <c r="L182" s="28"/>
      <c r="M182" s="28"/>
      <c r="N182" s="28"/>
      <c r="O182" s="28"/>
      <c r="P182" s="28"/>
      <c r="Q182" s="28"/>
      <c r="R182" s="28"/>
      <c r="S182" s="28"/>
      <c r="T182" s="28"/>
      <c r="U182" s="3"/>
      <c r="W182" s="3"/>
      <c r="X182" s="3"/>
      <c r="Y182" s="3"/>
      <c r="Z182" s="3"/>
    </row>
    <row r="183" spans="1:26" ht="14.4" hidden="1" outlineLevel="1" x14ac:dyDescent="0.3">
      <c r="A183" s="3"/>
      <c r="B183" s="9" t="s">
        <v>1513</v>
      </c>
      <c r="C183" s="53">
        <v>4</v>
      </c>
      <c r="D183" s="53" t="s">
        <v>95</v>
      </c>
      <c r="E183" s="11">
        <v>0</v>
      </c>
      <c r="F183" s="11">
        <v>568.20000000000005</v>
      </c>
      <c r="G183" s="80"/>
      <c r="H183" s="56" t="s">
        <v>37</v>
      </c>
      <c r="I183" s="117" t="s">
        <v>1457</v>
      </c>
      <c r="J183" s="80"/>
      <c r="K183" s="28"/>
      <c r="L183" s="28"/>
      <c r="M183" s="28"/>
      <c r="N183" s="28"/>
      <c r="O183" s="28"/>
      <c r="P183" s="28"/>
      <c r="Q183" s="28"/>
      <c r="R183" s="28"/>
      <c r="S183" s="28"/>
      <c r="T183" s="28"/>
      <c r="U183" s="3"/>
      <c r="W183" s="3"/>
      <c r="X183" s="3"/>
      <c r="Y183" s="3"/>
      <c r="Z183" s="3"/>
    </row>
    <row r="184" spans="1:26" ht="14.4" hidden="1" outlineLevel="1" x14ac:dyDescent="0.3">
      <c r="A184" s="3"/>
      <c r="B184" s="9" t="s">
        <v>1514</v>
      </c>
      <c r="C184" s="53">
        <v>4</v>
      </c>
      <c r="D184" s="53" t="s">
        <v>95</v>
      </c>
      <c r="E184" s="11">
        <v>0</v>
      </c>
      <c r="F184" s="11">
        <v>270</v>
      </c>
      <c r="G184" s="56"/>
      <c r="H184" s="56" t="s">
        <v>37</v>
      </c>
      <c r="I184" s="117" t="s">
        <v>1457</v>
      </c>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865</v>
      </c>
      <c r="C185" s="53">
        <v>8</v>
      </c>
      <c r="D185" s="53" t="s">
        <v>95</v>
      </c>
      <c r="E185" s="11">
        <v>0</v>
      </c>
      <c r="F185" s="11">
        <v>61.87</v>
      </c>
      <c r="G185" s="80" t="s">
        <v>1515</v>
      </c>
      <c r="H185" s="56" t="s">
        <v>37</v>
      </c>
      <c r="I185" s="140" t="s">
        <v>1516</v>
      </c>
      <c r="J185" s="56"/>
      <c r="K185" s="28"/>
      <c r="L185" s="28"/>
      <c r="M185" s="28"/>
      <c r="N185" s="28"/>
      <c r="O185" s="28"/>
      <c r="P185" s="28"/>
      <c r="Q185" s="28"/>
      <c r="R185" s="28"/>
      <c r="S185" s="28"/>
      <c r="T185" s="28"/>
      <c r="U185" s="3"/>
      <c r="W185" s="3"/>
      <c r="X185" s="3"/>
      <c r="Y185" s="3"/>
      <c r="Z185" s="3"/>
    </row>
    <row r="186" spans="1:26" ht="14.4" hidden="1" outlineLevel="1" x14ac:dyDescent="0.3">
      <c r="A186" s="3"/>
      <c r="B186" s="9" t="s">
        <v>1517</v>
      </c>
      <c r="C186" s="53">
        <v>11</v>
      </c>
      <c r="D186" s="53" t="s">
        <v>95</v>
      </c>
      <c r="E186" s="11">
        <v>0</v>
      </c>
      <c r="F186" s="11">
        <v>440</v>
      </c>
      <c r="G186" s="56"/>
      <c r="H186" s="56" t="s">
        <v>37</v>
      </c>
      <c r="I186" s="117" t="s">
        <v>1457</v>
      </c>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1019</v>
      </c>
      <c r="C187" s="53">
        <v>17</v>
      </c>
      <c r="D187" s="53" t="s">
        <v>95</v>
      </c>
      <c r="E187" s="11">
        <v>0</v>
      </c>
      <c r="F187" s="11">
        <v>200</v>
      </c>
      <c r="G187" s="56"/>
      <c r="H187" s="56" t="s">
        <v>37</v>
      </c>
      <c r="I187" s="117" t="s">
        <v>1457</v>
      </c>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1518</v>
      </c>
      <c r="C188" s="53">
        <v>18</v>
      </c>
      <c r="D188" s="53" t="s">
        <v>95</v>
      </c>
      <c r="E188" s="11">
        <v>0</v>
      </c>
      <c r="F188" s="11">
        <v>575.35</v>
      </c>
      <c r="G188" s="56"/>
      <c r="H188" s="56" t="s">
        <v>37</v>
      </c>
      <c r="I188" s="102" t="s">
        <v>1519</v>
      </c>
      <c r="J188" s="56"/>
      <c r="K188" s="28"/>
      <c r="L188" s="28"/>
      <c r="M188" s="28"/>
      <c r="N188" s="28"/>
      <c r="O188" s="28"/>
      <c r="P188" s="28"/>
      <c r="Q188" s="28"/>
      <c r="R188" s="28"/>
      <c r="S188" s="28"/>
      <c r="T188" s="28"/>
      <c r="U188" s="3"/>
      <c r="W188" s="3"/>
      <c r="X188" s="3"/>
      <c r="Y188" s="3"/>
      <c r="Z188" s="3"/>
    </row>
    <row r="189" spans="1:26" ht="14.4" hidden="1" outlineLevel="1" x14ac:dyDescent="0.3">
      <c r="A189" s="3"/>
      <c r="B189" s="9" t="s">
        <v>1520</v>
      </c>
      <c r="C189" s="53">
        <v>18</v>
      </c>
      <c r="D189" s="53" t="s">
        <v>95</v>
      </c>
      <c r="E189" s="11">
        <v>0</v>
      </c>
      <c r="F189" s="11">
        <v>94</v>
      </c>
      <c r="G189" s="56"/>
      <c r="H189" s="56" t="s">
        <v>37</v>
      </c>
      <c r="I189" s="102" t="s">
        <v>1521</v>
      </c>
      <c r="J189" s="56"/>
      <c r="K189" s="28"/>
      <c r="L189" s="28"/>
      <c r="M189" s="28"/>
      <c r="N189" s="28"/>
      <c r="O189" s="28"/>
      <c r="P189" s="28"/>
      <c r="Q189" s="28"/>
      <c r="R189" s="28"/>
      <c r="S189" s="28"/>
      <c r="T189" s="28"/>
      <c r="U189" s="3"/>
      <c r="W189" s="3"/>
      <c r="X189" s="3"/>
      <c r="Y189" s="3"/>
      <c r="Z189" s="3"/>
    </row>
    <row r="190" spans="1:26" ht="14.4" hidden="1" outlineLevel="1" x14ac:dyDescent="0.3">
      <c r="A190" s="3"/>
      <c r="B190" s="9" t="s">
        <v>1520</v>
      </c>
      <c r="C190" s="53">
        <v>18</v>
      </c>
      <c r="D190" s="53" t="s">
        <v>95</v>
      </c>
      <c r="E190" s="11">
        <v>0</v>
      </c>
      <c r="F190" s="11">
        <v>50.7</v>
      </c>
      <c r="G190" s="56"/>
      <c r="H190" s="56" t="s">
        <v>37</v>
      </c>
      <c r="I190" s="102" t="s">
        <v>1522</v>
      </c>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1520</v>
      </c>
      <c r="C191" s="53">
        <v>18</v>
      </c>
      <c r="D191" s="53" t="s">
        <v>95</v>
      </c>
      <c r="E191" s="11">
        <v>0</v>
      </c>
      <c r="F191" s="11">
        <v>55</v>
      </c>
      <c r="G191" s="56"/>
      <c r="H191" s="56" t="s">
        <v>37</v>
      </c>
      <c r="I191" s="102" t="s">
        <v>1523</v>
      </c>
      <c r="J191" s="56"/>
      <c r="K191" s="28"/>
      <c r="L191" s="28"/>
      <c r="M191" s="28"/>
      <c r="N191" s="28"/>
      <c r="O191" s="28"/>
      <c r="P191" s="28"/>
      <c r="Q191" s="28"/>
      <c r="R191" s="28"/>
      <c r="S191" s="28"/>
      <c r="T191" s="28"/>
      <c r="U191" s="3"/>
      <c r="W191" s="3"/>
      <c r="X191" s="3"/>
      <c r="Y191" s="3"/>
      <c r="Z191" s="3"/>
    </row>
    <row r="192" spans="1:26" ht="14.4" hidden="1" outlineLevel="1" x14ac:dyDescent="0.3">
      <c r="A192" s="3"/>
      <c r="B192" s="9" t="s">
        <v>1524</v>
      </c>
      <c r="C192" s="53">
        <v>28</v>
      </c>
      <c r="D192" s="53" t="s">
        <v>95</v>
      </c>
      <c r="E192" s="11">
        <v>0</v>
      </c>
      <c r="F192" s="11">
        <v>300</v>
      </c>
      <c r="G192" s="56"/>
      <c r="H192" s="56" t="s">
        <v>37</v>
      </c>
      <c r="I192" s="117" t="s">
        <v>1457</v>
      </c>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51</v>
      </c>
      <c r="C193" s="53"/>
      <c r="D193" s="53"/>
      <c r="E193" s="11">
        <v>0</v>
      </c>
      <c r="F193" s="11">
        <v>0</v>
      </c>
      <c r="G193" s="56"/>
      <c r="H193" s="56"/>
      <c r="I193" s="102"/>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51</v>
      </c>
      <c r="C194" s="53"/>
      <c r="D194" s="53"/>
      <c r="E194" s="11">
        <v>0</v>
      </c>
      <c r="F194" s="11">
        <v>0</v>
      </c>
      <c r="G194" s="56"/>
      <c r="H194" s="56"/>
      <c r="I194" s="117"/>
      <c r="J194" s="56"/>
      <c r="K194" s="28"/>
      <c r="L194" s="28"/>
      <c r="M194" s="28"/>
      <c r="N194" s="28"/>
      <c r="O194" s="28"/>
      <c r="P194" s="28"/>
      <c r="Q194" s="28"/>
      <c r="R194" s="28"/>
      <c r="S194" s="28"/>
      <c r="T194" s="28"/>
      <c r="U194" s="3"/>
      <c r="W194" s="3"/>
      <c r="X194" s="3"/>
      <c r="Y194" s="3"/>
      <c r="Z194" s="3"/>
    </row>
    <row r="195" spans="1:26" ht="14.4" hidden="1" outlineLevel="1" x14ac:dyDescent="0.3">
      <c r="A195" s="3"/>
      <c r="B195" s="9" t="s">
        <v>51</v>
      </c>
      <c r="C195" s="53"/>
      <c r="D195" s="53"/>
      <c r="E195" s="11">
        <v>0</v>
      </c>
      <c r="F195" s="11">
        <v>0</v>
      </c>
      <c r="G195" s="56"/>
      <c r="H195" s="56"/>
      <c r="I195" s="117"/>
      <c r="J195" s="56"/>
      <c r="K195" s="28"/>
      <c r="L195" s="28"/>
      <c r="M195" s="28"/>
      <c r="N195" s="28"/>
      <c r="O195" s="28"/>
      <c r="P195" s="28"/>
      <c r="Q195" s="28"/>
      <c r="R195" s="28"/>
      <c r="S195" s="28"/>
      <c r="T195" s="28"/>
      <c r="U195" s="3"/>
      <c r="W195" s="3"/>
      <c r="X195" s="3"/>
      <c r="Y195" s="3"/>
      <c r="Z195" s="3"/>
    </row>
    <row r="196" spans="1:26" ht="14.4" hidden="1" outlineLevel="1" x14ac:dyDescent="0.3">
      <c r="A196" s="3"/>
      <c r="B196" s="9" t="s">
        <v>51</v>
      </c>
      <c r="C196" s="53"/>
      <c r="D196" s="53"/>
      <c r="E196" s="11">
        <v>0</v>
      </c>
      <c r="F196" s="11">
        <v>0</v>
      </c>
      <c r="G196" s="56"/>
      <c r="H196" s="56"/>
      <c r="I196" s="102"/>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51</v>
      </c>
      <c r="C197" s="53"/>
      <c r="D197" s="53"/>
      <c r="E197" s="11">
        <v>0</v>
      </c>
      <c r="F197" s="11">
        <v>0</v>
      </c>
      <c r="G197" s="56"/>
      <c r="H197" s="56"/>
      <c r="I197" s="102"/>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51</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51</v>
      </c>
      <c r="C199" s="53"/>
      <c r="D199" s="53"/>
      <c r="E199" s="11">
        <v>0</v>
      </c>
      <c r="F199" s="11">
        <v>0</v>
      </c>
      <c r="G199" s="56"/>
      <c r="H199" s="56"/>
      <c r="I199" s="102"/>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51</v>
      </c>
      <c r="C200" s="53"/>
      <c r="D200" s="53"/>
      <c r="E200" s="11">
        <v>0</v>
      </c>
      <c r="F200" s="11">
        <v>0</v>
      </c>
      <c r="G200" s="56"/>
      <c r="H200" s="56"/>
      <c r="I200" s="102"/>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51</v>
      </c>
      <c r="C201" s="53"/>
      <c r="D201" s="53"/>
      <c r="E201" s="11">
        <v>0</v>
      </c>
      <c r="F201" s="11">
        <v>0</v>
      </c>
      <c r="G201" s="56"/>
      <c r="H201" s="56"/>
      <c r="I201" s="117"/>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102"/>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117"/>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51</v>
      </c>
      <c r="C204" s="53"/>
      <c r="D204" s="53"/>
      <c r="E204" s="11">
        <v>0</v>
      </c>
      <c r="F204" s="11">
        <v>0</v>
      </c>
      <c r="G204" s="56"/>
      <c r="H204" s="56"/>
      <c r="I204" s="117"/>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56"/>
      <c r="H205" s="56"/>
      <c r="I205" s="80"/>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51</v>
      </c>
      <c r="C206" s="53"/>
      <c r="D206" s="53"/>
      <c r="E206" s="11">
        <v>0</v>
      </c>
      <c r="F206" s="11">
        <v>0</v>
      </c>
      <c r="G206" s="56"/>
      <c r="H206" s="56"/>
      <c r="I206" s="80"/>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51</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51</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51</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20.399999999999999" collapsed="1" x14ac:dyDescent="0.3">
      <c r="A210" s="3"/>
      <c r="B210" s="75" t="s">
        <v>395</v>
      </c>
      <c r="C210" s="76" t="s">
        <v>44</v>
      </c>
      <c r="D210" s="76" t="s">
        <v>44</v>
      </c>
      <c r="E210" s="77">
        <f>SUM(E211:E219)</f>
        <v>0</v>
      </c>
      <c r="F210" s="77">
        <f>SUMIF(D211:D219,"OK",F211:F219)</f>
        <v>100</v>
      </c>
      <c r="G210" s="78"/>
      <c r="H210" s="78"/>
      <c r="I210" s="79"/>
      <c r="J210" s="78"/>
      <c r="K210" s="28"/>
      <c r="L210" s="28"/>
      <c r="M210" s="28"/>
      <c r="N210" s="28"/>
      <c r="O210" s="28"/>
      <c r="P210" s="28"/>
      <c r="Q210" s="28"/>
      <c r="R210" s="28"/>
      <c r="S210" s="28"/>
      <c r="T210" s="28"/>
      <c r="U210" s="3"/>
      <c r="W210" s="3"/>
      <c r="X210" s="3"/>
      <c r="Y210" s="3"/>
      <c r="Z210" s="3"/>
    </row>
    <row r="211" spans="1:26" ht="14.4" hidden="1" outlineLevel="1" x14ac:dyDescent="0.3">
      <c r="A211" s="3"/>
      <c r="B211" s="9" t="s">
        <v>867</v>
      </c>
      <c r="C211" s="53">
        <v>11</v>
      </c>
      <c r="D211" s="53" t="s">
        <v>95</v>
      </c>
      <c r="E211" s="11">
        <v>0</v>
      </c>
      <c r="F211" s="11">
        <v>100</v>
      </c>
      <c r="G211" s="56"/>
      <c r="H211" s="56" t="s">
        <v>37</v>
      </c>
      <c r="I211" s="102" t="s">
        <v>1525</v>
      </c>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355</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356</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370</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4.4" hidden="1" outlineLevel="1" x14ac:dyDescent="0.3">
      <c r="A215" s="3"/>
      <c r="B215" s="9" t="s">
        <v>328</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4.4" hidden="1" outlineLevel="1" x14ac:dyDescent="0.3">
      <c r="A216" s="3"/>
      <c r="B216" s="9" t="s">
        <v>329</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14.4" hidden="1" outlineLevel="1" x14ac:dyDescent="0.3">
      <c r="A217" s="3"/>
      <c r="B217" s="9" t="s">
        <v>371</v>
      </c>
      <c r="C217" s="53"/>
      <c r="D217" s="53"/>
      <c r="E217" s="11">
        <v>0</v>
      </c>
      <c r="F217" s="11">
        <v>0</v>
      </c>
      <c r="G217" s="56"/>
      <c r="H217" s="56"/>
      <c r="I217" s="80"/>
      <c r="J217" s="56"/>
      <c r="K217" s="28"/>
      <c r="L217" s="28"/>
      <c r="M217" s="28"/>
      <c r="N217" s="28"/>
      <c r="O217" s="28"/>
      <c r="P217" s="28"/>
      <c r="Q217" s="28"/>
      <c r="R217" s="28"/>
      <c r="S217" s="28"/>
      <c r="T217" s="28"/>
      <c r="U217" s="3"/>
      <c r="W217" s="3"/>
      <c r="X217" s="3"/>
      <c r="Y217" s="3"/>
      <c r="Z217" s="3"/>
    </row>
    <row r="218" spans="1:26" ht="14.4" hidden="1" outlineLevel="1" x14ac:dyDescent="0.3">
      <c r="A218" s="3"/>
      <c r="B218" s="9" t="s">
        <v>372</v>
      </c>
      <c r="C218" s="53"/>
      <c r="D218" s="53"/>
      <c r="E218" s="11">
        <v>0</v>
      </c>
      <c r="F218" s="11">
        <v>0</v>
      </c>
      <c r="G218" s="56"/>
      <c r="H218" s="56"/>
      <c r="I218" s="80"/>
      <c r="J218" s="56"/>
      <c r="K218" s="28"/>
      <c r="L218" s="28"/>
      <c r="M218" s="28"/>
      <c r="N218" s="28"/>
      <c r="O218" s="28"/>
      <c r="P218" s="28"/>
      <c r="Q218" s="28"/>
      <c r="R218" s="28"/>
      <c r="S218" s="28"/>
      <c r="T218" s="28"/>
      <c r="U218" s="3"/>
      <c r="W218" s="3"/>
      <c r="X218" s="3"/>
      <c r="Y218" s="3"/>
      <c r="Z218" s="3"/>
    </row>
    <row r="219" spans="1:26" ht="14.4" hidden="1" outlineLevel="1" x14ac:dyDescent="0.3">
      <c r="A219" s="3"/>
      <c r="B219" s="9" t="s">
        <v>373</v>
      </c>
      <c r="C219" s="53"/>
      <c r="D219" s="53"/>
      <c r="E219" s="11">
        <v>0</v>
      </c>
      <c r="F219" s="11">
        <v>0</v>
      </c>
      <c r="G219" s="56"/>
      <c r="H219" s="56"/>
      <c r="I219" s="80"/>
      <c r="J219" s="56"/>
      <c r="K219" s="28"/>
      <c r="L219" s="28"/>
      <c r="M219" s="28"/>
      <c r="N219" s="28"/>
      <c r="O219" s="28"/>
      <c r="P219" s="28"/>
      <c r="Q219" s="28"/>
      <c r="R219" s="28"/>
      <c r="S219" s="28"/>
      <c r="T219" s="28"/>
      <c r="U219" s="3"/>
      <c r="W219" s="3"/>
      <c r="X219" s="3"/>
      <c r="Y219" s="3"/>
      <c r="Z219" s="3"/>
    </row>
    <row r="220" spans="1:26" ht="20.399999999999999" collapsed="1" x14ac:dyDescent="0.3">
      <c r="A220" s="3"/>
      <c r="B220" s="75" t="s">
        <v>402</v>
      </c>
      <c r="C220" s="76" t="s">
        <v>44</v>
      </c>
      <c r="D220" s="76" t="s">
        <v>44</v>
      </c>
      <c r="E220" s="77">
        <f>SUM(E221:E229)</f>
        <v>0</v>
      </c>
      <c r="F220" s="77">
        <f>SUMIF(D221:D229,"OK",F221:F229)</f>
        <v>0</v>
      </c>
      <c r="G220" s="78"/>
      <c r="H220" s="78"/>
      <c r="I220" s="79"/>
      <c r="J220" s="78"/>
      <c r="K220" s="28"/>
      <c r="L220" s="28"/>
      <c r="M220" s="28"/>
      <c r="N220" s="28"/>
      <c r="O220" s="28"/>
      <c r="P220" s="28"/>
      <c r="Q220" s="28"/>
      <c r="R220" s="28"/>
      <c r="S220" s="28"/>
      <c r="T220" s="28"/>
      <c r="U220" s="3"/>
      <c r="W220" s="3"/>
      <c r="X220" s="3"/>
      <c r="Y220" s="3"/>
      <c r="Z220" s="3"/>
    </row>
    <row r="221" spans="1:26" ht="14.4" hidden="1" outlineLevel="1" x14ac:dyDescent="0.3">
      <c r="A221" s="3"/>
      <c r="B221" s="9" t="s">
        <v>354</v>
      </c>
      <c r="C221" s="53"/>
      <c r="D221" s="53"/>
      <c r="E221" s="11">
        <v>0</v>
      </c>
      <c r="F221" s="11">
        <v>0</v>
      </c>
      <c r="G221" s="56"/>
      <c r="H221" s="56"/>
      <c r="I221" s="102"/>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355</v>
      </c>
      <c r="C222" s="53"/>
      <c r="D222" s="53"/>
      <c r="E222" s="11">
        <v>0</v>
      </c>
      <c r="F222" s="11">
        <v>0</v>
      </c>
      <c r="G222" s="56"/>
      <c r="H222" s="56"/>
      <c r="I222" s="102"/>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356</v>
      </c>
      <c r="C223" s="53"/>
      <c r="D223" s="53"/>
      <c r="E223" s="11">
        <v>0</v>
      </c>
      <c r="F223" s="11">
        <v>0</v>
      </c>
      <c r="G223" s="56"/>
      <c r="H223" s="56"/>
      <c r="I223" s="102"/>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370</v>
      </c>
      <c r="C224" s="53"/>
      <c r="D224" s="53"/>
      <c r="E224" s="11">
        <v>0</v>
      </c>
      <c r="F224" s="11">
        <v>0</v>
      </c>
      <c r="G224" s="56"/>
      <c r="H224" s="56"/>
      <c r="I224" s="102"/>
      <c r="J224" s="56"/>
      <c r="K224" s="28"/>
      <c r="L224" s="28"/>
      <c r="M224" s="28"/>
      <c r="N224" s="28"/>
      <c r="O224" s="28"/>
      <c r="P224" s="28"/>
      <c r="Q224" s="28"/>
      <c r="R224" s="28"/>
      <c r="S224" s="28"/>
      <c r="T224" s="28"/>
      <c r="U224" s="3"/>
      <c r="W224" s="3"/>
      <c r="X224" s="3"/>
      <c r="Y224" s="3"/>
      <c r="Z224" s="3"/>
    </row>
    <row r="225" spans="1:26" ht="14.4" hidden="1" outlineLevel="1" x14ac:dyDescent="0.3">
      <c r="A225" s="3"/>
      <c r="B225" s="9" t="s">
        <v>328</v>
      </c>
      <c r="C225" s="53"/>
      <c r="D225" s="53"/>
      <c r="E225" s="11">
        <v>0</v>
      </c>
      <c r="F225" s="11">
        <v>0</v>
      </c>
      <c r="G225" s="56"/>
      <c r="H225" s="56"/>
      <c r="I225" s="102"/>
      <c r="J225" s="56"/>
      <c r="K225" s="28"/>
      <c r="L225" s="28"/>
      <c r="M225" s="28"/>
      <c r="N225" s="28"/>
      <c r="O225" s="28"/>
      <c r="P225" s="28"/>
      <c r="Q225" s="28"/>
      <c r="R225" s="28"/>
      <c r="S225" s="28"/>
      <c r="T225" s="28"/>
      <c r="U225" s="3"/>
      <c r="W225" s="3"/>
      <c r="X225" s="3"/>
      <c r="Y225" s="3"/>
      <c r="Z225" s="3"/>
    </row>
    <row r="226" spans="1:26" ht="14.4" hidden="1" outlineLevel="1" x14ac:dyDescent="0.3">
      <c r="A226" s="3"/>
      <c r="B226" s="9" t="s">
        <v>329</v>
      </c>
      <c r="C226" s="53"/>
      <c r="D226" s="53"/>
      <c r="E226" s="11">
        <v>0</v>
      </c>
      <c r="F226" s="11">
        <v>0</v>
      </c>
      <c r="G226" s="56"/>
      <c r="H226" s="56"/>
      <c r="I226" s="102"/>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371</v>
      </c>
      <c r="C227" s="53"/>
      <c r="D227" s="53"/>
      <c r="E227" s="11">
        <v>0</v>
      </c>
      <c r="F227" s="11">
        <v>0</v>
      </c>
      <c r="G227" s="56"/>
      <c r="H227" s="56"/>
      <c r="I227" s="102"/>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372</v>
      </c>
      <c r="C228" s="53"/>
      <c r="D228" s="53"/>
      <c r="E228" s="11">
        <v>0</v>
      </c>
      <c r="F228" s="11">
        <v>0</v>
      </c>
      <c r="G228" s="80"/>
      <c r="H228" s="56"/>
      <c r="I228" s="102"/>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373</v>
      </c>
      <c r="C229" s="53"/>
      <c r="D229" s="53"/>
      <c r="E229" s="11">
        <v>0</v>
      </c>
      <c r="F229" s="11">
        <v>0</v>
      </c>
      <c r="G229" s="80"/>
      <c r="H229" s="56"/>
      <c r="I229" s="102"/>
      <c r="J229" s="56"/>
      <c r="K229" s="28"/>
      <c r="L229" s="28"/>
      <c r="M229" s="28"/>
      <c r="N229" s="28"/>
      <c r="O229" s="28"/>
      <c r="P229" s="28"/>
      <c r="Q229" s="28"/>
      <c r="R229" s="28"/>
      <c r="S229" s="28"/>
      <c r="T229" s="28"/>
      <c r="U229" s="3"/>
      <c r="W229" s="3"/>
      <c r="X229" s="3"/>
      <c r="Y229" s="3"/>
      <c r="Z229" s="3"/>
    </row>
    <row r="230" spans="1:26" ht="20.399999999999999" collapsed="1" x14ac:dyDescent="0.3">
      <c r="A230" s="3"/>
      <c r="B230" s="75" t="s">
        <v>403</v>
      </c>
      <c r="C230" s="76" t="s">
        <v>44</v>
      </c>
      <c r="D230" s="76" t="s">
        <v>44</v>
      </c>
      <c r="E230" s="77">
        <f>SUM(E231:E239)</f>
        <v>0</v>
      </c>
      <c r="F230" s="77">
        <f>SUMIF(D231:D239,"OK",F231:F239)</f>
        <v>0</v>
      </c>
      <c r="G230" s="78"/>
      <c r="H230" s="78"/>
      <c r="I230" s="79"/>
      <c r="J230" s="78"/>
      <c r="K230" s="28"/>
      <c r="L230" s="28"/>
      <c r="M230" s="28"/>
      <c r="N230" s="28"/>
      <c r="O230" s="28"/>
      <c r="P230" s="28"/>
      <c r="Q230" s="28"/>
      <c r="R230" s="28"/>
      <c r="S230" s="28"/>
      <c r="T230" s="28"/>
      <c r="U230" s="3"/>
      <c r="W230" s="3"/>
      <c r="X230" s="3"/>
      <c r="Y230" s="3"/>
      <c r="Z230" s="3"/>
    </row>
    <row r="231" spans="1:26" ht="14.4" hidden="1" outlineLevel="1" x14ac:dyDescent="0.3">
      <c r="A231" s="3"/>
      <c r="B231" s="9" t="s">
        <v>354</v>
      </c>
      <c r="C231" s="53"/>
      <c r="D231" s="53"/>
      <c r="E231" s="11">
        <v>0</v>
      </c>
      <c r="F231" s="11">
        <v>0</v>
      </c>
      <c r="G231" s="56"/>
      <c r="H231" s="56"/>
      <c r="I231" s="102"/>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355</v>
      </c>
      <c r="C232" s="53"/>
      <c r="D232" s="53"/>
      <c r="E232" s="11">
        <v>0</v>
      </c>
      <c r="F232" s="11">
        <v>0</v>
      </c>
      <c r="G232" s="56"/>
      <c r="H232" s="56"/>
      <c r="I232" s="102"/>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356</v>
      </c>
      <c r="C233" s="53"/>
      <c r="D233" s="53"/>
      <c r="E233" s="11">
        <v>0</v>
      </c>
      <c r="F233" s="11">
        <v>0</v>
      </c>
      <c r="G233" s="56"/>
      <c r="H233" s="56"/>
      <c r="I233" s="80"/>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370</v>
      </c>
      <c r="C234" s="53"/>
      <c r="D234" s="53"/>
      <c r="E234" s="11">
        <v>0</v>
      </c>
      <c r="F234" s="11">
        <v>0</v>
      </c>
      <c r="G234" s="56"/>
      <c r="H234" s="56"/>
      <c r="I234" s="80"/>
      <c r="J234" s="56"/>
      <c r="K234" s="28"/>
      <c r="L234" s="28"/>
      <c r="M234" s="28"/>
      <c r="N234" s="28"/>
      <c r="O234" s="28"/>
      <c r="P234" s="28"/>
      <c r="Q234" s="28"/>
      <c r="R234" s="28"/>
      <c r="S234" s="28"/>
      <c r="T234" s="28"/>
      <c r="U234" s="3"/>
      <c r="W234" s="3"/>
      <c r="X234" s="3"/>
      <c r="Y234" s="3"/>
      <c r="Z234" s="3"/>
    </row>
    <row r="235" spans="1:26" ht="14.4" hidden="1" outlineLevel="1" x14ac:dyDescent="0.3">
      <c r="A235" s="3"/>
      <c r="B235" s="9" t="s">
        <v>328</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14.4" hidden="1" outlineLevel="1" x14ac:dyDescent="0.3">
      <c r="A236" s="3"/>
      <c r="B236" s="9" t="s">
        <v>329</v>
      </c>
      <c r="C236" s="53"/>
      <c r="D236" s="53"/>
      <c r="E236" s="11">
        <v>0</v>
      </c>
      <c r="F236" s="11">
        <v>0</v>
      </c>
      <c r="G236" s="56"/>
      <c r="H236" s="56"/>
      <c r="I236" s="80"/>
      <c r="J236" s="56"/>
      <c r="K236" s="28"/>
      <c r="L236" s="28"/>
      <c r="M236" s="28"/>
      <c r="N236" s="28"/>
      <c r="O236" s="28"/>
      <c r="P236" s="28"/>
      <c r="Q236" s="28"/>
      <c r="R236" s="28"/>
      <c r="S236" s="28"/>
      <c r="T236" s="28"/>
      <c r="U236" s="3"/>
      <c r="W236" s="3"/>
      <c r="X236" s="3"/>
      <c r="Y236" s="3"/>
      <c r="Z236" s="3"/>
    </row>
    <row r="237" spans="1:26" ht="14.4" hidden="1" outlineLevel="1" x14ac:dyDescent="0.3">
      <c r="A237" s="3"/>
      <c r="B237" s="9" t="s">
        <v>371</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4.4" hidden="1" outlineLevel="1" x14ac:dyDescent="0.3">
      <c r="A238" s="3"/>
      <c r="B238" s="9" t="s">
        <v>372</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373</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20.399999999999999" collapsed="1" x14ac:dyDescent="0.3">
      <c r="A240" s="3"/>
      <c r="B240" s="75" t="s">
        <v>404</v>
      </c>
      <c r="C240" s="76" t="s">
        <v>44</v>
      </c>
      <c r="D240" s="76" t="s">
        <v>44</v>
      </c>
      <c r="E240" s="77">
        <f>SUM(E241:E249)</f>
        <v>0</v>
      </c>
      <c r="F240" s="77">
        <f>SUMIF(D241:D249,"OK",F241:F249)</f>
        <v>160</v>
      </c>
      <c r="G240" s="78"/>
      <c r="H240" s="78"/>
      <c r="I240" s="79"/>
      <c r="J240" s="78"/>
      <c r="K240" s="28"/>
      <c r="L240" s="28"/>
      <c r="M240" s="28"/>
      <c r="N240" s="28"/>
      <c r="O240" s="28"/>
      <c r="P240" s="28"/>
      <c r="Q240" s="28"/>
      <c r="R240" s="28"/>
      <c r="S240" s="28"/>
      <c r="T240" s="28"/>
      <c r="U240" s="3"/>
      <c r="W240" s="3"/>
      <c r="X240" s="3"/>
      <c r="Y240" s="3"/>
      <c r="Z240" s="3"/>
    </row>
    <row r="241" spans="1:26" ht="14.4" hidden="1" outlineLevel="1" x14ac:dyDescent="0.3">
      <c r="A241" s="3"/>
      <c r="B241" s="9" t="s">
        <v>1526</v>
      </c>
      <c r="C241" s="53">
        <v>15</v>
      </c>
      <c r="D241" s="53" t="s">
        <v>95</v>
      </c>
      <c r="E241" s="11">
        <v>0</v>
      </c>
      <c r="F241" s="11">
        <v>80</v>
      </c>
      <c r="G241" s="80" t="s">
        <v>1456</v>
      </c>
      <c r="H241" s="56" t="s">
        <v>37</v>
      </c>
      <c r="I241" s="117" t="s">
        <v>1457</v>
      </c>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1526</v>
      </c>
      <c r="C242" s="53">
        <v>31</v>
      </c>
      <c r="D242" s="53" t="s">
        <v>95</v>
      </c>
      <c r="E242" s="11">
        <v>0</v>
      </c>
      <c r="F242" s="11">
        <v>80</v>
      </c>
      <c r="G242" s="80" t="s">
        <v>1458</v>
      </c>
      <c r="H242" s="56" t="s">
        <v>37</v>
      </c>
      <c r="I242" s="117" t="s">
        <v>1457</v>
      </c>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356</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370</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328</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329</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14.4" hidden="1" outlineLevel="1" x14ac:dyDescent="0.3">
      <c r="A247" s="3"/>
      <c r="B247" s="9" t="s">
        <v>371</v>
      </c>
      <c r="C247" s="53"/>
      <c r="D247" s="53"/>
      <c r="E247" s="11">
        <v>0</v>
      </c>
      <c r="F247" s="11">
        <v>0</v>
      </c>
      <c r="G247" s="56"/>
      <c r="H247" s="56"/>
      <c r="I247" s="80"/>
      <c r="J247" s="56"/>
      <c r="K247" s="28"/>
      <c r="L247" s="28"/>
      <c r="M247" s="28"/>
      <c r="N247" s="28"/>
      <c r="O247" s="28"/>
      <c r="P247" s="28"/>
      <c r="Q247" s="28"/>
      <c r="R247" s="28"/>
      <c r="S247" s="28"/>
      <c r="T247" s="28"/>
      <c r="U247" s="3"/>
      <c r="W247" s="3"/>
      <c r="X247" s="3"/>
      <c r="Y247" s="3"/>
      <c r="Z247" s="3"/>
    </row>
    <row r="248" spans="1:26" ht="14.4" hidden="1" outlineLevel="1" x14ac:dyDescent="0.3">
      <c r="A248" s="3"/>
      <c r="B248" s="9" t="s">
        <v>372</v>
      </c>
      <c r="C248" s="53"/>
      <c r="D248" s="53"/>
      <c r="E248" s="11">
        <v>0</v>
      </c>
      <c r="F248" s="11">
        <v>0</v>
      </c>
      <c r="G248" s="56"/>
      <c r="H248" s="56"/>
      <c r="I248" s="80"/>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373</v>
      </c>
      <c r="C249" s="53"/>
      <c r="D249" s="53"/>
      <c r="E249" s="11">
        <v>0</v>
      </c>
      <c r="F249" s="11">
        <v>0</v>
      </c>
      <c r="G249" s="56"/>
      <c r="H249" s="56"/>
      <c r="I249" s="80"/>
      <c r="J249" s="56"/>
      <c r="K249" s="28"/>
      <c r="L249" s="28"/>
      <c r="M249" s="28"/>
      <c r="N249" s="28"/>
      <c r="O249" s="28"/>
      <c r="P249" s="28"/>
      <c r="Q249" s="28"/>
      <c r="R249" s="28"/>
      <c r="S249" s="28"/>
      <c r="T249" s="28"/>
      <c r="U249" s="3"/>
      <c r="W249" s="3"/>
      <c r="X249" s="3"/>
      <c r="Y249" s="3"/>
      <c r="Z249" s="3"/>
    </row>
    <row r="250" spans="1:26" ht="20.399999999999999" collapsed="1" x14ac:dyDescent="0.3">
      <c r="A250" s="3"/>
      <c r="B250" s="75" t="s">
        <v>406</v>
      </c>
      <c r="C250" s="76" t="s">
        <v>44</v>
      </c>
      <c r="D250" s="76" t="s">
        <v>44</v>
      </c>
      <c r="E250" s="77">
        <f>SUM(E251:E259)</f>
        <v>0</v>
      </c>
      <c r="F250" s="77">
        <f>SUMIF(D251:D259,"OK",F251:F259)</f>
        <v>0</v>
      </c>
      <c r="G250" s="78"/>
      <c r="H250" s="78"/>
      <c r="I250" s="79"/>
      <c r="J250" s="78"/>
      <c r="K250" s="28"/>
      <c r="L250" s="28"/>
      <c r="M250" s="28"/>
      <c r="N250" s="28"/>
      <c r="O250" s="28"/>
      <c r="P250" s="28"/>
      <c r="Q250" s="28"/>
      <c r="R250" s="28"/>
      <c r="S250" s="28"/>
      <c r="T250" s="28"/>
      <c r="U250" s="3"/>
      <c r="W250" s="3"/>
      <c r="X250" s="3"/>
      <c r="Y250" s="3"/>
      <c r="Z250" s="3"/>
    </row>
    <row r="251" spans="1:26" ht="14.4" hidden="1" outlineLevel="1" x14ac:dyDescent="0.3">
      <c r="A251" s="3"/>
      <c r="B251" s="9" t="s">
        <v>354</v>
      </c>
      <c r="C251" s="53"/>
      <c r="D251" s="53"/>
      <c r="E251" s="11">
        <v>0</v>
      </c>
      <c r="F251" s="11">
        <v>0</v>
      </c>
      <c r="G251" s="56"/>
      <c r="H251" s="56"/>
      <c r="I251" s="102"/>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355</v>
      </c>
      <c r="C252" s="53"/>
      <c r="D252" s="53"/>
      <c r="E252" s="11">
        <v>0</v>
      </c>
      <c r="F252" s="11">
        <v>0</v>
      </c>
      <c r="G252" s="56"/>
      <c r="H252" s="56"/>
      <c r="I252" s="80"/>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356</v>
      </c>
      <c r="C253" s="53"/>
      <c r="D253" s="53"/>
      <c r="E253" s="11">
        <v>0</v>
      </c>
      <c r="F253" s="11">
        <v>0</v>
      </c>
      <c r="G253" s="56"/>
      <c r="H253" s="56"/>
      <c r="I253" s="80"/>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370</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328</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t="14.4" hidden="1" outlineLevel="1" x14ac:dyDescent="0.3">
      <c r="A256" s="3"/>
      <c r="B256" s="9" t="s">
        <v>329</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t="14.4" hidden="1" outlineLevel="1" x14ac:dyDescent="0.3">
      <c r="A257" s="3"/>
      <c r="B257" s="9" t="s">
        <v>371</v>
      </c>
      <c r="C257" s="53"/>
      <c r="D257" s="53"/>
      <c r="E257" s="11">
        <v>0</v>
      </c>
      <c r="F257" s="11">
        <v>0</v>
      </c>
      <c r="G257" s="56"/>
      <c r="H257" s="56"/>
      <c r="I257" s="80"/>
      <c r="J257" s="56"/>
      <c r="K257" s="28"/>
      <c r="L257" s="28"/>
      <c r="M257" s="28"/>
      <c r="N257" s="28"/>
      <c r="O257" s="28"/>
      <c r="P257" s="28"/>
      <c r="Q257" s="28"/>
      <c r="R257" s="28"/>
      <c r="S257" s="28"/>
      <c r="T257" s="28"/>
      <c r="U257" s="3"/>
      <c r="W257" s="3"/>
      <c r="X257" s="3"/>
      <c r="Y257" s="3"/>
      <c r="Z257" s="3"/>
    </row>
    <row r="258" spans="1:26" ht="14.4" hidden="1" outlineLevel="1" x14ac:dyDescent="0.3">
      <c r="A258" s="3"/>
      <c r="B258" s="9" t="s">
        <v>372</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373</v>
      </c>
      <c r="C259" s="53"/>
      <c r="D259" s="53"/>
      <c r="E259" s="11">
        <v>0</v>
      </c>
      <c r="F259" s="11">
        <v>0</v>
      </c>
      <c r="G259" s="56"/>
      <c r="H259" s="56"/>
      <c r="I259" s="80"/>
      <c r="J259" s="56"/>
      <c r="K259" s="28"/>
      <c r="L259" s="28"/>
      <c r="M259" s="28"/>
      <c r="N259" s="28"/>
      <c r="O259" s="28"/>
      <c r="P259" s="28"/>
      <c r="Q259" s="28"/>
      <c r="R259" s="28"/>
      <c r="S259" s="28"/>
      <c r="T259" s="28"/>
      <c r="U259" s="3"/>
      <c r="W259" s="3"/>
      <c r="X259" s="3"/>
      <c r="Y259" s="3"/>
      <c r="Z259" s="3"/>
    </row>
    <row r="260" spans="1:26" ht="20.399999999999999" collapsed="1" x14ac:dyDescent="0.3">
      <c r="A260" s="3"/>
      <c r="B260" s="75" t="s">
        <v>409</v>
      </c>
      <c r="C260" s="76" t="s">
        <v>44</v>
      </c>
      <c r="D260" s="76" t="s">
        <v>44</v>
      </c>
      <c r="E260" s="77">
        <f>SUM(E261,E271,E281,E291)</f>
        <v>0</v>
      </c>
      <c r="F260" s="77">
        <f>SUM(F261,F271,F281,F291,F313)</f>
        <v>1519.78</v>
      </c>
      <c r="G260" s="78"/>
      <c r="H260" s="78"/>
      <c r="I260" s="79"/>
      <c r="J260" s="78"/>
      <c r="K260" s="28"/>
      <c r="L260" s="28"/>
      <c r="M260" s="28"/>
      <c r="N260" s="28"/>
      <c r="O260" s="28"/>
      <c r="P260" s="28"/>
      <c r="Q260" s="28"/>
      <c r="R260" s="28"/>
      <c r="S260" s="28"/>
      <c r="T260" s="28"/>
      <c r="U260" s="3"/>
      <c r="W260" s="3"/>
      <c r="X260" s="3"/>
      <c r="Y260" s="3"/>
      <c r="Z260" s="3"/>
    </row>
    <row r="261" spans="1:26" hidden="1" outlineLevel="1" x14ac:dyDescent="0.3">
      <c r="A261" s="3"/>
      <c r="B261" s="82" t="s">
        <v>233</v>
      </c>
      <c r="C261" s="83"/>
      <c r="D261" s="83"/>
      <c r="E261" s="84">
        <f>SUM(E262:E270)</f>
        <v>0</v>
      </c>
      <c r="F261" s="84">
        <f>SUMIF(D262:D270,"OK",F262:F270)</f>
        <v>1009.78</v>
      </c>
      <c r="G261" s="85"/>
      <c r="H261" s="85"/>
      <c r="I261" s="86"/>
      <c r="J261" s="85"/>
      <c r="K261" s="28"/>
      <c r="L261" s="28"/>
      <c r="M261" s="28"/>
      <c r="N261" s="28"/>
      <c r="O261" s="28"/>
      <c r="P261" s="28"/>
      <c r="Q261" s="28"/>
      <c r="R261" s="28"/>
      <c r="S261" s="28"/>
      <c r="T261" s="28"/>
      <c r="U261" s="3"/>
      <c r="W261" s="3"/>
      <c r="X261" s="3"/>
      <c r="Y261" s="3"/>
      <c r="Z261" s="3"/>
    </row>
    <row r="262" spans="1:26" ht="14.4" hidden="1" outlineLevel="1" x14ac:dyDescent="0.3">
      <c r="A262" s="3"/>
      <c r="B262" s="9" t="s">
        <v>650</v>
      </c>
      <c r="C262" s="53">
        <v>1</v>
      </c>
      <c r="D262" s="53" t="s">
        <v>95</v>
      </c>
      <c r="E262" s="11">
        <v>0</v>
      </c>
      <c r="F262" s="11">
        <v>920</v>
      </c>
      <c r="G262" s="56"/>
      <c r="H262" s="56" t="s">
        <v>37</v>
      </c>
      <c r="I262" s="115" t="s">
        <v>1527</v>
      </c>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1528</v>
      </c>
      <c r="C263" s="53">
        <v>24</v>
      </c>
      <c r="D263" s="53" t="s">
        <v>95</v>
      </c>
      <c r="E263" s="11">
        <v>0</v>
      </c>
      <c r="F263" s="11">
        <v>89.78</v>
      </c>
      <c r="G263" s="56"/>
      <c r="H263" s="56" t="s">
        <v>37</v>
      </c>
      <c r="I263" s="115" t="s">
        <v>1529</v>
      </c>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356</v>
      </c>
      <c r="C264" s="53"/>
      <c r="D264" s="53"/>
      <c r="E264" s="11">
        <v>0</v>
      </c>
      <c r="F264" s="11">
        <v>0</v>
      </c>
      <c r="G264" s="56"/>
      <c r="H264" s="56"/>
      <c r="I264" s="115"/>
      <c r="J264" s="56"/>
      <c r="K264" s="28"/>
      <c r="L264" s="28"/>
      <c r="M264" s="28"/>
      <c r="N264" s="28"/>
      <c r="O264" s="28"/>
      <c r="P264" s="28"/>
      <c r="Q264" s="28"/>
      <c r="R264" s="28"/>
      <c r="S264" s="28"/>
      <c r="T264" s="28"/>
      <c r="U264" s="3"/>
      <c r="W264" s="3"/>
      <c r="X264" s="3"/>
      <c r="Y264" s="3"/>
      <c r="Z264" s="3"/>
    </row>
    <row r="265" spans="1:26" ht="14.4" hidden="1" outlineLevel="1" x14ac:dyDescent="0.3">
      <c r="A265" s="3"/>
      <c r="B265" s="9" t="s">
        <v>370</v>
      </c>
      <c r="C265" s="53"/>
      <c r="D265" s="53"/>
      <c r="E265" s="11">
        <v>0</v>
      </c>
      <c r="F265" s="11">
        <v>0</v>
      </c>
      <c r="G265" s="56"/>
      <c r="H265" s="56"/>
      <c r="I265" s="102"/>
      <c r="J265" s="56"/>
      <c r="K265" s="28"/>
      <c r="L265" s="28"/>
      <c r="M265" s="28"/>
      <c r="N265" s="28"/>
      <c r="O265" s="28"/>
      <c r="P265" s="28"/>
      <c r="Q265" s="28"/>
      <c r="R265" s="28"/>
      <c r="S265" s="28"/>
      <c r="T265" s="28"/>
      <c r="U265" s="3"/>
      <c r="W265" s="3"/>
      <c r="X265" s="3"/>
      <c r="Y265" s="3"/>
      <c r="Z265" s="3"/>
    </row>
    <row r="266" spans="1:26" ht="14.4" hidden="1" outlineLevel="1" x14ac:dyDescent="0.3">
      <c r="A266" s="3"/>
      <c r="B266" s="9" t="s">
        <v>328</v>
      </c>
      <c r="C266" s="53"/>
      <c r="D266" s="53"/>
      <c r="E266" s="11">
        <v>0</v>
      </c>
      <c r="F266" s="11">
        <v>0</v>
      </c>
      <c r="G266" s="56"/>
      <c r="H266" s="56"/>
      <c r="I266" s="102"/>
      <c r="J266" s="56"/>
      <c r="K266" s="28"/>
      <c r="L266" s="28"/>
      <c r="M266" s="28"/>
      <c r="N266" s="28"/>
      <c r="O266" s="28"/>
      <c r="P266" s="28"/>
      <c r="Q266" s="28"/>
      <c r="R266" s="28"/>
      <c r="S266" s="28"/>
      <c r="T266" s="28"/>
      <c r="U266" s="3"/>
      <c r="W266" s="3"/>
      <c r="X266" s="3"/>
      <c r="Y266" s="3"/>
      <c r="Z266" s="3"/>
    </row>
    <row r="267" spans="1:26" ht="14.4" hidden="1" outlineLevel="1" x14ac:dyDescent="0.3">
      <c r="A267" s="3"/>
      <c r="B267" s="9" t="s">
        <v>329</v>
      </c>
      <c r="C267" s="53"/>
      <c r="D267" s="53"/>
      <c r="E267" s="11">
        <v>0</v>
      </c>
      <c r="F267" s="11">
        <v>0</v>
      </c>
      <c r="G267" s="56"/>
      <c r="H267" s="56"/>
      <c r="I267" s="80"/>
      <c r="J267" s="56"/>
      <c r="K267" s="28"/>
      <c r="L267" s="28"/>
      <c r="M267" s="28"/>
      <c r="N267" s="28"/>
      <c r="O267" s="28"/>
      <c r="P267" s="28"/>
      <c r="Q267" s="28"/>
      <c r="R267" s="28"/>
      <c r="S267" s="28"/>
      <c r="T267" s="28"/>
      <c r="U267" s="3"/>
      <c r="W267" s="3"/>
      <c r="X267" s="3"/>
      <c r="Y267" s="3"/>
      <c r="Z267" s="3"/>
    </row>
    <row r="268" spans="1:26" ht="14.4" hidden="1" outlineLevel="1" x14ac:dyDescent="0.3">
      <c r="A268" s="3"/>
      <c r="B268" s="9" t="s">
        <v>371</v>
      </c>
      <c r="C268" s="53"/>
      <c r="D268" s="53"/>
      <c r="E268" s="11">
        <v>0</v>
      </c>
      <c r="F268" s="11">
        <v>0</v>
      </c>
      <c r="G268" s="56"/>
      <c r="H268" s="56"/>
      <c r="I268" s="80"/>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372</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t="14.4" hidden="1" outlineLevel="1" x14ac:dyDescent="0.3">
      <c r="A270" s="3"/>
      <c r="B270" s="9" t="s">
        <v>373</v>
      </c>
      <c r="C270" s="53"/>
      <c r="D270" s="53"/>
      <c r="E270" s="11">
        <v>0</v>
      </c>
      <c r="F270" s="11">
        <v>0</v>
      </c>
      <c r="G270" s="56"/>
      <c r="H270" s="56"/>
      <c r="I270" s="80"/>
      <c r="J270" s="56"/>
      <c r="K270" s="28"/>
      <c r="L270" s="28"/>
      <c r="M270" s="28"/>
      <c r="N270" s="28"/>
      <c r="O270" s="28"/>
      <c r="P270" s="28"/>
      <c r="Q270" s="28"/>
      <c r="R270" s="28"/>
      <c r="S270" s="28"/>
      <c r="T270" s="28"/>
      <c r="U270" s="3"/>
      <c r="W270" s="3"/>
      <c r="X270" s="3"/>
      <c r="Y270" s="3"/>
      <c r="Z270" s="3"/>
    </row>
    <row r="271" spans="1:26" hidden="1" outlineLevel="1" x14ac:dyDescent="0.3">
      <c r="A271" s="3"/>
      <c r="B271" s="82" t="s">
        <v>652</v>
      </c>
      <c r="C271" s="83"/>
      <c r="D271" s="83"/>
      <c r="E271" s="84">
        <f>SUM(E272:E280)</f>
        <v>0</v>
      </c>
      <c r="F271" s="84">
        <f>SUMIF(D272:D280,"OK",F272:F280)</f>
        <v>0</v>
      </c>
      <c r="G271" s="85"/>
      <c r="H271" s="85"/>
      <c r="I271" s="86"/>
      <c r="J271" s="85"/>
      <c r="K271" s="28"/>
      <c r="L271" s="28"/>
      <c r="M271" s="28"/>
      <c r="N271" s="28"/>
      <c r="O271" s="28"/>
      <c r="P271" s="28"/>
      <c r="Q271" s="28"/>
      <c r="R271" s="28"/>
      <c r="S271" s="28"/>
      <c r="T271" s="28"/>
      <c r="U271" s="3"/>
      <c r="W271" s="3"/>
      <c r="X271" s="3"/>
      <c r="Y271" s="3"/>
      <c r="Z271" s="3"/>
    </row>
    <row r="272" spans="1:26" ht="14.4" hidden="1" outlineLevel="1" x14ac:dyDescent="0.3">
      <c r="A272" s="3"/>
      <c r="B272" s="9" t="s">
        <v>354</v>
      </c>
      <c r="C272" s="53"/>
      <c r="D272" s="53"/>
      <c r="E272" s="11">
        <v>0</v>
      </c>
      <c r="F272" s="11">
        <v>0</v>
      </c>
      <c r="G272" s="56"/>
      <c r="H272" s="56"/>
      <c r="I272" s="102"/>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355</v>
      </c>
      <c r="C273" s="53"/>
      <c r="D273" s="53"/>
      <c r="E273" s="11">
        <v>0</v>
      </c>
      <c r="F273" s="11">
        <v>0</v>
      </c>
      <c r="G273" s="56"/>
      <c r="H273" s="56"/>
      <c r="I273" s="102"/>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356</v>
      </c>
      <c r="C274" s="53"/>
      <c r="D274" s="53"/>
      <c r="E274" s="11">
        <v>0</v>
      </c>
      <c r="F274" s="11">
        <v>0</v>
      </c>
      <c r="G274" s="56"/>
      <c r="H274" s="56"/>
      <c r="I274" s="102"/>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370</v>
      </c>
      <c r="C275" s="53"/>
      <c r="D275" s="53"/>
      <c r="E275" s="11">
        <v>0</v>
      </c>
      <c r="F275" s="11">
        <v>0</v>
      </c>
      <c r="G275" s="56"/>
      <c r="H275" s="56"/>
      <c r="I275" s="102"/>
      <c r="J275" s="56"/>
      <c r="K275" s="28"/>
      <c r="L275" s="28"/>
      <c r="M275" s="28"/>
      <c r="N275" s="28"/>
      <c r="O275" s="28"/>
      <c r="P275" s="28"/>
      <c r="Q275" s="28"/>
      <c r="R275" s="28"/>
      <c r="S275" s="28"/>
      <c r="T275" s="28"/>
      <c r="U275" s="3"/>
      <c r="W275" s="3"/>
      <c r="X275" s="3"/>
      <c r="Y275" s="3"/>
      <c r="Z275" s="3"/>
    </row>
    <row r="276" spans="1:26" ht="14.4" hidden="1" outlineLevel="1" x14ac:dyDescent="0.3">
      <c r="A276" s="3"/>
      <c r="B276" s="9" t="s">
        <v>328</v>
      </c>
      <c r="C276" s="53"/>
      <c r="D276" s="53"/>
      <c r="E276" s="11">
        <v>0</v>
      </c>
      <c r="F276" s="11">
        <v>0</v>
      </c>
      <c r="G276" s="56"/>
      <c r="H276" s="56"/>
      <c r="I276" s="102"/>
      <c r="J276" s="56"/>
      <c r="K276" s="28"/>
      <c r="L276" s="28"/>
      <c r="M276" s="28"/>
      <c r="N276" s="28"/>
      <c r="O276" s="28"/>
      <c r="P276" s="28"/>
      <c r="Q276" s="28"/>
      <c r="R276" s="28"/>
      <c r="S276" s="28"/>
      <c r="T276" s="28"/>
      <c r="U276" s="3"/>
      <c r="W276" s="3"/>
      <c r="X276" s="3"/>
      <c r="Y276" s="3"/>
      <c r="Z276" s="3"/>
    </row>
    <row r="277" spans="1:26" ht="14.4" hidden="1" outlineLevel="1" x14ac:dyDescent="0.3">
      <c r="A277" s="3"/>
      <c r="B277" s="9" t="s">
        <v>329</v>
      </c>
      <c r="C277" s="53"/>
      <c r="D277" s="53"/>
      <c r="E277" s="11">
        <v>0</v>
      </c>
      <c r="F277" s="11">
        <v>0</v>
      </c>
      <c r="G277" s="56"/>
      <c r="H277" s="56"/>
      <c r="I277" s="102"/>
      <c r="J277" s="56"/>
      <c r="K277" s="28"/>
      <c r="L277" s="28"/>
      <c r="M277" s="28"/>
      <c r="N277" s="28"/>
      <c r="O277" s="28"/>
      <c r="P277" s="28"/>
      <c r="Q277" s="28"/>
      <c r="R277" s="28"/>
      <c r="S277" s="28"/>
      <c r="T277" s="28"/>
      <c r="U277" s="3"/>
      <c r="W277" s="3"/>
      <c r="X277" s="3"/>
      <c r="Y277" s="3"/>
      <c r="Z277" s="3"/>
    </row>
    <row r="278" spans="1:26" ht="14.4" hidden="1" outlineLevel="1" x14ac:dyDescent="0.3">
      <c r="A278" s="3"/>
      <c r="B278" s="9" t="s">
        <v>371</v>
      </c>
      <c r="C278" s="53"/>
      <c r="D278" s="53"/>
      <c r="E278" s="11">
        <v>0</v>
      </c>
      <c r="F278" s="11">
        <v>0</v>
      </c>
      <c r="G278" s="56"/>
      <c r="H278" s="56"/>
      <c r="I278" s="102"/>
      <c r="J278" s="56"/>
      <c r="K278" s="28"/>
      <c r="L278" s="28"/>
      <c r="M278" s="28"/>
      <c r="N278" s="28"/>
      <c r="O278" s="28"/>
      <c r="P278" s="28"/>
      <c r="Q278" s="28"/>
      <c r="R278" s="28"/>
      <c r="S278" s="28"/>
      <c r="T278" s="28"/>
      <c r="U278" s="3"/>
      <c r="W278" s="3"/>
      <c r="X278" s="3"/>
      <c r="Y278" s="3"/>
      <c r="Z278" s="3"/>
    </row>
    <row r="279" spans="1:26" ht="14.4" hidden="1" outlineLevel="1" x14ac:dyDescent="0.3">
      <c r="A279" s="3"/>
      <c r="B279" s="9" t="s">
        <v>372</v>
      </c>
      <c r="C279" s="53"/>
      <c r="D279" s="53"/>
      <c r="E279" s="11">
        <v>0</v>
      </c>
      <c r="F279" s="11">
        <v>0</v>
      </c>
      <c r="G279" s="56"/>
      <c r="H279" s="56"/>
      <c r="I279" s="102"/>
      <c r="J279" s="56"/>
      <c r="K279" s="28"/>
      <c r="L279" s="28"/>
      <c r="M279" s="28"/>
      <c r="N279" s="28"/>
      <c r="O279" s="28"/>
      <c r="P279" s="28"/>
      <c r="Q279" s="28"/>
      <c r="R279" s="28"/>
      <c r="S279" s="28"/>
      <c r="T279" s="28"/>
      <c r="U279" s="3"/>
      <c r="W279" s="3"/>
      <c r="X279" s="3"/>
      <c r="Y279" s="3"/>
      <c r="Z279" s="3"/>
    </row>
    <row r="280" spans="1:26" ht="14.4" hidden="1" outlineLevel="1" x14ac:dyDescent="0.3">
      <c r="A280" s="3"/>
      <c r="B280" s="9" t="s">
        <v>373</v>
      </c>
      <c r="C280" s="53"/>
      <c r="D280" s="53"/>
      <c r="E280" s="11">
        <v>0</v>
      </c>
      <c r="F280" s="11">
        <v>0</v>
      </c>
      <c r="G280" s="56"/>
      <c r="H280" s="56"/>
      <c r="I280" s="80"/>
      <c r="J280" s="56"/>
      <c r="K280" s="28"/>
      <c r="L280" s="28"/>
      <c r="M280" s="28"/>
      <c r="N280" s="28"/>
      <c r="O280" s="28"/>
      <c r="P280" s="28"/>
      <c r="Q280" s="28"/>
      <c r="R280" s="28"/>
      <c r="S280" s="28"/>
      <c r="T280" s="28"/>
      <c r="U280" s="3"/>
      <c r="W280" s="3"/>
      <c r="X280" s="3"/>
      <c r="Y280" s="3"/>
      <c r="Z280" s="3"/>
    </row>
    <row r="281" spans="1:26" hidden="1" outlineLevel="1" x14ac:dyDescent="0.3">
      <c r="A281" s="3"/>
      <c r="B281" s="82" t="s">
        <v>1025</v>
      </c>
      <c r="C281" s="83"/>
      <c r="D281" s="83"/>
      <c r="E281" s="84">
        <f>SUM(E282:E290)</f>
        <v>0</v>
      </c>
      <c r="F281" s="84">
        <f>SUMIF(D282:D290,"OK",F282:F290)</f>
        <v>0</v>
      </c>
      <c r="G281" s="85"/>
      <c r="H281" s="85"/>
      <c r="I281" s="86"/>
      <c r="J281" s="85"/>
      <c r="K281" s="28"/>
      <c r="L281" s="28"/>
      <c r="M281" s="28"/>
      <c r="N281" s="28"/>
      <c r="O281" s="28"/>
      <c r="P281" s="28"/>
      <c r="Q281" s="28"/>
      <c r="R281" s="28"/>
      <c r="S281" s="28"/>
      <c r="T281" s="28"/>
      <c r="U281" s="3"/>
      <c r="W281" s="3"/>
      <c r="X281" s="3"/>
      <c r="Y281" s="3"/>
      <c r="Z281" s="3"/>
    </row>
    <row r="282" spans="1:26" ht="14.4" hidden="1" outlineLevel="1" x14ac:dyDescent="0.3">
      <c r="A282" s="3"/>
      <c r="B282" s="9" t="s">
        <v>354</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ht="14.4" hidden="1" outlineLevel="1" x14ac:dyDescent="0.3">
      <c r="A283" s="3"/>
      <c r="B283" s="9" t="s">
        <v>355</v>
      </c>
      <c r="C283" s="53"/>
      <c r="D283" s="53"/>
      <c r="E283" s="11">
        <v>0</v>
      </c>
      <c r="F283" s="11">
        <v>0</v>
      </c>
      <c r="G283" s="56"/>
      <c r="H283" s="56"/>
      <c r="I283" s="80"/>
      <c r="J283" s="56"/>
      <c r="K283" s="28"/>
      <c r="L283" s="28"/>
      <c r="M283" s="28"/>
      <c r="N283" s="28"/>
      <c r="O283" s="28"/>
      <c r="P283" s="28"/>
      <c r="Q283" s="28"/>
      <c r="R283" s="28"/>
      <c r="S283" s="28"/>
      <c r="T283" s="28"/>
      <c r="U283" s="3"/>
      <c r="W283" s="3"/>
      <c r="X283" s="3"/>
      <c r="Y283" s="3"/>
      <c r="Z283" s="3"/>
    </row>
    <row r="284" spans="1:26" ht="14.4" hidden="1" outlineLevel="1" x14ac:dyDescent="0.3">
      <c r="A284" s="3"/>
      <c r="B284" s="9" t="s">
        <v>356</v>
      </c>
      <c r="C284" s="53"/>
      <c r="D284" s="53"/>
      <c r="E284" s="11">
        <v>0</v>
      </c>
      <c r="F284" s="11">
        <v>0</v>
      </c>
      <c r="G284" s="56"/>
      <c r="H284" s="56"/>
      <c r="I284" s="80"/>
      <c r="J284" s="56"/>
      <c r="K284" s="28"/>
      <c r="L284" s="28"/>
      <c r="M284" s="28"/>
      <c r="N284" s="28"/>
      <c r="O284" s="28"/>
      <c r="P284" s="28"/>
      <c r="Q284" s="28"/>
      <c r="R284" s="28"/>
      <c r="S284" s="28"/>
      <c r="T284" s="28"/>
      <c r="U284" s="3"/>
      <c r="W284" s="3"/>
      <c r="X284" s="3"/>
      <c r="Y284" s="3"/>
      <c r="Z284" s="3"/>
    </row>
    <row r="285" spans="1:26" ht="14.4" hidden="1" outlineLevel="1" x14ac:dyDescent="0.3">
      <c r="A285" s="3"/>
      <c r="B285" s="9" t="s">
        <v>370</v>
      </c>
      <c r="C285" s="53"/>
      <c r="D285" s="53"/>
      <c r="E285" s="11">
        <v>0</v>
      </c>
      <c r="F285" s="11">
        <v>0</v>
      </c>
      <c r="G285" s="56"/>
      <c r="H285" s="56"/>
      <c r="I285" s="80"/>
      <c r="J285" s="56"/>
      <c r="K285" s="28"/>
      <c r="L285" s="28"/>
      <c r="M285" s="28"/>
      <c r="N285" s="28"/>
      <c r="O285" s="28"/>
      <c r="P285" s="28"/>
      <c r="Q285" s="28"/>
      <c r="R285" s="28"/>
      <c r="S285" s="28"/>
      <c r="T285" s="28"/>
      <c r="U285" s="3"/>
      <c r="W285" s="3"/>
      <c r="X285" s="3"/>
      <c r="Y285" s="3"/>
      <c r="Z285" s="3"/>
    </row>
    <row r="286" spans="1:26" ht="14.4" hidden="1" outlineLevel="1" x14ac:dyDescent="0.3">
      <c r="A286" s="3"/>
      <c r="B286" s="9" t="s">
        <v>328</v>
      </c>
      <c r="C286" s="53"/>
      <c r="D286" s="53"/>
      <c r="E286" s="11">
        <v>0</v>
      </c>
      <c r="F286" s="11">
        <v>0</v>
      </c>
      <c r="G286" s="56"/>
      <c r="H286" s="56"/>
      <c r="I286" s="80"/>
      <c r="J286" s="56"/>
      <c r="K286" s="28"/>
      <c r="L286" s="28"/>
      <c r="M286" s="28"/>
      <c r="N286" s="28"/>
      <c r="O286" s="28"/>
      <c r="P286" s="28"/>
      <c r="Q286" s="28"/>
      <c r="R286" s="28"/>
      <c r="S286" s="28"/>
      <c r="T286" s="28"/>
      <c r="U286" s="3"/>
      <c r="W286" s="3"/>
      <c r="X286" s="3"/>
      <c r="Y286" s="3"/>
      <c r="Z286" s="3"/>
    </row>
    <row r="287" spans="1:26" ht="14.4" hidden="1" outlineLevel="1" x14ac:dyDescent="0.3">
      <c r="A287" s="3"/>
      <c r="B287" s="9" t="s">
        <v>329</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4.4" hidden="1" outlineLevel="1" x14ac:dyDescent="0.3">
      <c r="A288" s="3"/>
      <c r="B288" s="9" t="s">
        <v>371</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4.4" hidden="1" outlineLevel="1" x14ac:dyDescent="0.3">
      <c r="A289" s="3"/>
      <c r="B289" s="9" t="s">
        <v>372</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4.4" hidden="1" outlineLevel="1" x14ac:dyDescent="0.3">
      <c r="A290" s="3"/>
      <c r="B290" s="9" t="s">
        <v>373</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idden="1" outlineLevel="1" x14ac:dyDescent="0.3">
      <c r="A291" s="3"/>
      <c r="B291" s="82" t="s">
        <v>65</v>
      </c>
      <c r="C291" s="83"/>
      <c r="D291" s="83"/>
      <c r="E291" s="84">
        <f>SUM(E292:E312)</f>
        <v>0</v>
      </c>
      <c r="F291" s="84">
        <f>SUMIF(D292:D312,"OK",F292:F312)</f>
        <v>0</v>
      </c>
      <c r="G291" s="85"/>
      <c r="H291" s="85"/>
      <c r="I291" s="86"/>
      <c r="J291" s="85"/>
      <c r="K291" s="28"/>
      <c r="L291" s="28"/>
      <c r="M291" s="28"/>
      <c r="N291" s="28"/>
      <c r="O291" s="28"/>
      <c r="P291" s="28"/>
      <c r="Q291" s="28"/>
      <c r="R291" s="28"/>
      <c r="S291" s="28"/>
      <c r="T291" s="28"/>
      <c r="U291" s="3"/>
      <c r="W291" s="3"/>
      <c r="X291" s="3"/>
      <c r="Y291" s="3"/>
      <c r="Z291" s="3"/>
    </row>
    <row r="292" spans="1:26" ht="14.4" hidden="1" outlineLevel="1" x14ac:dyDescent="0.3">
      <c r="A292" s="3"/>
      <c r="B292" s="9" t="s">
        <v>51</v>
      </c>
      <c r="C292" s="53"/>
      <c r="D292" s="53"/>
      <c r="E292" s="11">
        <v>0</v>
      </c>
      <c r="F292" s="11">
        <v>0</v>
      </c>
      <c r="G292" s="56"/>
      <c r="H292" s="56"/>
      <c r="I292" s="102"/>
      <c r="J292" s="56"/>
      <c r="K292" s="28"/>
      <c r="L292" s="28"/>
      <c r="M292" s="28"/>
      <c r="N292" s="28"/>
      <c r="O292" s="28"/>
      <c r="P292" s="28"/>
      <c r="Q292" s="28"/>
      <c r="R292" s="28"/>
      <c r="S292" s="28"/>
      <c r="T292" s="28"/>
      <c r="U292" s="3"/>
      <c r="W292" s="3"/>
      <c r="X292" s="3"/>
      <c r="Y292" s="3"/>
      <c r="Z292" s="3"/>
    </row>
    <row r="293" spans="1:26" ht="14.4" hidden="1" outlineLevel="1" x14ac:dyDescent="0.3">
      <c r="A293" s="3"/>
      <c r="B293" s="9" t="s">
        <v>51</v>
      </c>
      <c r="C293" s="53"/>
      <c r="D293" s="53"/>
      <c r="E293" s="11">
        <v>0</v>
      </c>
      <c r="F293" s="11">
        <v>0</v>
      </c>
      <c r="G293" s="56"/>
      <c r="H293" s="56"/>
      <c r="I293" s="102"/>
      <c r="J293" s="56"/>
      <c r="K293" s="28"/>
      <c r="L293" s="28"/>
      <c r="M293" s="28"/>
      <c r="N293" s="28"/>
      <c r="O293" s="28"/>
      <c r="P293" s="28"/>
      <c r="Q293" s="28"/>
      <c r="R293" s="28"/>
      <c r="S293" s="28"/>
      <c r="T293" s="28"/>
      <c r="U293" s="3"/>
      <c r="W293" s="3"/>
      <c r="X293" s="3"/>
      <c r="Y293" s="3"/>
      <c r="Z293" s="3"/>
    </row>
    <row r="294" spans="1:26" ht="14.4" hidden="1" outlineLevel="1" x14ac:dyDescent="0.3">
      <c r="A294" s="3"/>
      <c r="B294" s="9" t="s">
        <v>51</v>
      </c>
      <c r="C294" s="53"/>
      <c r="D294" s="53"/>
      <c r="E294" s="11">
        <v>0</v>
      </c>
      <c r="F294" s="11">
        <v>0</v>
      </c>
      <c r="G294" s="56"/>
      <c r="H294" s="56"/>
      <c r="I294" s="102"/>
      <c r="J294" s="56"/>
      <c r="K294" s="28"/>
      <c r="L294" s="28"/>
      <c r="M294" s="28"/>
      <c r="N294" s="28"/>
      <c r="O294" s="28"/>
      <c r="P294" s="28"/>
      <c r="Q294" s="28"/>
      <c r="R294" s="28"/>
      <c r="S294" s="28"/>
      <c r="T294" s="28"/>
      <c r="U294" s="3"/>
      <c r="W294" s="3"/>
      <c r="X294" s="3"/>
      <c r="Y294" s="3"/>
      <c r="Z294" s="3"/>
    </row>
    <row r="295" spans="1:26" ht="14.4" hidden="1" outlineLevel="1" x14ac:dyDescent="0.3">
      <c r="A295" s="3"/>
      <c r="B295" s="9" t="s">
        <v>51</v>
      </c>
      <c r="C295" s="53"/>
      <c r="D295" s="53"/>
      <c r="E295" s="11">
        <v>0</v>
      </c>
      <c r="F295" s="11">
        <v>0</v>
      </c>
      <c r="G295" s="56"/>
      <c r="H295" s="56"/>
      <c r="I295" s="102"/>
      <c r="J295" s="56"/>
      <c r="K295" s="28"/>
      <c r="L295" s="28"/>
      <c r="M295" s="28"/>
      <c r="N295" s="28"/>
      <c r="O295" s="28"/>
      <c r="P295" s="28"/>
      <c r="Q295" s="28"/>
      <c r="R295" s="28"/>
      <c r="S295" s="28"/>
      <c r="T295" s="28"/>
      <c r="U295" s="3"/>
      <c r="W295" s="3"/>
      <c r="X295" s="3"/>
      <c r="Y295" s="3"/>
      <c r="Z295" s="3"/>
    </row>
    <row r="296" spans="1:26" ht="14.4" hidden="1" outlineLevel="1" x14ac:dyDescent="0.3">
      <c r="A296" s="3"/>
      <c r="B296" s="9" t="s">
        <v>51</v>
      </c>
      <c r="C296" s="53"/>
      <c r="D296" s="53"/>
      <c r="E296" s="11">
        <v>0</v>
      </c>
      <c r="F296" s="11">
        <v>0</v>
      </c>
      <c r="G296" s="80"/>
      <c r="H296" s="56"/>
      <c r="I296" s="102"/>
      <c r="J296" s="56"/>
      <c r="K296" s="28"/>
      <c r="L296" s="28"/>
      <c r="M296" s="28"/>
      <c r="N296" s="28"/>
      <c r="O296" s="28"/>
      <c r="P296" s="28"/>
      <c r="Q296" s="28"/>
      <c r="R296" s="28"/>
      <c r="S296" s="28"/>
      <c r="T296" s="28"/>
      <c r="U296" s="3"/>
      <c r="W296" s="3"/>
      <c r="X296" s="3"/>
      <c r="Y296" s="3"/>
      <c r="Z296" s="3"/>
    </row>
    <row r="297" spans="1:26" ht="14.4" hidden="1" outlineLevel="1" x14ac:dyDescent="0.3">
      <c r="A297" s="3"/>
      <c r="B297" s="9" t="s">
        <v>51</v>
      </c>
      <c r="C297" s="53"/>
      <c r="D297" s="53"/>
      <c r="E297" s="11">
        <v>0</v>
      </c>
      <c r="F297" s="11">
        <v>0</v>
      </c>
      <c r="G297" s="56"/>
      <c r="H297" s="56"/>
      <c r="I297" s="102"/>
      <c r="J297" s="56"/>
      <c r="K297" s="28"/>
      <c r="L297" s="28"/>
      <c r="M297" s="28"/>
      <c r="N297" s="28"/>
      <c r="O297" s="28"/>
      <c r="P297" s="28"/>
      <c r="Q297" s="28"/>
      <c r="R297" s="28"/>
      <c r="S297" s="28"/>
      <c r="T297" s="28"/>
      <c r="U297" s="3"/>
      <c r="W297" s="3"/>
      <c r="X297" s="3"/>
      <c r="Y297" s="3"/>
      <c r="Z297" s="3"/>
    </row>
    <row r="298" spans="1:26" ht="14.4" hidden="1" outlineLevel="1" x14ac:dyDescent="0.3">
      <c r="A298" s="3"/>
      <c r="B298" s="9" t="s">
        <v>51</v>
      </c>
      <c r="C298" s="53"/>
      <c r="D298" s="53"/>
      <c r="E298" s="11">
        <v>0</v>
      </c>
      <c r="F298" s="11">
        <v>0</v>
      </c>
      <c r="G298" s="56"/>
      <c r="H298" s="56"/>
      <c r="I298" s="102"/>
      <c r="J298" s="56"/>
      <c r="K298" s="28"/>
      <c r="L298" s="28"/>
      <c r="M298" s="28"/>
      <c r="N298" s="28"/>
      <c r="O298" s="28"/>
      <c r="P298" s="28"/>
      <c r="Q298" s="28"/>
      <c r="R298" s="28"/>
      <c r="S298" s="28"/>
      <c r="T298" s="28"/>
      <c r="U298" s="3"/>
      <c r="W298" s="3"/>
      <c r="X298" s="3"/>
      <c r="Y298" s="3"/>
      <c r="Z298" s="3"/>
    </row>
    <row r="299" spans="1:26" ht="14.4" hidden="1" outlineLevel="1" x14ac:dyDescent="0.3">
      <c r="A299" s="3"/>
      <c r="B299" s="9" t="s">
        <v>51</v>
      </c>
      <c r="C299" s="53"/>
      <c r="D299" s="53"/>
      <c r="E299" s="11">
        <v>0</v>
      </c>
      <c r="F299" s="11">
        <v>0</v>
      </c>
      <c r="G299" s="56"/>
      <c r="H299" s="56"/>
      <c r="I299" s="102"/>
      <c r="J299" s="56"/>
      <c r="K299" s="28"/>
      <c r="L299" s="28"/>
      <c r="M299" s="28"/>
      <c r="N299" s="28"/>
      <c r="O299" s="28"/>
      <c r="P299" s="28"/>
      <c r="Q299" s="28"/>
      <c r="R299" s="28"/>
      <c r="S299" s="28"/>
      <c r="T299" s="28"/>
      <c r="U299" s="3"/>
      <c r="W299" s="3"/>
      <c r="X299" s="3"/>
      <c r="Y299" s="3"/>
      <c r="Z299" s="3"/>
    </row>
    <row r="300" spans="1:26" ht="14.4" hidden="1" outlineLevel="1" x14ac:dyDescent="0.3">
      <c r="A300" s="3"/>
      <c r="B300" s="9" t="s">
        <v>51</v>
      </c>
      <c r="C300" s="53"/>
      <c r="D300" s="53"/>
      <c r="E300" s="11">
        <v>0</v>
      </c>
      <c r="F300" s="11">
        <v>0</v>
      </c>
      <c r="G300" s="56"/>
      <c r="H300" s="56"/>
      <c r="I300" s="102"/>
      <c r="J300" s="56"/>
      <c r="K300" s="28"/>
      <c r="L300" s="28"/>
      <c r="M300" s="28"/>
      <c r="N300" s="28"/>
      <c r="O300" s="28"/>
      <c r="P300" s="28"/>
      <c r="Q300" s="28"/>
      <c r="R300" s="28"/>
      <c r="S300" s="28"/>
      <c r="T300" s="28"/>
      <c r="U300" s="3"/>
      <c r="W300" s="3"/>
      <c r="X300" s="3"/>
      <c r="Y300" s="3"/>
      <c r="Z300" s="3"/>
    </row>
    <row r="301" spans="1:26" ht="14.4" hidden="1" outlineLevel="1" x14ac:dyDescent="0.3">
      <c r="A301" s="3"/>
      <c r="B301" s="9" t="s">
        <v>51</v>
      </c>
      <c r="C301" s="53"/>
      <c r="D301" s="53"/>
      <c r="E301" s="11">
        <v>0</v>
      </c>
      <c r="F301" s="11">
        <v>0</v>
      </c>
      <c r="G301" s="56"/>
      <c r="H301" s="56"/>
      <c r="I301" s="102"/>
      <c r="J301" s="56"/>
      <c r="K301" s="28"/>
      <c r="L301" s="28"/>
      <c r="M301" s="28"/>
      <c r="N301" s="28"/>
      <c r="O301" s="28"/>
      <c r="P301" s="28"/>
      <c r="Q301" s="28"/>
      <c r="R301" s="28"/>
      <c r="S301" s="28"/>
      <c r="T301" s="28"/>
      <c r="U301" s="3"/>
      <c r="W301" s="3"/>
      <c r="X301" s="3"/>
      <c r="Y301" s="3"/>
      <c r="Z301" s="3"/>
    </row>
    <row r="302" spans="1:26" ht="14.4" hidden="1" outlineLevel="1" x14ac:dyDescent="0.3">
      <c r="A302" s="3"/>
      <c r="B302" s="9" t="s">
        <v>51</v>
      </c>
      <c r="C302" s="53"/>
      <c r="D302" s="53"/>
      <c r="E302" s="11">
        <v>0</v>
      </c>
      <c r="F302" s="11">
        <v>0</v>
      </c>
      <c r="G302" s="56"/>
      <c r="H302" s="56"/>
      <c r="I302" s="102"/>
      <c r="J302" s="56"/>
      <c r="K302" s="28"/>
      <c r="L302" s="28"/>
      <c r="M302" s="28"/>
      <c r="N302" s="28"/>
      <c r="O302" s="28"/>
      <c r="P302" s="28"/>
      <c r="Q302" s="28"/>
      <c r="R302" s="28"/>
      <c r="S302" s="28"/>
      <c r="T302" s="28"/>
      <c r="U302" s="3"/>
      <c r="W302" s="3"/>
      <c r="X302" s="3"/>
      <c r="Y302" s="3"/>
      <c r="Z302" s="3"/>
    </row>
    <row r="303" spans="1:26" ht="14.4" hidden="1" outlineLevel="1" x14ac:dyDescent="0.3">
      <c r="A303" s="3"/>
      <c r="B303" s="9" t="s">
        <v>51</v>
      </c>
      <c r="C303" s="53"/>
      <c r="D303" s="53"/>
      <c r="E303" s="11">
        <v>0</v>
      </c>
      <c r="F303" s="11">
        <v>0</v>
      </c>
      <c r="G303" s="56"/>
      <c r="H303" s="56"/>
      <c r="I303" s="102"/>
      <c r="J303" s="56"/>
      <c r="K303" s="28"/>
      <c r="L303" s="28"/>
      <c r="M303" s="28"/>
      <c r="N303" s="28"/>
      <c r="O303" s="28"/>
      <c r="P303" s="28"/>
      <c r="Q303" s="28"/>
      <c r="R303" s="28"/>
      <c r="S303" s="28"/>
      <c r="T303" s="28"/>
      <c r="U303" s="3"/>
      <c r="W303" s="3"/>
      <c r="X303" s="3"/>
      <c r="Y303" s="3"/>
      <c r="Z303" s="3"/>
    </row>
    <row r="304" spans="1:26" ht="14.4" hidden="1" outlineLevel="1" x14ac:dyDescent="0.3">
      <c r="A304" s="3"/>
      <c r="B304" s="9" t="s">
        <v>51</v>
      </c>
      <c r="C304" s="53"/>
      <c r="D304" s="53"/>
      <c r="E304" s="11">
        <v>0</v>
      </c>
      <c r="F304" s="11">
        <v>0</v>
      </c>
      <c r="G304" s="56"/>
      <c r="H304" s="56"/>
      <c r="I304" s="102"/>
      <c r="J304" s="56"/>
      <c r="K304" s="28"/>
      <c r="L304" s="28"/>
      <c r="M304" s="28"/>
      <c r="N304" s="28"/>
      <c r="O304" s="28"/>
      <c r="P304" s="28"/>
      <c r="Q304" s="28"/>
      <c r="R304" s="28"/>
      <c r="S304" s="28"/>
      <c r="T304" s="28"/>
      <c r="U304" s="3"/>
      <c r="W304" s="3"/>
      <c r="X304" s="3"/>
      <c r="Y304" s="3"/>
      <c r="Z304" s="3"/>
    </row>
    <row r="305" spans="1:26" ht="14.4" hidden="1" outlineLevel="1" x14ac:dyDescent="0.3">
      <c r="A305" s="3"/>
      <c r="B305" s="9" t="s">
        <v>51</v>
      </c>
      <c r="C305" s="53"/>
      <c r="D305" s="53"/>
      <c r="E305" s="11">
        <v>0</v>
      </c>
      <c r="F305" s="11">
        <v>0</v>
      </c>
      <c r="G305" s="56"/>
      <c r="H305" s="56"/>
      <c r="I305" s="102"/>
      <c r="J305" s="56"/>
      <c r="K305" s="28"/>
      <c r="L305" s="28"/>
      <c r="M305" s="28"/>
      <c r="N305" s="28"/>
      <c r="O305" s="28"/>
      <c r="P305" s="28"/>
      <c r="Q305" s="28"/>
      <c r="R305" s="28"/>
      <c r="S305" s="28"/>
      <c r="T305" s="28"/>
      <c r="U305" s="3"/>
      <c r="W305" s="3"/>
      <c r="X305" s="3"/>
      <c r="Y305" s="3"/>
      <c r="Z305" s="3"/>
    </row>
    <row r="306" spans="1:26" ht="14.4" hidden="1" outlineLevel="1" x14ac:dyDescent="0.3">
      <c r="A306" s="3"/>
      <c r="B306" s="9" t="s">
        <v>51</v>
      </c>
      <c r="C306" s="53"/>
      <c r="D306" s="53"/>
      <c r="E306" s="11">
        <v>0</v>
      </c>
      <c r="F306" s="11">
        <v>0</v>
      </c>
      <c r="G306" s="56"/>
      <c r="H306" s="56"/>
      <c r="I306" s="102"/>
      <c r="J306" s="56"/>
      <c r="K306" s="28"/>
      <c r="L306" s="28"/>
      <c r="M306" s="28"/>
      <c r="N306" s="28"/>
      <c r="O306" s="28"/>
      <c r="P306" s="28"/>
      <c r="Q306" s="28"/>
      <c r="R306" s="28"/>
      <c r="S306" s="28"/>
      <c r="T306" s="28"/>
      <c r="U306" s="3"/>
      <c r="W306" s="3"/>
      <c r="X306" s="3"/>
      <c r="Y306" s="3"/>
      <c r="Z306" s="3"/>
    </row>
    <row r="307" spans="1:26" ht="14.4" hidden="1" outlineLevel="1" x14ac:dyDescent="0.3">
      <c r="A307" s="3"/>
      <c r="B307" s="9" t="s">
        <v>51</v>
      </c>
      <c r="C307" s="53"/>
      <c r="D307" s="53"/>
      <c r="E307" s="11">
        <v>0</v>
      </c>
      <c r="F307" s="11">
        <v>0</v>
      </c>
      <c r="G307" s="56"/>
      <c r="H307" s="56"/>
      <c r="I307" s="102"/>
      <c r="J307" s="56"/>
      <c r="K307" s="28"/>
      <c r="L307" s="28"/>
      <c r="M307" s="28"/>
      <c r="N307" s="28"/>
      <c r="O307" s="28"/>
      <c r="P307" s="28"/>
      <c r="Q307" s="28"/>
      <c r="R307" s="28"/>
      <c r="S307" s="28"/>
      <c r="T307" s="28"/>
      <c r="U307" s="3"/>
      <c r="W307" s="3"/>
      <c r="X307" s="3"/>
      <c r="Y307" s="3"/>
      <c r="Z307" s="3"/>
    </row>
    <row r="308" spans="1:26" ht="14.4" hidden="1" outlineLevel="1" x14ac:dyDescent="0.3">
      <c r="A308" s="3"/>
      <c r="B308" s="9" t="s">
        <v>51</v>
      </c>
      <c r="C308" s="53"/>
      <c r="D308" s="53"/>
      <c r="E308" s="11">
        <v>0</v>
      </c>
      <c r="F308" s="11">
        <v>0</v>
      </c>
      <c r="G308" s="56"/>
      <c r="H308" s="56"/>
      <c r="I308" s="102"/>
      <c r="J308" s="56"/>
      <c r="K308" s="28"/>
      <c r="L308" s="28"/>
      <c r="M308" s="28"/>
      <c r="N308" s="28"/>
      <c r="O308" s="28"/>
      <c r="P308" s="28"/>
      <c r="Q308" s="28"/>
      <c r="R308" s="28"/>
      <c r="S308" s="28"/>
      <c r="T308" s="28"/>
      <c r="U308" s="3"/>
      <c r="W308" s="3"/>
      <c r="X308" s="3"/>
      <c r="Y308" s="3"/>
      <c r="Z308" s="3"/>
    </row>
    <row r="309" spans="1:26" ht="14.4" hidden="1" outlineLevel="1" x14ac:dyDescent="0.3">
      <c r="A309" s="3"/>
      <c r="B309" s="9" t="s">
        <v>51</v>
      </c>
      <c r="C309" s="53"/>
      <c r="D309" s="53"/>
      <c r="E309" s="11">
        <v>0</v>
      </c>
      <c r="F309" s="11">
        <v>0</v>
      </c>
      <c r="G309" s="56"/>
      <c r="H309" s="56"/>
      <c r="I309" s="102"/>
      <c r="J309" s="56"/>
      <c r="K309" s="28"/>
      <c r="L309" s="28"/>
      <c r="M309" s="28"/>
      <c r="N309" s="28"/>
      <c r="O309" s="28"/>
      <c r="P309" s="28"/>
      <c r="Q309" s="28"/>
      <c r="R309" s="28"/>
      <c r="S309" s="28"/>
      <c r="T309" s="28"/>
      <c r="U309" s="3"/>
      <c r="W309" s="3"/>
      <c r="X309" s="3"/>
      <c r="Y309" s="3"/>
      <c r="Z309" s="3"/>
    </row>
    <row r="310" spans="1:26" ht="14.4" hidden="1" outlineLevel="1" x14ac:dyDescent="0.3">
      <c r="A310" s="3"/>
      <c r="B310" s="9" t="s">
        <v>51</v>
      </c>
      <c r="C310" s="53"/>
      <c r="D310" s="53"/>
      <c r="E310" s="11">
        <v>0</v>
      </c>
      <c r="F310" s="11">
        <v>0</v>
      </c>
      <c r="G310" s="56"/>
      <c r="H310" s="56"/>
      <c r="I310" s="102"/>
      <c r="J310" s="56"/>
      <c r="K310" s="28"/>
      <c r="L310" s="28"/>
      <c r="M310" s="28"/>
      <c r="N310" s="28"/>
      <c r="O310" s="28"/>
      <c r="P310" s="28"/>
      <c r="Q310" s="28"/>
      <c r="R310" s="28"/>
      <c r="S310" s="28"/>
      <c r="T310" s="28"/>
      <c r="U310" s="3"/>
      <c r="W310" s="3"/>
      <c r="X310" s="3"/>
      <c r="Y310" s="3"/>
      <c r="Z310" s="3"/>
    </row>
    <row r="311" spans="1:26" ht="14.4" hidden="1" outlineLevel="1" x14ac:dyDescent="0.3">
      <c r="A311" s="3"/>
      <c r="B311" s="9" t="s">
        <v>51</v>
      </c>
      <c r="C311" s="53"/>
      <c r="D311" s="53"/>
      <c r="E311" s="11">
        <v>0</v>
      </c>
      <c r="F311" s="11">
        <v>0</v>
      </c>
      <c r="G311" s="56"/>
      <c r="H311" s="56"/>
      <c r="I311" s="102"/>
      <c r="J311" s="56"/>
      <c r="K311" s="28"/>
      <c r="L311" s="28"/>
      <c r="M311" s="28"/>
      <c r="N311" s="28"/>
      <c r="O311" s="28"/>
      <c r="P311" s="28"/>
      <c r="Q311" s="28"/>
      <c r="R311" s="28"/>
      <c r="S311" s="28"/>
      <c r="T311" s="28"/>
      <c r="U311" s="3"/>
      <c r="W311" s="3"/>
      <c r="X311" s="3"/>
      <c r="Y311" s="3"/>
      <c r="Z311" s="3"/>
    </row>
    <row r="312" spans="1:26" ht="14.4" hidden="1" outlineLevel="1" x14ac:dyDescent="0.3">
      <c r="A312" s="3"/>
      <c r="B312" s="9" t="s">
        <v>51</v>
      </c>
      <c r="C312" s="53"/>
      <c r="D312" s="53"/>
      <c r="E312" s="11">
        <v>0</v>
      </c>
      <c r="F312" s="11">
        <v>0</v>
      </c>
      <c r="G312" s="56"/>
      <c r="H312" s="56"/>
      <c r="I312" s="80"/>
      <c r="J312" s="56"/>
      <c r="K312" s="28"/>
      <c r="L312" s="28"/>
      <c r="M312" s="28"/>
      <c r="N312" s="28"/>
      <c r="O312" s="28"/>
      <c r="P312" s="28"/>
      <c r="Q312" s="28"/>
      <c r="R312" s="28"/>
      <c r="S312" s="28"/>
      <c r="T312" s="28"/>
      <c r="U312" s="3"/>
      <c r="W312" s="3"/>
      <c r="X312" s="3"/>
      <c r="Y312" s="3"/>
      <c r="Z312" s="3"/>
    </row>
    <row r="313" spans="1:26" hidden="1" outlineLevel="1" x14ac:dyDescent="0.3">
      <c r="A313" s="3"/>
      <c r="B313" s="82" t="s">
        <v>690</v>
      </c>
      <c r="C313" s="83"/>
      <c r="D313" s="83"/>
      <c r="E313" s="84">
        <f>SUM(E314:E322)</f>
        <v>0</v>
      </c>
      <c r="F313" s="84">
        <f>SUMIF(D314:D322,"OK",F314:F322)</f>
        <v>510</v>
      </c>
      <c r="G313" s="85"/>
      <c r="H313" s="85"/>
      <c r="I313" s="86"/>
      <c r="J313" s="85"/>
      <c r="K313" s="28"/>
      <c r="L313" s="28"/>
      <c r="M313" s="28"/>
      <c r="N313" s="28"/>
      <c r="O313" s="28"/>
      <c r="P313" s="28"/>
      <c r="Q313" s="28"/>
      <c r="R313" s="28"/>
      <c r="S313" s="28"/>
      <c r="T313" s="28"/>
      <c r="U313" s="3"/>
      <c r="W313" s="3"/>
      <c r="X313" s="3"/>
      <c r="Y313" s="3"/>
      <c r="Z313" s="3"/>
    </row>
    <row r="314" spans="1:26" ht="14.4" hidden="1" outlineLevel="1" x14ac:dyDescent="0.3">
      <c r="A314" s="3"/>
      <c r="B314" s="9" t="s">
        <v>1530</v>
      </c>
      <c r="C314" s="53">
        <v>27</v>
      </c>
      <c r="D314" s="53" t="s">
        <v>95</v>
      </c>
      <c r="E314" s="11">
        <v>0</v>
      </c>
      <c r="F314" s="11">
        <v>510</v>
      </c>
      <c r="G314" s="56"/>
      <c r="H314" s="56" t="s">
        <v>37</v>
      </c>
      <c r="I314" s="117" t="s">
        <v>1531</v>
      </c>
      <c r="J314" s="56"/>
      <c r="K314" s="28"/>
      <c r="L314" s="28"/>
      <c r="M314" s="28"/>
      <c r="N314" s="28"/>
      <c r="O314" s="28"/>
      <c r="P314" s="28"/>
      <c r="Q314" s="28"/>
      <c r="R314" s="28"/>
      <c r="S314" s="28"/>
      <c r="T314" s="28"/>
      <c r="U314" s="3"/>
      <c r="W314" s="3"/>
      <c r="X314" s="3"/>
      <c r="Y314" s="3"/>
      <c r="Z314" s="3"/>
    </row>
    <row r="315" spans="1:26" ht="14.4" hidden="1" outlineLevel="1" x14ac:dyDescent="0.3">
      <c r="A315" s="3"/>
      <c r="B315" s="9" t="s">
        <v>355</v>
      </c>
      <c r="C315" s="53"/>
      <c r="D315" s="53"/>
      <c r="E315" s="11">
        <v>0</v>
      </c>
      <c r="F315" s="11">
        <v>0</v>
      </c>
      <c r="G315" s="56"/>
      <c r="H315" s="56"/>
      <c r="I315" s="102"/>
      <c r="J315" s="56"/>
      <c r="K315" s="28"/>
      <c r="L315" s="28"/>
      <c r="M315" s="28"/>
      <c r="N315" s="28"/>
      <c r="O315" s="28"/>
      <c r="P315" s="28"/>
      <c r="Q315" s="28"/>
      <c r="R315" s="28"/>
      <c r="S315" s="28"/>
      <c r="T315" s="28"/>
      <c r="U315" s="3"/>
      <c r="W315" s="3"/>
      <c r="X315" s="3"/>
      <c r="Y315" s="3"/>
      <c r="Z315" s="3"/>
    </row>
    <row r="316" spans="1:26" ht="14.4" hidden="1" outlineLevel="1" x14ac:dyDescent="0.3">
      <c r="A316" s="3"/>
      <c r="B316" s="9" t="s">
        <v>356</v>
      </c>
      <c r="C316" s="53"/>
      <c r="D316" s="53"/>
      <c r="E316" s="11">
        <v>0</v>
      </c>
      <c r="F316" s="11">
        <v>0</v>
      </c>
      <c r="G316" s="56"/>
      <c r="H316" s="56"/>
      <c r="I316" s="80"/>
      <c r="J316" s="56"/>
      <c r="K316" s="28"/>
      <c r="L316" s="28"/>
      <c r="M316" s="28"/>
      <c r="N316" s="28"/>
      <c r="O316" s="28"/>
      <c r="P316" s="28"/>
      <c r="Q316" s="28"/>
      <c r="R316" s="28"/>
      <c r="S316" s="28"/>
      <c r="T316" s="28"/>
      <c r="U316" s="3"/>
      <c r="W316" s="3"/>
      <c r="X316" s="3"/>
      <c r="Y316" s="3"/>
      <c r="Z316" s="3"/>
    </row>
    <row r="317" spans="1:26" ht="14.4" hidden="1" outlineLevel="1" x14ac:dyDescent="0.3">
      <c r="A317" s="3"/>
      <c r="B317" s="9" t="s">
        <v>370</v>
      </c>
      <c r="C317" s="53"/>
      <c r="D317" s="53"/>
      <c r="E317" s="11">
        <v>0</v>
      </c>
      <c r="F317" s="11">
        <v>0</v>
      </c>
      <c r="G317" s="56"/>
      <c r="H317" s="56"/>
      <c r="I317" s="80"/>
      <c r="J317" s="56"/>
      <c r="K317" s="28"/>
      <c r="L317" s="28"/>
      <c r="M317" s="28"/>
      <c r="N317" s="28"/>
      <c r="O317" s="28"/>
      <c r="P317" s="28"/>
      <c r="Q317" s="28"/>
      <c r="R317" s="28"/>
      <c r="S317" s="28"/>
      <c r="T317" s="28"/>
      <c r="U317" s="3"/>
      <c r="W317" s="3"/>
      <c r="X317" s="3"/>
      <c r="Y317" s="3"/>
      <c r="Z317" s="3"/>
    </row>
    <row r="318" spans="1:26" ht="14.4" hidden="1" outlineLevel="1" x14ac:dyDescent="0.3">
      <c r="A318" s="3"/>
      <c r="B318" s="9" t="s">
        <v>328</v>
      </c>
      <c r="C318" s="53"/>
      <c r="D318" s="53"/>
      <c r="E318" s="11">
        <v>0</v>
      </c>
      <c r="F318" s="11">
        <v>0</v>
      </c>
      <c r="G318" s="56"/>
      <c r="H318" s="56"/>
      <c r="I318" s="80"/>
      <c r="J318" s="56"/>
      <c r="K318" s="28"/>
      <c r="L318" s="28"/>
      <c r="M318" s="28"/>
      <c r="N318" s="28"/>
      <c r="O318" s="28"/>
      <c r="P318" s="28"/>
      <c r="Q318" s="28"/>
      <c r="R318" s="28"/>
      <c r="S318" s="28"/>
      <c r="T318" s="28"/>
      <c r="U318" s="3"/>
      <c r="W318" s="3"/>
      <c r="X318" s="3"/>
      <c r="Y318" s="3"/>
      <c r="Z318" s="3"/>
    </row>
    <row r="319" spans="1:26" ht="14.4" hidden="1" outlineLevel="1" x14ac:dyDescent="0.3">
      <c r="A319" s="3"/>
      <c r="B319" s="9" t="s">
        <v>329</v>
      </c>
      <c r="C319" s="53"/>
      <c r="D319" s="53"/>
      <c r="E319" s="11">
        <v>0</v>
      </c>
      <c r="F319" s="11">
        <v>0</v>
      </c>
      <c r="G319" s="56"/>
      <c r="H319" s="56"/>
      <c r="I319" s="80"/>
      <c r="J319" s="56"/>
      <c r="K319" s="28"/>
      <c r="L319" s="28"/>
      <c r="M319" s="28"/>
      <c r="N319" s="28"/>
      <c r="O319" s="28"/>
      <c r="P319" s="28"/>
      <c r="Q319" s="28"/>
      <c r="R319" s="28"/>
      <c r="S319" s="28"/>
      <c r="T319" s="28"/>
      <c r="U319" s="3"/>
      <c r="W319" s="3"/>
      <c r="X319" s="3"/>
      <c r="Y319" s="3"/>
      <c r="Z319" s="3"/>
    </row>
    <row r="320" spans="1:26" ht="14.4" hidden="1" outlineLevel="1" x14ac:dyDescent="0.3">
      <c r="A320" s="3"/>
      <c r="B320" s="9" t="s">
        <v>371</v>
      </c>
      <c r="C320" s="53"/>
      <c r="D320" s="53"/>
      <c r="E320" s="11">
        <v>0</v>
      </c>
      <c r="F320" s="11">
        <v>0</v>
      </c>
      <c r="G320" s="56"/>
      <c r="H320" s="56"/>
      <c r="I320" s="80"/>
      <c r="J320" s="56"/>
      <c r="K320" s="28"/>
      <c r="L320" s="28"/>
      <c r="M320" s="28"/>
      <c r="N320" s="28"/>
      <c r="O320" s="28"/>
      <c r="P320" s="28"/>
      <c r="Q320" s="28"/>
      <c r="R320" s="28"/>
      <c r="S320" s="28"/>
      <c r="T320" s="28"/>
      <c r="U320" s="3"/>
      <c r="W320" s="3"/>
      <c r="X320" s="3"/>
      <c r="Y320" s="3"/>
      <c r="Z320" s="3"/>
    </row>
    <row r="321" spans="1:26" ht="14.4" hidden="1" outlineLevel="1" x14ac:dyDescent="0.3">
      <c r="A321" s="3"/>
      <c r="B321" s="9" t="s">
        <v>372</v>
      </c>
      <c r="C321" s="53"/>
      <c r="D321" s="53"/>
      <c r="E321" s="11">
        <v>0</v>
      </c>
      <c r="F321" s="11">
        <v>0</v>
      </c>
      <c r="G321" s="56"/>
      <c r="H321" s="56"/>
      <c r="I321" s="80"/>
      <c r="J321" s="56"/>
      <c r="K321" s="28"/>
      <c r="L321" s="28"/>
      <c r="M321" s="28"/>
      <c r="N321" s="28"/>
      <c r="O321" s="28"/>
      <c r="P321" s="28"/>
      <c r="Q321" s="28"/>
      <c r="R321" s="28"/>
      <c r="S321" s="28"/>
      <c r="T321" s="28"/>
      <c r="U321" s="3"/>
      <c r="W321" s="3"/>
      <c r="X321" s="3"/>
      <c r="Y321" s="3"/>
      <c r="Z321" s="3"/>
    </row>
    <row r="322" spans="1:26" ht="14.4" hidden="1" outlineLevel="1" x14ac:dyDescent="0.3">
      <c r="A322" s="3"/>
      <c r="B322" s="9" t="s">
        <v>373</v>
      </c>
      <c r="C322" s="53"/>
      <c r="D322" s="53"/>
      <c r="E322" s="11">
        <v>0</v>
      </c>
      <c r="F322" s="11">
        <v>0</v>
      </c>
      <c r="G322" s="56"/>
      <c r="H322" s="56"/>
      <c r="I322" s="80"/>
      <c r="J322" s="56"/>
      <c r="K322" s="28"/>
      <c r="L322" s="28"/>
      <c r="M322" s="28"/>
      <c r="N322" s="28"/>
      <c r="O322" s="28"/>
      <c r="P322" s="28"/>
      <c r="Q322" s="28"/>
      <c r="R322" s="28"/>
      <c r="S322" s="28"/>
      <c r="T322" s="28"/>
      <c r="U322" s="3"/>
      <c r="W322" s="3"/>
      <c r="X322" s="3"/>
      <c r="Y322" s="3"/>
      <c r="Z322" s="3"/>
    </row>
    <row r="323" spans="1:26" ht="20.399999999999999" collapsed="1" x14ac:dyDescent="0.3">
      <c r="A323" s="3"/>
      <c r="B323" s="75" t="s">
        <v>412</v>
      </c>
      <c r="C323" s="76" t="s">
        <v>44</v>
      </c>
      <c r="D323" s="76" t="s">
        <v>44</v>
      </c>
      <c r="E323" s="77">
        <f>SUM(E324:E344)</f>
        <v>0</v>
      </c>
      <c r="F323" s="77">
        <f>SUMIF(D324:D344,"OK",F324:F344)</f>
        <v>70.989999999999995</v>
      </c>
      <c r="G323" s="78"/>
      <c r="H323" s="78"/>
      <c r="I323" s="79"/>
      <c r="J323" s="78"/>
      <c r="K323" s="28"/>
      <c r="L323" s="28"/>
      <c r="M323" s="28"/>
      <c r="N323" s="28"/>
      <c r="O323" s="28"/>
      <c r="P323" s="28"/>
      <c r="Q323" s="28"/>
      <c r="R323" s="28"/>
      <c r="S323" s="28"/>
      <c r="T323" s="28"/>
      <c r="U323" s="3"/>
      <c r="W323" s="3"/>
      <c r="X323" s="3"/>
      <c r="Y323" s="3"/>
      <c r="Z323" s="3"/>
    </row>
    <row r="324" spans="1:26" ht="14.4" hidden="1" outlineLevel="1" x14ac:dyDescent="0.3">
      <c r="A324" s="3"/>
      <c r="B324" s="9" t="s">
        <v>413</v>
      </c>
      <c r="C324" s="53"/>
      <c r="D324" s="53"/>
      <c r="E324" s="11">
        <v>0</v>
      </c>
      <c r="F324" s="11">
        <v>0</v>
      </c>
      <c r="G324" s="56"/>
      <c r="H324" s="56"/>
      <c r="I324" s="80"/>
      <c r="J324" s="56"/>
      <c r="K324" s="28"/>
      <c r="L324" s="28"/>
      <c r="M324" s="28"/>
      <c r="N324" s="28"/>
      <c r="O324" s="28"/>
      <c r="P324" s="28"/>
      <c r="Q324" s="28"/>
      <c r="R324" s="28"/>
      <c r="S324" s="28"/>
      <c r="T324" s="28"/>
      <c r="U324" s="3"/>
      <c r="W324" s="3"/>
      <c r="X324" s="3"/>
      <c r="Y324" s="3"/>
      <c r="Z324" s="3"/>
    </row>
    <row r="325" spans="1:26" ht="14.4" hidden="1" outlineLevel="1" x14ac:dyDescent="0.3">
      <c r="A325" s="3"/>
      <c r="B325" s="9" t="s">
        <v>414</v>
      </c>
      <c r="C325" s="53"/>
      <c r="D325" s="53"/>
      <c r="E325" s="11">
        <v>0</v>
      </c>
      <c r="F325" s="11">
        <v>0</v>
      </c>
      <c r="G325" s="80"/>
      <c r="H325" s="56"/>
      <c r="I325" s="102"/>
      <c r="J325" s="56"/>
      <c r="K325" s="28"/>
      <c r="L325" s="28"/>
      <c r="M325" s="28"/>
      <c r="N325" s="28"/>
      <c r="O325" s="28"/>
      <c r="P325" s="28"/>
      <c r="Q325" s="28"/>
      <c r="R325" s="28"/>
      <c r="S325" s="28"/>
      <c r="T325" s="28"/>
      <c r="U325" s="3"/>
      <c r="W325" s="3"/>
      <c r="X325" s="3"/>
      <c r="Y325" s="3"/>
      <c r="Z325" s="3"/>
    </row>
    <row r="326" spans="1:26" ht="14.4" hidden="1" outlineLevel="1" x14ac:dyDescent="0.3">
      <c r="A326" s="3"/>
      <c r="B326" s="9" t="s">
        <v>414</v>
      </c>
      <c r="C326" s="53"/>
      <c r="D326" s="53"/>
      <c r="E326" s="11">
        <v>0</v>
      </c>
      <c r="F326" s="11">
        <v>0</v>
      </c>
      <c r="G326" s="56"/>
      <c r="H326" s="56"/>
      <c r="I326" s="102"/>
      <c r="J326" s="56"/>
      <c r="K326" s="28"/>
      <c r="L326" s="28"/>
      <c r="M326" s="28"/>
      <c r="N326" s="28"/>
      <c r="O326" s="28"/>
      <c r="P326" s="28"/>
      <c r="Q326" s="28"/>
      <c r="R326" s="28"/>
      <c r="S326" s="28"/>
      <c r="T326" s="28"/>
      <c r="U326" s="3"/>
      <c r="W326" s="3"/>
      <c r="X326" s="3"/>
      <c r="Y326" s="3"/>
      <c r="Z326" s="3"/>
    </row>
    <row r="327" spans="1:26" ht="14.4" hidden="1" outlineLevel="1" x14ac:dyDescent="0.3">
      <c r="A327" s="3"/>
      <c r="B327" s="9" t="s">
        <v>415</v>
      </c>
      <c r="C327" s="53"/>
      <c r="D327" s="53"/>
      <c r="E327" s="11">
        <v>0</v>
      </c>
      <c r="F327" s="11">
        <v>0</v>
      </c>
      <c r="G327" s="56"/>
      <c r="H327" s="56"/>
      <c r="I327" s="80"/>
      <c r="J327" s="56"/>
      <c r="K327" s="28"/>
      <c r="L327" s="28"/>
      <c r="M327" s="28"/>
      <c r="N327" s="28"/>
      <c r="O327" s="28"/>
      <c r="P327" s="28"/>
      <c r="Q327" s="28"/>
      <c r="R327" s="28"/>
      <c r="S327" s="28"/>
      <c r="T327" s="28"/>
      <c r="U327" s="3"/>
      <c r="W327" s="3"/>
      <c r="X327" s="3"/>
      <c r="Y327" s="3"/>
      <c r="Z327" s="3"/>
    </row>
    <row r="328" spans="1:26" ht="14.4" hidden="1" outlineLevel="1" x14ac:dyDescent="0.3">
      <c r="A328" s="3"/>
      <c r="B328" s="9" t="s">
        <v>415</v>
      </c>
      <c r="C328" s="53"/>
      <c r="D328" s="53"/>
      <c r="E328" s="11">
        <v>0</v>
      </c>
      <c r="F328" s="11">
        <v>0</v>
      </c>
      <c r="G328" s="56"/>
      <c r="H328" s="56"/>
      <c r="I328" s="80"/>
      <c r="J328" s="56"/>
      <c r="K328" s="28"/>
      <c r="L328" s="28"/>
      <c r="M328" s="28"/>
      <c r="N328" s="28"/>
      <c r="O328" s="28"/>
      <c r="P328" s="28"/>
      <c r="Q328" s="28"/>
      <c r="R328" s="28"/>
      <c r="S328" s="28"/>
      <c r="T328" s="28"/>
      <c r="U328" s="3"/>
      <c r="W328" s="3"/>
      <c r="X328" s="3"/>
      <c r="Y328" s="3"/>
      <c r="Z328" s="3"/>
    </row>
    <row r="329" spans="1:26" ht="14.4" hidden="1" outlineLevel="1" x14ac:dyDescent="0.3">
      <c r="A329" s="3"/>
      <c r="B329" s="9" t="s">
        <v>415</v>
      </c>
      <c r="C329" s="53"/>
      <c r="D329" s="53"/>
      <c r="E329" s="11">
        <v>0</v>
      </c>
      <c r="F329" s="11">
        <v>0</v>
      </c>
      <c r="G329" s="56"/>
      <c r="H329" s="56"/>
      <c r="I329" s="80"/>
      <c r="J329" s="56"/>
      <c r="K329" s="28"/>
      <c r="L329" s="28"/>
      <c r="M329" s="28"/>
      <c r="N329" s="28"/>
      <c r="O329" s="28"/>
      <c r="P329" s="28"/>
      <c r="Q329" s="28"/>
      <c r="R329" s="28"/>
      <c r="S329" s="28"/>
      <c r="T329" s="28"/>
      <c r="U329" s="3"/>
      <c r="W329" s="3"/>
      <c r="X329" s="3"/>
      <c r="Y329" s="3"/>
      <c r="Z329" s="3"/>
    </row>
    <row r="330" spans="1:26" ht="14.4" hidden="1" outlineLevel="1" x14ac:dyDescent="0.3">
      <c r="A330" s="3"/>
      <c r="B330" s="9" t="s">
        <v>416</v>
      </c>
      <c r="C330" s="53"/>
      <c r="D330" s="53"/>
      <c r="E330" s="11">
        <v>0</v>
      </c>
      <c r="F330" s="11">
        <v>0</v>
      </c>
      <c r="G330" s="56"/>
      <c r="H330" s="56"/>
      <c r="I330" s="102"/>
      <c r="J330" s="56"/>
      <c r="K330" s="28"/>
      <c r="L330" s="28"/>
      <c r="M330" s="28"/>
      <c r="N330" s="28"/>
      <c r="O330" s="28"/>
      <c r="P330" s="28"/>
      <c r="Q330" s="28"/>
      <c r="R330" s="28"/>
      <c r="S330" s="28"/>
      <c r="T330" s="28"/>
      <c r="U330" s="3"/>
      <c r="W330" s="3"/>
      <c r="X330" s="3"/>
      <c r="Y330" s="3"/>
      <c r="Z330" s="3"/>
    </row>
    <row r="331" spans="1:26" ht="14.4" hidden="1" outlineLevel="1" x14ac:dyDescent="0.3">
      <c r="A331" s="3"/>
      <c r="B331" s="9" t="s">
        <v>416</v>
      </c>
      <c r="C331" s="53"/>
      <c r="D331" s="53"/>
      <c r="E331" s="11">
        <v>0</v>
      </c>
      <c r="F331" s="11">
        <v>0</v>
      </c>
      <c r="G331" s="56"/>
      <c r="H331" s="56"/>
      <c r="I331" s="102"/>
      <c r="J331" s="56"/>
      <c r="K331" s="28"/>
      <c r="L331" s="28"/>
      <c r="M331" s="28"/>
      <c r="N331" s="28"/>
      <c r="O331" s="28"/>
      <c r="P331" s="28"/>
      <c r="Q331" s="28"/>
      <c r="R331" s="28"/>
      <c r="S331" s="28"/>
      <c r="T331" s="28"/>
      <c r="U331" s="3"/>
      <c r="W331" s="3"/>
      <c r="X331" s="3"/>
      <c r="Y331" s="3"/>
      <c r="Z331" s="3"/>
    </row>
    <row r="332" spans="1:26" ht="14.4" hidden="1" outlineLevel="1" x14ac:dyDescent="0.3">
      <c r="A332" s="3"/>
      <c r="B332" s="9" t="s">
        <v>416</v>
      </c>
      <c r="C332" s="53"/>
      <c r="D332" s="53"/>
      <c r="E332" s="11">
        <v>0</v>
      </c>
      <c r="F332" s="11">
        <v>0</v>
      </c>
      <c r="G332" s="56"/>
      <c r="H332" s="56"/>
      <c r="I332" s="102"/>
      <c r="J332" s="56"/>
      <c r="K332" s="28"/>
      <c r="L332" s="28"/>
      <c r="M332" s="28"/>
      <c r="N332" s="28"/>
      <c r="O332" s="28"/>
      <c r="P332" s="28"/>
      <c r="Q332" s="28"/>
      <c r="R332" s="28"/>
      <c r="S332" s="28"/>
      <c r="T332" s="28"/>
      <c r="U332" s="3"/>
      <c r="W332" s="3"/>
      <c r="X332" s="3"/>
      <c r="Y332" s="3"/>
      <c r="Z332" s="3"/>
    </row>
    <row r="333" spans="1:26" ht="14.4" hidden="1" outlineLevel="1" x14ac:dyDescent="0.3">
      <c r="A333" s="3"/>
      <c r="B333" s="9" t="s">
        <v>417</v>
      </c>
      <c r="C333" s="53"/>
      <c r="D333" s="53"/>
      <c r="E333" s="11">
        <v>0</v>
      </c>
      <c r="F333" s="11">
        <v>0</v>
      </c>
      <c r="G333" s="56"/>
      <c r="H333" s="56"/>
      <c r="I333" s="102"/>
      <c r="J333" s="56"/>
      <c r="K333" s="28"/>
      <c r="L333" s="28"/>
      <c r="M333" s="28"/>
      <c r="N333" s="28"/>
      <c r="O333" s="28"/>
      <c r="P333" s="28"/>
      <c r="Q333" s="28"/>
      <c r="R333" s="28"/>
      <c r="S333" s="28"/>
      <c r="T333" s="28"/>
      <c r="U333" s="3"/>
      <c r="W333" s="3"/>
      <c r="X333" s="3"/>
      <c r="Y333" s="3"/>
      <c r="Z333" s="3"/>
    </row>
    <row r="334" spans="1:26" ht="14.4" hidden="1" outlineLevel="1" x14ac:dyDescent="0.3">
      <c r="A334" s="3"/>
      <c r="B334" s="9" t="s">
        <v>417</v>
      </c>
      <c r="C334" s="53"/>
      <c r="D334" s="53"/>
      <c r="E334" s="11">
        <v>0</v>
      </c>
      <c r="F334" s="11">
        <v>0</v>
      </c>
      <c r="G334" s="56"/>
      <c r="H334" s="56"/>
      <c r="I334" s="102"/>
      <c r="J334" s="56"/>
      <c r="K334" s="28"/>
      <c r="L334" s="28"/>
      <c r="M334" s="28"/>
      <c r="N334" s="28"/>
      <c r="O334" s="28"/>
      <c r="P334" s="28"/>
      <c r="Q334" s="28"/>
      <c r="R334" s="28"/>
      <c r="S334" s="28"/>
      <c r="T334" s="28"/>
      <c r="U334" s="3"/>
      <c r="W334" s="3"/>
      <c r="X334" s="3"/>
      <c r="Y334" s="3"/>
      <c r="Z334" s="3"/>
    </row>
    <row r="335" spans="1:26" ht="14.4" hidden="1" outlineLevel="1" x14ac:dyDescent="0.3">
      <c r="A335" s="3"/>
      <c r="B335" s="9" t="s">
        <v>417</v>
      </c>
      <c r="C335" s="53"/>
      <c r="D335" s="53"/>
      <c r="E335" s="11">
        <v>0</v>
      </c>
      <c r="F335" s="11">
        <v>0</v>
      </c>
      <c r="G335" s="56"/>
      <c r="H335" s="56"/>
      <c r="I335" s="102"/>
      <c r="J335" s="56"/>
      <c r="K335" s="28"/>
      <c r="L335" s="28"/>
      <c r="M335" s="28"/>
      <c r="N335" s="28"/>
      <c r="O335" s="28"/>
      <c r="P335" s="28"/>
      <c r="Q335" s="28"/>
      <c r="R335" s="28"/>
      <c r="S335" s="28"/>
      <c r="T335" s="28"/>
      <c r="U335" s="3"/>
      <c r="W335" s="3"/>
      <c r="X335" s="3"/>
      <c r="Y335" s="3"/>
      <c r="Z335" s="3"/>
    </row>
    <row r="336" spans="1:26" ht="14.4" hidden="1" outlineLevel="1" x14ac:dyDescent="0.3">
      <c r="A336" s="3"/>
      <c r="B336" s="9" t="s">
        <v>417</v>
      </c>
      <c r="C336" s="53"/>
      <c r="D336" s="53"/>
      <c r="E336" s="11">
        <v>0</v>
      </c>
      <c r="F336" s="11">
        <v>0</v>
      </c>
      <c r="G336" s="56"/>
      <c r="H336" s="56"/>
      <c r="I336" s="102"/>
      <c r="J336" s="56"/>
      <c r="K336" s="28"/>
      <c r="L336" s="28"/>
      <c r="M336" s="28"/>
      <c r="N336" s="28"/>
      <c r="O336" s="28"/>
      <c r="P336" s="28"/>
      <c r="Q336" s="28"/>
      <c r="R336" s="28"/>
      <c r="S336" s="28"/>
      <c r="T336" s="28"/>
      <c r="U336" s="3"/>
      <c r="W336" s="3"/>
      <c r="X336" s="3"/>
      <c r="Y336" s="3"/>
      <c r="Z336" s="3"/>
    </row>
    <row r="337" spans="1:26" ht="14.4" hidden="1" outlineLevel="1" x14ac:dyDescent="0.3">
      <c r="A337" s="3"/>
      <c r="B337" s="9" t="s">
        <v>418</v>
      </c>
      <c r="C337" s="53">
        <v>16</v>
      </c>
      <c r="D337" s="53" t="s">
        <v>95</v>
      </c>
      <c r="E337" s="11">
        <v>0</v>
      </c>
      <c r="F337" s="11">
        <f>70.99</f>
        <v>70.989999999999995</v>
      </c>
      <c r="G337" s="56"/>
      <c r="H337" s="56" t="s">
        <v>37</v>
      </c>
      <c r="I337" s="102" t="s">
        <v>1532</v>
      </c>
      <c r="J337" s="56"/>
      <c r="K337" s="28"/>
      <c r="L337" s="28"/>
      <c r="M337" s="28"/>
      <c r="N337" s="28"/>
      <c r="O337" s="28"/>
      <c r="P337" s="28"/>
      <c r="Q337" s="28"/>
      <c r="R337" s="28"/>
      <c r="S337" s="28"/>
      <c r="T337" s="28"/>
      <c r="U337" s="3"/>
      <c r="W337" s="3"/>
      <c r="X337" s="3"/>
      <c r="Y337" s="3"/>
      <c r="Z337" s="3"/>
    </row>
    <row r="338" spans="1:26" ht="14.4" hidden="1" outlineLevel="1" x14ac:dyDescent="0.3">
      <c r="A338" s="3"/>
      <c r="B338" s="9" t="s">
        <v>418</v>
      </c>
      <c r="C338" s="53"/>
      <c r="D338" s="53"/>
      <c r="E338" s="11">
        <v>0</v>
      </c>
      <c r="F338" s="11">
        <v>0</v>
      </c>
      <c r="G338" s="56"/>
      <c r="H338" s="56"/>
      <c r="I338" s="102"/>
      <c r="J338" s="56"/>
      <c r="K338" s="28"/>
      <c r="L338" s="28"/>
      <c r="M338" s="28"/>
      <c r="N338" s="28"/>
      <c r="O338" s="28"/>
      <c r="P338" s="28"/>
      <c r="Q338" s="28"/>
      <c r="R338" s="28"/>
      <c r="S338" s="28"/>
      <c r="T338" s="28"/>
      <c r="U338" s="3"/>
      <c r="W338" s="3"/>
      <c r="X338" s="3"/>
      <c r="Y338" s="3"/>
      <c r="Z338" s="3"/>
    </row>
    <row r="339" spans="1:26" ht="14.4" hidden="1" outlineLevel="1" x14ac:dyDescent="0.3">
      <c r="A339" s="3"/>
      <c r="B339" s="9" t="s">
        <v>418</v>
      </c>
      <c r="C339" s="53"/>
      <c r="D339" s="53"/>
      <c r="E339" s="11">
        <v>0</v>
      </c>
      <c r="F339" s="11">
        <v>0</v>
      </c>
      <c r="G339" s="56"/>
      <c r="H339" s="56"/>
      <c r="I339" s="102"/>
      <c r="J339" s="56"/>
      <c r="K339" s="28"/>
      <c r="L339" s="28"/>
      <c r="M339" s="28"/>
      <c r="N339" s="28"/>
      <c r="O339" s="28"/>
      <c r="P339" s="28"/>
      <c r="Q339" s="28"/>
      <c r="R339" s="28"/>
      <c r="S339" s="28"/>
      <c r="T339" s="28"/>
      <c r="U339" s="3"/>
      <c r="W339" s="3"/>
      <c r="X339" s="3"/>
      <c r="Y339" s="3"/>
      <c r="Z339" s="3"/>
    </row>
    <row r="340" spans="1:26" ht="14.4" hidden="1" outlineLevel="1" x14ac:dyDescent="0.3">
      <c r="A340" s="3"/>
      <c r="B340" s="9" t="s">
        <v>418</v>
      </c>
      <c r="C340" s="53"/>
      <c r="D340" s="53"/>
      <c r="E340" s="11">
        <v>0</v>
      </c>
      <c r="F340" s="11">
        <v>0</v>
      </c>
      <c r="G340" s="56"/>
      <c r="H340" s="56"/>
      <c r="I340" s="102"/>
      <c r="J340" s="56"/>
      <c r="K340" s="28"/>
      <c r="L340" s="28"/>
      <c r="M340" s="28"/>
      <c r="N340" s="28"/>
      <c r="O340" s="28"/>
      <c r="P340" s="28"/>
      <c r="Q340" s="28"/>
      <c r="R340" s="28"/>
      <c r="S340" s="28"/>
      <c r="T340" s="28"/>
      <c r="U340" s="3"/>
      <c r="W340" s="3"/>
      <c r="X340" s="3"/>
      <c r="Y340" s="3"/>
      <c r="Z340" s="3"/>
    </row>
    <row r="341" spans="1:26" ht="14.4" hidden="1" outlineLevel="1" x14ac:dyDescent="0.3">
      <c r="A341" s="3"/>
      <c r="B341" s="9" t="s">
        <v>419</v>
      </c>
      <c r="C341" s="53"/>
      <c r="D341" s="53"/>
      <c r="E341" s="11">
        <v>0</v>
      </c>
      <c r="F341" s="11">
        <v>0</v>
      </c>
      <c r="G341" s="56"/>
      <c r="H341" s="56"/>
      <c r="I341" s="80"/>
      <c r="J341" s="56"/>
      <c r="K341" s="28"/>
      <c r="L341" s="28"/>
      <c r="M341" s="28"/>
      <c r="N341" s="28"/>
      <c r="O341" s="28"/>
      <c r="P341" s="28"/>
      <c r="Q341" s="28"/>
      <c r="R341" s="28"/>
      <c r="S341" s="28"/>
      <c r="T341" s="28"/>
      <c r="U341" s="3"/>
      <c r="W341" s="3"/>
      <c r="X341" s="3"/>
      <c r="Y341" s="3"/>
      <c r="Z341" s="3"/>
    </row>
    <row r="342" spans="1:26" ht="14.4" hidden="1" outlineLevel="1" x14ac:dyDescent="0.3">
      <c r="A342" s="3"/>
      <c r="B342" s="9" t="s">
        <v>420</v>
      </c>
      <c r="C342" s="53"/>
      <c r="D342" s="53"/>
      <c r="E342" s="11">
        <v>0</v>
      </c>
      <c r="F342" s="11">
        <v>0</v>
      </c>
      <c r="G342" s="56"/>
      <c r="H342" s="56"/>
      <c r="I342" s="80"/>
      <c r="J342" s="56"/>
      <c r="K342" s="28"/>
      <c r="L342" s="28"/>
      <c r="M342" s="28"/>
      <c r="N342" s="28"/>
      <c r="O342" s="28"/>
      <c r="P342" s="28"/>
      <c r="Q342" s="28"/>
      <c r="R342" s="28"/>
      <c r="S342" s="28"/>
      <c r="T342" s="28"/>
      <c r="U342" s="3"/>
      <c r="W342" s="3"/>
      <c r="X342" s="3"/>
      <c r="Y342" s="3"/>
      <c r="Z342" s="3"/>
    </row>
    <row r="343" spans="1:26" ht="14.4" hidden="1" outlineLevel="1" x14ac:dyDescent="0.3">
      <c r="A343" s="3"/>
      <c r="B343" s="9" t="s">
        <v>421</v>
      </c>
      <c r="C343" s="53"/>
      <c r="D343" s="53"/>
      <c r="E343" s="11">
        <v>0</v>
      </c>
      <c r="F343" s="11">
        <v>0</v>
      </c>
      <c r="G343" s="56"/>
      <c r="H343" s="56"/>
      <c r="I343" s="80"/>
      <c r="J343" s="56"/>
      <c r="K343" s="28"/>
      <c r="L343" s="28"/>
      <c r="M343" s="28"/>
      <c r="N343" s="28"/>
      <c r="O343" s="28"/>
      <c r="P343" s="28"/>
      <c r="Q343" s="28"/>
      <c r="R343" s="28"/>
      <c r="S343" s="28"/>
      <c r="T343" s="28"/>
      <c r="U343" s="3"/>
      <c r="W343" s="3"/>
      <c r="X343" s="3"/>
      <c r="Y343" s="3"/>
      <c r="Z343" s="3"/>
    </row>
    <row r="344" spans="1:26" ht="14.4" hidden="1" outlineLevel="1" x14ac:dyDescent="0.3">
      <c r="A344" s="3"/>
      <c r="B344" s="9" t="s">
        <v>66</v>
      </c>
      <c r="C344" s="53"/>
      <c r="D344" s="53"/>
      <c r="E344" s="11">
        <v>0</v>
      </c>
      <c r="F344" s="11">
        <v>0</v>
      </c>
      <c r="G344" s="56"/>
      <c r="H344" s="56"/>
      <c r="I344" s="80"/>
      <c r="J344" s="56"/>
      <c r="K344" s="28"/>
      <c r="L344" s="28"/>
      <c r="M344" s="28"/>
      <c r="N344" s="28"/>
      <c r="O344" s="28"/>
      <c r="P344" s="28"/>
      <c r="Q344" s="28"/>
      <c r="R344" s="28"/>
      <c r="S344" s="28"/>
      <c r="T344" s="28"/>
      <c r="U344" s="3"/>
      <c r="W344" s="3"/>
      <c r="X344" s="3"/>
      <c r="Y344" s="3"/>
      <c r="Z344" s="3"/>
    </row>
    <row r="345" spans="1:26" ht="14.4" collapsed="1" x14ac:dyDescent="0.3">
      <c r="A345" s="3"/>
      <c r="B345" s="3"/>
      <c r="C345" s="28"/>
      <c r="D345" s="28"/>
      <c r="E345" s="28"/>
      <c r="F345" s="28"/>
      <c r="G345" s="89"/>
      <c r="H345" s="89"/>
      <c r="I345" s="90"/>
      <c r="J345" s="89"/>
      <c r="K345" s="28"/>
      <c r="L345" s="28"/>
      <c r="M345" s="28"/>
      <c r="N345" s="28"/>
      <c r="O345" s="28"/>
      <c r="P345" s="28"/>
      <c r="Q345" s="28"/>
      <c r="R345" s="28"/>
      <c r="S345" s="28"/>
      <c r="T345" s="28"/>
      <c r="U345" s="3"/>
    </row>
    <row r="346" spans="1:26" ht="14.4" x14ac:dyDescent="0.3">
      <c r="A346" s="3"/>
      <c r="B346" s="3"/>
      <c r="C346" s="28"/>
      <c r="D346" s="28"/>
      <c r="E346" s="28"/>
      <c r="F346" s="28"/>
      <c r="G346" s="89"/>
      <c r="H346" s="89"/>
      <c r="I346" s="90"/>
      <c r="J346" s="89"/>
      <c r="K346" s="28"/>
      <c r="L346" s="28"/>
      <c r="M346" s="28"/>
      <c r="N346" s="28"/>
      <c r="O346" s="28"/>
      <c r="P346" s="28"/>
      <c r="Q346" s="28"/>
      <c r="R346" s="28"/>
      <c r="S346" s="28"/>
      <c r="T346" s="28"/>
      <c r="U346" s="3"/>
    </row>
    <row r="347" spans="1:26" ht="14.25" customHeight="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6" ht="14.2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6" ht="14.2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6" ht="14.2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6" ht="14.2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6" ht="14.2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4.2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4.2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4.2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4.2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4.2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4.2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4.2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4.2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4.2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4.2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4.2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4.2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4.2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4.2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4.2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4.2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4.2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4.2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4.2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4.2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4.2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4.2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4.2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4.2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4.2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4.2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4.2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4.2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4.2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4.2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4.2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4.2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4.2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4.2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4.2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4.2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4.2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4.2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4.2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4.2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4.2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4.2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4.2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4.2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4.2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4.2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4.2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4.2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4.2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4.2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4.2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4.2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4.2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4.2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4.2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4.2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4.2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4.2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4.2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4.2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4.2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4.2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4.2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4.2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4.2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4.2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4.2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4.2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4.2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4.2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4.2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4.2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4.2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4.2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4.2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4.2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4.2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4.2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4.2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4.2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4.2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4.2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4.2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4.2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4.2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4.2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4.2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4.2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4.2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4.2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4.2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4.2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4.2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4.2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4.2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4.2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4.2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4.2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4.2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4.2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4.2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4.2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4.2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4.2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4.2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4.2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4.2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4.2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4.2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4.2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4.2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4.2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4.2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4.2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4.2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4.2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4.2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4.2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4.2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4.2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4.2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4.2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4.2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4.2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4.2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4.2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4.2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4.2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4.2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4.2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4.2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4.2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4.2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4.2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4.2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4.2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4.2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4.2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4.2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4.2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4.2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4.2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4.2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4.2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4.2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4.2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4.2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4.2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4.2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4.2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4.2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4.2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4.2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4.2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4.2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4.2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4.2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4.2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4.2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4.2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4.2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4.2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4.2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4.2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4.2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4.2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4.2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4.2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4.2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4.2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4.2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4.2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4.2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4.2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4.2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4.2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spans="1:21" ht="14.25" customHeight="1" x14ac:dyDescent="0.3">
      <c r="A529" s="3"/>
      <c r="B529" s="3"/>
      <c r="C529" s="28"/>
      <c r="D529" s="28"/>
      <c r="E529" s="28"/>
      <c r="F529" s="28"/>
      <c r="G529" s="89"/>
      <c r="H529" s="89"/>
      <c r="I529" s="90"/>
      <c r="J529" s="89"/>
      <c r="K529" s="28"/>
      <c r="L529" s="28"/>
      <c r="M529" s="28"/>
      <c r="N529" s="28"/>
      <c r="O529" s="28"/>
      <c r="P529" s="28"/>
      <c r="Q529" s="28"/>
      <c r="R529" s="28"/>
      <c r="S529" s="28"/>
      <c r="T529" s="28"/>
      <c r="U529" s="3"/>
    </row>
    <row r="530" spans="1:21" ht="14.25" customHeight="1" x14ac:dyDescent="0.3">
      <c r="A530" s="3"/>
      <c r="B530" s="3"/>
      <c r="C530" s="28"/>
      <c r="D530" s="28"/>
      <c r="E530" s="28"/>
      <c r="F530" s="28"/>
      <c r="G530" s="89"/>
      <c r="H530" s="89"/>
      <c r="I530" s="90"/>
      <c r="J530" s="89"/>
      <c r="K530" s="28"/>
      <c r="L530" s="28"/>
      <c r="M530" s="28"/>
      <c r="N530" s="28"/>
      <c r="O530" s="28"/>
      <c r="P530" s="28"/>
      <c r="Q530" s="28"/>
      <c r="R530" s="28"/>
      <c r="S530" s="28"/>
      <c r="T530" s="28"/>
      <c r="U530" s="3"/>
    </row>
    <row r="531" spans="1:21" ht="14.25" customHeight="1" x14ac:dyDescent="0.3">
      <c r="A531" s="3"/>
      <c r="B531" s="3"/>
      <c r="C531" s="28"/>
      <c r="D531" s="28"/>
      <c r="E531" s="28"/>
      <c r="F531" s="28"/>
      <c r="G531" s="89"/>
      <c r="H531" s="89"/>
      <c r="I531" s="90"/>
      <c r="J531" s="89"/>
      <c r="K531" s="28"/>
      <c r="L531" s="28"/>
      <c r="M531" s="28"/>
      <c r="N531" s="28"/>
      <c r="O531" s="28"/>
      <c r="P531" s="28"/>
      <c r="Q531" s="28"/>
      <c r="R531" s="28"/>
      <c r="S531" s="28"/>
      <c r="T531" s="28"/>
      <c r="U531" s="3"/>
    </row>
    <row r="532" spans="1:21" ht="14.25" customHeight="1" x14ac:dyDescent="0.3">
      <c r="A532" s="3"/>
      <c r="B532" s="3"/>
      <c r="C532" s="28"/>
      <c r="D532" s="28"/>
      <c r="E532" s="28"/>
      <c r="F532" s="28"/>
      <c r="G532" s="89"/>
      <c r="H532" s="89"/>
      <c r="I532" s="90"/>
      <c r="J532" s="89"/>
      <c r="K532" s="28"/>
      <c r="L532" s="28"/>
      <c r="M532" s="28"/>
      <c r="N532" s="28"/>
      <c r="O532" s="28"/>
      <c r="P532" s="28"/>
      <c r="Q532" s="28"/>
      <c r="R532" s="28"/>
      <c r="S532" s="28"/>
      <c r="T532" s="28"/>
      <c r="U532" s="3"/>
    </row>
    <row r="533" spans="1:21" ht="14.25" customHeight="1" x14ac:dyDescent="0.3">
      <c r="A533" s="3"/>
      <c r="B533" s="3"/>
      <c r="C533" s="28"/>
      <c r="D533" s="28"/>
      <c r="E533" s="28"/>
      <c r="F533" s="28"/>
      <c r="G533" s="89"/>
      <c r="H533" s="89"/>
      <c r="I533" s="90"/>
      <c r="J533" s="89"/>
      <c r="K533" s="28"/>
      <c r="L533" s="28"/>
      <c r="M533" s="28"/>
      <c r="N533" s="28"/>
      <c r="O533" s="28"/>
      <c r="P533" s="28"/>
      <c r="Q533" s="28"/>
      <c r="R533" s="28"/>
      <c r="S533" s="28"/>
      <c r="T533" s="28"/>
      <c r="U533" s="3"/>
    </row>
    <row r="534" spans="1:21" ht="14.25" customHeight="1" x14ac:dyDescent="0.3">
      <c r="A534" s="3"/>
      <c r="B534" s="3"/>
      <c r="C534" s="28"/>
      <c r="D534" s="28"/>
      <c r="E534" s="28"/>
      <c r="F534" s="28"/>
      <c r="G534" s="89"/>
      <c r="H534" s="89"/>
      <c r="I534" s="90"/>
      <c r="J534" s="89"/>
      <c r="K534" s="28"/>
      <c r="L534" s="28"/>
      <c r="M534" s="28"/>
      <c r="N534" s="28"/>
      <c r="O534" s="28"/>
      <c r="P534" s="28"/>
      <c r="Q534" s="28"/>
      <c r="R534" s="28"/>
      <c r="S534" s="28"/>
      <c r="T534" s="28"/>
      <c r="U534" s="3"/>
    </row>
    <row r="535" spans="1:21" ht="14.25" customHeight="1" x14ac:dyDescent="0.3">
      <c r="A535" s="3"/>
      <c r="B535" s="3"/>
      <c r="C535" s="28"/>
      <c r="D535" s="28"/>
      <c r="E535" s="28"/>
      <c r="F535" s="28"/>
      <c r="G535" s="89"/>
      <c r="H535" s="89"/>
      <c r="I535" s="90"/>
      <c r="J535" s="89"/>
      <c r="K535" s="28"/>
      <c r="L535" s="28"/>
      <c r="M535" s="28"/>
      <c r="N535" s="28"/>
      <c r="O535" s="28"/>
      <c r="P535" s="28"/>
      <c r="Q535" s="28"/>
      <c r="R535" s="28"/>
      <c r="S535" s="28"/>
      <c r="T535" s="28"/>
      <c r="U535" s="3"/>
    </row>
    <row r="536" spans="1:21" ht="14.25" customHeight="1" x14ac:dyDescent="0.3">
      <c r="A536" s="3"/>
      <c r="B536" s="3"/>
      <c r="C536" s="28"/>
      <c r="D536" s="28"/>
      <c r="E536" s="28"/>
      <c r="F536" s="28"/>
      <c r="G536" s="89"/>
      <c r="H536" s="89"/>
      <c r="I536" s="90"/>
      <c r="J536" s="89"/>
      <c r="K536" s="28"/>
      <c r="L536" s="28"/>
      <c r="M536" s="28"/>
      <c r="N536" s="28"/>
      <c r="O536" s="28"/>
      <c r="P536" s="28"/>
      <c r="Q536" s="28"/>
      <c r="R536" s="28"/>
      <c r="S536" s="28"/>
      <c r="T536" s="28"/>
      <c r="U536" s="3"/>
    </row>
    <row r="537" spans="1:21" ht="14.25" customHeight="1" x14ac:dyDescent="0.3">
      <c r="A537" s="3"/>
      <c r="B537" s="3"/>
      <c r="C537" s="28"/>
      <c r="D537" s="28"/>
      <c r="E537" s="28"/>
      <c r="F537" s="28"/>
      <c r="G537" s="89"/>
      <c r="H537" s="89"/>
      <c r="I537" s="90"/>
      <c r="J537" s="89"/>
      <c r="K537" s="28"/>
      <c r="L537" s="28"/>
      <c r="M537" s="28"/>
      <c r="N537" s="28"/>
      <c r="O537" s="28"/>
      <c r="P537" s="28"/>
      <c r="Q537" s="28"/>
      <c r="R537" s="28"/>
      <c r="S537" s="28"/>
      <c r="T537" s="28"/>
      <c r="U537" s="3"/>
    </row>
    <row r="538" spans="1:21" ht="14.25" customHeight="1" x14ac:dyDescent="0.3">
      <c r="A538" s="3"/>
      <c r="B538" s="3"/>
      <c r="C538" s="28"/>
      <c r="D538" s="28"/>
      <c r="E538" s="28"/>
      <c r="F538" s="28"/>
      <c r="G538" s="89"/>
      <c r="H538" s="89"/>
      <c r="I538" s="90"/>
      <c r="J538" s="89"/>
      <c r="K538" s="28"/>
      <c r="L538" s="28"/>
      <c r="M538" s="28"/>
      <c r="N538" s="28"/>
      <c r="O538" s="28"/>
      <c r="P538" s="28"/>
      <c r="Q538" s="28"/>
      <c r="R538" s="28"/>
      <c r="S538" s="28"/>
      <c r="T538" s="28"/>
      <c r="U538" s="3"/>
    </row>
    <row r="539" spans="1:21" ht="14.25" customHeight="1" x14ac:dyDescent="0.3">
      <c r="A539" s="3"/>
      <c r="B539" s="3"/>
      <c r="C539" s="28"/>
      <c r="D539" s="28"/>
      <c r="E539" s="28"/>
      <c r="F539" s="28"/>
      <c r="G539" s="89"/>
      <c r="H539" s="89"/>
      <c r="I539" s="90"/>
      <c r="J539" s="89"/>
      <c r="K539" s="28"/>
      <c r="L539" s="28"/>
      <c r="M539" s="28"/>
      <c r="N539" s="28"/>
      <c r="O539" s="28"/>
      <c r="P539" s="28"/>
      <c r="Q539" s="28"/>
      <c r="R539" s="28"/>
      <c r="S539" s="28"/>
      <c r="T539" s="28"/>
      <c r="U539" s="3"/>
    </row>
    <row r="540" spans="1:21" ht="14.25" customHeight="1" x14ac:dyDescent="0.3">
      <c r="A540" s="3"/>
      <c r="B540" s="3"/>
      <c r="C540" s="28"/>
      <c r="D540" s="28"/>
      <c r="E540" s="28"/>
      <c r="F540" s="28"/>
      <c r="G540" s="89"/>
      <c r="H540" s="89"/>
      <c r="I540" s="90"/>
      <c r="J540" s="89"/>
      <c r="K540" s="28"/>
      <c r="L540" s="28"/>
      <c r="M540" s="28"/>
      <c r="N540" s="28"/>
      <c r="O540" s="28"/>
      <c r="P540" s="28"/>
      <c r="Q540" s="28"/>
      <c r="R540" s="28"/>
      <c r="S540" s="28"/>
      <c r="T540" s="28"/>
      <c r="U540" s="3"/>
    </row>
    <row r="541" spans="1:21" ht="14.25" customHeight="1" x14ac:dyDescent="0.3">
      <c r="A541" s="3"/>
      <c r="B541" s="3"/>
      <c r="C541" s="28"/>
      <c r="D541" s="28"/>
      <c r="E541" s="28"/>
      <c r="F541" s="28"/>
      <c r="G541" s="89"/>
      <c r="H541" s="89"/>
      <c r="I541" s="90"/>
      <c r="J541" s="89"/>
      <c r="K541" s="28"/>
      <c r="L541" s="28"/>
      <c r="M541" s="28"/>
      <c r="N541" s="28"/>
      <c r="O541" s="28"/>
      <c r="P541" s="28"/>
      <c r="Q541" s="28"/>
      <c r="R541" s="28"/>
      <c r="S541" s="28"/>
      <c r="T541" s="28"/>
      <c r="U541" s="3"/>
    </row>
    <row r="542" spans="1:21" ht="14.25" customHeight="1" x14ac:dyDescent="0.3">
      <c r="A542" s="3"/>
      <c r="B542" s="3"/>
      <c r="C542" s="28"/>
      <c r="D542" s="28"/>
      <c r="E542" s="28"/>
      <c r="F542" s="28"/>
      <c r="G542" s="89"/>
      <c r="H542" s="89"/>
      <c r="I542" s="90"/>
      <c r="J542" s="89"/>
      <c r="K542" s="28"/>
      <c r="L542" s="28"/>
      <c r="M542" s="28"/>
      <c r="N542" s="28"/>
      <c r="O542" s="28"/>
      <c r="P542" s="28"/>
      <c r="Q542" s="28"/>
      <c r="R542" s="28"/>
      <c r="S542" s="28"/>
      <c r="T542" s="28"/>
      <c r="U542" s="3"/>
    </row>
    <row r="543" spans="1:21" ht="14.25" customHeight="1" x14ac:dyDescent="0.3">
      <c r="A543" s="3"/>
      <c r="B543" s="3"/>
      <c r="C543" s="28"/>
      <c r="D543" s="28"/>
      <c r="E543" s="28"/>
      <c r="F543" s="28"/>
      <c r="G543" s="89"/>
      <c r="H543" s="89"/>
      <c r="I543" s="90"/>
      <c r="J543" s="89"/>
      <c r="K543" s="28"/>
      <c r="L543" s="28"/>
      <c r="M543" s="28"/>
      <c r="N543" s="28"/>
      <c r="O543" s="28"/>
      <c r="P543" s="28"/>
      <c r="Q543" s="28"/>
      <c r="R543" s="28"/>
      <c r="S543" s="28"/>
      <c r="T543" s="28"/>
      <c r="U543" s="3"/>
    </row>
    <row r="544" spans="1:21" ht="14.25" customHeight="1" x14ac:dyDescent="0.3">
      <c r="A544" s="3"/>
      <c r="B544" s="3"/>
      <c r="C544" s="28"/>
      <c r="D544" s="28"/>
      <c r="E544" s="28"/>
      <c r="F544" s="28"/>
      <c r="G544" s="89"/>
      <c r="H544" s="89"/>
      <c r="I544" s="90"/>
      <c r="J544" s="89"/>
      <c r="K544" s="28"/>
      <c r="L544" s="28"/>
      <c r="M544" s="28"/>
      <c r="N544" s="28"/>
      <c r="O544" s="28"/>
      <c r="P544" s="28"/>
      <c r="Q544" s="28"/>
      <c r="R544" s="28"/>
      <c r="S544" s="28"/>
      <c r="T544" s="28"/>
      <c r="U544" s="3"/>
    </row>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autoFilter ref="C5:F344" xr:uid="{00000000-0009-0000-0000-000015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39 D141:D149 D152:D156 D158:D162 D164:D168 D170:D174 D176:D180 D182:D259 D262:D270 D272:D280 D282:D290 D292:D312 D314:D322 D324:D344" xr:uid="{00000000-0002-0000-1500-000001000000}">
      <formula1>"OK,Parcial,Pendente"</formula1>
    </dataValidation>
  </dataValidations>
  <hyperlinks>
    <hyperlink ref="I7" r:id="rId1" xr:uid="{00000000-0004-0000-1500-000000000000}"/>
    <hyperlink ref="I10" r:id="rId2" xr:uid="{00000000-0004-0000-1500-000001000000}"/>
    <hyperlink ref="I11" r:id="rId3" xr:uid="{00000000-0004-0000-1500-000002000000}"/>
    <hyperlink ref="I12" r:id="rId4" xr:uid="{00000000-0004-0000-1500-000003000000}"/>
    <hyperlink ref="I14" r:id="rId5" xr:uid="{00000000-0004-0000-1500-000004000000}"/>
    <hyperlink ref="I17" r:id="rId6" xr:uid="{00000000-0004-0000-1500-000005000000}"/>
    <hyperlink ref="I22" r:id="rId7" xr:uid="{00000000-0004-0000-1500-000006000000}"/>
    <hyperlink ref="I29" r:id="rId8" xr:uid="{00000000-0004-0000-1500-000007000000}"/>
    <hyperlink ref="I35" r:id="rId9" xr:uid="{00000000-0004-0000-1500-000008000000}"/>
    <hyperlink ref="I39" r:id="rId10" xr:uid="{00000000-0004-0000-1500-000009000000}"/>
    <hyperlink ref="I40" r:id="rId11" xr:uid="{00000000-0004-0000-1500-00000A000000}"/>
    <hyperlink ref="I43" r:id="rId12" xr:uid="{00000000-0004-0000-1500-00000B000000}"/>
    <hyperlink ref="I44" r:id="rId13" xr:uid="{00000000-0004-0000-1500-00000C000000}"/>
    <hyperlink ref="I45" r:id="rId14" xr:uid="{00000000-0004-0000-1500-00000D000000}"/>
    <hyperlink ref="I47" r:id="rId15" xr:uid="{00000000-0004-0000-1500-00000E000000}"/>
    <hyperlink ref="I48" r:id="rId16" xr:uid="{00000000-0004-0000-1500-00000F000000}"/>
    <hyperlink ref="I64" r:id="rId17" xr:uid="{00000000-0004-0000-1500-000010000000}"/>
    <hyperlink ref="I65" r:id="rId18" xr:uid="{00000000-0004-0000-1500-000011000000}"/>
    <hyperlink ref="I66" r:id="rId19" xr:uid="{00000000-0004-0000-1500-000012000000}"/>
    <hyperlink ref="I67" r:id="rId20" xr:uid="{00000000-0004-0000-1500-000013000000}"/>
    <hyperlink ref="I68" r:id="rId21" xr:uid="{00000000-0004-0000-1500-000014000000}"/>
    <hyperlink ref="I69" r:id="rId22" xr:uid="{00000000-0004-0000-1500-000015000000}"/>
    <hyperlink ref="I70" r:id="rId23" xr:uid="{00000000-0004-0000-1500-000016000000}"/>
    <hyperlink ref="I71" r:id="rId24" xr:uid="{00000000-0004-0000-1500-000017000000}"/>
    <hyperlink ref="I72" r:id="rId25" xr:uid="{00000000-0004-0000-1500-000018000000}"/>
    <hyperlink ref="I73" r:id="rId26" xr:uid="{00000000-0004-0000-1500-000019000000}"/>
    <hyperlink ref="I74" r:id="rId27" xr:uid="{00000000-0004-0000-1500-00001A000000}"/>
    <hyperlink ref="I75" r:id="rId28" xr:uid="{00000000-0004-0000-1500-00001B000000}"/>
    <hyperlink ref="I77" r:id="rId29" xr:uid="{00000000-0004-0000-1500-00001C000000}"/>
    <hyperlink ref="I78" r:id="rId30" xr:uid="{00000000-0004-0000-1500-00001D000000}"/>
    <hyperlink ref="I79" r:id="rId31" xr:uid="{00000000-0004-0000-1500-00001E000000}"/>
    <hyperlink ref="I80" r:id="rId32" xr:uid="{00000000-0004-0000-1500-00001F000000}"/>
    <hyperlink ref="I81" r:id="rId33" xr:uid="{00000000-0004-0000-1500-000020000000}"/>
    <hyperlink ref="I87" r:id="rId34" xr:uid="{00000000-0004-0000-1500-000021000000}"/>
    <hyperlink ref="I122" r:id="rId35" xr:uid="{00000000-0004-0000-1500-000022000000}"/>
    <hyperlink ref="I123" r:id="rId36" xr:uid="{00000000-0004-0000-1500-000023000000}"/>
    <hyperlink ref="I124" r:id="rId37" xr:uid="{00000000-0004-0000-1500-000024000000}"/>
    <hyperlink ref="I125" r:id="rId38" xr:uid="{00000000-0004-0000-1500-000025000000}"/>
    <hyperlink ref="I126" r:id="rId39" xr:uid="{00000000-0004-0000-1500-000026000000}"/>
    <hyperlink ref="I127" r:id="rId40" xr:uid="{00000000-0004-0000-1500-000027000000}"/>
    <hyperlink ref="I128" r:id="rId41" xr:uid="{00000000-0004-0000-1500-000028000000}"/>
    <hyperlink ref="I152" r:id="rId42" xr:uid="{00000000-0004-0000-1500-000029000000}"/>
    <hyperlink ref="I153" r:id="rId43" xr:uid="{00000000-0004-0000-1500-00002A000000}"/>
    <hyperlink ref="I155" r:id="rId44" xr:uid="{00000000-0004-0000-1500-00002B000000}"/>
    <hyperlink ref="I182" r:id="rId45" xr:uid="{00000000-0004-0000-1500-00002C000000}"/>
    <hyperlink ref="I185" r:id="rId46" xr:uid="{00000000-0004-0000-1500-00002D000000}"/>
    <hyperlink ref="I188" r:id="rId47" xr:uid="{00000000-0004-0000-1500-00002E000000}"/>
    <hyperlink ref="I189" r:id="rId48" xr:uid="{00000000-0004-0000-1500-00002F000000}"/>
    <hyperlink ref="I190" r:id="rId49" xr:uid="{00000000-0004-0000-1500-000030000000}"/>
    <hyperlink ref="I191" r:id="rId50" xr:uid="{00000000-0004-0000-1500-000031000000}"/>
    <hyperlink ref="I211" r:id="rId51" xr:uid="{00000000-0004-0000-1500-000032000000}"/>
    <hyperlink ref="I262" r:id="rId52" xr:uid="{00000000-0004-0000-1500-000033000000}"/>
    <hyperlink ref="I263" r:id="rId53" xr:uid="{00000000-0004-0000-1500-000034000000}"/>
    <hyperlink ref="I337" r:id="rId54" xr:uid="{00000000-0004-0000-1500-000035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500-000000000000}">
          <x14:formula1>
            <xm:f>Caixa!$B$5:$B$8</xm:f>
          </x14:formula1>
          <xm:sqref>H7:H15 H17:H33 H35:H37 H39:H62 H64:H87 H90:H104 H106:H109 H111:H113 H116:H120 H122:H139 H141:H149 H152:H156 H158:H162 H164:H168 H170:H174 H176:H180 H182:H209 H211:H219 H221:H229 H231:H239 H241:H249 H251:H259 H262:H270 H272:H280 H282:H290 H292:H312 H314:H322 H324:H344</xm:sqref>
        </x14:dataValidation>
        <x14:dataValidation type="list" allowBlank="1" showErrorMessage="1" xr:uid="{00000000-0002-0000-1500-000002000000}">
          <x14:formula1>
            <xm:f>'Plano de contas DG'!$C$43:$C$145</xm:f>
          </x14:formula1>
          <xm:sqref>J242</xm:sqref>
        </x14:dataValidation>
        <x14:dataValidation type="list" allowBlank="1" showErrorMessage="1" xr:uid="{00000000-0002-0000-1500-000003000000}">
          <x14:formula1>
            <xm:f>'Plano de contas DG'!$C$5:$C$145</xm:f>
          </x14:formula1>
          <xm:sqref>J6:J241 J243:J344</xm:sqref>
        </x14:dataValidation>
        <x14:dataValidation type="list" allowBlank="1" showErrorMessage="1" xr:uid="{00000000-0002-0000-1500-000004000000}">
          <x14:formula1>
            <xm:f>Caixa!$B$5:$B$7</xm:f>
          </x14:formula1>
          <xm:sqref>H16 H34 H88:H89 H105 H110 H114:H115 H121 H210 H220 H230 H240 H250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SUM(E6,E126,E154,E184,E188)</f>
        <v>18777.98</v>
      </c>
      <c r="F4" s="18">
        <f t="shared" si="0"/>
        <v>31024.009999999995</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SUM(E7:E125)</f>
        <v>18777.98</v>
      </c>
      <c r="F6" s="48">
        <f>SUMIF(D7:D125,"OK",F7:F125)+SUMIF(D7:D125,"Parcial",F7:F125)</f>
        <v>16780.259999999995</v>
      </c>
      <c r="G6" s="107" t="s">
        <v>44</v>
      </c>
      <c r="H6" s="50"/>
      <c r="I6" s="50"/>
      <c r="J6" s="51">
        <f>(COUNTIF(D7:D125,"Pendente")+COUNTIF(D7:D125,"Parcial"))/COUNTA(B7:B125)</f>
        <v>0.16494845360824742</v>
      </c>
      <c r="K6" s="51">
        <f>IFERROR(-(X6/E6),"Pendente info")</f>
        <v>0.11301322080436768</v>
      </c>
      <c r="L6" s="91">
        <f>SUM(L7:L104)/COUNTA(B7:B104)</f>
        <v>0.17525773195876287</v>
      </c>
      <c r="M6" s="48">
        <f t="shared" ref="M6:U6" si="1">SUMIF($D$7:$D$125,"OK",M7:M125)+SUMIF($D$7:$D$125,"Parcial",M7:M125)</f>
        <v>7577.8700000000035</v>
      </c>
      <c r="N6" s="48">
        <f t="shared" si="1"/>
        <v>1891.889999999999</v>
      </c>
      <c r="O6" s="48">
        <f t="shared" si="1"/>
        <v>924</v>
      </c>
      <c r="P6" s="48">
        <f t="shared" si="1"/>
        <v>167.79999999999995</v>
      </c>
      <c r="Q6" s="48">
        <f t="shared" si="1"/>
        <v>140</v>
      </c>
      <c r="R6" s="48">
        <f t="shared" si="1"/>
        <v>165</v>
      </c>
      <c r="S6" s="48">
        <f t="shared" si="1"/>
        <v>172</v>
      </c>
      <c r="T6" s="48">
        <f t="shared" si="1"/>
        <v>480</v>
      </c>
      <c r="U6" s="48">
        <f t="shared" si="1"/>
        <v>5261.7000000000007</v>
      </c>
      <c r="V6" s="47" t="s">
        <v>44</v>
      </c>
      <c r="W6" s="35" t="str">
        <f t="shared" ref="W6:W125" si="2">IF(F6=SUM(M6:U6),"OK","Diferente")</f>
        <v>OK</v>
      </c>
      <c r="X6" s="38">
        <f>SUM(X7:X125)</f>
        <v>-2122.1600000000003</v>
      </c>
      <c r="Y6" s="14">
        <f>SUM(M6:U6)-F6</f>
        <v>0</v>
      </c>
      <c r="Z6" s="3"/>
    </row>
    <row r="7" spans="1:26" ht="14.4" hidden="1" outlineLevel="1" x14ac:dyDescent="0.3">
      <c r="A7" s="3"/>
      <c r="B7" s="99" t="s">
        <v>423</v>
      </c>
      <c r="C7" s="53"/>
      <c r="D7" s="53" t="s">
        <v>95</v>
      </c>
      <c r="E7" s="11">
        <f t="shared" ref="E7:E59" si="3">SUM(M7:U7)</f>
        <v>0</v>
      </c>
      <c r="F7" s="92"/>
      <c r="G7" s="141"/>
      <c r="H7" s="54"/>
      <c r="I7" s="54"/>
      <c r="J7" s="55"/>
      <c r="K7" s="53"/>
      <c r="L7" s="53" t="str">
        <f t="shared" ref="L7:L125" si="4">IF(C7&gt;=13,1,"")</f>
        <v/>
      </c>
      <c r="M7" s="11"/>
      <c r="N7" s="11"/>
      <c r="O7" s="11"/>
      <c r="P7" s="11"/>
      <c r="Q7" s="11"/>
      <c r="R7" s="11"/>
      <c r="S7" s="11"/>
      <c r="T7" s="11"/>
      <c r="U7" s="11"/>
      <c r="V7" s="56" t="s">
        <v>1533</v>
      </c>
      <c r="W7" s="35" t="str">
        <f t="shared" si="2"/>
        <v>OK</v>
      </c>
      <c r="X7" s="38" t="str">
        <f t="shared" ref="X7:X125" si="5">IF(W7="Diferente",F7-SUM(M7:U7),"")</f>
        <v/>
      </c>
      <c r="Y7" s="3"/>
      <c r="Z7" s="116"/>
    </row>
    <row r="8" spans="1:26" ht="14.4" hidden="1" outlineLevel="1" x14ac:dyDescent="0.3">
      <c r="A8" s="3"/>
      <c r="B8" s="99" t="s">
        <v>425</v>
      </c>
      <c r="C8" s="53"/>
      <c r="D8" s="53" t="s">
        <v>95</v>
      </c>
      <c r="E8" s="11">
        <f t="shared" si="3"/>
        <v>0</v>
      </c>
      <c r="F8" s="92"/>
      <c r="G8" s="58"/>
      <c r="H8" s="54"/>
      <c r="I8" s="54"/>
      <c r="J8" s="55"/>
      <c r="K8" s="53"/>
      <c r="L8" s="53" t="str">
        <f t="shared" si="4"/>
        <v/>
      </c>
      <c r="M8" s="11"/>
      <c r="N8" s="11"/>
      <c r="O8" s="11"/>
      <c r="P8" s="11"/>
      <c r="Q8" s="11"/>
      <c r="R8" s="11"/>
      <c r="S8" s="11"/>
      <c r="T8" s="11"/>
      <c r="U8" s="11"/>
      <c r="V8" s="56" t="s">
        <v>1534</v>
      </c>
      <c r="W8" s="35" t="str">
        <f t="shared" si="2"/>
        <v>OK</v>
      </c>
      <c r="X8" s="38" t="str">
        <f t="shared" si="5"/>
        <v/>
      </c>
      <c r="Y8" s="3"/>
      <c r="Z8" s="116"/>
    </row>
    <row r="9" spans="1:26" ht="14.4" hidden="1" outlineLevel="1" x14ac:dyDescent="0.3">
      <c r="A9" s="3"/>
      <c r="B9" s="99" t="s">
        <v>426</v>
      </c>
      <c r="C9" s="53"/>
      <c r="D9" s="53" t="s">
        <v>95</v>
      </c>
      <c r="E9" s="11">
        <f t="shared" si="3"/>
        <v>0</v>
      </c>
      <c r="F9" s="92"/>
      <c r="G9" s="58"/>
      <c r="H9" s="54"/>
      <c r="I9" s="54"/>
      <c r="J9" s="55"/>
      <c r="K9" s="53"/>
      <c r="L9" s="53" t="str">
        <f t="shared" si="4"/>
        <v/>
      </c>
      <c r="M9" s="11"/>
      <c r="N9" s="11"/>
      <c r="O9" s="11"/>
      <c r="P9" s="11"/>
      <c r="Q9" s="11"/>
      <c r="R9" s="11"/>
      <c r="S9" s="11"/>
      <c r="T9" s="11"/>
      <c r="U9" s="11"/>
      <c r="V9" s="56" t="s">
        <v>1535</v>
      </c>
      <c r="W9" s="35" t="str">
        <f t="shared" si="2"/>
        <v>OK</v>
      </c>
      <c r="X9" s="38" t="str">
        <f t="shared" si="5"/>
        <v/>
      </c>
      <c r="Y9" s="3"/>
      <c r="Z9" s="116"/>
    </row>
    <row r="10" spans="1:26" ht="14.4" hidden="1" outlineLevel="1" x14ac:dyDescent="0.3">
      <c r="A10" s="3"/>
      <c r="B10" s="99" t="s">
        <v>427</v>
      </c>
      <c r="C10" s="53"/>
      <c r="D10" s="53" t="s">
        <v>95</v>
      </c>
      <c r="E10" s="11">
        <f t="shared" si="3"/>
        <v>0</v>
      </c>
      <c r="F10" s="92"/>
      <c r="G10" s="58"/>
      <c r="H10" s="54"/>
      <c r="I10" s="54"/>
      <c r="J10" s="55"/>
      <c r="K10" s="53"/>
      <c r="L10" s="53" t="str">
        <f t="shared" si="4"/>
        <v/>
      </c>
      <c r="M10" s="11"/>
      <c r="N10" s="11"/>
      <c r="O10" s="11"/>
      <c r="P10" s="11"/>
      <c r="Q10" s="11"/>
      <c r="R10" s="11"/>
      <c r="S10" s="11"/>
      <c r="T10" s="11"/>
      <c r="U10" s="11"/>
      <c r="V10" s="56" t="s">
        <v>1534</v>
      </c>
      <c r="W10" s="35" t="str">
        <f t="shared" si="2"/>
        <v>OK</v>
      </c>
      <c r="X10" s="38" t="str">
        <f t="shared" si="5"/>
        <v/>
      </c>
      <c r="Y10" s="3"/>
      <c r="Z10" s="116"/>
    </row>
    <row r="11" spans="1:26" ht="14.4" hidden="1" outlineLevel="1" x14ac:dyDescent="0.3">
      <c r="A11" s="3"/>
      <c r="B11" s="99" t="s">
        <v>428</v>
      </c>
      <c r="C11" s="53">
        <v>9</v>
      </c>
      <c r="D11" s="53" t="s">
        <v>95</v>
      </c>
      <c r="E11" s="11">
        <f t="shared" si="3"/>
        <v>340.43</v>
      </c>
      <c r="F11" s="92">
        <f t="shared" ref="F11:F12" si="6">E11</f>
        <v>340.43</v>
      </c>
      <c r="G11" s="58"/>
      <c r="H11" s="54" t="s">
        <v>37</v>
      </c>
      <c r="I11" s="54"/>
      <c r="J11" s="55"/>
      <c r="K11" s="53"/>
      <c r="L11" s="53" t="str">
        <f t="shared" si="4"/>
        <v/>
      </c>
      <c r="M11" s="11">
        <v>148</v>
      </c>
      <c r="N11" s="11">
        <v>24.57</v>
      </c>
      <c r="O11" s="11">
        <v>12</v>
      </c>
      <c r="P11" s="11">
        <v>3.86</v>
      </c>
      <c r="Q11" s="11">
        <v>5</v>
      </c>
      <c r="R11" s="11"/>
      <c r="S11" s="11"/>
      <c r="T11" s="11"/>
      <c r="U11" s="11">
        <v>147</v>
      </c>
      <c r="V11" s="56" t="s">
        <v>1536</v>
      </c>
      <c r="W11" s="35" t="str">
        <f t="shared" si="2"/>
        <v>OK</v>
      </c>
      <c r="X11" s="38" t="str">
        <f t="shared" si="5"/>
        <v/>
      </c>
      <c r="Y11" s="3"/>
      <c r="Z11" s="116"/>
    </row>
    <row r="12" spans="1:26" ht="14.4" hidden="1" outlineLevel="1" x14ac:dyDescent="0.3">
      <c r="A12" s="3"/>
      <c r="B12" s="99" t="s">
        <v>429</v>
      </c>
      <c r="C12" s="53">
        <v>9</v>
      </c>
      <c r="D12" s="53" t="s">
        <v>95</v>
      </c>
      <c r="E12" s="11">
        <f t="shared" si="3"/>
        <v>208.57</v>
      </c>
      <c r="F12" s="92">
        <f t="shared" si="6"/>
        <v>208.57</v>
      </c>
      <c r="G12" s="58"/>
      <c r="H12" s="54" t="s">
        <v>37</v>
      </c>
      <c r="I12" s="54"/>
      <c r="J12" s="55"/>
      <c r="K12" s="53"/>
      <c r="L12" s="53" t="str">
        <f t="shared" si="4"/>
        <v/>
      </c>
      <c r="M12" s="11">
        <v>148</v>
      </c>
      <c r="N12" s="11">
        <v>24.57</v>
      </c>
      <c r="O12" s="11">
        <v>12</v>
      </c>
      <c r="P12" s="11">
        <v>2</v>
      </c>
      <c r="Q12" s="11"/>
      <c r="R12" s="11"/>
      <c r="S12" s="11"/>
      <c r="T12" s="11"/>
      <c r="U12" s="11">
        <v>22</v>
      </c>
      <c r="V12" s="56" t="s">
        <v>1535</v>
      </c>
      <c r="W12" s="35" t="str">
        <f t="shared" si="2"/>
        <v>OK</v>
      </c>
      <c r="X12" s="38" t="str">
        <f t="shared" si="5"/>
        <v/>
      </c>
      <c r="Y12" s="3"/>
      <c r="Z12" s="116"/>
    </row>
    <row r="13" spans="1:26" ht="14.4" hidden="1" outlineLevel="1" x14ac:dyDescent="0.3">
      <c r="A13" s="3"/>
      <c r="B13" s="99" t="s">
        <v>430</v>
      </c>
      <c r="C13" s="53"/>
      <c r="D13" s="53" t="s">
        <v>105</v>
      </c>
      <c r="E13" s="11">
        <f t="shared" si="3"/>
        <v>320.49</v>
      </c>
      <c r="F13" s="92"/>
      <c r="G13" s="58"/>
      <c r="H13" s="54"/>
      <c r="I13" s="54"/>
      <c r="J13" s="55"/>
      <c r="K13" s="53"/>
      <c r="L13" s="53" t="str">
        <f t="shared" si="4"/>
        <v/>
      </c>
      <c r="M13" s="11">
        <v>130.47999999999999</v>
      </c>
      <c r="N13" s="11">
        <v>24.57</v>
      </c>
      <c r="O13" s="11">
        <v>12</v>
      </c>
      <c r="P13" s="11">
        <v>1.44</v>
      </c>
      <c r="Q13" s="11">
        <v>10</v>
      </c>
      <c r="R13" s="11">
        <v>20</v>
      </c>
      <c r="S13" s="11">
        <v>50</v>
      </c>
      <c r="T13" s="11">
        <v>50</v>
      </c>
      <c r="U13" s="11">
        <v>22</v>
      </c>
      <c r="V13" s="56" t="s">
        <v>1535</v>
      </c>
      <c r="W13" s="35" t="str">
        <f t="shared" si="2"/>
        <v>Diferente</v>
      </c>
      <c r="X13" s="38">
        <f t="shared" si="5"/>
        <v>-320.49</v>
      </c>
      <c r="Y13" s="3"/>
      <c r="Z13" s="116"/>
    </row>
    <row r="14" spans="1:26" ht="14.4" hidden="1" outlineLevel="1" x14ac:dyDescent="0.3">
      <c r="A14" s="3"/>
      <c r="B14" s="99" t="s">
        <v>432</v>
      </c>
      <c r="C14" s="53"/>
      <c r="D14" s="53" t="s">
        <v>105</v>
      </c>
      <c r="E14" s="11">
        <f t="shared" si="3"/>
        <v>309.28999999999996</v>
      </c>
      <c r="F14" s="92"/>
      <c r="G14" s="58"/>
      <c r="H14" s="54"/>
      <c r="I14" s="54"/>
      <c r="J14" s="55"/>
      <c r="K14" s="53"/>
      <c r="L14" s="53" t="str">
        <f t="shared" si="4"/>
        <v/>
      </c>
      <c r="M14" s="11">
        <v>98.28</v>
      </c>
      <c r="N14" s="11">
        <v>24.57</v>
      </c>
      <c r="O14" s="11">
        <v>12</v>
      </c>
      <c r="P14" s="11">
        <v>1.44</v>
      </c>
      <c r="Q14" s="11">
        <v>5</v>
      </c>
      <c r="R14" s="11"/>
      <c r="S14" s="11"/>
      <c r="T14" s="11">
        <v>50</v>
      </c>
      <c r="U14" s="11">
        <v>118</v>
      </c>
      <c r="V14" s="56" t="s">
        <v>1537</v>
      </c>
      <c r="W14" s="35" t="str">
        <f t="shared" si="2"/>
        <v>Diferente</v>
      </c>
      <c r="X14" s="38">
        <f t="shared" si="5"/>
        <v>-309.28999999999996</v>
      </c>
      <c r="Y14" s="3"/>
      <c r="Z14" s="116"/>
    </row>
    <row r="15" spans="1:26" ht="18" hidden="1" customHeight="1" outlineLevel="1" x14ac:dyDescent="0.3">
      <c r="A15" s="3"/>
      <c r="B15" s="99" t="s">
        <v>433</v>
      </c>
      <c r="C15" s="53">
        <v>16</v>
      </c>
      <c r="D15" s="53" t="s">
        <v>95</v>
      </c>
      <c r="E15" s="11">
        <f t="shared" si="3"/>
        <v>122</v>
      </c>
      <c r="F15" s="92">
        <f t="shared" ref="F15:F22" si="7">E15</f>
        <v>122</v>
      </c>
      <c r="G15" s="58"/>
      <c r="H15" s="54" t="s">
        <v>37</v>
      </c>
      <c r="I15" s="54"/>
      <c r="J15" s="55"/>
      <c r="K15" s="53"/>
      <c r="L15" s="53">
        <f t="shared" si="4"/>
        <v>1</v>
      </c>
      <c r="M15" s="11">
        <v>61.99</v>
      </c>
      <c r="N15" s="11">
        <v>24.57</v>
      </c>
      <c r="O15" s="11">
        <v>12</v>
      </c>
      <c r="P15" s="11">
        <v>1.44</v>
      </c>
      <c r="Q15" s="11">
        <v>0</v>
      </c>
      <c r="R15" s="11">
        <v>0</v>
      </c>
      <c r="S15" s="11">
        <v>0</v>
      </c>
      <c r="T15" s="11"/>
      <c r="U15" s="11">
        <v>22</v>
      </c>
      <c r="V15" s="56" t="s">
        <v>1535</v>
      </c>
      <c r="W15" s="35" t="str">
        <f t="shared" si="2"/>
        <v>OK</v>
      </c>
      <c r="X15" s="38" t="str">
        <f t="shared" si="5"/>
        <v/>
      </c>
      <c r="Y15" s="3"/>
      <c r="Z15" s="116"/>
    </row>
    <row r="16" spans="1:26" ht="18" hidden="1" customHeight="1" outlineLevel="1" x14ac:dyDescent="0.3">
      <c r="A16" s="3"/>
      <c r="B16" s="99" t="s">
        <v>1409</v>
      </c>
      <c r="C16" s="53" t="s">
        <v>1538</v>
      </c>
      <c r="D16" s="53" t="s">
        <v>95</v>
      </c>
      <c r="E16" s="11">
        <f t="shared" si="3"/>
        <v>422</v>
      </c>
      <c r="F16" s="92">
        <f t="shared" si="7"/>
        <v>422</v>
      </c>
      <c r="G16" s="61"/>
      <c r="H16" s="54" t="s">
        <v>37</v>
      </c>
      <c r="I16" s="54"/>
      <c r="J16" s="55"/>
      <c r="K16" s="53"/>
      <c r="L16" s="53">
        <f t="shared" si="4"/>
        <v>1</v>
      </c>
      <c r="M16" s="11">
        <v>61.99</v>
      </c>
      <c r="N16" s="11">
        <v>24.57</v>
      </c>
      <c r="O16" s="11">
        <v>12</v>
      </c>
      <c r="P16" s="11">
        <v>1.44</v>
      </c>
      <c r="Q16" s="11">
        <v>0</v>
      </c>
      <c r="R16" s="11">
        <v>0</v>
      </c>
      <c r="S16" s="11"/>
      <c r="T16" s="11"/>
      <c r="U16" s="11">
        <f>22+300</f>
        <v>322</v>
      </c>
      <c r="V16" s="56" t="s">
        <v>1539</v>
      </c>
      <c r="W16" s="35" t="str">
        <f t="shared" si="2"/>
        <v>OK</v>
      </c>
      <c r="X16" s="38" t="str">
        <f t="shared" si="5"/>
        <v/>
      </c>
      <c r="Y16" s="3"/>
      <c r="Z16" s="116"/>
    </row>
    <row r="17" spans="1:26" ht="14.4" hidden="1" outlineLevel="1" x14ac:dyDescent="0.3">
      <c r="A17" s="3"/>
      <c r="B17" s="99" t="s">
        <v>435</v>
      </c>
      <c r="C17" s="53">
        <v>5</v>
      </c>
      <c r="D17" s="53" t="s">
        <v>95</v>
      </c>
      <c r="E17" s="11">
        <f t="shared" si="3"/>
        <v>48.589999999999996</v>
      </c>
      <c r="F17" s="92">
        <f t="shared" si="7"/>
        <v>48.589999999999996</v>
      </c>
      <c r="G17" s="58"/>
      <c r="H17" s="54" t="s">
        <v>37</v>
      </c>
      <c r="I17" s="54"/>
      <c r="J17" s="55"/>
      <c r="K17" s="53"/>
      <c r="L17" s="53" t="str">
        <f t="shared" si="4"/>
        <v/>
      </c>
      <c r="M17" s="11">
        <v>5.58</v>
      </c>
      <c r="N17" s="11">
        <v>24.57</v>
      </c>
      <c r="O17" s="11">
        <v>12</v>
      </c>
      <c r="P17" s="11">
        <v>1.44</v>
      </c>
      <c r="Q17" s="11">
        <v>5</v>
      </c>
      <c r="R17" s="11"/>
      <c r="S17" s="11"/>
      <c r="T17" s="11"/>
      <c r="U17" s="11"/>
      <c r="V17" s="56" t="s">
        <v>1540</v>
      </c>
      <c r="W17" s="35" t="str">
        <f t="shared" si="2"/>
        <v>OK</v>
      </c>
      <c r="X17" s="38" t="str">
        <f t="shared" si="5"/>
        <v/>
      </c>
      <c r="Y17" s="3"/>
      <c r="Z17" s="116"/>
    </row>
    <row r="18" spans="1:26" ht="14.4" hidden="1" outlineLevel="1" x14ac:dyDescent="0.3">
      <c r="A18" s="3"/>
      <c r="B18" s="99" t="s">
        <v>436</v>
      </c>
      <c r="C18" s="53">
        <v>5</v>
      </c>
      <c r="D18" s="53" t="s">
        <v>95</v>
      </c>
      <c r="E18" s="11">
        <f t="shared" si="3"/>
        <v>43.589999999999996</v>
      </c>
      <c r="F18" s="92">
        <f t="shared" si="7"/>
        <v>43.589999999999996</v>
      </c>
      <c r="G18" s="58"/>
      <c r="H18" s="54" t="s">
        <v>37</v>
      </c>
      <c r="I18" s="54"/>
      <c r="J18" s="55"/>
      <c r="K18" s="53"/>
      <c r="L18" s="53" t="str">
        <f t="shared" si="4"/>
        <v/>
      </c>
      <c r="M18" s="11">
        <v>5.58</v>
      </c>
      <c r="N18" s="11">
        <v>24.57</v>
      </c>
      <c r="O18" s="11">
        <v>12</v>
      </c>
      <c r="P18" s="11">
        <v>1.44</v>
      </c>
      <c r="Q18" s="11"/>
      <c r="R18" s="11"/>
      <c r="S18" s="11"/>
      <c r="T18" s="11"/>
      <c r="U18" s="11"/>
      <c r="V18" s="56" t="s">
        <v>1535</v>
      </c>
      <c r="W18" s="35" t="str">
        <f t="shared" si="2"/>
        <v>OK</v>
      </c>
      <c r="X18" s="38" t="str">
        <f t="shared" si="5"/>
        <v/>
      </c>
      <c r="Y18" s="3"/>
      <c r="Z18" s="116"/>
    </row>
    <row r="19" spans="1:26" ht="14.4" hidden="1" outlineLevel="1" x14ac:dyDescent="0.3">
      <c r="A19" s="3"/>
      <c r="B19" s="99" t="s">
        <v>437</v>
      </c>
      <c r="C19" s="53">
        <v>1</v>
      </c>
      <c r="D19" s="53" t="s">
        <v>95</v>
      </c>
      <c r="E19" s="11">
        <f t="shared" si="3"/>
        <v>463.28999999999996</v>
      </c>
      <c r="F19" s="92">
        <f t="shared" si="7"/>
        <v>463.28999999999996</v>
      </c>
      <c r="G19" s="58"/>
      <c r="H19" s="54" t="s">
        <v>37</v>
      </c>
      <c r="I19" s="54"/>
      <c r="J19" s="55"/>
      <c r="K19" s="53"/>
      <c r="L19" s="53" t="str">
        <f t="shared" si="4"/>
        <v/>
      </c>
      <c r="M19" s="11">
        <v>328.28</v>
      </c>
      <c r="N19" s="11">
        <v>24.57</v>
      </c>
      <c r="O19" s="11">
        <v>12</v>
      </c>
      <c r="P19" s="11">
        <v>11.44</v>
      </c>
      <c r="Q19" s="11">
        <v>5</v>
      </c>
      <c r="R19" s="11">
        <v>10</v>
      </c>
      <c r="S19" s="11"/>
      <c r="T19" s="11">
        <v>50</v>
      </c>
      <c r="U19" s="11">
        <v>22</v>
      </c>
      <c r="V19" s="56" t="s">
        <v>1535</v>
      </c>
      <c r="W19" s="35" t="str">
        <f t="shared" si="2"/>
        <v>OK</v>
      </c>
      <c r="X19" s="38" t="str">
        <f t="shared" si="5"/>
        <v/>
      </c>
      <c r="Y19" s="3"/>
      <c r="Z19" s="116"/>
    </row>
    <row r="20" spans="1:26" ht="14.4" hidden="1" outlineLevel="1" x14ac:dyDescent="0.3">
      <c r="A20" s="3"/>
      <c r="B20" s="99" t="s">
        <v>438</v>
      </c>
      <c r="C20" s="53">
        <v>1</v>
      </c>
      <c r="D20" s="53" t="s">
        <v>95</v>
      </c>
      <c r="E20" s="11">
        <f t="shared" si="3"/>
        <v>449.28999999999996</v>
      </c>
      <c r="F20" s="92">
        <f t="shared" si="7"/>
        <v>449.28999999999996</v>
      </c>
      <c r="G20" s="58"/>
      <c r="H20" s="54" t="s">
        <v>37</v>
      </c>
      <c r="I20" s="54"/>
      <c r="J20" s="55"/>
      <c r="K20" s="53"/>
      <c r="L20" s="53" t="str">
        <f t="shared" si="4"/>
        <v/>
      </c>
      <c r="M20" s="11">
        <f>328.28-4</f>
        <v>324.27999999999997</v>
      </c>
      <c r="N20" s="11">
        <v>24.57</v>
      </c>
      <c r="O20" s="11">
        <v>12</v>
      </c>
      <c r="P20" s="11">
        <v>1.44</v>
      </c>
      <c r="Q20" s="11">
        <v>5</v>
      </c>
      <c r="R20" s="11">
        <v>10</v>
      </c>
      <c r="S20" s="11"/>
      <c r="T20" s="11">
        <v>50</v>
      </c>
      <c r="U20" s="11">
        <v>22</v>
      </c>
      <c r="V20" s="56" t="s">
        <v>1535</v>
      </c>
      <c r="W20" s="35" t="str">
        <f t="shared" si="2"/>
        <v>OK</v>
      </c>
      <c r="X20" s="38" t="str">
        <f t="shared" si="5"/>
        <v/>
      </c>
      <c r="Y20" s="3"/>
      <c r="Z20" s="116"/>
    </row>
    <row r="21" spans="1:26" ht="15.75" hidden="1" customHeight="1" outlineLevel="1" x14ac:dyDescent="0.3">
      <c r="A21" s="3"/>
      <c r="B21" s="99" t="s">
        <v>1410</v>
      </c>
      <c r="C21" s="53">
        <v>16</v>
      </c>
      <c r="D21" s="53" t="s">
        <v>95</v>
      </c>
      <c r="E21" s="11">
        <f t="shared" si="3"/>
        <v>270.99</v>
      </c>
      <c r="F21" s="92">
        <f t="shared" si="7"/>
        <v>270.99</v>
      </c>
      <c r="G21" s="58"/>
      <c r="H21" s="54" t="s">
        <v>37</v>
      </c>
      <c r="I21" s="54"/>
      <c r="J21" s="55"/>
      <c r="K21" s="53"/>
      <c r="L21" s="53">
        <f t="shared" si="4"/>
        <v>1</v>
      </c>
      <c r="M21" s="11">
        <v>120.98</v>
      </c>
      <c r="N21" s="11">
        <v>24.57</v>
      </c>
      <c r="O21" s="11">
        <v>12</v>
      </c>
      <c r="P21" s="11">
        <v>1.44</v>
      </c>
      <c r="Q21" s="11">
        <v>5</v>
      </c>
      <c r="R21" s="11">
        <v>5</v>
      </c>
      <c r="S21" s="11"/>
      <c r="T21" s="11">
        <v>30</v>
      </c>
      <c r="U21" s="11">
        <v>72</v>
      </c>
      <c r="V21" s="56" t="s">
        <v>1541</v>
      </c>
      <c r="W21" s="35" t="str">
        <f t="shared" si="2"/>
        <v>OK</v>
      </c>
      <c r="X21" s="38" t="str">
        <f t="shared" si="5"/>
        <v/>
      </c>
      <c r="Y21" s="3"/>
      <c r="Z21" s="116"/>
    </row>
    <row r="22" spans="1:26" ht="15.75" hidden="1" customHeight="1" outlineLevel="1" x14ac:dyDescent="0.3">
      <c r="A22" s="3"/>
      <c r="B22" s="99" t="s">
        <v>440</v>
      </c>
      <c r="C22" s="53">
        <v>16</v>
      </c>
      <c r="D22" s="53" t="s">
        <v>95</v>
      </c>
      <c r="E22" s="11">
        <f t="shared" si="3"/>
        <v>247.59</v>
      </c>
      <c r="F22" s="92">
        <f t="shared" si="7"/>
        <v>247.59</v>
      </c>
      <c r="G22" s="58"/>
      <c r="H22" s="54" t="s">
        <v>37</v>
      </c>
      <c r="I22" s="54"/>
      <c r="J22" s="55"/>
      <c r="K22" s="53"/>
      <c r="L22" s="53">
        <f t="shared" si="4"/>
        <v>1</v>
      </c>
      <c r="M22" s="11">
        <v>102.58</v>
      </c>
      <c r="N22" s="11">
        <v>24.57</v>
      </c>
      <c r="O22" s="11">
        <v>12</v>
      </c>
      <c r="P22" s="11">
        <v>1.44</v>
      </c>
      <c r="Q22" s="11">
        <v>5</v>
      </c>
      <c r="R22" s="11"/>
      <c r="S22" s="11"/>
      <c r="T22" s="11">
        <v>30</v>
      </c>
      <c r="U22" s="11">
        <v>72</v>
      </c>
      <c r="V22" s="56" t="s">
        <v>1541</v>
      </c>
      <c r="W22" s="35" t="str">
        <f t="shared" si="2"/>
        <v>OK</v>
      </c>
      <c r="X22" s="38" t="str">
        <f t="shared" si="5"/>
        <v/>
      </c>
      <c r="Y22" s="3"/>
      <c r="Z22" s="116"/>
    </row>
    <row r="23" spans="1:26" ht="15.75" hidden="1" customHeight="1" outlineLevel="1" x14ac:dyDescent="0.3">
      <c r="A23" s="3"/>
      <c r="B23" s="99" t="s">
        <v>443</v>
      </c>
      <c r="C23" s="53"/>
      <c r="D23" s="53" t="s">
        <v>105</v>
      </c>
      <c r="E23" s="11">
        <f t="shared" si="3"/>
        <v>207</v>
      </c>
      <c r="F23" s="92"/>
      <c r="G23" s="58"/>
      <c r="H23" s="54"/>
      <c r="I23" s="54"/>
      <c r="J23" s="55"/>
      <c r="K23" s="11"/>
      <c r="L23" s="53" t="str">
        <f t="shared" si="4"/>
        <v/>
      </c>
      <c r="M23" s="11">
        <v>131.99</v>
      </c>
      <c r="N23" s="11">
        <v>24.57</v>
      </c>
      <c r="O23" s="11">
        <v>12</v>
      </c>
      <c r="P23" s="11">
        <v>6.44</v>
      </c>
      <c r="Q23" s="11"/>
      <c r="R23" s="11">
        <v>10</v>
      </c>
      <c r="S23" s="11"/>
      <c r="T23" s="11"/>
      <c r="U23" s="11">
        <v>22</v>
      </c>
      <c r="V23" s="56" t="s">
        <v>1535</v>
      </c>
      <c r="W23" s="35" t="str">
        <f t="shared" si="2"/>
        <v>Diferente</v>
      </c>
      <c r="X23" s="38">
        <f t="shared" si="5"/>
        <v>-207</v>
      </c>
      <c r="Y23" s="3"/>
      <c r="Z23" s="116"/>
    </row>
    <row r="24" spans="1:26" ht="15.75" hidden="1" customHeight="1" outlineLevel="1" x14ac:dyDescent="0.3">
      <c r="A24" s="3"/>
      <c r="B24" s="99" t="s">
        <v>444</v>
      </c>
      <c r="C24" s="53"/>
      <c r="D24" s="53" t="s">
        <v>105</v>
      </c>
      <c r="E24" s="11">
        <f t="shared" si="3"/>
        <v>72</v>
      </c>
      <c r="F24" s="92"/>
      <c r="G24" s="58"/>
      <c r="H24" s="54"/>
      <c r="I24" s="54"/>
      <c r="J24" s="55"/>
      <c r="K24" s="11"/>
      <c r="L24" s="53" t="str">
        <f t="shared" si="4"/>
        <v/>
      </c>
      <c r="M24" s="11">
        <v>11.43</v>
      </c>
      <c r="N24" s="11">
        <v>24.57</v>
      </c>
      <c r="O24" s="11">
        <v>12</v>
      </c>
      <c r="P24" s="11">
        <v>2</v>
      </c>
      <c r="Q24" s="11"/>
      <c r="R24" s="11"/>
      <c r="S24" s="11"/>
      <c r="T24" s="11"/>
      <c r="U24" s="11">
        <v>22</v>
      </c>
      <c r="V24" s="56" t="s">
        <v>1535</v>
      </c>
      <c r="W24" s="35" t="str">
        <f t="shared" si="2"/>
        <v>Diferente</v>
      </c>
      <c r="X24" s="38">
        <f t="shared" si="5"/>
        <v>-72</v>
      </c>
      <c r="Y24" s="3"/>
      <c r="Z24" s="116"/>
    </row>
    <row r="25" spans="1:26" ht="15.75" hidden="1" customHeight="1" outlineLevel="1" x14ac:dyDescent="0.3">
      <c r="A25" s="3"/>
      <c r="B25" s="99" t="s">
        <v>445</v>
      </c>
      <c r="C25" s="53">
        <v>14</v>
      </c>
      <c r="D25" s="53" t="s">
        <v>95</v>
      </c>
      <c r="E25" s="11">
        <f t="shared" si="3"/>
        <v>402</v>
      </c>
      <c r="F25" s="92">
        <f t="shared" ref="F25:F28" si="8">E25</f>
        <v>402</v>
      </c>
      <c r="G25" s="58"/>
      <c r="H25" s="54" t="s">
        <v>37</v>
      </c>
      <c r="I25" s="54"/>
      <c r="J25" s="55"/>
      <c r="K25" s="11"/>
      <c r="L25" s="53">
        <f t="shared" si="4"/>
        <v>1</v>
      </c>
      <c r="M25" s="11">
        <v>131.99</v>
      </c>
      <c r="N25" s="11">
        <v>24.57</v>
      </c>
      <c r="O25" s="11">
        <v>12</v>
      </c>
      <c r="P25" s="11">
        <v>11.44</v>
      </c>
      <c r="Q25" s="11">
        <v>5</v>
      </c>
      <c r="R25" s="11">
        <v>5</v>
      </c>
      <c r="S25" s="11">
        <v>10</v>
      </c>
      <c r="T25" s="11">
        <v>30</v>
      </c>
      <c r="U25" s="11">
        <v>172</v>
      </c>
      <c r="V25" s="56" t="s">
        <v>1542</v>
      </c>
      <c r="W25" s="35" t="str">
        <f t="shared" si="2"/>
        <v>OK</v>
      </c>
      <c r="X25" s="38" t="str">
        <f t="shared" si="5"/>
        <v/>
      </c>
      <c r="Y25" s="3"/>
      <c r="Z25" s="116"/>
    </row>
    <row r="26" spans="1:26" ht="15.75" hidden="1" customHeight="1" outlineLevel="1" x14ac:dyDescent="0.3">
      <c r="A26" s="3"/>
      <c r="B26" s="99" t="s">
        <v>447</v>
      </c>
      <c r="C26" s="53">
        <v>14</v>
      </c>
      <c r="D26" s="53" t="s">
        <v>95</v>
      </c>
      <c r="E26" s="11">
        <f t="shared" si="3"/>
        <v>392</v>
      </c>
      <c r="F26" s="92">
        <f t="shared" si="8"/>
        <v>392</v>
      </c>
      <c r="G26" s="58"/>
      <c r="H26" s="54" t="s">
        <v>37</v>
      </c>
      <c r="I26" s="54"/>
      <c r="J26" s="55"/>
      <c r="K26" s="11"/>
      <c r="L26" s="53">
        <f t="shared" si="4"/>
        <v>1</v>
      </c>
      <c r="M26" s="11">
        <v>131.99</v>
      </c>
      <c r="N26" s="11">
        <v>24.57</v>
      </c>
      <c r="O26" s="11">
        <v>12</v>
      </c>
      <c r="P26" s="11">
        <v>1.44</v>
      </c>
      <c r="Q26" s="11">
        <v>5</v>
      </c>
      <c r="R26" s="11">
        <v>5</v>
      </c>
      <c r="S26" s="11">
        <v>10</v>
      </c>
      <c r="T26" s="11">
        <v>30</v>
      </c>
      <c r="U26" s="11">
        <v>172</v>
      </c>
      <c r="V26" s="56" t="s">
        <v>1542</v>
      </c>
      <c r="W26" s="35" t="str">
        <f t="shared" si="2"/>
        <v>OK</v>
      </c>
      <c r="X26" s="38" t="str">
        <f t="shared" si="5"/>
        <v/>
      </c>
      <c r="Y26" s="3"/>
      <c r="Z26" s="116"/>
    </row>
    <row r="27" spans="1:26" ht="15.75" hidden="1" customHeight="1" outlineLevel="1" x14ac:dyDescent="0.3">
      <c r="A27" s="3"/>
      <c r="B27" s="99" t="s">
        <v>1412</v>
      </c>
      <c r="C27" s="53">
        <v>12</v>
      </c>
      <c r="D27" s="53" t="s">
        <v>95</v>
      </c>
      <c r="E27" s="11">
        <f t="shared" si="3"/>
        <v>231.69</v>
      </c>
      <c r="F27" s="92">
        <f t="shared" si="8"/>
        <v>231.69</v>
      </c>
      <c r="G27" s="58"/>
      <c r="H27" s="54" t="s">
        <v>37</v>
      </c>
      <c r="I27" s="54"/>
      <c r="J27" s="55"/>
      <c r="K27" s="11"/>
      <c r="L27" s="53" t="str">
        <f t="shared" si="4"/>
        <v/>
      </c>
      <c r="M27" s="11">
        <v>116.68</v>
      </c>
      <c r="N27" s="11">
        <v>24.57</v>
      </c>
      <c r="O27" s="11">
        <v>12</v>
      </c>
      <c r="P27" s="11">
        <v>1.44</v>
      </c>
      <c r="Q27" s="11">
        <v>5</v>
      </c>
      <c r="R27" s="11">
        <v>10</v>
      </c>
      <c r="S27" s="11">
        <v>10</v>
      </c>
      <c r="T27" s="11">
        <v>30</v>
      </c>
      <c r="U27" s="11">
        <v>22</v>
      </c>
      <c r="V27" s="56" t="s">
        <v>1535</v>
      </c>
      <c r="W27" s="35" t="str">
        <f t="shared" si="2"/>
        <v>OK</v>
      </c>
      <c r="X27" s="38" t="str">
        <f t="shared" si="5"/>
        <v/>
      </c>
      <c r="Y27" s="3"/>
      <c r="Z27" s="116"/>
    </row>
    <row r="28" spans="1:26" ht="15.75" hidden="1" customHeight="1" outlineLevel="1" x14ac:dyDescent="0.3">
      <c r="A28" s="3"/>
      <c r="B28" s="99" t="s">
        <v>449</v>
      </c>
      <c r="C28" s="53">
        <v>12</v>
      </c>
      <c r="D28" s="53" t="s">
        <v>95</v>
      </c>
      <c r="E28" s="11">
        <f t="shared" si="3"/>
        <v>180.69</v>
      </c>
      <c r="F28" s="92">
        <f t="shared" si="8"/>
        <v>180.69</v>
      </c>
      <c r="G28" s="58"/>
      <c r="H28" s="54" t="s">
        <v>37</v>
      </c>
      <c r="I28" s="54"/>
      <c r="J28" s="55"/>
      <c r="K28" s="11"/>
      <c r="L28" s="53" t="str">
        <f t="shared" si="4"/>
        <v/>
      </c>
      <c r="M28" s="11">
        <v>70.680000000000007</v>
      </c>
      <c r="N28" s="11">
        <v>24.57</v>
      </c>
      <c r="O28" s="11">
        <v>12</v>
      </c>
      <c r="P28" s="11">
        <v>1.44</v>
      </c>
      <c r="Q28" s="11"/>
      <c r="R28" s="11">
        <v>10</v>
      </c>
      <c r="S28" s="11">
        <v>10</v>
      </c>
      <c r="T28" s="11">
        <v>30</v>
      </c>
      <c r="U28" s="11">
        <v>22</v>
      </c>
      <c r="V28" s="56" t="s">
        <v>1535</v>
      </c>
      <c r="W28" s="35" t="str">
        <f t="shared" si="2"/>
        <v>OK</v>
      </c>
      <c r="X28" s="38" t="str">
        <f t="shared" si="5"/>
        <v/>
      </c>
      <c r="Y28" s="3"/>
      <c r="Z28" s="116"/>
    </row>
    <row r="29" spans="1:26" ht="15.75" hidden="1" customHeight="1" outlineLevel="1" x14ac:dyDescent="0.3">
      <c r="A29" s="3"/>
      <c r="B29" s="99" t="s">
        <v>450</v>
      </c>
      <c r="C29" s="53"/>
      <c r="D29" s="53" t="s">
        <v>105</v>
      </c>
      <c r="E29" s="11">
        <f t="shared" si="3"/>
        <v>389.44</v>
      </c>
      <c r="F29" s="92"/>
      <c r="G29" s="58"/>
      <c r="H29" s="54"/>
      <c r="I29" s="54"/>
      <c r="J29" s="55"/>
      <c r="K29" s="11"/>
      <c r="L29" s="53" t="str">
        <f t="shared" si="4"/>
        <v/>
      </c>
      <c r="M29" s="11">
        <v>104.43</v>
      </c>
      <c r="N29" s="11">
        <v>24.57</v>
      </c>
      <c r="O29" s="11">
        <v>12</v>
      </c>
      <c r="P29" s="11">
        <v>1.44</v>
      </c>
      <c r="Q29" s="11">
        <v>5</v>
      </c>
      <c r="R29" s="11"/>
      <c r="S29" s="11">
        <v>10</v>
      </c>
      <c r="T29" s="11">
        <v>10</v>
      </c>
      <c r="U29" s="11">
        <v>222</v>
      </c>
      <c r="V29" s="56" t="s">
        <v>1543</v>
      </c>
      <c r="W29" s="35" t="str">
        <f t="shared" si="2"/>
        <v>Diferente</v>
      </c>
      <c r="X29" s="38">
        <f t="shared" si="5"/>
        <v>-389.44</v>
      </c>
      <c r="Y29" s="3"/>
      <c r="Z29" s="116"/>
    </row>
    <row r="30" spans="1:26" ht="15.75" hidden="1" customHeight="1" outlineLevel="1" x14ac:dyDescent="0.3">
      <c r="A30" s="3"/>
      <c r="B30" s="99" t="s">
        <v>451</v>
      </c>
      <c r="C30" s="53"/>
      <c r="D30" s="53" t="s">
        <v>105</v>
      </c>
      <c r="E30" s="11">
        <f t="shared" si="3"/>
        <v>189.44</v>
      </c>
      <c r="F30" s="92"/>
      <c r="G30" s="58"/>
      <c r="H30" s="54"/>
      <c r="I30" s="54"/>
      <c r="J30" s="55"/>
      <c r="K30" s="11"/>
      <c r="L30" s="53" t="str">
        <f t="shared" si="4"/>
        <v/>
      </c>
      <c r="M30" s="11">
        <v>104.43</v>
      </c>
      <c r="N30" s="11">
        <v>24.57</v>
      </c>
      <c r="O30" s="11">
        <v>12</v>
      </c>
      <c r="P30" s="11">
        <v>1.44</v>
      </c>
      <c r="Q30" s="11">
        <v>5</v>
      </c>
      <c r="R30" s="11"/>
      <c r="S30" s="11">
        <v>10</v>
      </c>
      <c r="T30" s="11">
        <v>10</v>
      </c>
      <c r="U30" s="11">
        <v>22</v>
      </c>
      <c r="V30" s="56" t="s">
        <v>1535</v>
      </c>
      <c r="W30" s="35" t="str">
        <f t="shared" si="2"/>
        <v>Diferente</v>
      </c>
      <c r="X30" s="38">
        <f t="shared" si="5"/>
        <v>-189.44</v>
      </c>
      <c r="Y30" s="3"/>
      <c r="Z30" s="116"/>
    </row>
    <row r="31" spans="1:26" ht="15.75" hidden="1" customHeight="1" outlineLevel="1" x14ac:dyDescent="0.3">
      <c r="A31" s="3"/>
      <c r="B31" s="99" t="s">
        <v>452</v>
      </c>
      <c r="C31" s="53">
        <v>11</v>
      </c>
      <c r="D31" s="53" t="s">
        <v>95</v>
      </c>
      <c r="E31" s="11">
        <f t="shared" si="3"/>
        <v>221.01</v>
      </c>
      <c r="F31" s="92">
        <f t="shared" ref="F31:F41" si="9">E31</f>
        <v>221.01</v>
      </c>
      <c r="G31" s="58"/>
      <c r="H31" s="54" t="s">
        <v>37</v>
      </c>
      <c r="I31" s="54"/>
      <c r="J31" s="55"/>
      <c r="K31" s="11"/>
      <c r="L31" s="53" t="str">
        <f t="shared" si="4"/>
        <v/>
      </c>
      <c r="M31" s="11">
        <v>156</v>
      </c>
      <c r="N31" s="11">
        <v>24.57</v>
      </c>
      <c r="O31" s="11">
        <v>12</v>
      </c>
      <c r="P31" s="11">
        <v>1.44</v>
      </c>
      <c r="Q31" s="11">
        <v>5</v>
      </c>
      <c r="R31" s="11"/>
      <c r="S31" s="11"/>
      <c r="T31" s="11"/>
      <c r="U31" s="11">
        <v>22</v>
      </c>
      <c r="V31" s="56" t="s">
        <v>1535</v>
      </c>
      <c r="W31" s="35" t="str">
        <f t="shared" si="2"/>
        <v>OK</v>
      </c>
      <c r="X31" s="38" t="str">
        <f t="shared" si="5"/>
        <v/>
      </c>
      <c r="Y31" s="3"/>
      <c r="Z31" s="116"/>
    </row>
    <row r="32" spans="1:26" ht="15.75" hidden="1" customHeight="1" outlineLevel="1" x14ac:dyDescent="0.3">
      <c r="A32" s="3"/>
      <c r="B32" s="99" t="s">
        <v>453</v>
      </c>
      <c r="C32" s="53">
        <v>11</v>
      </c>
      <c r="D32" s="53" t="s">
        <v>95</v>
      </c>
      <c r="E32" s="11">
        <f t="shared" si="3"/>
        <v>241.01</v>
      </c>
      <c r="F32" s="92">
        <f t="shared" si="9"/>
        <v>241.01</v>
      </c>
      <c r="G32" s="58"/>
      <c r="H32" s="54" t="s">
        <v>37</v>
      </c>
      <c r="I32" s="54"/>
      <c r="J32" s="55"/>
      <c r="K32" s="11"/>
      <c r="L32" s="53" t="str">
        <f t="shared" si="4"/>
        <v/>
      </c>
      <c r="M32" s="11">
        <v>156</v>
      </c>
      <c r="N32" s="11">
        <v>24.57</v>
      </c>
      <c r="O32" s="11">
        <v>12</v>
      </c>
      <c r="P32" s="11">
        <v>11.44</v>
      </c>
      <c r="Q32" s="11">
        <v>5</v>
      </c>
      <c r="R32" s="11">
        <v>10</v>
      </c>
      <c r="S32" s="11"/>
      <c r="T32" s="11"/>
      <c r="U32" s="11">
        <v>22</v>
      </c>
      <c r="V32" s="56" t="s">
        <v>1535</v>
      </c>
      <c r="W32" s="35" t="str">
        <f t="shared" si="2"/>
        <v>OK</v>
      </c>
      <c r="X32" s="38" t="str">
        <f t="shared" si="5"/>
        <v/>
      </c>
      <c r="Y32" s="3"/>
      <c r="Z32" s="116"/>
    </row>
    <row r="33" spans="1:26" ht="15.75" hidden="1" customHeight="1" outlineLevel="1" x14ac:dyDescent="0.3">
      <c r="A33" s="3"/>
      <c r="B33" s="99" t="s">
        <v>454</v>
      </c>
      <c r="C33" s="53">
        <v>17</v>
      </c>
      <c r="D33" s="53" t="s">
        <v>95</v>
      </c>
      <c r="E33" s="11">
        <f t="shared" si="3"/>
        <v>87</v>
      </c>
      <c r="F33" s="92">
        <f t="shared" si="9"/>
        <v>87</v>
      </c>
      <c r="G33" s="58"/>
      <c r="H33" s="54" t="s">
        <v>37</v>
      </c>
      <c r="I33" s="54"/>
      <c r="J33" s="55"/>
      <c r="K33" s="11"/>
      <c r="L33" s="53">
        <f t="shared" si="4"/>
        <v>1</v>
      </c>
      <c r="M33" s="11">
        <v>48.43</v>
      </c>
      <c r="N33" s="11">
        <v>24.57</v>
      </c>
      <c r="O33" s="11">
        <v>12</v>
      </c>
      <c r="P33" s="11">
        <v>2</v>
      </c>
      <c r="Q33" s="11">
        <v>0</v>
      </c>
      <c r="R33" s="11">
        <v>0</v>
      </c>
      <c r="S33" s="11"/>
      <c r="T33" s="11"/>
      <c r="U33" s="11"/>
      <c r="V33" s="56"/>
      <c r="W33" s="35" t="str">
        <f t="shared" si="2"/>
        <v>OK</v>
      </c>
      <c r="X33" s="38" t="str">
        <f t="shared" si="5"/>
        <v/>
      </c>
      <c r="Y33" s="3"/>
      <c r="Z33" s="116"/>
    </row>
    <row r="34" spans="1:26" ht="15.75" hidden="1" customHeight="1" outlineLevel="1" x14ac:dyDescent="0.3">
      <c r="A34" s="3"/>
      <c r="B34" s="99" t="s">
        <v>455</v>
      </c>
      <c r="C34" s="53">
        <v>1</v>
      </c>
      <c r="D34" s="53" t="s">
        <v>95</v>
      </c>
      <c r="E34" s="11">
        <f t="shared" si="3"/>
        <v>300.76</v>
      </c>
      <c r="F34" s="92">
        <f t="shared" si="9"/>
        <v>300.76</v>
      </c>
      <c r="G34" s="58"/>
      <c r="H34" s="54" t="s">
        <v>37</v>
      </c>
      <c r="I34" s="54"/>
      <c r="J34" s="55"/>
      <c r="K34" s="11"/>
      <c r="L34" s="53" t="str">
        <f t="shared" si="4"/>
        <v/>
      </c>
      <c r="M34" s="11">
        <v>132.19</v>
      </c>
      <c r="N34" s="11">
        <v>24.57</v>
      </c>
      <c r="O34" s="11">
        <v>12</v>
      </c>
      <c r="P34" s="11">
        <v>5</v>
      </c>
      <c r="Q34" s="11">
        <v>5</v>
      </c>
      <c r="R34" s="11">
        <v>10</v>
      </c>
      <c r="S34" s="11">
        <v>10</v>
      </c>
      <c r="T34" s="11">
        <v>30</v>
      </c>
      <c r="U34" s="11">
        <v>72</v>
      </c>
      <c r="V34" s="56" t="s">
        <v>1544</v>
      </c>
      <c r="W34" s="35" t="str">
        <f t="shared" si="2"/>
        <v>OK</v>
      </c>
      <c r="X34" s="38" t="str">
        <f t="shared" si="5"/>
        <v/>
      </c>
      <c r="Y34" s="3"/>
      <c r="Z34" s="116"/>
    </row>
    <row r="35" spans="1:26" ht="15.75" hidden="1" customHeight="1" outlineLevel="1" x14ac:dyDescent="0.3">
      <c r="A35" s="3"/>
      <c r="B35" s="99" t="s">
        <v>456</v>
      </c>
      <c r="C35" s="53">
        <v>1</v>
      </c>
      <c r="D35" s="53" t="s">
        <v>95</v>
      </c>
      <c r="E35" s="11">
        <f t="shared" si="3"/>
        <v>234.81</v>
      </c>
      <c r="F35" s="92">
        <f t="shared" si="9"/>
        <v>234.81</v>
      </c>
      <c r="G35" s="58"/>
      <c r="H35" s="54" t="s">
        <v>37</v>
      </c>
      <c r="I35" s="54"/>
      <c r="J35" s="55"/>
      <c r="K35" s="11"/>
      <c r="L35" s="53" t="str">
        <f t="shared" si="4"/>
        <v/>
      </c>
      <c r="M35" s="11">
        <v>74.739999999999995</v>
      </c>
      <c r="N35" s="11">
        <v>24.57</v>
      </c>
      <c r="O35" s="11">
        <v>12</v>
      </c>
      <c r="P35" s="11">
        <v>1.5</v>
      </c>
      <c r="Q35" s="11"/>
      <c r="R35" s="11"/>
      <c r="S35" s="11"/>
      <c r="T35" s="11"/>
      <c r="U35" s="11">
        <v>122</v>
      </c>
      <c r="V35" s="56" t="s">
        <v>1545</v>
      </c>
      <c r="W35" s="35" t="str">
        <f t="shared" si="2"/>
        <v>OK</v>
      </c>
      <c r="X35" s="38" t="str">
        <f t="shared" si="5"/>
        <v/>
      </c>
      <c r="Y35" s="3"/>
      <c r="Z35" s="116"/>
    </row>
    <row r="36" spans="1:26" ht="15.75" hidden="1" customHeight="1" outlineLevel="1" x14ac:dyDescent="0.3">
      <c r="A36" s="3"/>
      <c r="B36" s="99" t="s">
        <v>457</v>
      </c>
      <c r="C36" s="53">
        <v>1</v>
      </c>
      <c r="D36" s="53" t="s">
        <v>95</v>
      </c>
      <c r="E36" s="11">
        <f t="shared" si="3"/>
        <v>134.81</v>
      </c>
      <c r="F36" s="92">
        <f t="shared" si="9"/>
        <v>134.81</v>
      </c>
      <c r="G36" s="58"/>
      <c r="H36" s="54" t="s">
        <v>37</v>
      </c>
      <c r="I36" s="54"/>
      <c r="J36" s="55"/>
      <c r="K36" s="11"/>
      <c r="L36" s="53" t="str">
        <f t="shared" si="4"/>
        <v/>
      </c>
      <c r="M36" s="11">
        <v>74.739999999999995</v>
      </c>
      <c r="N36" s="11">
        <v>24.57</v>
      </c>
      <c r="O36" s="11">
        <v>12</v>
      </c>
      <c r="P36" s="11">
        <v>1.5</v>
      </c>
      <c r="Q36" s="11"/>
      <c r="R36" s="11"/>
      <c r="S36" s="11"/>
      <c r="T36" s="11"/>
      <c r="U36" s="11">
        <v>22</v>
      </c>
      <c r="V36" s="56" t="s">
        <v>1535</v>
      </c>
      <c r="W36" s="35" t="str">
        <f t="shared" si="2"/>
        <v>OK</v>
      </c>
      <c r="X36" s="38" t="str">
        <f t="shared" si="5"/>
        <v/>
      </c>
      <c r="Y36" s="3"/>
      <c r="Z36" s="116"/>
    </row>
    <row r="37" spans="1:26" ht="15.75" hidden="1" customHeight="1" outlineLevel="1" x14ac:dyDescent="0.3">
      <c r="A37" s="3"/>
      <c r="B37" s="99" t="s">
        <v>458</v>
      </c>
      <c r="C37" s="53">
        <v>9</v>
      </c>
      <c r="D37" s="53" t="s">
        <v>95</v>
      </c>
      <c r="E37" s="11">
        <f t="shared" si="3"/>
        <v>168.44</v>
      </c>
      <c r="F37" s="92">
        <f t="shared" si="9"/>
        <v>168.44</v>
      </c>
      <c r="G37" s="58"/>
      <c r="H37" s="54" t="s">
        <v>37</v>
      </c>
      <c r="I37" s="54"/>
      <c r="J37" s="55"/>
      <c r="K37" s="11"/>
      <c r="L37" s="53" t="str">
        <f t="shared" si="4"/>
        <v/>
      </c>
      <c r="M37" s="11">
        <v>103.43</v>
      </c>
      <c r="N37" s="11">
        <v>24.57</v>
      </c>
      <c r="O37" s="11">
        <v>12</v>
      </c>
      <c r="P37" s="11">
        <v>1.44</v>
      </c>
      <c r="Q37" s="11"/>
      <c r="R37" s="11">
        <v>5</v>
      </c>
      <c r="S37" s="11"/>
      <c r="T37" s="11"/>
      <c r="U37" s="11">
        <v>22</v>
      </c>
      <c r="V37" s="56" t="s">
        <v>1535</v>
      </c>
      <c r="W37" s="35" t="str">
        <f t="shared" si="2"/>
        <v>OK</v>
      </c>
      <c r="X37" s="38" t="str">
        <f t="shared" si="5"/>
        <v/>
      </c>
      <c r="Y37" s="3"/>
      <c r="Z37" s="116"/>
    </row>
    <row r="38" spans="1:26" ht="15.75" hidden="1" customHeight="1" outlineLevel="1" x14ac:dyDescent="0.3">
      <c r="A38" s="3"/>
      <c r="B38" s="99" t="s">
        <v>459</v>
      </c>
      <c r="C38" s="53">
        <v>9</v>
      </c>
      <c r="D38" s="53" t="s">
        <v>95</v>
      </c>
      <c r="E38" s="11">
        <f t="shared" si="3"/>
        <v>173.44</v>
      </c>
      <c r="F38" s="92">
        <f t="shared" si="9"/>
        <v>173.44</v>
      </c>
      <c r="G38" s="58"/>
      <c r="H38" s="54" t="s">
        <v>37</v>
      </c>
      <c r="I38" s="54"/>
      <c r="J38" s="55"/>
      <c r="K38" s="11"/>
      <c r="L38" s="53" t="str">
        <f t="shared" si="4"/>
        <v/>
      </c>
      <c r="M38" s="11">
        <v>103.43</v>
      </c>
      <c r="N38" s="11">
        <v>24.57</v>
      </c>
      <c r="O38" s="11">
        <v>12</v>
      </c>
      <c r="P38" s="11">
        <v>1.44</v>
      </c>
      <c r="Q38" s="11">
        <v>5</v>
      </c>
      <c r="R38" s="11">
        <v>5</v>
      </c>
      <c r="S38" s="11"/>
      <c r="T38" s="11"/>
      <c r="U38" s="11">
        <v>22</v>
      </c>
      <c r="V38" s="56" t="s">
        <v>1535</v>
      </c>
      <c r="W38" s="35" t="str">
        <f t="shared" si="2"/>
        <v>OK</v>
      </c>
      <c r="X38" s="38" t="str">
        <f t="shared" si="5"/>
        <v/>
      </c>
      <c r="Y38" s="3"/>
      <c r="Z38" s="116"/>
    </row>
    <row r="39" spans="1:26" ht="15.75" hidden="1" customHeight="1" outlineLevel="1" x14ac:dyDescent="0.3">
      <c r="A39" s="3"/>
      <c r="B39" s="99" t="s">
        <v>460</v>
      </c>
      <c r="C39" s="53">
        <v>9</v>
      </c>
      <c r="D39" s="53" t="s">
        <v>95</v>
      </c>
      <c r="E39" s="11">
        <f t="shared" si="3"/>
        <v>323.44</v>
      </c>
      <c r="F39" s="92">
        <f t="shared" si="9"/>
        <v>323.44</v>
      </c>
      <c r="G39" s="58"/>
      <c r="H39" s="54" t="s">
        <v>37</v>
      </c>
      <c r="I39" s="54"/>
      <c r="J39" s="55"/>
      <c r="K39" s="11"/>
      <c r="L39" s="53" t="str">
        <f t="shared" si="4"/>
        <v/>
      </c>
      <c r="M39" s="11">
        <v>103.43</v>
      </c>
      <c r="N39" s="11">
        <v>24.57</v>
      </c>
      <c r="O39" s="11">
        <v>12</v>
      </c>
      <c r="P39" s="11">
        <v>1.44</v>
      </c>
      <c r="Q39" s="11">
        <v>5</v>
      </c>
      <c r="R39" s="11">
        <v>5</v>
      </c>
      <c r="S39" s="11"/>
      <c r="T39" s="11"/>
      <c r="U39" s="11">
        <v>172</v>
      </c>
      <c r="V39" s="56" t="s">
        <v>1542</v>
      </c>
      <c r="W39" s="35" t="str">
        <f t="shared" si="2"/>
        <v>OK</v>
      </c>
      <c r="X39" s="38" t="str">
        <f t="shared" si="5"/>
        <v/>
      </c>
      <c r="Y39" s="3"/>
      <c r="Z39" s="116"/>
    </row>
    <row r="40" spans="1:26" ht="15.75" hidden="1" customHeight="1" outlineLevel="1" x14ac:dyDescent="0.3">
      <c r="A40" s="3"/>
      <c r="B40" s="99" t="s">
        <v>461</v>
      </c>
      <c r="C40" s="53">
        <v>9</v>
      </c>
      <c r="D40" s="53" t="s">
        <v>95</v>
      </c>
      <c r="E40" s="11">
        <f t="shared" si="3"/>
        <v>91.59</v>
      </c>
      <c r="F40" s="92">
        <f t="shared" si="9"/>
        <v>91.59</v>
      </c>
      <c r="G40" s="58"/>
      <c r="H40" s="54" t="s">
        <v>37</v>
      </c>
      <c r="I40" s="54"/>
      <c r="J40" s="55"/>
      <c r="K40" s="11"/>
      <c r="L40" s="53" t="str">
        <f t="shared" si="4"/>
        <v/>
      </c>
      <c r="M40" s="11">
        <v>31.58</v>
      </c>
      <c r="N40" s="11">
        <v>24.57</v>
      </c>
      <c r="O40" s="11">
        <v>12</v>
      </c>
      <c r="P40" s="11">
        <v>1.44</v>
      </c>
      <c r="Q40" s="11"/>
      <c r="R40" s="11"/>
      <c r="S40" s="11"/>
      <c r="T40" s="11"/>
      <c r="U40" s="11">
        <v>22</v>
      </c>
      <c r="V40" s="56" t="s">
        <v>1535</v>
      </c>
      <c r="W40" s="35" t="str">
        <f t="shared" si="2"/>
        <v>OK</v>
      </c>
      <c r="X40" s="38" t="str">
        <f t="shared" si="5"/>
        <v/>
      </c>
      <c r="Y40" s="3"/>
      <c r="Z40" s="116"/>
    </row>
    <row r="41" spans="1:26" ht="15.75" hidden="1" customHeight="1" outlineLevel="1" x14ac:dyDescent="0.3">
      <c r="A41" s="3"/>
      <c r="B41" s="99" t="s">
        <v>462</v>
      </c>
      <c r="C41" s="53">
        <v>18</v>
      </c>
      <c r="D41" s="53" t="s">
        <v>130</v>
      </c>
      <c r="E41" s="11">
        <f t="shared" si="3"/>
        <v>272</v>
      </c>
      <c r="F41" s="92">
        <f t="shared" si="9"/>
        <v>272</v>
      </c>
      <c r="G41" s="61" t="s">
        <v>1546</v>
      </c>
      <c r="H41" s="54" t="s">
        <v>37</v>
      </c>
      <c r="I41" s="54"/>
      <c r="J41" s="55"/>
      <c r="K41" s="11"/>
      <c r="L41" s="53">
        <f t="shared" si="4"/>
        <v>1</v>
      </c>
      <c r="M41" s="11">
        <v>151.99</v>
      </c>
      <c r="N41" s="11">
        <v>24.57</v>
      </c>
      <c r="O41" s="11">
        <v>12</v>
      </c>
      <c r="P41" s="11">
        <v>1.44</v>
      </c>
      <c r="Q41" s="11"/>
      <c r="R41" s="11">
        <v>5</v>
      </c>
      <c r="S41" s="11">
        <v>5</v>
      </c>
      <c r="T41" s="11"/>
      <c r="U41" s="11">
        <v>72</v>
      </c>
      <c r="V41" s="56" t="s">
        <v>1544</v>
      </c>
      <c r="W41" s="35" t="str">
        <f t="shared" si="2"/>
        <v>OK</v>
      </c>
      <c r="X41" s="38" t="str">
        <f t="shared" si="5"/>
        <v/>
      </c>
      <c r="Y41" s="3"/>
      <c r="Z41" s="116"/>
    </row>
    <row r="42" spans="1:26" ht="15.75" hidden="1" customHeight="1" outlineLevel="1" x14ac:dyDescent="0.3">
      <c r="A42" s="3"/>
      <c r="B42" s="99" t="s">
        <v>465</v>
      </c>
      <c r="C42" s="53"/>
      <c r="D42" s="53" t="s">
        <v>95</v>
      </c>
      <c r="E42" s="11">
        <f t="shared" si="3"/>
        <v>0</v>
      </c>
      <c r="F42" s="92"/>
      <c r="G42" s="58"/>
      <c r="H42" s="54"/>
      <c r="I42" s="54"/>
      <c r="J42" s="55"/>
      <c r="K42" s="11"/>
      <c r="L42" s="53" t="str">
        <f t="shared" si="4"/>
        <v/>
      </c>
      <c r="M42" s="11"/>
      <c r="N42" s="11"/>
      <c r="O42" s="11"/>
      <c r="P42" s="11"/>
      <c r="Q42" s="11"/>
      <c r="R42" s="11"/>
      <c r="S42" s="11"/>
      <c r="T42" s="11"/>
      <c r="U42" s="11"/>
      <c r="V42" s="56" t="s">
        <v>1535</v>
      </c>
      <c r="W42" s="35" t="str">
        <f t="shared" si="2"/>
        <v>OK</v>
      </c>
      <c r="X42" s="38" t="str">
        <f t="shared" si="5"/>
        <v/>
      </c>
      <c r="Y42" s="3"/>
      <c r="Z42" s="116"/>
    </row>
    <row r="43" spans="1:26" ht="15.75" hidden="1" customHeight="1" outlineLevel="1" x14ac:dyDescent="0.3">
      <c r="A43" s="3"/>
      <c r="B43" s="99" t="s">
        <v>466</v>
      </c>
      <c r="C43" s="53"/>
      <c r="D43" s="53" t="s">
        <v>95</v>
      </c>
      <c r="E43" s="11">
        <f t="shared" si="3"/>
        <v>0</v>
      </c>
      <c r="F43" s="92"/>
      <c r="G43" s="58"/>
      <c r="H43" s="54"/>
      <c r="I43" s="54"/>
      <c r="J43" s="55"/>
      <c r="K43" s="11"/>
      <c r="L43" s="53" t="str">
        <f t="shared" si="4"/>
        <v/>
      </c>
      <c r="M43" s="11"/>
      <c r="N43" s="11"/>
      <c r="O43" s="11"/>
      <c r="P43" s="11"/>
      <c r="Q43" s="11"/>
      <c r="R43" s="11"/>
      <c r="S43" s="11"/>
      <c r="T43" s="11"/>
      <c r="U43" s="11"/>
      <c r="V43" s="56" t="s">
        <v>1535</v>
      </c>
      <c r="W43" s="35" t="str">
        <f t="shared" si="2"/>
        <v>OK</v>
      </c>
      <c r="X43" s="38" t="str">
        <f t="shared" si="5"/>
        <v/>
      </c>
      <c r="Y43" s="3"/>
      <c r="Z43" s="116"/>
    </row>
    <row r="44" spans="1:26" ht="15.75" hidden="1" customHeight="1" outlineLevel="1" x14ac:dyDescent="0.3">
      <c r="A44" s="3"/>
      <c r="B44" s="99" t="s">
        <v>467</v>
      </c>
      <c r="C44" s="53">
        <v>30</v>
      </c>
      <c r="D44" s="53" t="s">
        <v>95</v>
      </c>
      <c r="E44" s="11">
        <f t="shared" si="3"/>
        <v>247.99</v>
      </c>
      <c r="F44" s="92">
        <f t="shared" ref="F44:F55" si="10">E44</f>
        <v>247.99</v>
      </c>
      <c r="G44" s="58"/>
      <c r="H44" s="54" t="s">
        <v>37</v>
      </c>
      <c r="I44" s="54"/>
      <c r="J44" s="55"/>
      <c r="K44" s="11"/>
      <c r="L44" s="53">
        <f t="shared" si="4"/>
        <v>1</v>
      </c>
      <c r="M44" s="11">
        <v>118.98</v>
      </c>
      <c r="N44" s="11">
        <v>24.57</v>
      </c>
      <c r="O44" s="11">
        <v>12</v>
      </c>
      <c r="P44" s="11">
        <v>11.44</v>
      </c>
      <c r="Q44" s="11">
        <v>5</v>
      </c>
      <c r="R44" s="11">
        <v>10</v>
      </c>
      <c r="S44" s="11"/>
      <c r="T44" s="11"/>
      <c r="U44" s="11">
        <v>66</v>
      </c>
      <c r="V44" s="56" t="s">
        <v>1547</v>
      </c>
      <c r="W44" s="35" t="str">
        <f t="shared" si="2"/>
        <v>OK</v>
      </c>
      <c r="X44" s="38" t="str">
        <f t="shared" si="5"/>
        <v/>
      </c>
      <c r="Y44" s="3"/>
      <c r="Z44" s="116"/>
    </row>
    <row r="45" spans="1:26" ht="15.75" hidden="1" customHeight="1" outlineLevel="1" x14ac:dyDescent="0.3">
      <c r="A45" s="3"/>
      <c r="B45" s="99" t="s">
        <v>468</v>
      </c>
      <c r="C45" s="53">
        <v>30</v>
      </c>
      <c r="D45" s="53" t="s">
        <v>95</v>
      </c>
      <c r="E45" s="11">
        <f t="shared" si="3"/>
        <v>163.74</v>
      </c>
      <c r="F45" s="92">
        <f t="shared" si="10"/>
        <v>163.74</v>
      </c>
      <c r="G45" s="58"/>
      <c r="H45" s="54" t="s">
        <v>37</v>
      </c>
      <c r="I45" s="54"/>
      <c r="J45" s="55"/>
      <c r="K45" s="11"/>
      <c r="L45" s="53">
        <f t="shared" si="4"/>
        <v>1</v>
      </c>
      <c r="M45" s="11">
        <v>55.73</v>
      </c>
      <c r="N45" s="11">
        <v>24.57</v>
      </c>
      <c r="O45" s="11">
        <v>12</v>
      </c>
      <c r="P45" s="11">
        <v>1.44</v>
      </c>
      <c r="Q45" s="11"/>
      <c r="R45" s="11"/>
      <c r="S45" s="11"/>
      <c r="T45" s="11"/>
      <c r="U45" s="11">
        <v>70</v>
      </c>
      <c r="V45" s="56" t="s">
        <v>1548</v>
      </c>
      <c r="W45" s="35" t="str">
        <f t="shared" si="2"/>
        <v>OK</v>
      </c>
      <c r="X45" s="38" t="str">
        <f t="shared" si="5"/>
        <v/>
      </c>
      <c r="Y45" s="3"/>
      <c r="Z45" s="116"/>
    </row>
    <row r="46" spans="1:26" ht="15.75" hidden="1" customHeight="1" outlineLevel="1" x14ac:dyDescent="0.3">
      <c r="A46" s="3"/>
      <c r="B46" s="99" t="s">
        <v>469</v>
      </c>
      <c r="C46" s="53">
        <v>1</v>
      </c>
      <c r="D46" s="53" t="s">
        <v>95</v>
      </c>
      <c r="E46" s="11">
        <f t="shared" si="3"/>
        <v>216.76</v>
      </c>
      <c r="F46" s="92">
        <f t="shared" si="10"/>
        <v>216.76</v>
      </c>
      <c r="G46" s="58"/>
      <c r="H46" s="54" t="s">
        <v>37</v>
      </c>
      <c r="I46" s="54"/>
      <c r="J46" s="55"/>
      <c r="K46" s="11"/>
      <c r="L46" s="53" t="str">
        <f t="shared" si="4"/>
        <v/>
      </c>
      <c r="M46" s="11">
        <v>58.19</v>
      </c>
      <c r="N46" s="11">
        <v>24.57</v>
      </c>
      <c r="O46" s="11">
        <v>12</v>
      </c>
      <c r="P46" s="11" t="s">
        <v>44</v>
      </c>
      <c r="Q46" s="11" t="s">
        <v>44</v>
      </c>
      <c r="R46" s="11" t="s">
        <v>44</v>
      </c>
      <c r="S46" s="11" t="s">
        <v>44</v>
      </c>
      <c r="T46" s="11"/>
      <c r="U46" s="11">
        <v>122</v>
      </c>
      <c r="V46" s="56" t="s">
        <v>1549</v>
      </c>
      <c r="W46" s="35" t="str">
        <f t="shared" si="2"/>
        <v>OK</v>
      </c>
      <c r="X46" s="38" t="str">
        <f t="shared" si="5"/>
        <v/>
      </c>
      <c r="Y46" s="3"/>
      <c r="Z46" s="116"/>
    </row>
    <row r="47" spans="1:26" ht="15.75" hidden="1" customHeight="1" outlineLevel="1" x14ac:dyDescent="0.3">
      <c r="A47" s="3"/>
      <c r="B47" s="99" t="s">
        <v>470</v>
      </c>
      <c r="C47" s="53">
        <v>1</v>
      </c>
      <c r="D47" s="53" t="s">
        <v>95</v>
      </c>
      <c r="E47" s="11">
        <f t="shared" si="3"/>
        <v>92.45</v>
      </c>
      <c r="F47" s="92">
        <f t="shared" si="10"/>
        <v>92.45</v>
      </c>
      <c r="G47" s="58"/>
      <c r="H47" s="54" t="s">
        <v>37</v>
      </c>
      <c r="I47" s="54"/>
      <c r="J47" s="55"/>
      <c r="K47" s="11"/>
      <c r="L47" s="53" t="str">
        <f t="shared" si="4"/>
        <v/>
      </c>
      <c r="M47" s="11">
        <v>33.880000000000003</v>
      </c>
      <c r="N47" s="11">
        <v>24.57</v>
      </c>
      <c r="O47" s="11">
        <v>12</v>
      </c>
      <c r="P47" s="11" t="s">
        <v>44</v>
      </c>
      <c r="Q47" s="11"/>
      <c r="R47" s="11" t="s">
        <v>44</v>
      </c>
      <c r="S47" s="11"/>
      <c r="T47" s="11"/>
      <c r="U47" s="11">
        <v>22</v>
      </c>
      <c r="V47" s="56" t="s">
        <v>1535</v>
      </c>
      <c r="W47" s="35" t="str">
        <f t="shared" si="2"/>
        <v>OK</v>
      </c>
      <c r="X47" s="38" t="str">
        <f t="shared" si="5"/>
        <v/>
      </c>
      <c r="Y47" s="3"/>
      <c r="Z47" s="116"/>
    </row>
    <row r="48" spans="1:26" ht="15.75" hidden="1" customHeight="1" outlineLevel="1" x14ac:dyDescent="0.3">
      <c r="A48" s="3"/>
      <c r="B48" s="99" t="s">
        <v>471</v>
      </c>
      <c r="C48" s="53">
        <v>29</v>
      </c>
      <c r="D48" s="53" t="s">
        <v>95</v>
      </c>
      <c r="E48" s="11">
        <f t="shared" si="3"/>
        <v>163.69</v>
      </c>
      <c r="F48" s="92">
        <f t="shared" si="10"/>
        <v>163.69</v>
      </c>
      <c r="G48" s="58"/>
      <c r="H48" s="54" t="s">
        <v>37</v>
      </c>
      <c r="I48" s="54"/>
      <c r="J48" s="55"/>
      <c r="K48" s="11"/>
      <c r="L48" s="53">
        <f t="shared" si="4"/>
        <v>1</v>
      </c>
      <c r="M48" s="11">
        <v>93.62</v>
      </c>
      <c r="N48" s="11">
        <v>24.57</v>
      </c>
      <c r="O48" s="11">
        <v>12</v>
      </c>
      <c r="P48" s="11">
        <v>1.5</v>
      </c>
      <c r="Q48" s="11"/>
      <c r="R48" s="11"/>
      <c r="S48" s="11">
        <v>10</v>
      </c>
      <c r="T48" s="11"/>
      <c r="U48" s="11">
        <v>22</v>
      </c>
      <c r="V48" s="56" t="s">
        <v>1535</v>
      </c>
      <c r="W48" s="35" t="str">
        <f t="shared" si="2"/>
        <v>OK</v>
      </c>
      <c r="X48" s="38" t="str">
        <f t="shared" si="5"/>
        <v/>
      </c>
      <c r="Y48" s="3"/>
      <c r="Z48" s="116"/>
    </row>
    <row r="49" spans="1:26" ht="15.75" hidden="1" customHeight="1" outlineLevel="1" x14ac:dyDescent="0.3">
      <c r="A49" s="3"/>
      <c r="B49" s="99" t="s">
        <v>473</v>
      </c>
      <c r="C49" s="53">
        <v>29</v>
      </c>
      <c r="D49" s="53" t="s">
        <v>95</v>
      </c>
      <c r="E49" s="11">
        <f t="shared" si="3"/>
        <v>153.69</v>
      </c>
      <c r="F49" s="92">
        <f t="shared" si="10"/>
        <v>153.69</v>
      </c>
      <c r="G49" s="58"/>
      <c r="H49" s="54" t="s">
        <v>37</v>
      </c>
      <c r="I49" s="54"/>
      <c r="J49" s="55"/>
      <c r="K49" s="11"/>
      <c r="L49" s="53">
        <f t="shared" si="4"/>
        <v>1</v>
      </c>
      <c r="M49" s="11">
        <v>93.62</v>
      </c>
      <c r="N49" s="11">
        <v>24.57</v>
      </c>
      <c r="O49" s="11">
        <v>12</v>
      </c>
      <c r="P49" s="11">
        <v>1.5</v>
      </c>
      <c r="Q49" s="11"/>
      <c r="R49" s="11"/>
      <c r="S49" s="11"/>
      <c r="T49" s="11"/>
      <c r="U49" s="11">
        <v>22</v>
      </c>
      <c r="V49" s="56" t="s">
        <v>1535</v>
      </c>
      <c r="W49" s="35" t="str">
        <f t="shared" si="2"/>
        <v>OK</v>
      </c>
      <c r="X49" s="38" t="str">
        <f t="shared" si="5"/>
        <v/>
      </c>
      <c r="Y49" s="3"/>
      <c r="Z49" s="116"/>
    </row>
    <row r="50" spans="1:26" ht="15.75" hidden="1" customHeight="1" outlineLevel="1" x14ac:dyDescent="0.3">
      <c r="A50" s="3"/>
      <c r="B50" s="99" t="s">
        <v>474</v>
      </c>
      <c r="C50" s="53">
        <v>3</v>
      </c>
      <c r="D50" s="53" t="s">
        <v>95</v>
      </c>
      <c r="E50" s="11">
        <f t="shared" si="3"/>
        <v>354.44</v>
      </c>
      <c r="F50" s="92">
        <f t="shared" si="10"/>
        <v>354.44</v>
      </c>
      <c r="G50" s="58"/>
      <c r="H50" s="54" t="s">
        <v>37</v>
      </c>
      <c r="I50" s="54"/>
      <c r="J50" s="55"/>
      <c r="K50" s="11"/>
      <c r="L50" s="53" t="str">
        <f t="shared" si="4"/>
        <v/>
      </c>
      <c r="M50" s="11">
        <v>139.43</v>
      </c>
      <c r="N50" s="11">
        <v>24.57</v>
      </c>
      <c r="O50" s="11">
        <v>12</v>
      </c>
      <c r="P50" s="11">
        <v>1.44</v>
      </c>
      <c r="Q50" s="11">
        <v>5</v>
      </c>
      <c r="R50" s="11"/>
      <c r="S50" s="11"/>
      <c r="T50" s="11"/>
      <c r="U50" s="11">
        <v>172</v>
      </c>
      <c r="V50" s="56" t="s">
        <v>1542</v>
      </c>
      <c r="W50" s="35" t="str">
        <f t="shared" si="2"/>
        <v>OK</v>
      </c>
      <c r="X50" s="38" t="str">
        <f t="shared" si="5"/>
        <v/>
      </c>
      <c r="Y50" s="3"/>
      <c r="Z50" s="116"/>
    </row>
    <row r="51" spans="1:26" ht="15.75" hidden="1" customHeight="1" outlineLevel="1" x14ac:dyDescent="0.3">
      <c r="A51" s="3"/>
      <c r="B51" s="99" t="s">
        <v>475</v>
      </c>
      <c r="C51" s="53">
        <v>11</v>
      </c>
      <c r="D51" s="53" t="s">
        <v>95</v>
      </c>
      <c r="E51" s="11">
        <f t="shared" si="3"/>
        <v>268.28999999999996</v>
      </c>
      <c r="F51" s="92">
        <f t="shared" si="10"/>
        <v>268.28999999999996</v>
      </c>
      <c r="G51" s="58"/>
      <c r="H51" s="54" t="s">
        <v>37</v>
      </c>
      <c r="I51" s="54"/>
      <c r="J51" s="55"/>
      <c r="K51" s="11"/>
      <c r="L51" s="53" t="str">
        <f t="shared" si="4"/>
        <v/>
      </c>
      <c r="M51" s="11">
        <v>98.28</v>
      </c>
      <c r="N51" s="11">
        <v>24.57</v>
      </c>
      <c r="O51" s="11">
        <v>12</v>
      </c>
      <c r="P51" s="11">
        <v>1.44</v>
      </c>
      <c r="Q51" s="11"/>
      <c r="R51" s="11">
        <v>10</v>
      </c>
      <c r="S51" s="11"/>
      <c r="T51" s="11">
        <v>100</v>
      </c>
      <c r="U51" s="11">
        <v>22</v>
      </c>
      <c r="V51" s="56" t="s">
        <v>1535</v>
      </c>
      <c r="W51" s="35" t="str">
        <f t="shared" si="2"/>
        <v>OK</v>
      </c>
      <c r="X51" s="38" t="str">
        <f t="shared" si="5"/>
        <v/>
      </c>
      <c r="Y51" s="3"/>
      <c r="Z51" s="116"/>
    </row>
    <row r="52" spans="1:26" ht="15.75" hidden="1" customHeight="1" outlineLevel="1" x14ac:dyDescent="0.3">
      <c r="A52" s="3"/>
      <c r="B52" s="99" t="s">
        <v>477</v>
      </c>
      <c r="C52" s="53">
        <v>11</v>
      </c>
      <c r="D52" s="53" t="s">
        <v>95</v>
      </c>
      <c r="E52" s="11">
        <f t="shared" si="3"/>
        <v>168.29</v>
      </c>
      <c r="F52" s="92">
        <f t="shared" si="10"/>
        <v>168.29</v>
      </c>
      <c r="G52" s="58"/>
      <c r="H52" s="54" t="s">
        <v>37</v>
      </c>
      <c r="I52" s="54"/>
      <c r="J52" s="55"/>
      <c r="K52" s="11"/>
      <c r="L52" s="53" t="str">
        <f t="shared" si="4"/>
        <v/>
      </c>
      <c r="M52" s="11">
        <v>98.28</v>
      </c>
      <c r="N52" s="11">
        <v>24.57</v>
      </c>
      <c r="O52" s="11">
        <v>12</v>
      </c>
      <c r="P52" s="11">
        <v>1.44</v>
      </c>
      <c r="Q52" s="11"/>
      <c r="R52" s="11">
        <v>10</v>
      </c>
      <c r="S52" s="11"/>
      <c r="T52" s="11"/>
      <c r="U52" s="11">
        <v>22</v>
      </c>
      <c r="V52" s="80" t="s">
        <v>1535</v>
      </c>
      <c r="W52" s="35" t="str">
        <f t="shared" si="2"/>
        <v>OK</v>
      </c>
      <c r="X52" s="38" t="str">
        <f t="shared" si="5"/>
        <v/>
      </c>
      <c r="Y52" s="3"/>
      <c r="Z52" s="116"/>
    </row>
    <row r="53" spans="1:26" ht="15.75" hidden="1" customHeight="1" outlineLevel="1" x14ac:dyDescent="0.3">
      <c r="A53" s="3"/>
      <c r="B53" s="99" t="s">
        <v>478</v>
      </c>
      <c r="C53" s="53">
        <v>10</v>
      </c>
      <c r="D53" s="53" t="s">
        <v>95</v>
      </c>
      <c r="E53" s="11">
        <f t="shared" si="3"/>
        <v>79</v>
      </c>
      <c r="F53" s="92">
        <f t="shared" si="10"/>
        <v>79</v>
      </c>
      <c r="G53" s="58"/>
      <c r="H53" s="54" t="s">
        <v>37</v>
      </c>
      <c r="I53" s="54"/>
      <c r="J53" s="55"/>
      <c r="K53" s="11"/>
      <c r="L53" s="53" t="str">
        <f t="shared" si="4"/>
        <v/>
      </c>
      <c r="M53" s="11">
        <v>13.93</v>
      </c>
      <c r="N53" s="11">
        <v>24.57</v>
      </c>
      <c r="O53" s="11">
        <v>12</v>
      </c>
      <c r="P53" s="11">
        <v>1.5</v>
      </c>
      <c r="Q53" s="11">
        <v>5</v>
      </c>
      <c r="R53" s="11"/>
      <c r="S53" s="11"/>
      <c r="T53" s="11"/>
      <c r="U53" s="11">
        <v>22</v>
      </c>
      <c r="V53" s="56" t="s">
        <v>1535</v>
      </c>
      <c r="W53" s="35" t="str">
        <f t="shared" si="2"/>
        <v>OK</v>
      </c>
      <c r="X53" s="38" t="str">
        <f t="shared" si="5"/>
        <v/>
      </c>
      <c r="Y53" s="3"/>
      <c r="Z53" s="116"/>
    </row>
    <row r="54" spans="1:26" ht="15.75" hidden="1" customHeight="1" outlineLevel="1" x14ac:dyDescent="0.3">
      <c r="A54" s="3"/>
      <c r="B54" s="99" t="s">
        <v>479</v>
      </c>
      <c r="C54" s="53">
        <v>5</v>
      </c>
      <c r="D54" s="53" t="s">
        <v>95</v>
      </c>
      <c r="E54" s="11">
        <f t="shared" si="3"/>
        <v>192.5</v>
      </c>
      <c r="F54" s="92">
        <f t="shared" si="10"/>
        <v>192.5</v>
      </c>
      <c r="G54" s="58"/>
      <c r="H54" s="54" t="s">
        <v>37</v>
      </c>
      <c r="I54" s="54"/>
      <c r="J54" s="55"/>
      <c r="K54" s="11"/>
      <c r="L54" s="53" t="str">
        <f t="shared" si="4"/>
        <v/>
      </c>
      <c r="M54" s="11">
        <v>93.43</v>
      </c>
      <c r="N54" s="11">
        <v>24.57</v>
      </c>
      <c r="O54" s="11">
        <v>12</v>
      </c>
      <c r="P54" s="11">
        <v>1.5</v>
      </c>
      <c r="Q54" s="11"/>
      <c r="R54" s="11">
        <v>0</v>
      </c>
      <c r="S54" s="11">
        <v>4</v>
      </c>
      <c r="T54" s="11">
        <v>5</v>
      </c>
      <c r="U54" s="11">
        <v>52</v>
      </c>
      <c r="V54" s="56" t="s">
        <v>1550</v>
      </c>
      <c r="W54" s="35" t="str">
        <f t="shared" si="2"/>
        <v>OK</v>
      </c>
      <c r="X54" s="38" t="str">
        <f t="shared" si="5"/>
        <v/>
      </c>
      <c r="Y54" s="3"/>
      <c r="Z54" s="116"/>
    </row>
    <row r="55" spans="1:26" ht="15.75" hidden="1" customHeight="1" outlineLevel="1" x14ac:dyDescent="0.3">
      <c r="A55" s="3"/>
      <c r="B55" s="99" t="s">
        <v>480</v>
      </c>
      <c r="C55" s="53">
        <v>5</v>
      </c>
      <c r="D55" s="53" t="s">
        <v>95</v>
      </c>
      <c r="E55" s="11">
        <f t="shared" si="3"/>
        <v>191.5</v>
      </c>
      <c r="F55" s="92">
        <f t="shared" si="10"/>
        <v>191.5</v>
      </c>
      <c r="G55" s="58"/>
      <c r="H55" s="54" t="s">
        <v>37</v>
      </c>
      <c r="I55" s="54"/>
      <c r="J55" s="55"/>
      <c r="K55" s="11"/>
      <c r="L55" s="53" t="str">
        <f t="shared" si="4"/>
        <v/>
      </c>
      <c r="M55" s="11">
        <v>93.43</v>
      </c>
      <c r="N55" s="11">
        <v>24.57</v>
      </c>
      <c r="O55" s="11">
        <v>12</v>
      </c>
      <c r="P55" s="11">
        <v>1.5</v>
      </c>
      <c r="Q55" s="11"/>
      <c r="R55" s="11">
        <v>0</v>
      </c>
      <c r="S55" s="11">
        <v>3</v>
      </c>
      <c r="T55" s="11">
        <v>5</v>
      </c>
      <c r="U55" s="11">
        <v>52</v>
      </c>
      <c r="V55" s="56" t="s">
        <v>1550</v>
      </c>
      <c r="W55" s="35" t="str">
        <f t="shared" si="2"/>
        <v>OK</v>
      </c>
      <c r="X55" s="38" t="str">
        <f t="shared" si="5"/>
        <v/>
      </c>
      <c r="Y55" s="3"/>
      <c r="Z55" s="116"/>
    </row>
    <row r="56" spans="1:26" ht="15.75" hidden="1" customHeight="1" outlineLevel="1" x14ac:dyDescent="0.3">
      <c r="A56" s="3"/>
      <c r="B56" s="99" t="s">
        <v>482</v>
      </c>
      <c r="C56" s="53"/>
      <c r="D56" s="53" t="s">
        <v>105</v>
      </c>
      <c r="E56" s="11">
        <f t="shared" si="3"/>
        <v>84.37</v>
      </c>
      <c r="F56" s="92"/>
      <c r="G56" s="58"/>
      <c r="H56" s="54"/>
      <c r="I56" s="54"/>
      <c r="J56" s="55"/>
      <c r="K56" s="11"/>
      <c r="L56" s="53" t="str">
        <f t="shared" si="4"/>
        <v/>
      </c>
      <c r="M56" s="11">
        <v>19.36</v>
      </c>
      <c r="N56" s="11">
        <v>24.57</v>
      </c>
      <c r="O56" s="11">
        <v>12</v>
      </c>
      <c r="P56" s="11">
        <v>1.44</v>
      </c>
      <c r="Q56" s="11">
        <v>5</v>
      </c>
      <c r="R56" s="11"/>
      <c r="S56" s="11"/>
      <c r="T56" s="11"/>
      <c r="U56" s="11">
        <v>22</v>
      </c>
      <c r="V56" s="56" t="s">
        <v>1535</v>
      </c>
      <c r="W56" s="35" t="str">
        <f t="shared" si="2"/>
        <v>Diferente</v>
      </c>
      <c r="X56" s="38">
        <f t="shared" si="5"/>
        <v>-84.37</v>
      </c>
      <c r="Y56" s="3"/>
      <c r="Z56" s="116"/>
    </row>
    <row r="57" spans="1:26" ht="15.75" hidden="1" customHeight="1" outlineLevel="1" x14ac:dyDescent="0.3">
      <c r="A57" s="3"/>
      <c r="B57" s="99" t="s">
        <v>483</v>
      </c>
      <c r="C57" s="53">
        <v>6</v>
      </c>
      <c r="D57" s="53" t="s">
        <v>95</v>
      </c>
      <c r="E57" s="11">
        <f t="shared" si="3"/>
        <v>158.47</v>
      </c>
      <c r="F57" s="92">
        <f t="shared" ref="F57:F58" si="11">E57</f>
        <v>158.47</v>
      </c>
      <c r="G57" s="58"/>
      <c r="H57" s="54" t="s">
        <v>37</v>
      </c>
      <c r="I57" s="54"/>
      <c r="J57" s="55"/>
      <c r="K57" s="11"/>
      <c r="L57" s="53" t="str">
        <f t="shared" si="4"/>
        <v/>
      </c>
      <c r="M57" s="11">
        <v>0</v>
      </c>
      <c r="N57" s="11">
        <v>24.57</v>
      </c>
      <c r="O57" s="11">
        <v>12</v>
      </c>
      <c r="P57" s="11">
        <v>0</v>
      </c>
      <c r="Q57" s="11">
        <v>0</v>
      </c>
      <c r="R57" s="11"/>
      <c r="S57" s="11"/>
      <c r="T57" s="11"/>
      <c r="U57" s="11">
        <v>121.9</v>
      </c>
      <c r="V57" s="56" t="s">
        <v>1551</v>
      </c>
      <c r="W57" s="35" t="str">
        <f t="shared" si="2"/>
        <v>OK</v>
      </c>
      <c r="X57" s="38" t="str">
        <f t="shared" si="5"/>
        <v/>
      </c>
      <c r="Y57" s="3"/>
      <c r="Z57" s="116"/>
    </row>
    <row r="58" spans="1:26" ht="15.75" hidden="1" customHeight="1" outlineLevel="1" x14ac:dyDescent="0.3">
      <c r="A58" s="3"/>
      <c r="B58" s="99" t="s">
        <v>484</v>
      </c>
      <c r="C58" s="53">
        <v>6</v>
      </c>
      <c r="D58" s="53" t="s">
        <v>95</v>
      </c>
      <c r="E58" s="11">
        <f t="shared" si="3"/>
        <v>36.57</v>
      </c>
      <c r="F58" s="92">
        <f t="shared" si="11"/>
        <v>36.57</v>
      </c>
      <c r="G58" s="58"/>
      <c r="H58" s="54" t="s">
        <v>37</v>
      </c>
      <c r="I58" s="54"/>
      <c r="J58" s="55"/>
      <c r="K58" s="11"/>
      <c r="L58" s="53" t="str">
        <f t="shared" si="4"/>
        <v/>
      </c>
      <c r="M58" s="11">
        <v>0</v>
      </c>
      <c r="N58" s="11">
        <v>24.57</v>
      </c>
      <c r="O58" s="11">
        <v>12</v>
      </c>
      <c r="P58" s="11">
        <v>0</v>
      </c>
      <c r="Q58" s="11">
        <v>0</v>
      </c>
      <c r="R58" s="11"/>
      <c r="S58" s="11"/>
      <c r="T58" s="11"/>
      <c r="U58" s="11"/>
      <c r="V58" s="56"/>
      <c r="W58" s="35" t="str">
        <f t="shared" si="2"/>
        <v>OK</v>
      </c>
      <c r="X58" s="38" t="str">
        <f t="shared" si="5"/>
        <v/>
      </c>
      <c r="Y58" s="3"/>
      <c r="Z58" s="116"/>
    </row>
    <row r="59" spans="1:26" ht="15.75" hidden="1" customHeight="1" outlineLevel="1" x14ac:dyDescent="0.3">
      <c r="A59" s="3"/>
      <c r="B59" s="99" t="s">
        <v>485</v>
      </c>
      <c r="C59" s="53"/>
      <c r="D59" s="53" t="s">
        <v>105</v>
      </c>
      <c r="E59" s="11">
        <f t="shared" si="3"/>
        <v>122</v>
      </c>
      <c r="F59" s="92"/>
      <c r="G59" s="58"/>
      <c r="H59" s="54"/>
      <c r="I59" s="54"/>
      <c r="J59" s="55"/>
      <c r="K59" s="11"/>
      <c r="L59" s="53" t="str">
        <f t="shared" si="4"/>
        <v/>
      </c>
      <c r="M59" s="11">
        <v>61.99</v>
      </c>
      <c r="N59" s="11">
        <v>24.57</v>
      </c>
      <c r="O59" s="11">
        <v>12</v>
      </c>
      <c r="P59" s="11">
        <v>1.44</v>
      </c>
      <c r="Q59" s="11"/>
      <c r="R59" s="11"/>
      <c r="S59" s="11"/>
      <c r="T59" s="11"/>
      <c r="U59" s="11">
        <v>22</v>
      </c>
      <c r="V59" s="56" t="s">
        <v>1535</v>
      </c>
      <c r="W59" s="35" t="str">
        <f t="shared" si="2"/>
        <v>Diferente</v>
      </c>
      <c r="X59" s="38">
        <f t="shared" si="5"/>
        <v>-122</v>
      </c>
      <c r="Y59" s="3"/>
      <c r="Z59" s="116"/>
    </row>
    <row r="60" spans="1:26" ht="15.75" hidden="1" customHeight="1" outlineLevel="1" x14ac:dyDescent="0.3">
      <c r="A60" s="3"/>
      <c r="B60" s="99" t="s">
        <v>489</v>
      </c>
      <c r="C60" s="53">
        <v>18</v>
      </c>
      <c r="D60" s="53" t="s">
        <v>130</v>
      </c>
      <c r="E60" s="11">
        <v>210.07</v>
      </c>
      <c r="F60" s="92">
        <f>SUM(M60:U60)</f>
        <v>153.07</v>
      </c>
      <c r="G60" s="61" t="s">
        <v>1546</v>
      </c>
      <c r="H60" s="54" t="s">
        <v>37</v>
      </c>
      <c r="I60" s="54"/>
      <c r="J60" s="55"/>
      <c r="K60" s="11"/>
      <c r="L60" s="53">
        <f t="shared" si="4"/>
        <v>1</v>
      </c>
      <c r="M60" s="11">
        <f>100+15</f>
        <v>115</v>
      </c>
      <c r="N60" s="11">
        <v>24.57</v>
      </c>
      <c r="O60" s="11">
        <v>12</v>
      </c>
      <c r="P60" s="11">
        <v>1.5</v>
      </c>
      <c r="Q60" s="11"/>
      <c r="R60" s="11"/>
      <c r="S60" s="11"/>
      <c r="T60" s="11"/>
      <c r="U60" s="11"/>
      <c r="V60" s="56" t="s">
        <v>1544</v>
      </c>
      <c r="W60" s="35" t="str">
        <f t="shared" si="2"/>
        <v>OK</v>
      </c>
      <c r="X60" s="38" t="str">
        <f t="shared" si="5"/>
        <v/>
      </c>
      <c r="Y60" s="3"/>
      <c r="Z60" s="116"/>
    </row>
    <row r="61" spans="1:26" ht="15.75" hidden="1" customHeight="1" outlineLevel="1" x14ac:dyDescent="0.3">
      <c r="A61" s="3"/>
      <c r="B61" s="99" t="s">
        <v>1422</v>
      </c>
      <c r="C61" s="53">
        <v>1</v>
      </c>
      <c r="D61" s="53" t="s">
        <v>95</v>
      </c>
      <c r="E61" s="11">
        <f t="shared" ref="E61:E62" si="12">SUM(M61:U61)</f>
        <v>340.82</v>
      </c>
      <c r="F61" s="92">
        <f t="shared" ref="F61:F62" si="13">E61</f>
        <v>340.82</v>
      </c>
      <c r="G61" s="58"/>
      <c r="H61" s="54" t="s">
        <v>37</v>
      </c>
      <c r="I61" s="54"/>
      <c r="J61" s="55"/>
      <c r="K61" s="11"/>
      <c r="L61" s="53" t="str">
        <f t="shared" si="4"/>
        <v/>
      </c>
      <c r="M61" s="11">
        <v>122.25</v>
      </c>
      <c r="N61" s="11">
        <v>24.57</v>
      </c>
      <c r="O61" s="11">
        <v>12</v>
      </c>
      <c r="P61" s="11">
        <v>10</v>
      </c>
      <c r="Q61" s="11">
        <v>5</v>
      </c>
      <c r="R61" s="11">
        <v>5</v>
      </c>
      <c r="S61" s="11">
        <v>15</v>
      </c>
      <c r="T61" s="11">
        <v>25</v>
      </c>
      <c r="U61" s="11">
        <v>122</v>
      </c>
      <c r="V61" s="56" t="s">
        <v>1552</v>
      </c>
      <c r="W61" s="35" t="str">
        <f t="shared" si="2"/>
        <v>OK</v>
      </c>
      <c r="X61" s="38" t="str">
        <f t="shared" si="5"/>
        <v/>
      </c>
      <c r="Y61" s="3"/>
      <c r="Z61" s="116"/>
    </row>
    <row r="62" spans="1:26" ht="15.75" hidden="1" customHeight="1" outlineLevel="1" x14ac:dyDescent="0.3">
      <c r="A62" s="3"/>
      <c r="B62" s="99" t="s">
        <v>491</v>
      </c>
      <c r="C62" s="53">
        <v>1</v>
      </c>
      <c r="D62" s="53" t="s">
        <v>95</v>
      </c>
      <c r="E62" s="11">
        <f t="shared" si="12"/>
        <v>340.82</v>
      </c>
      <c r="F62" s="92">
        <f t="shared" si="13"/>
        <v>340.82</v>
      </c>
      <c r="G62" s="58"/>
      <c r="H62" s="54" t="s">
        <v>37</v>
      </c>
      <c r="I62" s="54"/>
      <c r="J62" s="55"/>
      <c r="K62" s="11"/>
      <c r="L62" s="53" t="str">
        <f t="shared" si="4"/>
        <v/>
      </c>
      <c r="M62" s="11">
        <v>122.25</v>
      </c>
      <c r="N62" s="11">
        <v>24.57</v>
      </c>
      <c r="O62" s="11">
        <v>12</v>
      </c>
      <c r="P62" s="11">
        <v>10</v>
      </c>
      <c r="Q62" s="11">
        <v>5</v>
      </c>
      <c r="R62" s="11">
        <v>5</v>
      </c>
      <c r="S62" s="11">
        <v>15</v>
      </c>
      <c r="T62" s="11">
        <v>25</v>
      </c>
      <c r="U62" s="11">
        <v>122</v>
      </c>
      <c r="V62" s="56" t="s">
        <v>1552</v>
      </c>
      <c r="W62" s="35" t="str">
        <f t="shared" si="2"/>
        <v>OK</v>
      </c>
      <c r="X62" s="38" t="str">
        <f t="shared" si="5"/>
        <v/>
      </c>
      <c r="Y62" s="3"/>
      <c r="Z62" s="116"/>
    </row>
    <row r="63" spans="1:26" ht="15.75" hidden="1" customHeight="1" outlineLevel="1" x14ac:dyDescent="0.3">
      <c r="A63" s="3"/>
      <c r="B63" s="99" t="s">
        <v>492</v>
      </c>
      <c r="C63" s="53">
        <v>1</v>
      </c>
      <c r="D63" s="53" t="s">
        <v>95</v>
      </c>
      <c r="E63" s="11">
        <v>353.44</v>
      </c>
      <c r="F63" s="92">
        <f>SUM(M63:U63)</f>
        <v>534.88</v>
      </c>
      <c r="G63" s="58"/>
      <c r="H63" s="54" t="s">
        <v>37</v>
      </c>
      <c r="I63" s="54"/>
      <c r="J63" s="55"/>
      <c r="K63" s="11"/>
      <c r="L63" s="53" t="str">
        <f t="shared" si="4"/>
        <v/>
      </c>
      <c r="M63" s="11">
        <f>113.43+181.44</f>
        <v>294.87</v>
      </c>
      <c r="N63" s="11">
        <v>24.57</v>
      </c>
      <c r="O63" s="11">
        <v>12</v>
      </c>
      <c r="P63" s="11">
        <v>1.44</v>
      </c>
      <c r="Q63" s="11">
        <v>5</v>
      </c>
      <c r="R63" s="11">
        <v>20</v>
      </c>
      <c r="S63" s="11">
        <v>5</v>
      </c>
      <c r="T63" s="11"/>
      <c r="U63" s="11">
        <v>172</v>
      </c>
      <c r="V63" s="56" t="s">
        <v>1553</v>
      </c>
      <c r="W63" s="35" t="str">
        <f t="shared" si="2"/>
        <v>OK</v>
      </c>
      <c r="X63" s="38" t="str">
        <f t="shared" si="5"/>
        <v/>
      </c>
      <c r="Y63" s="3"/>
      <c r="Z63" s="116"/>
    </row>
    <row r="64" spans="1:26" ht="15.75" hidden="1" customHeight="1" outlineLevel="1" x14ac:dyDescent="0.3">
      <c r="A64" s="3"/>
      <c r="B64" s="99" t="s">
        <v>494</v>
      </c>
      <c r="C64" s="53">
        <v>8</v>
      </c>
      <c r="D64" s="53" t="s">
        <v>95</v>
      </c>
      <c r="E64" s="11">
        <f t="shared" ref="E64:E103" si="14">SUM(M64:U64)</f>
        <v>182</v>
      </c>
      <c r="F64" s="92">
        <f>E64</f>
        <v>182</v>
      </c>
      <c r="G64" s="58"/>
      <c r="H64" s="54" t="s">
        <v>37</v>
      </c>
      <c r="I64" s="54"/>
      <c r="J64" s="55"/>
      <c r="K64" s="11"/>
      <c r="L64" s="53" t="str">
        <f t="shared" si="4"/>
        <v/>
      </c>
      <c r="M64" s="11">
        <v>81.93</v>
      </c>
      <c r="N64" s="11">
        <v>24.57</v>
      </c>
      <c r="O64" s="11">
        <v>12</v>
      </c>
      <c r="P64" s="11">
        <v>1.5</v>
      </c>
      <c r="Q64" s="11"/>
      <c r="R64" s="11"/>
      <c r="S64" s="11"/>
      <c r="T64" s="11"/>
      <c r="U64" s="11">
        <v>62</v>
      </c>
      <c r="V64" s="56" t="s">
        <v>1554</v>
      </c>
      <c r="W64" s="35" t="str">
        <f t="shared" si="2"/>
        <v>OK</v>
      </c>
      <c r="X64" s="38" t="str">
        <f t="shared" si="5"/>
        <v/>
      </c>
      <c r="Y64" s="3"/>
      <c r="Z64" s="116"/>
    </row>
    <row r="65" spans="1:26" ht="15.75" hidden="1" customHeight="1" outlineLevel="1" x14ac:dyDescent="0.3">
      <c r="A65" s="3"/>
      <c r="B65" s="99" t="s">
        <v>495</v>
      </c>
      <c r="C65" s="53"/>
      <c r="D65" s="53" t="s">
        <v>105</v>
      </c>
      <c r="E65" s="11">
        <f t="shared" si="14"/>
        <v>74</v>
      </c>
      <c r="F65" s="92"/>
      <c r="G65" s="58"/>
      <c r="H65" s="54"/>
      <c r="I65" s="54"/>
      <c r="J65" s="55"/>
      <c r="K65" s="11"/>
      <c r="L65" s="53" t="str">
        <f t="shared" si="4"/>
        <v/>
      </c>
      <c r="M65" s="11">
        <v>13.93</v>
      </c>
      <c r="N65" s="11">
        <v>24.57</v>
      </c>
      <c r="O65" s="11">
        <v>12</v>
      </c>
      <c r="P65" s="11">
        <v>1.5</v>
      </c>
      <c r="Q65" s="11"/>
      <c r="R65" s="11"/>
      <c r="S65" s="11"/>
      <c r="T65" s="11"/>
      <c r="U65" s="11">
        <v>22</v>
      </c>
      <c r="V65" s="56" t="s">
        <v>1535</v>
      </c>
      <c r="W65" s="35" t="str">
        <f t="shared" si="2"/>
        <v>Diferente</v>
      </c>
      <c r="X65" s="38">
        <f t="shared" si="5"/>
        <v>-74</v>
      </c>
      <c r="Y65" s="3"/>
      <c r="Z65" s="116"/>
    </row>
    <row r="66" spans="1:26" ht="15.75" hidden="1" customHeight="1" outlineLevel="1" x14ac:dyDescent="0.3">
      <c r="A66" s="3"/>
      <c r="B66" s="99" t="s">
        <v>496</v>
      </c>
      <c r="C66" s="53"/>
      <c r="D66" s="53" t="s">
        <v>105</v>
      </c>
      <c r="E66" s="11">
        <f t="shared" si="14"/>
        <v>74</v>
      </c>
      <c r="F66" s="92"/>
      <c r="G66" s="58"/>
      <c r="H66" s="54"/>
      <c r="I66" s="54"/>
      <c r="J66" s="55"/>
      <c r="K66" s="11"/>
      <c r="L66" s="53" t="str">
        <f t="shared" si="4"/>
        <v/>
      </c>
      <c r="M66" s="11">
        <v>13.93</v>
      </c>
      <c r="N66" s="11">
        <v>24.57</v>
      </c>
      <c r="O66" s="11">
        <v>12</v>
      </c>
      <c r="P66" s="11">
        <v>1.5</v>
      </c>
      <c r="Q66" s="11"/>
      <c r="R66" s="11"/>
      <c r="S66" s="11"/>
      <c r="T66" s="11"/>
      <c r="U66" s="11">
        <v>22</v>
      </c>
      <c r="V66" s="56" t="s">
        <v>1535</v>
      </c>
      <c r="W66" s="35" t="str">
        <f t="shared" si="2"/>
        <v>Diferente</v>
      </c>
      <c r="X66" s="38">
        <f t="shared" si="5"/>
        <v>-74</v>
      </c>
      <c r="Y66" s="3"/>
      <c r="Z66" s="116"/>
    </row>
    <row r="67" spans="1:26" ht="15.75" hidden="1" customHeight="1" outlineLevel="1" x14ac:dyDescent="0.3">
      <c r="A67" s="3"/>
      <c r="B67" s="99" t="s">
        <v>497</v>
      </c>
      <c r="C67" s="53">
        <v>10</v>
      </c>
      <c r="D67" s="53" t="s">
        <v>95</v>
      </c>
      <c r="E67" s="11">
        <f t="shared" si="14"/>
        <v>172</v>
      </c>
      <c r="F67" s="92">
        <f t="shared" ref="F67:F68" si="15">E67</f>
        <v>172</v>
      </c>
      <c r="G67" s="58"/>
      <c r="H67" s="54" t="s">
        <v>37</v>
      </c>
      <c r="I67" s="54"/>
      <c r="J67" s="55"/>
      <c r="K67" s="11"/>
      <c r="L67" s="53" t="str">
        <f t="shared" si="4"/>
        <v/>
      </c>
      <c r="M67" s="11">
        <v>56.93</v>
      </c>
      <c r="N67" s="11">
        <v>24.57</v>
      </c>
      <c r="O67" s="11">
        <v>12</v>
      </c>
      <c r="P67" s="11">
        <v>1.5</v>
      </c>
      <c r="Q67" s="11">
        <v>5</v>
      </c>
      <c r="R67" s="11"/>
      <c r="S67" s="11"/>
      <c r="T67" s="11"/>
      <c r="U67" s="11">
        <v>72</v>
      </c>
      <c r="V67" s="56" t="s">
        <v>1544</v>
      </c>
      <c r="W67" s="35" t="str">
        <f t="shared" si="2"/>
        <v>OK</v>
      </c>
      <c r="X67" s="38" t="str">
        <f t="shared" si="5"/>
        <v/>
      </c>
      <c r="Y67" s="3"/>
      <c r="Z67" s="116"/>
    </row>
    <row r="68" spans="1:26" ht="15.75" hidden="1" customHeight="1" outlineLevel="1" x14ac:dyDescent="0.3">
      <c r="A68" s="3"/>
      <c r="B68" s="99" t="s">
        <v>498</v>
      </c>
      <c r="C68" s="53">
        <v>11</v>
      </c>
      <c r="D68" s="53" t="s">
        <v>95</v>
      </c>
      <c r="E68" s="11">
        <f t="shared" si="14"/>
        <v>322</v>
      </c>
      <c r="F68" s="92">
        <f t="shared" si="15"/>
        <v>322</v>
      </c>
      <c r="G68" s="58"/>
      <c r="H68" s="54" t="s">
        <v>37</v>
      </c>
      <c r="I68" s="54"/>
      <c r="J68" s="55"/>
      <c r="K68" s="11"/>
      <c r="L68" s="53" t="str">
        <f t="shared" si="4"/>
        <v/>
      </c>
      <c r="M68" s="11">
        <v>148.43</v>
      </c>
      <c r="N68" s="11">
        <v>24.57</v>
      </c>
      <c r="O68" s="11">
        <v>12</v>
      </c>
      <c r="P68" s="11">
        <v>5</v>
      </c>
      <c r="Q68" s="11">
        <v>10</v>
      </c>
      <c r="R68" s="11"/>
      <c r="S68" s="11"/>
      <c r="T68" s="11"/>
      <c r="U68" s="11">
        <v>122</v>
      </c>
      <c r="V68" s="56" t="s">
        <v>1552</v>
      </c>
      <c r="W68" s="35" t="str">
        <f t="shared" si="2"/>
        <v>OK</v>
      </c>
      <c r="X68" s="38" t="str">
        <f t="shared" si="5"/>
        <v/>
      </c>
      <c r="Y68" s="3"/>
      <c r="Z68" s="116"/>
    </row>
    <row r="69" spans="1:26" ht="15.75" hidden="1" customHeight="1" outlineLevel="1" x14ac:dyDescent="0.3">
      <c r="A69" s="3"/>
      <c r="B69" s="99" t="s">
        <v>499</v>
      </c>
      <c r="C69" s="53"/>
      <c r="D69" s="53" t="s">
        <v>105</v>
      </c>
      <c r="E69" s="11">
        <f t="shared" si="14"/>
        <v>79.39</v>
      </c>
      <c r="F69" s="92"/>
      <c r="G69" s="58"/>
      <c r="H69" s="54"/>
      <c r="I69" s="54"/>
      <c r="J69" s="55"/>
      <c r="K69" s="11"/>
      <c r="L69" s="53" t="str">
        <f t="shared" si="4"/>
        <v/>
      </c>
      <c r="M69" s="11">
        <v>19.32</v>
      </c>
      <c r="N69" s="11">
        <v>24.57</v>
      </c>
      <c r="O69" s="11">
        <v>12</v>
      </c>
      <c r="P69" s="11">
        <v>1.5</v>
      </c>
      <c r="Q69" s="11"/>
      <c r="R69" s="11"/>
      <c r="S69" s="11"/>
      <c r="T69" s="11"/>
      <c r="U69" s="11">
        <v>22</v>
      </c>
      <c r="V69" s="56" t="s">
        <v>1535</v>
      </c>
      <c r="W69" s="35" t="str">
        <f t="shared" si="2"/>
        <v>Diferente</v>
      </c>
      <c r="X69" s="38">
        <f t="shared" si="5"/>
        <v>-79.39</v>
      </c>
      <c r="Y69" s="3"/>
      <c r="Z69" s="116"/>
    </row>
    <row r="70" spans="1:26" ht="15.75" hidden="1" customHeight="1" outlineLevel="1" x14ac:dyDescent="0.3">
      <c r="A70" s="3"/>
      <c r="B70" s="99" t="s">
        <v>500</v>
      </c>
      <c r="C70" s="53"/>
      <c r="D70" s="53" t="s">
        <v>105</v>
      </c>
      <c r="E70" s="11">
        <f t="shared" si="14"/>
        <v>89.740000000000009</v>
      </c>
      <c r="F70" s="92"/>
      <c r="G70" s="58"/>
      <c r="H70" s="54"/>
      <c r="I70" s="54"/>
      <c r="J70" s="55"/>
      <c r="K70" s="11"/>
      <c r="L70" s="53" t="str">
        <f t="shared" si="4"/>
        <v/>
      </c>
      <c r="M70" s="11">
        <v>29.67</v>
      </c>
      <c r="N70" s="11">
        <v>24.57</v>
      </c>
      <c r="O70" s="11">
        <v>12</v>
      </c>
      <c r="P70" s="11">
        <v>1.5</v>
      </c>
      <c r="Q70" s="11"/>
      <c r="R70" s="11"/>
      <c r="S70" s="11"/>
      <c r="T70" s="11"/>
      <c r="U70" s="11">
        <v>22</v>
      </c>
      <c r="V70" s="56" t="s">
        <v>1535</v>
      </c>
      <c r="W70" s="35" t="str">
        <f t="shared" si="2"/>
        <v>Diferente</v>
      </c>
      <c r="X70" s="38">
        <f t="shared" si="5"/>
        <v>-89.740000000000009</v>
      </c>
      <c r="Y70" s="3"/>
      <c r="Z70" s="116"/>
    </row>
    <row r="71" spans="1:26" ht="15.75" hidden="1" customHeight="1" outlineLevel="1" x14ac:dyDescent="0.3">
      <c r="A71" s="3"/>
      <c r="B71" s="99" t="s">
        <v>501</v>
      </c>
      <c r="C71" s="53">
        <v>4</v>
      </c>
      <c r="D71" s="53" t="s">
        <v>95</v>
      </c>
      <c r="E71" s="11">
        <f t="shared" si="14"/>
        <v>116.43</v>
      </c>
      <c r="F71" s="92">
        <f t="shared" ref="F71:F90" si="16">E71</f>
        <v>116.43</v>
      </c>
      <c r="G71" s="58"/>
      <c r="H71" s="54" t="s">
        <v>37</v>
      </c>
      <c r="I71" s="54"/>
      <c r="J71" s="55"/>
      <c r="K71" s="11"/>
      <c r="L71" s="53" t="str">
        <f t="shared" si="4"/>
        <v/>
      </c>
      <c r="M71" s="11">
        <v>50.86</v>
      </c>
      <c r="N71" s="11">
        <v>24.57</v>
      </c>
      <c r="O71" s="11">
        <v>12</v>
      </c>
      <c r="P71" s="11">
        <v>2</v>
      </c>
      <c r="Q71" s="11">
        <v>5</v>
      </c>
      <c r="R71" s="11"/>
      <c r="S71" s="11"/>
      <c r="T71" s="11"/>
      <c r="U71" s="11">
        <v>22</v>
      </c>
      <c r="V71" s="56" t="s">
        <v>1535</v>
      </c>
      <c r="W71" s="35" t="str">
        <f t="shared" si="2"/>
        <v>OK</v>
      </c>
      <c r="X71" s="38" t="str">
        <f t="shared" si="5"/>
        <v/>
      </c>
      <c r="Y71" s="3"/>
      <c r="Z71" s="116"/>
    </row>
    <row r="72" spans="1:26" ht="15.75" hidden="1" customHeight="1" outlineLevel="1" x14ac:dyDescent="0.3">
      <c r="A72" s="3"/>
      <c r="B72" s="99" t="s">
        <v>502</v>
      </c>
      <c r="C72" s="53">
        <v>4</v>
      </c>
      <c r="D72" s="53" t="s">
        <v>95</v>
      </c>
      <c r="E72" s="11">
        <f t="shared" si="14"/>
        <v>115.57</v>
      </c>
      <c r="F72" s="92">
        <f t="shared" si="16"/>
        <v>115.57</v>
      </c>
      <c r="G72" s="58"/>
      <c r="H72" s="54" t="s">
        <v>37</v>
      </c>
      <c r="I72" s="54"/>
      <c r="J72" s="55"/>
      <c r="K72" s="11"/>
      <c r="L72" s="53" t="str">
        <f t="shared" si="4"/>
        <v/>
      </c>
      <c r="M72" s="11">
        <v>50</v>
      </c>
      <c r="N72" s="11">
        <v>24.57</v>
      </c>
      <c r="O72" s="11">
        <v>12</v>
      </c>
      <c r="P72" s="11">
        <v>2</v>
      </c>
      <c r="Q72" s="11">
        <v>5</v>
      </c>
      <c r="R72" s="11"/>
      <c r="S72" s="11"/>
      <c r="T72" s="11"/>
      <c r="U72" s="11">
        <v>22</v>
      </c>
      <c r="V72" s="56" t="s">
        <v>1535</v>
      </c>
      <c r="W72" s="35" t="str">
        <f t="shared" si="2"/>
        <v>OK</v>
      </c>
      <c r="X72" s="38" t="str">
        <f t="shared" si="5"/>
        <v/>
      </c>
      <c r="Y72" s="3"/>
      <c r="Z72" s="116"/>
    </row>
    <row r="73" spans="1:26" ht="15.75" hidden="1" customHeight="1" outlineLevel="1" x14ac:dyDescent="0.3">
      <c r="A73" s="3"/>
      <c r="B73" s="99" t="s">
        <v>503</v>
      </c>
      <c r="C73" s="53">
        <v>5</v>
      </c>
      <c r="D73" s="53" t="s">
        <v>95</v>
      </c>
      <c r="E73" s="11">
        <f t="shared" si="14"/>
        <v>153.69</v>
      </c>
      <c r="F73" s="92">
        <f t="shared" si="16"/>
        <v>153.69</v>
      </c>
      <c r="G73" s="58"/>
      <c r="H73" s="54" t="s">
        <v>37</v>
      </c>
      <c r="I73" s="54"/>
      <c r="J73" s="55"/>
      <c r="K73" s="11"/>
      <c r="L73" s="53" t="str">
        <f t="shared" si="4"/>
        <v/>
      </c>
      <c r="M73" s="11">
        <v>93.62</v>
      </c>
      <c r="N73" s="11">
        <v>24.57</v>
      </c>
      <c r="O73" s="11">
        <v>12</v>
      </c>
      <c r="P73" s="11">
        <v>1.5</v>
      </c>
      <c r="Q73" s="11"/>
      <c r="R73" s="11"/>
      <c r="S73" s="11"/>
      <c r="T73" s="11"/>
      <c r="U73" s="11">
        <v>22</v>
      </c>
      <c r="V73" s="56" t="s">
        <v>1535</v>
      </c>
      <c r="W73" s="35" t="str">
        <f t="shared" si="2"/>
        <v>OK</v>
      </c>
      <c r="X73" s="38" t="str">
        <f t="shared" si="5"/>
        <v/>
      </c>
      <c r="Y73" s="3"/>
      <c r="Z73" s="116"/>
    </row>
    <row r="74" spans="1:26" ht="15.75" hidden="1" customHeight="1" outlineLevel="1" x14ac:dyDescent="0.3">
      <c r="A74" s="3"/>
      <c r="B74" s="99" t="s">
        <v>504</v>
      </c>
      <c r="C74" s="53">
        <v>5</v>
      </c>
      <c r="D74" s="53" t="s">
        <v>95</v>
      </c>
      <c r="E74" s="11">
        <f t="shared" si="14"/>
        <v>153.69</v>
      </c>
      <c r="F74" s="92">
        <f t="shared" si="16"/>
        <v>153.69</v>
      </c>
      <c r="G74" s="58"/>
      <c r="H74" s="54" t="s">
        <v>37</v>
      </c>
      <c r="I74" s="54"/>
      <c r="J74" s="55"/>
      <c r="K74" s="11"/>
      <c r="L74" s="53" t="str">
        <f t="shared" si="4"/>
        <v/>
      </c>
      <c r="M74" s="11">
        <v>93.62</v>
      </c>
      <c r="N74" s="11">
        <v>24.57</v>
      </c>
      <c r="O74" s="11">
        <v>12</v>
      </c>
      <c r="P74" s="11">
        <v>1.5</v>
      </c>
      <c r="Q74" s="11"/>
      <c r="R74" s="11"/>
      <c r="S74" s="11"/>
      <c r="T74" s="11"/>
      <c r="U74" s="11">
        <v>22</v>
      </c>
      <c r="V74" s="56" t="s">
        <v>1535</v>
      </c>
      <c r="W74" s="35" t="str">
        <f t="shared" si="2"/>
        <v>OK</v>
      </c>
      <c r="X74" s="38" t="str">
        <f t="shared" si="5"/>
        <v/>
      </c>
      <c r="Y74" s="3"/>
      <c r="Z74" s="116"/>
    </row>
    <row r="75" spans="1:26" ht="15.75" hidden="1" customHeight="1" outlineLevel="1" x14ac:dyDescent="0.3">
      <c r="A75" s="3"/>
      <c r="B75" s="99" t="s">
        <v>505</v>
      </c>
      <c r="C75" s="53">
        <v>4</v>
      </c>
      <c r="D75" s="53" t="s">
        <v>95</v>
      </c>
      <c r="E75" s="11">
        <f t="shared" si="14"/>
        <v>165.57</v>
      </c>
      <c r="F75" s="92">
        <f t="shared" si="16"/>
        <v>165.57</v>
      </c>
      <c r="G75" s="58"/>
      <c r="H75" s="54" t="s">
        <v>37</v>
      </c>
      <c r="I75" s="54"/>
      <c r="J75" s="55"/>
      <c r="K75" s="11"/>
      <c r="L75" s="53" t="str">
        <f t="shared" si="4"/>
        <v/>
      </c>
      <c r="M75" s="11">
        <v>100</v>
      </c>
      <c r="N75" s="11">
        <v>24.57</v>
      </c>
      <c r="O75" s="11">
        <v>12</v>
      </c>
      <c r="P75" s="11">
        <v>2</v>
      </c>
      <c r="Q75" s="11"/>
      <c r="R75" s="11"/>
      <c r="S75" s="11">
        <v>5</v>
      </c>
      <c r="T75" s="11"/>
      <c r="U75" s="11">
        <v>22</v>
      </c>
      <c r="V75" s="56" t="s">
        <v>1535</v>
      </c>
      <c r="W75" s="35" t="str">
        <f t="shared" si="2"/>
        <v>OK</v>
      </c>
      <c r="X75" s="38" t="str">
        <f t="shared" si="5"/>
        <v/>
      </c>
      <c r="Y75" s="3"/>
      <c r="Z75" s="116"/>
    </row>
    <row r="76" spans="1:26" ht="15.75" hidden="1" customHeight="1" outlineLevel="1" x14ac:dyDescent="0.3">
      <c r="A76" s="3"/>
      <c r="B76" s="99" t="s">
        <v>507</v>
      </c>
      <c r="C76" s="53" t="s">
        <v>1555</v>
      </c>
      <c r="D76" s="53" t="s">
        <v>95</v>
      </c>
      <c r="E76" s="11">
        <f t="shared" si="14"/>
        <v>465.57</v>
      </c>
      <c r="F76" s="92">
        <f t="shared" si="16"/>
        <v>465.57</v>
      </c>
      <c r="G76" s="58"/>
      <c r="H76" s="54" t="s">
        <v>37</v>
      </c>
      <c r="I76" s="54"/>
      <c r="J76" s="55"/>
      <c r="K76" s="11"/>
      <c r="L76" s="53">
        <f t="shared" si="4"/>
        <v>1</v>
      </c>
      <c r="M76" s="11">
        <v>100</v>
      </c>
      <c r="N76" s="11">
        <v>24.57</v>
      </c>
      <c r="O76" s="11">
        <v>12</v>
      </c>
      <c r="P76" s="11">
        <v>2</v>
      </c>
      <c r="Q76" s="11"/>
      <c r="R76" s="11"/>
      <c r="S76" s="11">
        <v>5</v>
      </c>
      <c r="T76" s="11"/>
      <c r="U76" s="11">
        <f>22+300</f>
        <v>322</v>
      </c>
      <c r="V76" s="56" t="s">
        <v>1556</v>
      </c>
      <c r="W76" s="35" t="str">
        <f t="shared" si="2"/>
        <v>OK</v>
      </c>
      <c r="X76" s="38" t="str">
        <f t="shared" si="5"/>
        <v/>
      </c>
      <c r="Y76" s="3"/>
      <c r="Z76" s="116"/>
    </row>
    <row r="77" spans="1:26" ht="15.75" hidden="1" customHeight="1" outlineLevel="1" x14ac:dyDescent="0.3">
      <c r="A77" s="3"/>
      <c r="B77" s="99" t="s">
        <v>493</v>
      </c>
      <c r="C77" s="53">
        <v>4</v>
      </c>
      <c r="D77" s="53" t="s">
        <v>95</v>
      </c>
      <c r="E77" s="11">
        <f t="shared" si="14"/>
        <v>87.67</v>
      </c>
      <c r="F77" s="92">
        <f t="shared" si="16"/>
        <v>87.67</v>
      </c>
      <c r="G77" s="58"/>
      <c r="H77" s="54" t="s">
        <v>37</v>
      </c>
      <c r="I77" s="54"/>
      <c r="J77" s="55"/>
      <c r="K77" s="11"/>
      <c r="L77" s="53" t="str">
        <f t="shared" si="4"/>
        <v/>
      </c>
      <c r="M77" s="11">
        <v>27.66</v>
      </c>
      <c r="N77" s="11">
        <v>24.57</v>
      </c>
      <c r="O77" s="11">
        <v>12</v>
      </c>
      <c r="P77" s="11">
        <v>1.44</v>
      </c>
      <c r="Q77" s="11"/>
      <c r="R77" s="11"/>
      <c r="S77" s="11"/>
      <c r="T77" s="11"/>
      <c r="U77" s="11">
        <v>22</v>
      </c>
      <c r="V77" s="56" t="s">
        <v>1535</v>
      </c>
      <c r="W77" s="35" t="str">
        <f t="shared" si="2"/>
        <v>OK</v>
      </c>
      <c r="X77" s="38" t="str">
        <f t="shared" si="5"/>
        <v/>
      </c>
      <c r="Y77" s="3"/>
      <c r="Z77" s="116"/>
    </row>
    <row r="78" spans="1:26" ht="15.75" hidden="1" customHeight="1" outlineLevel="1" x14ac:dyDescent="0.3">
      <c r="A78" s="3"/>
      <c r="B78" s="99" t="s">
        <v>1424</v>
      </c>
      <c r="C78" s="53">
        <v>4</v>
      </c>
      <c r="D78" s="53" t="s">
        <v>95</v>
      </c>
      <c r="E78" s="11">
        <f t="shared" si="14"/>
        <v>372</v>
      </c>
      <c r="F78" s="92">
        <f t="shared" si="16"/>
        <v>372</v>
      </c>
      <c r="G78" s="58"/>
      <c r="H78" s="54" t="s">
        <v>37</v>
      </c>
      <c r="I78" s="54"/>
      <c r="J78" s="55"/>
      <c r="K78" s="11"/>
      <c r="L78" s="53" t="str">
        <f t="shared" si="4"/>
        <v/>
      </c>
      <c r="M78" s="11">
        <v>196.43</v>
      </c>
      <c r="N78" s="11">
        <v>24.57</v>
      </c>
      <c r="O78" s="11">
        <v>12</v>
      </c>
      <c r="P78" s="11">
        <v>2</v>
      </c>
      <c r="Q78" s="11"/>
      <c r="R78" s="11"/>
      <c r="S78" s="11">
        <v>5</v>
      </c>
      <c r="T78" s="11">
        <v>10</v>
      </c>
      <c r="U78" s="11">
        <v>122</v>
      </c>
      <c r="V78" s="56" t="s">
        <v>1552</v>
      </c>
      <c r="W78" s="35" t="str">
        <f t="shared" si="2"/>
        <v>OK</v>
      </c>
      <c r="X78" s="38" t="str">
        <f t="shared" si="5"/>
        <v/>
      </c>
      <c r="Y78" s="3"/>
      <c r="Z78" s="116"/>
    </row>
    <row r="79" spans="1:26" ht="15.75" hidden="1" customHeight="1" outlineLevel="1" x14ac:dyDescent="0.3">
      <c r="A79" s="3"/>
      <c r="B79" s="99" t="s">
        <v>1425</v>
      </c>
      <c r="C79" s="53">
        <v>4</v>
      </c>
      <c r="D79" s="53" t="s">
        <v>95</v>
      </c>
      <c r="E79" s="11">
        <f t="shared" si="14"/>
        <v>254.19</v>
      </c>
      <c r="F79" s="92">
        <f t="shared" si="16"/>
        <v>254.19</v>
      </c>
      <c r="G79" s="58"/>
      <c r="H79" s="54" t="s">
        <v>37</v>
      </c>
      <c r="I79" s="54"/>
      <c r="J79" s="55"/>
      <c r="K79" s="11"/>
      <c r="L79" s="53" t="str">
        <f t="shared" si="4"/>
        <v/>
      </c>
      <c r="M79" s="11">
        <v>93.62</v>
      </c>
      <c r="N79" s="11">
        <v>24.57</v>
      </c>
      <c r="O79" s="11">
        <v>12</v>
      </c>
      <c r="P79" s="11">
        <v>2</v>
      </c>
      <c r="Q79" s="11"/>
      <c r="R79" s="11"/>
      <c r="S79" s="11">
        <v>0</v>
      </c>
      <c r="T79" s="11">
        <v>0</v>
      </c>
      <c r="U79" s="11">
        <v>122</v>
      </c>
      <c r="V79" s="56" t="s">
        <v>1552</v>
      </c>
      <c r="W79" s="35" t="str">
        <f t="shared" si="2"/>
        <v>OK</v>
      </c>
      <c r="X79" s="38" t="str">
        <f t="shared" si="5"/>
        <v/>
      </c>
      <c r="Y79" s="3"/>
      <c r="Z79" s="116"/>
    </row>
    <row r="80" spans="1:26" ht="15.75" hidden="1" customHeight="1" outlineLevel="1" x14ac:dyDescent="0.3">
      <c r="A80" s="3"/>
      <c r="B80" s="99" t="s">
        <v>509</v>
      </c>
      <c r="C80" s="53">
        <v>1</v>
      </c>
      <c r="D80" s="53" t="s">
        <v>95</v>
      </c>
      <c r="E80" s="11">
        <f t="shared" si="14"/>
        <v>219</v>
      </c>
      <c r="F80" s="92">
        <f t="shared" si="16"/>
        <v>219</v>
      </c>
      <c r="G80" s="58"/>
      <c r="H80" s="54" t="s">
        <v>37</v>
      </c>
      <c r="I80" s="54"/>
      <c r="J80" s="55"/>
      <c r="K80" s="11"/>
      <c r="L80" s="53" t="str">
        <f t="shared" si="4"/>
        <v/>
      </c>
      <c r="M80" s="11">
        <v>138.43</v>
      </c>
      <c r="N80" s="11">
        <v>24.57</v>
      </c>
      <c r="O80" s="11">
        <v>12</v>
      </c>
      <c r="P80" s="11">
        <v>2</v>
      </c>
      <c r="Q80" s="11">
        <v>5</v>
      </c>
      <c r="R80" s="11">
        <v>5</v>
      </c>
      <c r="S80" s="11">
        <v>10</v>
      </c>
      <c r="T80" s="11"/>
      <c r="U80" s="11">
        <v>22</v>
      </c>
      <c r="V80" s="56" t="s">
        <v>1535</v>
      </c>
      <c r="W80" s="35" t="str">
        <f t="shared" si="2"/>
        <v>OK</v>
      </c>
      <c r="X80" s="38" t="str">
        <f t="shared" si="5"/>
        <v/>
      </c>
      <c r="Y80" s="3"/>
      <c r="Z80" s="116"/>
    </row>
    <row r="81" spans="1:26" ht="15.75" hidden="1" customHeight="1" outlineLevel="1" x14ac:dyDescent="0.3">
      <c r="A81" s="3"/>
      <c r="B81" s="99" t="s">
        <v>510</v>
      </c>
      <c r="C81" s="53">
        <v>1</v>
      </c>
      <c r="D81" s="53" t="s">
        <v>95</v>
      </c>
      <c r="E81" s="11">
        <f t="shared" si="14"/>
        <v>219</v>
      </c>
      <c r="F81" s="92">
        <f t="shared" si="16"/>
        <v>219</v>
      </c>
      <c r="G81" s="58"/>
      <c r="H81" s="54" t="s">
        <v>37</v>
      </c>
      <c r="I81" s="54"/>
      <c r="J81" s="55"/>
      <c r="K81" s="11"/>
      <c r="L81" s="53" t="str">
        <f t="shared" si="4"/>
        <v/>
      </c>
      <c r="M81" s="11">
        <v>138.43</v>
      </c>
      <c r="N81" s="11">
        <v>24.57</v>
      </c>
      <c r="O81" s="11">
        <v>12</v>
      </c>
      <c r="P81" s="11">
        <v>2</v>
      </c>
      <c r="Q81" s="11">
        <v>5</v>
      </c>
      <c r="R81" s="11">
        <v>5</v>
      </c>
      <c r="S81" s="11">
        <v>10</v>
      </c>
      <c r="T81" s="11"/>
      <c r="U81" s="11">
        <v>22</v>
      </c>
      <c r="V81" s="56" t="s">
        <v>1535</v>
      </c>
      <c r="W81" s="35" t="str">
        <f t="shared" si="2"/>
        <v>OK</v>
      </c>
      <c r="X81" s="38" t="str">
        <f t="shared" si="5"/>
        <v/>
      </c>
      <c r="Y81" s="3"/>
      <c r="Z81" s="116"/>
    </row>
    <row r="82" spans="1:26" ht="15.75" hidden="1" customHeight="1" outlineLevel="1" x14ac:dyDescent="0.3">
      <c r="A82" s="3"/>
      <c r="B82" s="99" t="s">
        <v>513</v>
      </c>
      <c r="C82" s="53">
        <v>5</v>
      </c>
      <c r="D82" s="53" t="s">
        <v>95</v>
      </c>
      <c r="E82" s="11">
        <f t="shared" si="14"/>
        <v>185.57</v>
      </c>
      <c r="F82" s="92">
        <f t="shared" si="16"/>
        <v>185.57</v>
      </c>
      <c r="G82" s="58"/>
      <c r="H82" s="54" t="s">
        <v>38</v>
      </c>
      <c r="I82" s="54"/>
      <c r="J82" s="55"/>
      <c r="K82" s="11"/>
      <c r="L82" s="53" t="str">
        <f t="shared" si="4"/>
        <v/>
      </c>
      <c r="M82" s="11">
        <v>120</v>
      </c>
      <c r="N82" s="11">
        <v>24.57</v>
      </c>
      <c r="O82" s="11">
        <v>12</v>
      </c>
      <c r="P82" s="11">
        <v>2</v>
      </c>
      <c r="Q82" s="11"/>
      <c r="R82" s="11"/>
      <c r="S82" s="11">
        <v>5</v>
      </c>
      <c r="T82" s="11"/>
      <c r="U82" s="11">
        <v>22</v>
      </c>
      <c r="V82" s="56" t="s">
        <v>1535</v>
      </c>
      <c r="W82" s="35" t="str">
        <f t="shared" si="2"/>
        <v>OK</v>
      </c>
      <c r="X82" s="38" t="str">
        <f t="shared" si="5"/>
        <v/>
      </c>
      <c r="Y82" s="3"/>
      <c r="Z82" s="116"/>
    </row>
    <row r="83" spans="1:26" ht="15.75" hidden="1" customHeight="1" outlineLevel="1" x14ac:dyDescent="0.3">
      <c r="A83" s="3"/>
      <c r="B83" s="99" t="s">
        <v>514</v>
      </c>
      <c r="C83" s="53">
        <v>5</v>
      </c>
      <c r="D83" s="53" t="s">
        <v>95</v>
      </c>
      <c r="E83" s="11">
        <f t="shared" si="14"/>
        <v>185.57</v>
      </c>
      <c r="F83" s="92">
        <f t="shared" si="16"/>
        <v>185.57</v>
      </c>
      <c r="G83" s="58"/>
      <c r="H83" s="54" t="s">
        <v>38</v>
      </c>
      <c r="I83" s="54"/>
      <c r="J83" s="55"/>
      <c r="K83" s="11"/>
      <c r="L83" s="53" t="str">
        <f t="shared" si="4"/>
        <v/>
      </c>
      <c r="M83" s="11">
        <v>120</v>
      </c>
      <c r="N83" s="11">
        <v>24.57</v>
      </c>
      <c r="O83" s="11">
        <v>12</v>
      </c>
      <c r="P83" s="11">
        <v>2</v>
      </c>
      <c r="Q83" s="11"/>
      <c r="R83" s="11"/>
      <c r="S83" s="11">
        <v>5</v>
      </c>
      <c r="T83" s="11"/>
      <c r="U83" s="11">
        <v>22</v>
      </c>
      <c r="V83" s="56" t="s">
        <v>1535</v>
      </c>
      <c r="W83" s="35" t="str">
        <f t="shared" si="2"/>
        <v>OK</v>
      </c>
      <c r="X83" s="38" t="str">
        <f t="shared" si="5"/>
        <v/>
      </c>
      <c r="Y83" s="3"/>
      <c r="Z83" s="116"/>
    </row>
    <row r="84" spans="1:26" ht="15.75" hidden="1" customHeight="1" outlineLevel="1" x14ac:dyDescent="0.3">
      <c r="A84" s="3"/>
      <c r="B84" s="99" t="s">
        <v>515</v>
      </c>
      <c r="C84" s="53">
        <v>13</v>
      </c>
      <c r="D84" s="53" t="s">
        <v>95</v>
      </c>
      <c r="E84" s="11">
        <f t="shared" si="14"/>
        <v>174</v>
      </c>
      <c r="F84" s="92">
        <f t="shared" si="16"/>
        <v>174</v>
      </c>
      <c r="G84" s="58"/>
      <c r="H84" s="54" t="s">
        <v>37</v>
      </c>
      <c r="I84" s="54"/>
      <c r="J84" s="55"/>
      <c r="K84" s="11"/>
      <c r="L84" s="53">
        <f t="shared" si="4"/>
        <v>1</v>
      </c>
      <c r="M84" s="11">
        <v>108.43</v>
      </c>
      <c r="N84" s="11">
        <v>24.57</v>
      </c>
      <c r="O84" s="11">
        <v>12</v>
      </c>
      <c r="P84" s="11">
        <v>2</v>
      </c>
      <c r="Q84" s="11"/>
      <c r="R84" s="11"/>
      <c r="S84" s="11">
        <v>5</v>
      </c>
      <c r="T84" s="11"/>
      <c r="U84" s="11">
        <v>22</v>
      </c>
      <c r="V84" s="56" t="s">
        <v>1535</v>
      </c>
      <c r="W84" s="35" t="str">
        <f t="shared" si="2"/>
        <v>OK</v>
      </c>
      <c r="X84" s="38" t="str">
        <f t="shared" si="5"/>
        <v/>
      </c>
      <c r="Y84" s="3"/>
      <c r="Z84" s="116"/>
    </row>
    <row r="85" spans="1:26" ht="15.75" hidden="1" customHeight="1" outlineLevel="1" x14ac:dyDescent="0.3">
      <c r="A85" s="3"/>
      <c r="B85" s="99" t="s">
        <v>516</v>
      </c>
      <c r="C85" s="53">
        <v>5</v>
      </c>
      <c r="D85" s="53" t="s">
        <v>95</v>
      </c>
      <c r="E85" s="11">
        <f t="shared" si="14"/>
        <v>198.5</v>
      </c>
      <c r="F85" s="92">
        <f t="shared" si="16"/>
        <v>198.5</v>
      </c>
      <c r="G85" s="58"/>
      <c r="H85" s="54" t="s">
        <v>37</v>
      </c>
      <c r="I85" s="54"/>
      <c r="J85" s="55"/>
      <c r="K85" s="11"/>
      <c r="L85" s="53" t="str">
        <f t="shared" si="4"/>
        <v/>
      </c>
      <c r="M85" s="11">
        <v>88.43</v>
      </c>
      <c r="N85" s="11">
        <v>24.57</v>
      </c>
      <c r="O85" s="11">
        <v>12</v>
      </c>
      <c r="P85" s="11">
        <v>1.5</v>
      </c>
      <c r="Q85" s="11"/>
      <c r="R85" s="11"/>
      <c r="S85" s="11"/>
      <c r="T85" s="11"/>
      <c r="U85" s="11">
        <v>72</v>
      </c>
      <c r="V85" s="56" t="s">
        <v>1544</v>
      </c>
      <c r="W85" s="35" t="str">
        <f t="shared" si="2"/>
        <v>OK</v>
      </c>
      <c r="X85" s="38" t="str">
        <f t="shared" si="5"/>
        <v/>
      </c>
      <c r="Y85" s="3"/>
      <c r="Z85" s="116"/>
    </row>
    <row r="86" spans="1:26" ht="15.75" hidden="1" customHeight="1" outlineLevel="1" x14ac:dyDescent="0.3">
      <c r="A86" s="3"/>
      <c r="B86" s="99" t="s">
        <v>517</v>
      </c>
      <c r="C86" s="53">
        <v>5</v>
      </c>
      <c r="D86" s="53" t="s">
        <v>95</v>
      </c>
      <c r="E86" s="11">
        <f t="shared" si="14"/>
        <v>198.5</v>
      </c>
      <c r="F86" s="92">
        <f t="shared" si="16"/>
        <v>198.5</v>
      </c>
      <c r="G86" s="58"/>
      <c r="H86" s="54" t="s">
        <v>37</v>
      </c>
      <c r="I86" s="54"/>
      <c r="J86" s="55"/>
      <c r="K86" s="11"/>
      <c r="L86" s="53" t="str">
        <f t="shared" si="4"/>
        <v/>
      </c>
      <c r="M86" s="11">
        <v>88.43</v>
      </c>
      <c r="N86" s="11">
        <v>24.57</v>
      </c>
      <c r="O86" s="11">
        <v>12</v>
      </c>
      <c r="P86" s="11">
        <v>1.5</v>
      </c>
      <c r="Q86" s="11"/>
      <c r="R86" s="11"/>
      <c r="S86" s="11"/>
      <c r="T86" s="11"/>
      <c r="U86" s="11">
        <v>72</v>
      </c>
      <c r="V86" s="56" t="s">
        <v>1544</v>
      </c>
      <c r="W86" s="35" t="str">
        <f t="shared" si="2"/>
        <v>OK</v>
      </c>
      <c r="X86" s="38" t="str">
        <f t="shared" si="5"/>
        <v/>
      </c>
      <c r="Y86" s="3"/>
      <c r="Z86" s="116"/>
    </row>
    <row r="87" spans="1:26" ht="15.75" hidden="1" customHeight="1" outlineLevel="1" x14ac:dyDescent="0.3">
      <c r="A87" s="3"/>
      <c r="B87" s="99" t="s">
        <v>518</v>
      </c>
      <c r="C87" s="53">
        <v>8</v>
      </c>
      <c r="D87" s="53" t="s">
        <v>95</v>
      </c>
      <c r="E87" s="11">
        <f t="shared" si="14"/>
        <v>209.8</v>
      </c>
      <c r="F87" s="92">
        <f t="shared" si="16"/>
        <v>209.8</v>
      </c>
      <c r="G87" s="58"/>
      <c r="H87" s="54" t="s">
        <v>37</v>
      </c>
      <c r="I87" s="54"/>
      <c r="J87" s="55"/>
      <c r="K87" s="11"/>
      <c r="L87" s="53" t="str">
        <f t="shared" si="4"/>
        <v/>
      </c>
      <c r="M87" s="11">
        <v>93.93</v>
      </c>
      <c r="N87" s="11">
        <v>24.57</v>
      </c>
      <c r="O87" s="11">
        <v>12</v>
      </c>
      <c r="P87" s="11">
        <v>1.5</v>
      </c>
      <c r="Q87" s="11">
        <v>5</v>
      </c>
      <c r="R87" s="11"/>
      <c r="S87" s="11">
        <v>10</v>
      </c>
      <c r="T87" s="11"/>
      <c r="U87" s="11">
        <v>62.8</v>
      </c>
      <c r="V87" s="56" t="s">
        <v>1557</v>
      </c>
      <c r="W87" s="35" t="str">
        <f t="shared" si="2"/>
        <v>OK</v>
      </c>
      <c r="X87" s="38" t="str">
        <f t="shared" si="5"/>
        <v/>
      </c>
      <c r="Y87" s="3"/>
      <c r="Z87" s="116"/>
    </row>
    <row r="88" spans="1:26" ht="15.75" hidden="1" customHeight="1" outlineLevel="1" x14ac:dyDescent="0.3">
      <c r="A88" s="3"/>
      <c r="B88" s="99" t="s">
        <v>519</v>
      </c>
      <c r="C88" s="53">
        <v>5</v>
      </c>
      <c r="D88" s="53" t="s">
        <v>95</v>
      </c>
      <c r="E88" s="11">
        <f t="shared" si="14"/>
        <v>174</v>
      </c>
      <c r="F88" s="92">
        <f t="shared" si="16"/>
        <v>174</v>
      </c>
      <c r="G88" s="58"/>
      <c r="H88" s="54" t="s">
        <v>37</v>
      </c>
      <c r="I88" s="54"/>
      <c r="J88" s="55"/>
      <c r="K88" s="11"/>
      <c r="L88" s="53" t="str">
        <f t="shared" si="4"/>
        <v/>
      </c>
      <c r="M88" s="11">
        <v>108.43</v>
      </c>
      <c r="N88" s="11">
        <v>24.57</v>
      </c>
      <c r="O88" s="11">
        <v>12</v>
      </c>
      <c r="P88" s="11">
        <v>2</v>
      </c>
      <c r="Q88" s="11"/>
      <c r="R88" s="11"/>
      <c r="S88" s="11">
        <v>5</v>
      </c>
      <c r="T88" s="11"/>
      <c r="U88" s="11">
        <v>22</v>
      </c>
      <c r="V88" s="56" t="s">
        <v>1535</v>
      </c>
      <c r="W88" s="35" t="str">
        <f t="shared" si="2"/>
        <v>OK</v>
      </c>
      <c r="X88" s="38" t="str">
        <f t="shared" si="5"/>
        <v/>
      </c>
      <c r="Y88" s="3"/>
      <c r="Z88" s="116"/>
    </row>
    <row r="89" spans="1:26" ht="15.75" hidden="1" customHeight="1" outlineLevel="1" x14ac:dyDescent="0.3">
      <c r="A89" s="3"/>
      <c r="B89" s="99" t="s">
        <v>524</v>
      </c>
      <c r="C89" s="53">
        <v>8</v>
      </c>
      <c r="D89" s="53" t="s">
        <v>95</v>
      </c>
      <c r="E89" s="11">
        <f t="shared" si="14"/>
        <v>72</v>
      </c>
      <c r="F89" s="92">
        <f t="shared" si="16"/>
        <v>72</v>
      </c>
      <c r="G89" s="58"/>
      <c r="H89" s="54" t="s">
        <v>37</v>
      </c>
      <c r="I89" s="54"/>
      <c r="J89" s="55"/>
      <c r="K89" s="11"/>
      <c r="L89" s="53" t="str">
        <f t="shared" si="4"/>
        <v/>
      </c>
      <c r="M89" s="11">
        <v>13.43</v>
      </c>
      <c r="N89" s="11">
        <v>24.57</v>
      </c>
      <c r="O89" s="11">
        <v>12</v>
      </c>
      <c r="P89" s="11"/>
      <c r="Q89" s="11"/>
      <c r="R89" s="11"/>
      <c r="S89" s="11"/>
      <c r="T89" s="11"/>
      <c r="U89" s="11">
        <v>22</v>
      </c>
      <c r="V89" s="56" t="s">
        <v>1535</v>
      </c>
      <c r="W89" s="35" t="str">
        <f t="shared" si="2"/>
        <v>OK</v>
      </c>
      <c r="X89" s="38" t="str">
        <f t="shared" si="5"/>
        <v/>
      </c>
      <c r="Y89" s="3"/>
      <c r="Z89" s="116"/>
    </row>
    <row r="90" spans="1:26" ht="15.75" hidden="1" customHeight="1" outlineLevel="1" x14ac:dyDescent="0.3">
      <c r="A90" s="3"/>
      <c r="B90" s="99" t="s">
        <v>520</v>
      </c>
      <c r="C90" s="53">
        <v>9</v>
      </c>
      <c r="D90" s="53" t="s">
        <v>95</v>
      </c>
      <c r="E90" s="11">
        <f t="shared" si="14"/>
        <v>222</v>
      </c>
      <c r="F90" s="92">
        <f t="shared" si="16"/>
        <v>222</v>
      </c>
      <c r="G90" s="58"/>
      <c r="H90" s="54" t="s">
        <v>37</v>
      </c>
      <c r="I90" s="54"/>
      <c r="J90" s="55"/>
      <c r="K90" s="11"/>
      <c r="L90" s="53" t="str">
        <f t="shared" si="4"/>
        <v/>
      </c>
      <c r="M90" s="11">
        <v>113.43</v>
      </c>
      <c r="N90" s="11">
        <v>24.57</v>
      </c>
      <c r="O90" s="11">
        <v>12</v>
      </c>
      <c r="P90" s="11"/>
      <c r="Q90" s="11"/>
      <c r="R90" s="11"/>
      <c r="S90" s="11"/>
      <c r="T90" s="11"/>
      <c r="U90" s="11">
        <v>72</v>
      </c>
      <c r="V90" s="56" t="s">
        <v>1544</v>
      </c>
      <c r="W90" s="35" t="str">
        <f t="shared" si="2"/>
        <v>OK</v>
      </c>
      <c r="X90" s="38" t="str">
        <f t="shared" si="5"/>
        <v/>
      </c>
      <c r="Y90" s="3"/>
      <c r="Z90" s="116"/>
    </row>
    <row r="91" spans="1:26" ht="15.75" hidden="1" customHeight="1" outlineLevel="1" x14ac:dyDescent="0.3">
      <c r="A91" s="3"/>
      <c r="B91" s="99" t="s">
        <v>521</v>
      </c>
      <c r="C91" s="53"/>
      <c r="D91" s="53" t="s">
        <v>105</v>
      </c>
      <c r="E91" s="11">
        <f t="shared" si="14"/>
        <v>24</v>
      </c>
      <c r="F91" s="92"/>
      <c r="G91" s="58"/>
      <c r="H91" s="54"/>
      <c r="I91" s="54"/>
      <c r="J91" s="55"/>
      <c r="K91" s="11"/>
      <c r="L91" s="53" t="str">
        <f t="shared" si="4"/>
        <v/>
      </c>
      <c r="M91" s="11">
        <v>-12.57</v>
      </c>
      <c r="N91" s="11">
        <v>24.57</v>
      </c>
      <c r="O91" s="11">
        <v>12</v>
      </c>
      <c r="P91" s="11"/>
      <c r="Q91" s="11"/>
      <c r="R91" s="11"/>
      <c r="S91" s="11"/>
      <c r="T91" s="11"/>
      <c r="U91" s="11"/>
      <c r="V91" s="56"/>
      <c r="W91" s="35" t="str">
        <f t="shared" si="2"/>
        <v>Diferente</v>
      </c>
      <c r="X91" s="38">
        <f t="shared" si="5"/>
        <v>-24</v>
      </c>
      <c r="Y91" s="3"/>
      <c r="Z91" s="116"/>
    </row>
    <row r="92" spans="1:26" ht="15.75" hidden="1" customHeight="1" outlineLevel="1" x14ac:dyDescent="0.3">
      <c r="A92" s="3"/>
      <c r="B92" s="99" t="s">
        <v>523</v>
      </c>
      <c r="C92" s="53">
        <v>4</v>
      </c>
      <c r="D92" s="53" t="s">
        <v>95</v>
      </c>
      <c r="E92" s="11">
        <f t="shared" si="14"/>
        <v>207</v>
      </c>
      <c r="F92" s="92">
        <f>E92</f>
        <v>207</v>
      </c>
      <c r="G92" s="58"/>
      <c r="H92" s="54" t="s">
        <v>37</v>
      </c>
      <c r="I92" s="54"/>
      <c r="J92" s="55"/>
      <c r="K92" s="11"/>
      <c r="L92" s="53" t="str">
        <f t="shared" si="4"/>
        <v/>
      </c>
      <c r="M92" s="11">
        <v>88.43</v>
      </c>
      <c r="N92" s="11">
        <v>24.57</v>
      </c>
      <c r="O92" s="11">
        <v>12</v>
      </c>
      <c r="P92" s="11"/>
      <c r="Q92" s="11"/>
      <c r="R92" s="11"/>
      <c r="S92" s="11"/>
      <c r="T92" s="11"/>
      <c r="U92" s="11">
        <v>82</v>
      </c>
      <c r="V92" s="56" t="s">
        <v>1558</v>
      </c>
      <c r="W92" s="35" t="str">
        <f t="shared" si="2"/>
        <v>OK</v>
      </c>
      <c r="X92" s="38" t="str">
        <f t="shared" si="5"/>
        <v/>
      </c>
      <c r="Y92" s="3"/>
      <c r="Z92" s="116"/>
    </row>
    <row r="93" spans="1:26" ht="15.75" hidden="1" customHeight="1" outlineLevel="1" x14ac:dyDescent="0.3">
      <c r="A93" s="3"/>
      <c r="B93" s="99" t="s">
        <v>527</v>
      </c>
      <c r="C93" s="53"/>
      <c r="D93" s="53" t="s">
        <v>105</v>
      </c>
      <c r="E93" s="11">
        <f t="shared" si="14"/>
        <v>87</v>
      </c>
      <c r="F93" s="92"/>
      <c r="G93" s="58"/>
      <c r="H93" s="54"/>
      <c r="I93" s="54"/>
      <c r="J93" s="55"/>
      <c r="K93" s="11"/>
      <c r="L93" s="53" t="str">
        <f t="shared" si="4"/>
        <v/>
      </c>
      <c r="M93" s="11">
        <v>26.43</v>
      </c>
      <c r="N93" s="11">
        <v>24.57</v>
      </c>
      <c r="O93" s="11">
        <v>12</v>
      </c>
      <c r="P93" s="11">
        <v>2</v>
      </c>
      <c r="Q93" s="11"/>
      <c r="R93" s="11"/>
      <c r="S93" s="11"/>
      <c r="T93" s="11"/>
      <c r="U93" s="11">
        <v>22</v>
      </c>
      <c r="V93" s="56" t="s">
        <v>1535</v>
      </c>
      <c r="W93" s="35" t="str">
        <f t="shared" si="2"/>
        <v>Diferente</v>
      </c>
      <c r="X93" s="38">
        <f t="shared" si="5"/>
        <v>-87</v>
      </c>
      <c r="Y93" s="3"/>
      <c r="Z93" s="116"/>
    </row>
    <row r="94" spans="1:26" ht="15.75" hidden="1" customHeight="1" outlineLevel="1" x14ac:dyDescent="0.3">
      <c r="A94" s="3"/>
      <c r="B94" s="99" t="s">
        <v>528</v>
      </c>
      <c r="C94" s="53">
        <v>4</v>
      </c>
      <c r="D94" s="53" t="s">
        <v>95</v>
      </c>
      <c r="E94" s="11">
        <f t="shared" si="14"/>
        <v>461</v>
      </c>
      <c r="F94" s="92">
        <f t="shared" ref="F94:F103" si="17">E94</f>
        <v>461</v>
      </c>
      <c r="G94" s="58"/>
      <c r="H94" s="54" t="s">
        <v>37</v>
      </c>
      <c r="I94" s="54"/>
      <c r="J94" s="55"/>
      <c r="K94" s="11"/>
      <c r="L94" s="53" t="str">
        <f t="shared" si="4"/>
        <v/>
      </c>
      <c r="M94" s="11">
        <v>100.43</v>
      </c>
      <c r="N94" s="11">
        <v>24.57</v>
      </c>
      <c r="O94" s="11">
        <v>12</v>
      </c>
      <c r="P94" s="11">
        <v>2</v>
      </c>
      <c r="Q94" s="11"/>
      <c r="R94" s="11"/>
      <c r="S94" s="11"/>
      <c r="T94" s="11"/>
      <c r="U94" s="11">
        <v>322</v>
      </c>
      <c r="V94" s="56" t="s">
        <v>1534</v>
      </c>
      <c r="W94" s="35" t="str">
        <f t="shared" si="2"/>
        <v>OK</v>
      </c>
      <c r="X94" s="38" t="str">
        <f t="shared" si="5"/>
        <v/>
      </c>
      <c r="Y94" s="3"/>
      <c r="Z94" s="116"/>
    </row>
    <row r="95" spans="1:26" ht="15.75" hidden="1" customHeight="1" outlineLevel="1" x14ac:dyDescent="0.3">
      <c r="A95" s="3"/>
      <c r="B95" s="99" t="s">
        <v>713</v>
      </c>
      <c r="C95" s="53">
        <v>9</v>
      </c>
      <c r="D95" s="53" t="s">
        <v>95</v>
      </c>
      <c r="E95" s="11">
        <f t="shared" si="14"/>
        <v>142</v>
      </c>
      <c r="F95" s="92">
        <f t="shared" si="17"/>
        <v>142</v>
      </c>
      <c r="G95" s="58"/>
      <c r="H95" s="54" t="s">
        <v>37</v>
      </c>
      <c r="I95" s="54"/>
      <c r="J95" s="55"/>
      <c r="K95" s="11"/>
      <c r="L95" s="53" t="str">
        <f t="shared" si="4"/>
        <v/>
      </c>
      <c r="M95" s="11">
        <v>31.43</v>
      </c>
      <c r="N95" s="11">
        <v>24.57</v>
      </c>
      <c r="O95" s="11">
        <v>12</v>
      </c>
      <c r="P95" s="11">
        <v>2</v>
      </c>
      <c r="Q95" s="11"/>
      <c r="R95" s="11"/>
      <c r="S95" s="11"/>
      <c r="T95" s="11"/>
      <c r="U95" s="11">
        <v>72</v>
      </c>
      <c r="V95" s="56" t="s">
        <v>1541</v>
      </c>
      <c r="W95" s="35" t="str">
        <f t="shared" si="2"/>
        <v>OK</v>
      </c>
      <c r="X95" s="38" t="str">
        <f t="shared" si="5"/>
        <v/>
      </c>
      <c r="Y95" s="3"/>
      <c r="Z95" s="116"/>
    </row>
    <row r="96" spans="1:26" ht="15.75" hidden="1" customHeight="1" outlineLevel="1" x14ac:dyDescent="0.3">
      <c r="A96" s="3"/>
      <c r="B96" s="99" t="s">
        <v>896</v>
      </c>
      <c r="C96" s="71">
        <v>13</v>
      </c>
      <c r="D96" s="53" t="s">
        <v>95</v>
      </c>
      <c r="E96" s="11">
        <f t="shared" si="14"/>
        <v>236.57</v>
      </c>
      <c r="F96" s="92">
        <f t="shared" si="17"/>
        <v>236.57</v>
      </c>
      <c r="G96" s="58"/>
      <c r="H96" s="54" t="s">
        <v>37</v>
      </c>
      <c r="I96" s="54"/>
      <c r="J96" s="55"/>
      <c r="K96" s="11"/>
      <c r="L96" s="53">
        <f t="shared" si="4"/>
        <v>1</v>
      </c>
      <c r="M96" s="11">
        <v>94</v>
      </c>
      <c r="N96" s="11">
        <v>24.57</v>
      </c>
      <c r="O96" s="11">
        <v>12</v>
      </c>
      <c r="P96" s="11">
        <v>0</v>
      </c>
      <c r="Q96" s="11"/>
      <c r="R96" s="11"/>
      <c r="S96" s="11"/>
      <c r="T96" s="11"/>
      <c r="U96" s="11">
        <v>106</v>
      </c>
      <c r="V96" s="56" t="s">
        <v>1559</v>
      </c>
      <c r="W96" s="35" t="str">
        <f t="shared" si="2"/>
        <v>OK</v>
      </c>
      <c r="X96" s="38" t="str">
        <f t="shared" si="5"/>
        <v/>
      </c>
      <c r="Y96" s="3"/>
      <c r="Z96" s="116"/>
    </row>
    <row r="97" spans="1:26" ht="15.75" hidden="1" customHeight="1" outlineLevel="1" x14ac:dyDescent="0.3">
      <c r="A97" s="3"/>
      <c r="B97" s="99" t="s">
        <v>897</v>
      </c>
      <c r="C97" s="53">
        <v>13</v>
      </c>
      <c r="D97" s="53" t="s">
        <v>95</v>
      </c>
      <c r="E97" s="11">
        <f t="shared" si="14"/>
        <v>152.57</v>
      </c>
      <c r="F97" s="92">
        <f t="shared" si="17"/>
        <v>152.57</v>
      </c>
      <c r="G97" s="58"/>
      <c r="H97" s="54" t="s">
        <v>37</v>
      </c>
      <c r="I97" s="54"/>
      <c r="J97" s="55"/>
      <c r="K97" s="11"/>
      <c r="L97" s="53">
        <f t="shared" si="4"/>
        <v>1</v>
      </c>
      <c r="M97" s="11">
        <v>94</v>
      </c>
      <c r="N97" s="11">
        <v>24.57</v>
      </c>
      <c r="O97" s="11">
        <v>12</v>
      </c>
      <c r="P97" s="11">
        <v>0</v>
      </c>
      <c r="Q97" s="11"/>
      <c r="R97" s="11"/>
      <c r="S97" s="11"/>
      <c r="T97" s="11"/>
      <c r="U97" s="11">
        <v>22</v>
      </c>
      <c r="V97" s="56" t="s">
        <v>1535</v>
      </c>
      <c r="W97" s="35" t="str">
        <f t="shared" si="2"/>
        <v>OK</v>
      </c>
      <c r="X97" s="38" t="str">
        <f t="shared" si="5"/>
        <v/>
      </c>
      <c r="Y97" s="3"/>
      <c r="Z97" s="116"/>
    </row>
    <row r="98" spans="1:26" ht="15.75" hidden="1" customHeight="1" outlineLevel="1" x14ac:dyDescent="0.3">
      <c r="A98" s="3"/>
      <c r="B98" s="99" t="s">
        <v>1317</v>
      </c>
      <c r="C98" s="53">
        <v>7</v>
      </c>
      <c r="D98" s="53" t="s">
        <v>95</v>
      </c>
      <c r="E98" s="11">
        <f t="shared" si="14"/>
        <v>216.8</v>
      </c>
      <c r="F98" s="92">
        <f t="shared" si="17"/>
        <v>216.8</v>
      </c>
      <c r="G98" s="58"/>
      <c r="H98" s="54" t="s">
        <v>37</v>
      </c>
      <c r="I98" s="54"/>
      <c r="J98" s="55"/>
      <c r="K98" s="11"/>
      <c r="L98" s="53" t="str">
        <f t="shared" si="4"/>
        <v/>
      </c>
      <c r="M98" s="11">
        <v>68.23</v>
      </c>
      <c r="N98" s="11">
        <v>24.57</v>
      </c>
      <c r="O98" s="11">
        <v>12</v>
      </c>
      <c r="P98" s="11">
        <v>2</v>
      </c>
      <c r="Q98" s="11"/>
      <c r="R98" s="11"/>
      <c r="S98" s="11"/>
      <c r="T98" s="11"/>
      <c r="U98" s="11">
        <v>110</v>
      </c>
      <c r="V98" s="56" t="s">
        <v>1560</v>
      </c>
      <c r="W98" s="35" t="str">
        <f t="shared" si="2"/>
        <v>OK</v>
      </c>
      <c r="X98" s="38" t="str">
        <f t="shared" si="5"/>
        <v/>
      </c>
      <c r="Y98" s="3"/>
      <c r="Z98" s="116"/>
    </row>
    <row r="99" spans="1:26" ht="15.75" hidden="1" customHeight="1" outlineLevel="1" x14ac:dyDescent="0.3">
      <c r="A99" s="3"/>
      <c r="B99" s="99" t="s">
        <v>1319</v>
      </c>
      <c r="C99" s="53">
        <v>8</v>
      </c>
      <c r="D99" s="53" t="s">
        <v>95</v>
      </c>
      <c r="E99" s="11">
        <f t="shared" si="14"/>
        <v>202</v>
      </c>
      <c r="F99" s="92">
        <f t="shared" si="17"/>
        <v>202</v>
      </c>
      <c r="G99" s="58"/>
      <c r="H99" s="54" t="s">
        <v>37</v>
      </c>
      <c r="I99" s="54"/>
      <c r="J99" s="55"/>
      <c r="K99" s="11"/>
      <c r="L99" s="53" t="str">
        <f t="shared" si="4"/>
        <v/>
      </c>
      <c r="M99" s="11">
        <v>93.43</v>
      </c>
      <c r="N99" s="11">
        <v>24.57</v>
      </c>
      <c r="O99" s="11">
        <v>12</v>
      </c>
      <c r="P99" s="11">
        <v>0</v>
      </c>
      <c r="Q99" s="11"/>
      <c r="R99" s="11"/>
      <c r="S99" s="11"/>
      <c r="T99" s="11"/>
      <c r="U99" s="11">
        <v>72</v>
      </c>
      <c r="V99" s="56" t="s">
        <v>1561</v>
      </c>
      <c r="W99" s="35" t="str">
        <f t="shared" si="2"/>
        <v>OK</v>
      </c>
      <c r="X99" s="38" t="str">
        <f t="shared" si="5"/>
        <v/>
      </c>
      <c r="Y99" s="3"/>
      <c r="Z99" s="3"/>
    </row>
    <row r="100" spans="1:26" ht="15.75" hidden="1" customHeight="1" outlineLevel="1" x14ac:dyDescent="0.3">
      <c r="A100" s="3"/>
      <c r="B100" s="99" t="s">
        <v>487</v>
      </c>
      <c r="C100" s="53">
        <v>1</v>
      </c>
      <c r="D100" s="53" t="s">
        <v>95</v>
      </c>
      <c r="E100" s="11">
        <f t="shared" si="14"/>
        <v>92</v>
      </c>
      <c r="F100" s="92">
        <f t="shared" si="17"/>
        <v>92</v>
      </c>
      <c r="G100" s="58"/>
      <c r="H100" s="54" t="s">
        <v>37</v>
      </c>
      <c r="I100" s="54"/>
      <c r="J100" s="55"/>
      <c r="K100" s="53"/>
      <c r="L100" s="53" t="str">
        <f t="shared" si="4"/>
        <v/>
      </c>
      <c r="M100" s="11">
        <v>33.43</v>
      </c>
      <c r="N100" s="11">
        <v>24.57</v>
      </c>
      <c r="O100" s="11">
        <v>12</v>
      </c>
      <c r="P100" s="11">
        <v>0</v>
      </c>
      <c r="Q100" s="11"/>
      <c r="R100" s="11"/>
      <c r="S100" s="11"/>
      <c r="T100" s="11"/>
      <c r="U100" s="11">
        <v>22</v>
      </c>
      <c r="V100" s="56" t="s">
        <v>1535</v>
      </c>
      <c r="W100" s="35" t="str">
        <f t="shared" si="2"/>
        <v>OK</v>
      </c>
      <c r="X100" s="38" t="str">
        <f t="shared" si="5"/>
        <v/>
      </c>
      <c r="Y100" s="3"/>
      <c r="Z100" s="3"/>
    </row>
    <row r="101" spans="1:26" ht="15.75" hidden="1" customHeight="1" outlineLevel="1" x14ac:dyDescent="0.3">
      <c r="A101" s="3"/>
      <c r="B101" s="99" t="s">
        <v>1428</v>
      </c>
      <c r="C101" s="53">
        <v>1</v>
      </c>
      <c r="D101" s="53" t="s">
        <v>95</v>
      </c>
      <c r="E101" s="11">
        <f t="shared" si="14"/>
        <v>225</v>
      </c>
      <c r="F101" s="92">
        <f t="shared" si="17"/>
        <v>225</v>
      </c>
      <c r="G101" s="58"/>
      <c r="H101" s="54" t="s">
        <v>37</v>
      </c>
      <c r="I101" s="54"/>
      <c r="J101" s="55"/>
      <c r="K101" s="53"/>
      <c r="L101" s="53" t="str">
        <f t="shared" si="4"/>
        <v/>
      </c>
      <c r="M101" s="11">
        <v>88.43</v>
      </c>
      <c r="N101" s="11">
        <v>24.57</v>
      </c>
      <c r="O101" s="11">
        <v>12</v>
      </c>
      <c r="P101" s="11">
        <v>0</v>
      </c>
      <c r="Q101" s="11"/>
      <c r="R101" s="11"/>
      <c r="S101" s="11"/>
      <c r="T101" s="11"/>
      <c r="U101" s="11">
        <v>100</v>
      </c>
      <c r="V101" s="56" t="s">
        <v>1562</v>
      </c>
      <c r="W101" s="35" t="str">
        <f t="shared" si="2"/>
        <v>OK</v>
      </c>
      <c r="X101" s="38" t="str">
        <f t="shared" si="5"/>
        <v/>
      </c>
      <c r="Y101" s="3"/>
      <c r="Z101" s="3"/>
    </row>
    <row r="102" spans="1:26" ht="15.75" hidden="1" customHeight="1" outlineLevel="1" x14ac:dyDescent="0.3">
      <c r="A102" s="3"/>
      <c r="B102" s="99" t="s">
        <v>1429</v>
      </c>
      <c r="C102" s="53">
        <v>1</v>
      </c>
      <c r="D102" s="53" t="s">
        <v>95</v>
      </c>
      <c r="E102" s="11">
        <f t="shared" si="14"/>
        <v>219</v>
      </c>
      <c r="F102" s="92">
        <f t="shared" si="17"/>
        <v>219</v>
      </c>
      <c r="G102" s="58"/>
      <c r="H102" s="54" t="s">
        <v>37</v>
      </c>
      <c r="I102" s="54"/>
      <c r="J102" s="55"/>
      <c r="K102" s="53"/>
      <c r="L102" s="53" t="str">
        <f t="shared" si="4"/>
        <v/>
      </c>
      <c r="M102" s="11">
        <v>88.43</v>
      </c>
      <c r="N102" s="11">
        <v>24.57</v>
      </c>
      <c r="O102" s="11">
        <v>12</v>
      </c>
      <c r="P102" s="11">
        <v>0</v>
      </c>
      <c r="Q102" s="11"/>
      <c r="R102" s="11"/>
      <c r="S102" s="11"/>
      <c r="T102" s="11"/>
      <c r="U102" s="11">
        <v>94</v>
      </c>
      <c r="V102" s="56" t="s">
        <v>1563</v>
      </c>
      <c r="W102" s="35" t="str">
        <f t="shared" si="2"/>
        <v>OK</v>
      </c>
      <c r="X102" s="38" t="str">
        <f t="shared" si="5"/>
        <v/>
      </c>
      <c r="Y102" s="3"/>
      <c r="Z102" s="3"/>
    </row>
    <row r="103" spans="1:26" ht="15.75" hidden="1" customHeight="1" outlineLevel="1" x14ac:dyDescent="0.3">
      <c r="A103" s="3"/>
      <c r="B103" s="99" t="s">
        <v>1430</v>
      </c>
      <c r="C103" s="53">
        <v>5</v>
      </c>
      <c r="D103" s="53" t="s">
        <v>95</v>
      </c>
      <c r="E103" s="11">
        <f t="shared" si="14"/>
        <v>80</v>
      </c>
      <c r="F103" s="11">
        <f t="shared" si="17"/>
        <v>80</v>
      </c>
      <c r="G103" s="58"/>
      <c r="H103" s="54" t="s">
        <v>37</v>
      </c>
      <c r="I103" s="54"/>
      <c r="J103" s="55"/>
      <c r="K103" s="53"/>
      <c r="L103" s="53" t="str">
        <f t="shared" si="4"/>
        <v/>
      </c>
      <c r="M103" s="11">
        <v>33.43</v>
      </c>
      <c r="N103" s="11">
        <v>24.57</v>
      </c>
      <c r="O103" s="11">
        <v>12</v>
      </c>
      <c r="P103" s="11">
        <v>0</v>
      </c>
      <c r="Q103" s="11"/>
      <c r="R103" s="11"/>
      <c r="S103" s="11"/>
      <c r="T103" s="11"/>
      <c r="U103" s="11">
        <v>10</v>
      </c>
      <c r="V103" s="56" t="s">
        <v>1564</v>
      </c>
      <c r="W103" s="35" t="str">
        <f t="shared" si="2"/>
        <v>OK</v>
      </c>
      <c r="X103" s="38" t="str">
        <f t="shared" si="5"/>
        <v/>
      </c>
      <c r="Y103" s="3"/>
      <c r="Z103" s="3"/>
    </row>
    <row r="104" spans="1:26" ht="15.75" hidden="1" customHeight="1" outlineLevel="1" x14ac:dyDescent="0.3">
      <c r="A104" s="3"/>
      <c r="B104" s="9"/>
      <c r="C104" s="53"/>
      <c r="D104" s="53"/>
      <c r="E104" s="11"/>
      <c r="F104" s="11"/>
      <c r="G104" s="58"/>
      <c r="H104" s="54"/>
      <c r="I104" s="54"/>
      <c r="J104" s="55"/>
      <c r="K104" s="53"/>
      <c r="L104" s="53" t="str">
        <f t="shared" si="4"/>
        <v/>
      </c>
      <c r="M104" s="11"/>
      <c r="N104" s="11"/>
      <c r="O104" s="11"/>
      <c r="P104" s="11"/>
      <c r="Q104" s="11"/>
      <c r="R104" s="11"/>
      <c r="S104" s="11"/>
      <c r="T104" s="11"/>
      <c r="U104" s="11"/>
      <c r="V104" s="53"/>
      <c r="W104" s="35" t="str">
        <f t="shared" si="2"/>
        <v>OK</v>
      </c>
      <c r="X104" s="38" t="str">
        <f t="shared" si="5"/>
        <v/>
      </c>
      <c r="Y104" s="3"/>
      <c r="Z104" s="3"/>
    </row>
    <row r="105" spans="1:26" ht="15.75" hidden="1" customHeight="1" outlineLevel="1" x14ac:dyDescent="0.3">
      <c r="A105" s="3"/>
      <c r="B105" s="9"/>
      <c r="C105" s="53"/>
      <c r="D105" s="53"/>
      <c r="E105" s="11"/>
      <c r="F105" s="11"/>
      <c r="G105" s="58"/>
      <c r="H105" s="54"/>
      <c r="I105" s="54"/>
      <c r="J105" s="55"/>
      <c r="K105" s="53"/>
      <c r="L105" s="53" t="str">
        <f t="shared" si="4"/>
        <v/>
      </c>
      <c r="M105" s="11"/>
      <c r="N105" s="11"/>
      <c r="O105" s="11"/>
      <c r="P105" s="11"/>
      <c r="Q105" s="11"/>
      <c r="R105" s="11"/>
      <c r="S105" s="11"/>
      <c r="T105" s="11"/>
      <c r="U105" s="11"/>
      <c r="V105" s="53"/>
      <c r="W105" s="35" t="str">
        <f t="shared" si="2"/>
        <v>OK</v>
      </c>
      <c r="X105" s="38" t="str">
        <f t="shared" si="5"/>
        <v/>
      </c>
      <c r="Y105" s="3"/>
      <c r="Z105" s="3"/>
    </row>
    <row r="106" spans="1:26" ht="15.75" hidden="1" customHeight="1" outlineLevel="1" x14ac:dyDescent="0.3">
      <c r="A106" s="3"/>
      <c r="B106" s="9"/>
      <c r="C106" s="53"/>
      <c r="D106" s="53"/>
      <c r="E106" s="11"/>
      <c r="F106" s="11"/>
      <c r="G106" s="58"/>
      <c r="H106" s="54"/>
      <c r="I106" s="54"/>
      <c r="J106" s="55"/>
      <c r="K106" s="53"/>
      <c r="L106" s="53" t="str">
        <f t="shared" si="4"/>
        <v/>
      </c>
      <c r="M106" s="11"/>
      <c r="N106" s="11"/>
      <c r="O106" s="11"/>
      <c r="P106" s="11"/>
      <c r="Q106" s="11"/>
      <c r="R106" s="11"/>
      <c r="S106" s="11"/>
      <c r="T106" s="11"/>
      <c r="U106" s="11"/>
      <c r="V106" s="53"/>
      <c r="W106" s="35" t="str">
        <f t="shared" si="2"/>
        <v>OK</v>
      </c>
      <c r="X106" s="38" t="str">
        <f t="shared" si="5"/>
        <v/>
      </c>
      <c r="Y106" s="3"/>
      <c r="Z106" s="3"/>
    </row>
    <row r="107" spans="1:26" ht="15.75" hidden="1" customHeight="1" outlineLevel="1" x14ac:dyDescent="0.3">
      <c r="A107" s="3"/>
      <c r="B107" s="9"/>
      <c r="C107" s="53"/>
      <c r="D107" s="53"/>
      <c r="E107" s="11"/>
      <c r="F107" s="11"/>
      <c r="G107" s="58"/>
      <c r="H107" s="54"/>
      <c r="I107" s="54"/>
      <c r="J107" s="55" t="s">
        <v>97</v>
      </c>
      <c r="K107" s="53"/>
      <c r="L107" s="53" t="str">
        <f t="shared" si="4"/>
        <v/>
      </c>
      <c r="M107" s="11"/>
      <c r="N107" s="11"/>
      <c r="O107" s="11"/>
      <c r="P107" s="11"/>
      <c r="Q107" s="11"/>
      <c r="R107" s="11"/>
      <c r="S107" s="11"/>
      <c r="T107" s="11"/>
      <c r="U107" s="11"/>
      <c r="V107" s="53"/>
      <c r="W107" s="35" t="str">
        <f t="shared" si="2"/>
        <v>OK</v>
      </c>
      <c r="X107" s="38" t="str">
        <f t="shared" si="5"/>
        <v/>
      </c>
      <c r="Y107" s="3"/>
      <c r="Z107" s="3"/>
    </row>
    <row r="108" spans="1:26" ht="15.75" hidden="1" customHeight="1" outlineLevel="1" x14ac:dyDescent="0.3">
      <c r="A108" s="3"/>
      <c r="B108" s="9"/>
      <c r="C108" s="53"/>
      <c r="D108" s="53"/>
      <c r="E108" s="11"/>
      <c r="F108" s="11"/>
      <c r="G108" s="58"/>
      <c r="H108" s="54"/>
      <c r="I108" s="54"/>
      <c r="J108" s="55" t="s">
        <v>97</v>
      </c>
      <c r="K108" s="53"/>
      <c r="L108" s="53" t="str">
        <f t="shared" si="4"/>
        <v/>
      </c>
      <c r="M108" s="11"/>
      <c r="N108" s="11"/>
      <c r="O108" s="11"/>
      <c r="P108" s="11"/>
      <c r="Q108" s="11"/>
      <c r="R108" s="11"/>
      <c r="S108" s="11"/>
      <c r="T108" s="11"/>
      <c r="U108" s="11"/>
      <c r="V108" s="53"/>
      <c r="W108" s="35" t="str">
        <f t="shared" si="2"/>
        <v>OK</v>
      </c>
      <c r="X108" s="38" t="str">
        <f t="shared" si="5"/>
        <v/>
      </c>
      <c r="Y108" s="3"/>
      <c r="Z108" s="3"/>
    </row>
    <row r="109" spans="1:26" ht="15.75" hidden="1" customHeight="1" outlineLevel="1" x14ac:dyDescent="0.3">
      <c r="A109" s="3"/>
      <c r="B109" s="9"/>
      <c r="C109" s="53"/>
      <c r="D109" s="53"/>
      <c r="E109" s="11"/>
      <c r="F109" s="11"/>
      <c r="G109" s="58"/>
      <c r="H109" s="54"/>
      <c r="I109" s="54"/>
      <c r="J109" s="55" t="s">
        <v>97</v>
      </c>
      <c r="K109" s="53"/>
      <c r="L109" s="53" t="str">
        <f t="shared" si="4"/>
        <v/>
      </c>
      <c r="M109" s="11"/>
      <c r="N109" s="11"/>
      <c r="O109" s="11"/>
      <c r="P109" s="11"/>
      <c r="Q109" s="11"/>
      <c r="R109" s="11"/>
      <c r="S109" s="11"/>
      <c r="T109" s="11"/>
      <c r="U109" s="11"/>
      <c r="V109" s="53"/>
      <c r="W109" s="35" t="str">
        <f t="shared" si="2"/>
        <v>OK</v>
      </c>
      <c r="X109" s="38" t="str">
        <f t="shared" si="5"/>
        <v/>
      </c>
      <c r="Y109" s="3"/>
      <c r="Z109" s="3"/>
    </row>
    <row r="110" spans="1:26" ht="15.75" hidden="1" customHeight="1" outlineLevel="1" x14ac:dyDescent="0.3">
      <c r="A110" s="3"/>
      <c r="B110" s="9"/>
      <c r="C110" s="53"/>
      <c r="D110" s="53"/>
      <c r="E110" s="11"/>
      <c r="F110" s="11"/>
      <c r="G110" s="58"/>
      <c r="H110" s="54"/>
      <c r="I110" s="54"/>
      <c r="J110" s="55" t="s">
        <v>97</v>
      </c>
      <c r="K110" s="53"/>
      <c r="L110" s="53" t="str">
        <f t="shared" si="4"/>
        <v/>
      </c>
      <c r="M110" s="11"/>
      <c r="N110" s="11"/>
      <c r="O110" s="11"/>
      <c r="P110" s="11"/>
      <c r="Q110" s="11"/>
      <c r="R110" s="11"/>
      <c r="S110" s="11"/>
      <c r="T110" s="11"/>
      <c r="U110" s="11"/>
      <c r="V110" s="53"/>
      <c r="W110" s="35" t="str">
        <f t="shared" si="2"/>
        <v>OK</v>
      </c>
      <c r="X110" s="38" t="str">
        <f t="shared" si="5"/>
        <v/>
      </c>
      <c r="Y110" s="3"/>
      <c r="Z110" s="3"/>
    </row>
    <row r="111" spans="1:26" ht="15.75" hidden="1" customHeight="1" outlineLevel="1" x14ac:dyDescent="0.3">
      <c r="A111" s="3"/>
      <c r="B111" s="9"/>
      <c r="C111" s="53"/>
      <c r="D111" s="53"/>
      <c r="E111" s="11"/>
      <c r="F111" s="11"/>
      <c r="G111" s="58"/>
      <c r="H111" s="54"/>
      <c r="I111" s="54"/>
      <c r="J111" s="55" t="s">
        <v>97</v>
      </c>
      <c r="K111" s="53"/>
      <c r="L111" s="53" t="str">
        <f t="shared" si="4"/>
        <v/>
      </c>
      <c r="M111" s="11"/>
      <c r="N111" s="11"/>
      <c r="O111" s="11"/>
      <c r="P111" s="11"/>
      <c r="Q111" s="11"/>
      <c r="R111" s="11"/>
      <c r="S111" s="11"/>
      <c r="T111" s="11"/>
      <c r="U111" s="11"/>
      <c r="V111" s="53"/>
      <c r="W111" s="35" t="str">
        <f t="shared" si="2"/>
        <v>OK</v>
      </c>
      <c r="X111" s="38" t="str">
        <f t="shared" si="5"/>
        <v/>
      </c>
      <c r="Y111" s="3"/>
      <c r="Z111" s="3"/>
    </row>
    <row r="112" spans="1:26" ht="15.75" hidden="1" customHeight="1" outlineLevel="1" x14ac:dyDescent="0.3">
      <c r="A112" s="3"/>
      <c r="B112" s="9"/>
      <c r="C112" s="53"/>
      <c r="D112" s="53"/>
      <c r="E112" s="11"/>
      <c r="F112" s="11"/>
      <c r="G112" s="58"/>
      <c r="H112" s="54"/>
      <c r="I112" s="54"/>
      <c r="J112" s="55" t="s">
        <v>97</v>
      </c>
      <c r="K112" s="53"/>
      <c r="L112" s="53" t="str">
        <f t="shared" si="4"/>
        <v/>
      </c>
      <c r="M112" s="11"/>
      <c r="N112" s="11"/>
      <c r="O112" s="11"/>
      <c r="P112" s="11"/>
      <c r="Q112" s="11"/>
      <c r="R112" s="11"/>
      <c r="S112" s="11"/>
      <c r="T112" s="11"/>
      <c r="U112" s="11"/>
      <c r="V112" s="53"/>
      <c r="W112" s="35" t="str">
        <f t="shared" si="2"/>
        <v>OK</v>
      </c>
      <c r="X112" s="38" t="str">
        <f t="shared" si="5"/>
        <v/>
      </c>
      <c r="Y112" s="3"/>
      <c r="Z112" s="3"/>
    </row>
    <row r="113" spans="1:26" ht="15.75" hidden="1" customHeight="1" outlineLevel="1" x14ac:dyDescent="0.3">
      <c r="A113" s="3"/>
      <c r="B113" s="9"/>
      <c r="C113" s="53"/>
      <c r="D113" s="53"/>
      <c r="E113" s="11"/>
      <c r="F113" s="11"/>
      <c r="G113" s="58"/>
      <c r="H113" s="54"/>
      <c r="I113" s="54"/>
      <c r="J113" s="55" t="s">
        <v>97</v>
      </c>
      <c r="K113" s="53"/>
      <c r="L113" s="53" t="str">
        <f t="shared" si="4"/>
        <v/>
      </c>
      <c r="M113" s="11"/>
      <c r="N113" s="11"/>
      <c r="O113" s="11"/>
      <c r="P113" s="11"/>
      <c r="Q113" s="11"/>
      <c r="R113" s="11"/>
      <c r="S113" s="11"/>
      <c r="T113" s="11"/>
      <c r="U113" s="11"/>
      <c r="V113" s="53"/>
      <c r="W113" s="35" t="str">
        <f t="shared" si="2"/>
        <v>OK</v>
      </c>
      <c r="X113" s="38" t="str">
        <f t="shared" si="5"/>
        <v/>
      </c>
      <c r="Y113" s="3"/>
      <c r="Z113" s="3"/>
    </row>
    <row r="114" spans="1:26" ht="15.75" hidden="1" customHeight="1" outlineLevel="1" x14ac:dyDescent="0.3">
      <c r="A114" s="3"/>
      <c r="B114" s="9"/>
      <c r="C114" s="53"/>
      <c r="D114" s="53"/>
      <c r="E114" s="11"/>
      <c r="F114" s="11"/>
      <c r="G114" s="58"/>
      <c r="H114" s="54"/>
      <c r="I114" s="54"/>
      <c r="J114" s="55" t="s">
        <v>97</v>
      </c>
      <c r="K114" s="53"/>
      <c r="L114" s="53" t="str">
        <f t="shared" si="4"/>
        <v/>
      </c>
      <c r="M114" s="11"/>
      <c r="N114" s="11"/>
      <c r="O114" s="11"/>
      <c r="P114" s="11"/>
      <c r="Q114" s="11"/>
      <c r="R114" s="11"/>
      <c r="S114" s="11"/>
      <c r="T114" s="11"/>
      <c r="U114" s="11"/>
      <c r="V114" s="53"/>
      <c r="W114" s="35" t="str">
        <f t="shared" si="2"/>
        <v>OK</v>
      </c>
      <c r="X114" s="38" t="str">
        <f t="shared" si="5"/>
        <v/>
      </c>
      <c r="Y114" s="3"/>
      <c r="Z114" s="3"/>
    </row>
    <row r="115" spans="1:26" ht="15.75" hidden="1" customHeight="1" outlineLevel="1" x14ac:dyDescent="0.3">
      <c r="A115" s="3"/>
      <c r="B115" s="9"/>
      <c r="C115" s="53"/>
      <c r="D115" s="53"/>
      <c r="E115" s="11"/>
      <c r="F115" s="11"/>
      <c r="G115" s="58"/>
      <c r="H115" s="54"/>
      <c r="I115" s="54"/>
      <c r="J115" s="55" t="s">
        <v>97</v>
      </c>
      <c r="K115" s="53"/>
      <c r="L115" s="53" t="str">
        <f t="shared" si="4"/>
        <v/>
      </c>
      <c r="M115" s="11"/>
      <c r="N115" s="11"/>
      <c r="O115" s="11"/>
      <c r="P115" s="11"/>
      <c r="Q115" s="11"/>
      <c r="R115" s="11"/>
      <c r="S115" s="11"/>
      <c r="T115" s="11"/>
      <c r="U115" s="11"/>
      <c r="V115" s="53"/>
      <c r="W115" s="35" t="str">
        <f t="shared" si="2"/>
        <v>OK</v>
      </c>
      <c r="X115" s="38" t="str">
        <f t="shared" si="5"/>
        <v/>
      </c>
      <c r="Y115" s="3"/>
      <c r="Z115" s="3"/>
    </row>
    <row r="116" spans="1:26" ht="15.75" hidden="1" customHeight="1" outlineLevel="1" x14ac:dyDescent="0.3">
      <c r="A116" s="3"/>
      <c r="B116" s="9"/>
      <c r="C116" s="53"/>
      <c r="D116" s="53"/>
      <c r="E116" s="11"/>
      <c r="F116" s="11"/>
      <c r="G116" s="58"/>
      <c r="H116" s="54"/>
      <c r="I116" s="54"/>
      <c r="J116" s="55" t="s">
        <v>97</v>
      </c>
      <c r="K116" s="53"/>
      <c r="L116" s="53" t="str">
        <f t="shared" si="4"/>
        <v/>
      </c>
      <c r="M116" s="11"/>
      <c r="N116" s="11"/>
      <c r="O116" s="11"/>
      <c r="P116" s="11"/>
      <c r="Q116" s="11"/>
      <c r="R116" s="11"/>
      <c r="S116" s="11"/>
      <c r="T116" s="11"/>
      <c r="U116" s="11"/>
      <c r="V116" s="53"/>
      <c r="W116" s="35" t="str">
        <f t="shared" si="2"/>
        <v>OK</v>
      </c>
      <c r="X116" s="38" t="str">
        <f t="shared" si="5"/>
        <v/>
      </c>
      <c r="Y116" s="3"/>
      <c r="Z116" s="3"/>
    </row>
    <row r="117" spans="1:26" ht="15.75" hidden="1" customHeight="1" outlineLevel="1" x14ac:dyDescent="0.3">
      <c r="A117" s="3"/>
      <c r="B117" s="9"/>
      <c r="C117" s="53"/>
      <c r="D117" s="53"/>
      <c r="E117" s="11"/>
      <c r="F117" s="11"/>
      <c r="G117" s="58"/>
      <c r="H117" s="54"/>
      <c r="I117" s="54"/>
      <c r="J117" s="55" t="s">
        <v>97</v>
      </c>
      <c r="K117" s="53"/>
      <c r="L117" s="53" t="str">
        <f t="shared" si="4"/>
        <v/>
      </c>
      <c r="M117" s="11"/>
      <c r="N117" s="11"/>
      <c r="O117" s="11"/>
      <c r="P117" s="11"/>
      <c r="Q117" s="11"/>
      <c r="R117" s="11"/>
      <c r="S117" s="11"/>
      <c r="T117" s="11"/>
      <c r="U117" s="11"/>
      <c r="V117" s="53"/>
      <c r="W117" s="35" t="str">
        <f t="shared" si="2"/>
        <v>OK</v>
      </c>
      <c r="X117" s="38" t="str">
        <f t="shared" si="5"/>
        <v/>
      </c>
      <c r="Y117" s="3"/>
      <c r="Z117" s="3"/>
    </row>
    <row r="118" spans="1:26" ht="15.75" hidden="1" customHeight="1" outlineLevel="1" x14ac:dyDescent="0.3">
      <c r="A118" s="3"/>
      <c r="B118" s="9"/>
      <c r="C118" s="53"/>
      <c r="D118" s="53"/>
      <c r="E118" s="11"/>
      <c r="F118" s="11"/>
      <c r="G118" s="58"/>
      <c r="H118" s="54"/>
      <c r="I118" s="54"/>
      <c r="J118" s="55" t="s">
        <v>97</v>
      </c>
      <c r="K118" s="53"/>
      <c r="L118" s="53" t="str">
        <f t="shared" si="4"/>
        <v/>
      </c>
      <c r="M118" s="11"/>
      <c r="N118" s="11"/>
      <c r="O118" s="11"/>
      <c r="P118" s="11"/>
      <c r="Q118" s="11"/>
      <c r="R118" s="11"/>
      <c r="S118" s="11"/>
      <c r="T118" s="11"/>
      <c r="U118" s="11"/>
      <c r="V118" s="53"/>
      <c r="W118" s="35" t="str">
        <f t="shared" si="2"/>
        <v>OK</v>
      </c>
      <c r="X118" s="38" t="str">
        <f t="shared" si="5"/>
        <v/>
      </c>
      <c r="Y118" s="3"/>
      <c r="Z118" s="3"/>
    </row>
    <row r="119" spans="1:26" ht="15.75" hidden="1" customHeight="1" outlineLevel="1" x14ac:dyDescent="0.3">
      <c r="A119" s="3"/>
      <c r="B119" s="9"/>
      <c r="C119" s="53"/>
      <c r="D119" s="53"/>
      <c r="E119" s="11"/>
      <c r="F119" s="11"/>
      <c r="G119" s="58"/>
      <c r="H119" s="54"/>
      <c r="I119" s="54"/>
      <c r="J119" s="55"/>
      <c r="K119" s="53"/>
      <c r="L119" s="53" t="str">
        <f t="shared" si="4"/>
        <v/>
      </c>
      <c r="M119" s="11"/>
      <c r="N119" s="11"/>
      <c r="O119" s="11"/>
      <c r="P119" s="11"/>
      <c r="Q119" s="11"/>
      <c r="R119" s="11"/>
      <c r="S119" s="11"/>
      <c r="T119" s="11"/>
      <c r="U119" s="11"/>
      <c r="V119" s="53"/>
      <c r="W119" s="35" t="str">
        <f t="shared" si="2"/>
        <v>OK</v>
      </c>
      <c r="X119" s="38" t="str">
        <f t="shared" si="5"/>
        <v/>
      </c>
      <c r="Y119" s="3"/>
      <c r="Z119" s="3"/>
    </row>
    <row r="120" spans="1:26" ht="15.75" hidden="1" customHeight="1" outlineLevel="1" x14ac:dyDescent="0.3">
      <c r="A120" s="3"/>
      <c r="B120" s="9"/>
      <c r="C120" s="53"/>
      <c r="D120" s="53"/>
      <c r="E120" s="11"/>
      <c r="F120" s="11"/>
      <c r="G120" s="58"/>
      <c r="H120" s="54"/>
      <c r="I120" s="54"/>
      <c r="J120" s="55"/>
      <c r="K120" s="53"/>
      <c r="L120" s="53" t="str">
        <f t="shared" si="4"/>
        <v/>
      </c>
      <c r="M120" s="11"/>
      <c r="N120" s="11"/>
      <c r="O120" s="11"/>
      <c r="P120" s="11"/>
      <c r="Q120" s="11"/>
      <c r="R120" s="11"/>
      <c r="S120" s="11"/>
      <c r="T120" s="11"/>
      <c r="U120" s="11"/>
      <c r="V120" s="53"/>
      <c r="W120" s="35" t="str">
        <f t="shared" si="2"/>
        <v>OK</v>
      </c>
      <c r="X120" s="38" t="str">
        <f t="shared" si="5"/>
        <v/>
      </c>
      <c r="Y120" s="3"/>
      <c r="Z120" s="3"/>
    </row>
    <row r="121" spans="1:26" ht="15.75" hidden="1" customHeight="1" outlineLevel="1" x14ac:dyDescent="0.3">
      <c r="A121" s="3"/>
      <c r="B121" s="9"/>
      <c r="C121" s="53"/>
      <c r="D121" s="53"/>
      <c r="E121" s="11"/>
      <c r="F121" s="11"/>
      <c r="G121" s="58"/>
      <c r="H121" s="54"/>
      <c r="I121" s="54"/>
      <c r="J121" s="55"/>
      <c r="K121" s="53"/>
      <c r="L121" s="53" t="str">
        <f t="shared" si="4"/>
        <v/>
      </c>
      <c r="M121" s="11"/>
      <c r="N121" s="11"/>
      <c r="O121" s="11"/>
      <c r="P121" s="11"/>
      <c r="Q121" s="11"/>
      <c r="R121" s="11"/>
      <c r="S121" s="11"/>
      <c r="T121" s="11"/>
      <c r="U121" s="11"/>
      <c r="V121" s="53"/>
      <c r="W121" s="35" t="str">
        <f t="shared" si="2"/>
        <v>OK</v>
      </c>
      <c r="X121" s="38" t="str">
        <f t="shared" si="5"/>
        <v/>
      </c>
      <c r="Y121" s="3"/>
      <c r="Z121" s="3"/>
    </row>
    <row r="122" spans="1:26" ht="15.75" hidden="1" customHeight="1" outlineLevel="1" x14ac:dyDescent="0.3">
      <c r="A122" s="3"/>
      <c r="B122" s="9"/>
      <c r="C122" s="53"/>
      <c r="D122" s="53"/>
      <c r="E122" s="11"/>
      <c r="F122" s="11"/>
      <c r="G122" s="58"/>
      <c r="H122" s="54"/>
      <c r="I122" s="54"/>
      <c r="J122" s="55"/>
      <c r="K122" s="53"/>
      <c r="L122" s="53" t="str">
        <f t="shared" si="4"/>
        <v/>
      </c>
      <c r="M122" s="11"/>
      <c r="N122" s="11"/>
      <c r="O122" s="11"/>
      <c r="P122" s="11"/>
      <c r="Q122" s="11"/>
      <c r="R122" s="11"/>
      <c r="S122" s="11"/>
      <c r="T122" s="11"/>
      <c r="U122" s="11"/>
      <c r="V122" s="53"/>
      <c r="W122" s="35" t="str">
        <f t="shared" si="2"/>
        <v>OK</v>
      </c>
      <c r="X122" s="38" t="str">
        <f t="shared" si="5"/>
        <v/>
      </c>
      <c r="Y122" s="3"/>
      <c r="Z122" s="3"/>
    </row>
    <row r="123" spans="1:26" ht="15.75" hidden="1" customHeight="1" outlineLevel="1" x14ac:dyDescent="0.3">
      <c r="A123" s="3"/>
      <c r="B123" s="9"/>
      <c r="C123" s="53"/>
      <c r="D123" s="53"/>
      <c r="E123" s="11"/>
      <c r="F123" s="11"/>
      <c r="G123" s="58"/>
      <c r="H123" s="54"/>
      <c r="I123" s="54"/>
      <c r="J123" s="55"/>
      <c r="K123" s="53"/>
      <c r="L123" s="53" t="str">
        <f t="shared" si="4"/>
        <v/>
      </c>
      <c r="M123" s="11"/>
      <c r="N123" s="11"/>
      <c r="O123" s="11"/>
      <c r="P123" s="11"/>
      <c r="Q123" s="11"/>
      <c r="R123" s="11"/>
      <c r="S123" s="11"/>
      <c r="T123" s="11"/>
      <c r="U123" s="11"/>
      <c r="V123" s="53"/>
      <c r="W123" s="35" t="str">
        <f t="shared" si="2"/>
        <v>OK</v>
      </c>
      <c r="X123" s="38" t="str">
        <f t="shared" si="5"/>
        <v/>
      </c>
      <c r="Y123" s="3"/>
      <c r="Z123" s="3"/>
    </row>
    <row r="124" spans="1:26" ht="15.75" hidden="1" customHeight="1" outlineLevel="1" x14ac:dyDescent="0.3">
      <c r="A124" s="3"/>
      <c r="B124" s="9"/>
      <c r="C124" s="53"/>
      <c r="D124" s="53"/>
      <c r="E124" s="11"/>
      <c r="F124" s="11"/>
      <c r="G124" s="58"/>
      <c r="H124" s="54"/>
      <c r="I124" s="54"/>
      <c r="J124" s="55"/>
      <c r="K124" s="53"/>
      <c r="L124" s="53" t="str">
        <f t="shared" si="4"/>
        <v/>
      </c>
      <c r="M124" s="11"/>
      <c r="N124" s="11"/>
      <c r="O124" s="11"/>
      <c r="P124" s="11"/>
      <c r="Q124" s="11"/>
      <c r="R124" s="11"/>
      <c r="S124" s="11"/>
      <c r="T124" s="11"/>
      <c r="U124" s="11"/>
      <c r="V124" s="53"/>
      <c r="W124" s="35" t="str">
        <f t="shared" si="2"/>
        <v>OK</v>
      </c>
      <c r="X124" s="38" t="str">
        <f t="shared" si="5"/>
        <v/>
      </c>
      <c r="Y124" s="3"/>
      <c r="Z124" s="3"/>
    </row>
    <row r="125" spans="1:26" ht="15.75" hidden="1" customHeight="1" outlineLevel="1" x14ac:dyDescent="0.3">
      <c r="A125" s="3"/>
      <c r="B125" s="9"/>
      <c r="C125" s="53"/>
      <c r="D125" s="53"/>
      <c r="E125" s="11"/>
      <c r="F125" s="11"/>
      <c r="G125" s="58"/>
      <c r="H125" s="54"/>
      <c r="I125" s="54"/>
      <c r="J125" s="55"/>
      <c r="K125" s="53"/>
      <c r="L125" s="53" t="str">
        <f t="shared" si="4"/>
        <v/>
      </c>
      <c r="M125" s="11"/>
      <c r="N125" s="11"/>
      <c r="O125" s="11"/>
      <c r="P125" s="11"/>
      <c r="Q125" s="11"/>
      <c r="R125" s="11"/>
      <c r="S125" s="11"/>
      <c r="T125" s="11"/>
      <c r="U125" s="11"/>
      <c r="V125" s="53"/>
      <c r="W125" s="35" t="str">
        <f t="shared" si="2"/>
        <v>OK</v>
      </c>
      <c r="X125" s="38" t="str">
        <f t="shared" si="5"/>
        <v/>
      </c>
      <c r="Y125" s="3"/>
      <c r="Z125" s="3"/>
    </row>
    <row r="126" spans="1:26" ht="19.5" customHeight="1" collapsed="1" x14ac:dyDescent="0.3">
      <c r="A126" s="3"/>
      <c r="B126" s="64" t="s">
        <v>63</v>
      </c>
      <c r="C126" s="47" t="s">
        <v>44</v>
      </c>
      <c r="D126" s="47" t="s">
        <v>44</v>
      </c>
      <c r="E126" s="48">
        <f t="shared" ref="E126:F126" si="18">SUM(E127,E130,,E134,E139,E146)</f>
        <v>0</v>
      </c>
      <c r="F126" s="48">
        <f t="shared" si="18"/>
        <v>1813.51</v>
      </c>
      <c r="G126" s="49" t="s">
        <v>44</v>
      </c>
      <c r="H126" s="65"/>
      <c r="I126" s="65"/>
      <c r="J126" s="3"/>
      <c r="K126" s="3"/>
      <c r="L126" s="3"/>
      <c r="M126" s="3"/>
      <c r="N126" s="3"/>
      <c r="O126" s="3"/>
      <c r="P126" s="3"/>
      <c r="Q126" s="3"/>
      <c r="R126" s="3"/>
      <c r="S126" s="3"/>
      <c r="T126" s="3"/>
      <c r="U126" s="3"/>
      <c r="V126" s="3"/>
      <c r="W126" s="35"/>
      <c r="X126" s="32"/>
      <c r="Y126" s="3"/>
      <c r="Z126" s="3"/>
    </row>
    <row r="127" spans="1:26" ht="15.75" hidden="1" customHeight="1" outlineLevel="1" x14ac:dyDescent="0.3">
      <c r="A127" s="3"/>
      <c r="B127" s="66" t="s">
        <v>231</v>
      </c>
      <c r="C127" s="67" t="s">
        <v>44</v>
      </c>
      <c r="D127" s="67" t="s">
        <v>44</v>
      </c>
      <c r="E127" s="68">
        <f>SUM(E128:E129)</f>
        <v>0</v>
      </c>
      <c r="F127" s="68">
        <f>SUMIF(D128:D129,"OK",F128:F129)</f>
        <v>362.51</v>
      </c>
      <c r="G127" s="69" t="s">
        <v>44</v>
      </c>
      <c r="H127" s="70"/>
      <c r="I127" s="70"/>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9" t="s">
        <v>232</v>
      </c>
      <c r="C128" s="53">
        <v>6</v>
      </c>
      <c r="D128" s="53" t="s">
        <v>95</v>
      </c>
      <c r="E128" s="11">
        <v>0</v>
      </c>
      <c r="F128" s="11">
        <v>362.51</v>
      </c>
      <c r="G128" s="58"/>
      <c r="H128" s="54" t="s">
        <v>37</v>
      </c>
      <c r="I128" s="54"/>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9" t="s">
        <v>62</v>
      </c>
      <c r="C129" s="53"/>
      <c r="D129" s="53"/>
      <c r="E129" s="11">
        <v>0</v>
      </c>
      <c r="F129" s="11">
        <v>0</v>
      </c>
      <c r="G129" s="58"/>
      <c r="H129" s="54"/>
      <c r="I129" s="54"/>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66" t="s">
        <v>233</v>
      </c>
      <c r="C130" s="67" t="s">
        <v>44</v>
      </c>
      <c r="D130" s="67" t="s">
        <v>44</v>
      </c>
      <c r="E130" s="68">
        <f>SUM(E131:E133)</f>
        <v>0</v>
      </c>
      <c r="F130" s="68">
        <f>SUMIF(D131:D133,"OK",F131:F133)</f>
        <v>1160</v>
      </c>
      <c r="G130" s="69" t="s">
        <v>44</v>
      </c>
      <c r="H130" s="70"/>
      <c r="I130" s="70"/>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9" t="s">
        <v>716</v>
      </c>
      <c r="C131" s="53"/>
      <c r="D131" s="53"/>
      <c r="E131" s="11">
        <v>0</v>
      </c>
      <c r="F131" s="11">
        <v>0</v>
      </c>
      <c r="G131" s="60"/>
      <c r="H131" s="54"/>
      <c r="I131" s="54"/>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9" t="s">
        <v>530</v>
      </c>
      <c r="C132" s="53" t="s">
        <v>642</v>
      </c>
      <c r="D132" s="53" t="s">
        <v>95</v>
      </c>
      <c r="E132" s="11">
        <v>0</v>
      </c>
      <c r="F132" s="11">
        <v>1160</v>
      </c>
      <c r="G132" s="61"/>
      <c r="H132" s="54" t="s">
        <v>39</v>
      </c>
      <c r="I132" s="54"/>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9" t="s">
        <v>533</v>
      </c>
      <c r="C133" s="53"/>
      <c r="D133" s="53"/>
      <c r="E133" s="11">
        <v>0</v>
      </c>
      <c r="F133" s="11">
        <v>0</v>
      </c>
      <c r="G133" s="60"/>
      <c r="H133" s="54"/>
      <c r="I133" s="54"/>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66" t="s">
        <v>652</v>
      </c>
      <c r="C134" s="67" t="s">
        <v>44</v>
      </c>
      <c r="D134" s="67" t="s">
        <v>44</v>
      </c>
      <c r="E134" s="68">
        <f>SUM(E135:E138)</f>
        <v>0</v>
      </c>
      <c r="F134" s="68">
        <f>SUMIF(D135:D138,"OK",F135:F138)</f>
        <v>0</v>
      </c>
      <c r="G134" s="69" t="s">
        <v>44</v>
      </c>
      <c r="H134" s="70"/>
      <c r="I134" s="70"/>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9" t="s">
        <v>716</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532</v>
      </c>
      <c r="C136" s="53"/>
      <c r="D136" s="53"/>
      <c r="E136" s="11">
        <v>0</v>
      </c>
      <c r="F136" s="11">
        <v>0</v>
      </c>
      <c r="G136" s="61"/>
      <c r="H136" s="54"/>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9" t="s">
        <v>533</v>
      </c>
      <c r="C137" s="53"/>
      <c r="D137" s="53"/>
      <c r="E137" s="11">
        <v>0</v>
      </c>
      <c r="F137" s="11">
        <v>0</v>
      </c>
      <c r="G137" s="60"/>
      <c r="H137" s="54"/>
      <c r="I137" s="54"/>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9" t="s">
        <v>530</v>
      </c>
      <c r="C138" s="53"/>
      <c r="D138" s="53"/>
      <c r="E138" s="11">
        <v>0</v>
      </c>
      <c r="F138" s="11">
        <v>0</v>
      </c>
      <c r="G138" s="60"/>
      <c r="H138" s="54"/>
      <c r="I138" s="54"/>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66" t="s">
        <v>902</v>
      </c>
      <c r="C139" s="67" t="s">
        <v>44</v>
      </c>
      <c r="D139" s="67" t="s">
        <v>44</v>
      </c>
      <c r="E139" s="68">
        <f>SUM(E140:E145)</f>
        <v>0</v>
      </c>
      <c r="F139" s="68">
        <f>SUMIF(D140:D145,"OK",F140:F145)</f>
        <v>0</v>
      </c>
      <c r="G139" s="69" t="s">
        <v>44</v>
      </c>
      <c r="H139" s="70"/>
      <c r="I139" s="70"/>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9" t="s">
        <v>1037</v>
      </c>
      <c r="C140" s="53"/>
      <c r="D140" s="53"/>
      <c r="E140" s="11">
        <v>0</v>
      </c>
      <c r="F140" s="11">
        <v>0</v>
      </c>
      <c r="G140" s="58"/>
      <c r="H140" s="54"/>
      <c r="I140" s="54"/>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905</v>
      </c>
      <c r="C141" s="53"/>
      <c r="D141" s="53"/>
      <c r="E141" s="11">
        <v>0</v>
      </c>
      <c r="F141" s="11">
        <v>0</v>
      </c>
      <c r="G141" s="58"/>
      <c r="H141" s="54"/>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906</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1041</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9" t="s">
        <v>908</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9" t="s">
        <v>909</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t="15.75" hidden="1" customHeight="1" outlineLevel="1" x14ac:dyDescent="0.3">
      <c r="A146" s="3"/>
      <c r="B146" s="66" t="s">
        <v>690</v>
      </c>
      <c r="C146" s="67" t="s">
        <v>44</v>
      </c>
      <c r="D146" s="67" t="s">
        <v>44</v>
      </c>
      <c r="E146" s="68">
        <f>SUM(E147:E152)</f>
        <v>0</v>
      </c>
      <c r="F146" s="68">
        <f>SUMIF(D147:D153,"OK",F147:F153)</f>
        <v>291</v>
      </c>
      <c r="G146" s="69" t="s">
        <v>44</v>
      </c>
      <c r="H146" s="70"/>
      <c r="I146" s="70"/>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1565</v>
      </c>
      <c r="C147" s="53">
        <v>4</v>
      </c>
      <c r="D147" s="53" t="s">
        <v>95</v>
      </c>
      <c r="E147" s="11">
        <v>0</v>
      </c>
      <c r="F147" s="11">
        <v>65</v>
      </c>
      <c r="G147" s="60"/>
      <c r="H147" s="54" t="s">
        <v>38</v>
      </c>
      <c r="I147" s="54"/>
      <c r="J147" s="3"/>
      <c r="K147" s="3"/>
      <c r="L147" s="3"/>
      <c r="M147" s="3"/>
      <c r="N147" s="3"/>
      <c r="O147" s="3"/>
      <c r="P147" s="3"/>
      <c r="Q147" s="3"/>
      <c r="R147" s="3"/>
      <c r="S147" s="3"/>
      <c r="T147" s="3"/>
      <c r="U147" s="3"/>
      <c r="V147" s="3"/>
      <c r="W147" s="35"/>
      <c r="X147" s="32"/>
      <c r="Y147" s="3"/>
      <c r="Z147" s="3"/>
    </row>
    <row r="148" spans="1:26" ht="15.75" hidden="1" customHeight="1" outlineLevel="1" x14ac:dyDescent="0.3">
      <c r="A148" s="3"/>
      <c r="B148" s="9" t="s">
        <v>62</v>
      </c>
      <c r="C148" s="53">
        <v>6</v>
      </c>
      <c r="D148" s="53" t="s">
        <v>95</v>
      </c>
      <c r="E148" s="11">
        <v>0</v>
      </c>
      <c r="F148" s="11">
        <v>106</v>
      </c>
      <c r="G148" s="60" t="s">
        <v>1566</v>
      </c>
      <c r="H148" s="54" t="s">
        <v>38</v>
      </c>
      <c r="I148" s="54"/>
      <c r="J148" s="3"/>
      <c r="K148" s="3"/>
      <c r="L148" s="3"/>
      <c r="M148" s="3"/>
      <c r="N148" s="3"/>
      <c r="O148" s="3"/>
      <c r="P148" s="3"/>
      <c r="Q148" s="3"/>
      <c r="R148" s="3"/>
      <c r="S148" s="3"/>
      <c r="T148" s="3"/>
      <c r="U148" s="3"/>
      <c r="V148" s="3"/>
      <c r="W148" s="35"/>
      <c r="X148" s="32"/>
      <c r="Y148" s="3"/>
      <c r="Z148" s="3"/>
    </row>
    <row r="149" spans="1:26" ht="15.75" hidden="1" customHeight="1" outlineLevel="1" x14ac:dyDescent="0.3">
      <c r="A149" s="3"/>
      <c r="B149" s="9" t="s">
        <v>62</v>
      </c>
      <c r="C149" s="53" t="s">
        <v>1567</v>
      </c>
      <c r="D149" s="53" t="s">
        <v>95</v>
      </c>
      <c r="E149" s="11">
        <v>0</v>
      </c>
      <c r="F149" s="11">
        <f>60+60</f>
        <v>120</v>
      </c>
      <c r="G149" s="60" t="s">
        <v>1568</v>
      </c>
      <c r="H149" s="54" t="s">
        <v>37</v>
      </c>
      <c r="I149" s="54"/>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9" t="s">
        <v>43</v>
      </c>
      <c r="C150" s="53"/>
      <c r="D150" s="53"/>
      <c r="E150" s="11">
        <v>0</v>
      </c>
      <c r="F150" s="11">
        <v>0</v>
      </c>
      <c r="G150" s="60"/>
      <c r="H150" s="54"/>
      <c r="I150" s="54"/>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43</v>
      </c>
      <c r="C151" s="53"/>
      <c r="D151" s="53"/>
      <c r="E151" s="11">
        <v>0</v>
      </c>
      <c r="F151" s="11">
        <v>0</v>
      </c>
      <c r="G151" s="60"/>
      <c r="H151" s="54"/>
      <c r="I151" s="54"/>
      <c r="J151" s="3"/>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43</v>
      </c>
      <c r="C152" s="53"/>
      <c r="D152" s="53"/>
      <c r="E152" s="11">
        <v>0</v>
      </c>
      <c r="F152" s="11">
        <v>0</v>
      </c>
      <c r="G152" s="60"/>
      <c r="H152" s="54"/>
      <c r="I152" s="54"/>
      <c r="J152" s="116"/>
      <c r="K152" s="3"/>
      <c r="L152" s="3"/>
      <c r="M152" s="3"/>
      <c r="N152" s="3"/>
      <c r="O152" s="3"/>
      <c r="P152" s="3"/>
      <c r="Q152" s="3"/>
      <c r="R152" s="3"/>
      <c r="S152" s="3"/>
      <c r="T152" s="3"/>
      <c r="U152" s="3"/>
      <c r="V152" s="3"/>
      <c r="W152" s="35"/>
      <c r="X152" s="32"/>
      <c r="Y152" s="3"/>
      <c r="Z152" s="3"/>
    </row>
    <row r="153" spans="1:26" ht="15.75" hidden="1" customHeight="1" outlineLevel="1" x14ac:dyDescent="0.3">
      <c r="A153" s="3"/>
      <c r="B153" s="9" t="s">
        <v>43</v>
      </c>
      <c r="C153" s="53"/>
      <c r="D153" s="53"/>
      <c r="E153" s="11">
        <v>0</v>
      </c>
      <c r="F153" s="11">
        <v>0</v>
      </c>
      <c r="G153" s="60"/>
      <c r="H153" s="54"/>
      <c r="I153" s="54"/>
      <c r="J153" s="3"/>
      <c r="K153" s="3"/>
      <c r="L153" s="3"/>
      <c r="M153" s="3"/>
      <c r="N153" s="3"/>
      <c r="O153" s="3"/>
      <c r="P153" s="3"/>
      <c r="Q153" s="3"/>
      <c r="R153" s="3"/>
      <c r="S153" s="3"/>
      <c r="T153" s="3"/>
      <c r="U153" s="3"/>
      <c r="V153" s="3"/>
      <c r="W153" s="35"/>
      <c r="X153" s="32"/>
      <c r="Y153" s="3"/>
      <c r="Z153" s="3"/>
    </row>
    <row r="154" spans="1:26" ht="19.5" customHeight="1" collapsed="1" x14ac:dyDescent="0.3">
      <c r="A154" s="3"/>
      <c r="B154" s="64" t="s">
        <v>240</v>
      </c>
      <c r="C154" s="47" t="s">
        <v>44</v>
      </c>
      <c r="D154" s="47" t="s">
        <v>44</v>
      </c>
      <c r="E154" s="48">
        <f t="shared" ref="E154:F154" si="19">SUM(E155,E160,E165,E169)</f>
        <v>0</v>
      </c>
      <c r="F154" s="48">
        <f t="shared" si="19"/>
        <v>2280</v>
      </c>
      <c r="G154" s="49" t="s">
        <v>44</v>
      </c>
      <c r="H154" s="65"/>
      <c r="I154" s="65"/>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66" t="s">
        <v>241</v>
      </c>
      <c r="C155" s="67" t="s">
        <v>44</v>
      </c>
      <c r="D155" s="67" t="s">
        <v>44</v>
      </c>
      <c r="E155" s="68">
        <f>SUM(E156:E159)</f>
        <v>0</v>
      </c>
      <c r="F155" s="68">
        <f>SUMIF(D156:D159,"OK",F156:F159)</f>
        <v>1104</v>
      </c>
      <c r="G155" s="69" t="s">
        <v>44</v>
      </c>
      <c r="H155" s="70"/>
      <c r="I155" s="70"/>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242</v>
      </c>
      <c r="C156" s="53">
        <v>2</v>
      </c>
      <c r="D156" s="53" t="s">
        <v>95</v>
      </c>
      <c r="E156" s="11">
        <v>0</v>
      </c>
      <c r="F156" s="11">
        <f>100+10+10+30+30+20+10+100+10+5+7+50+10+10+20+10+10+30+100+10+10+15+10+25</f>
        <v>642</v>
      </c>
      <c r="G156" s="61"/>
      <c r="H156" s="54" t="s">
        <v>37</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243</v>
      </c>
      <c r="C157" s="53"/>
      <c r="D157" s="53"/>
      <c r="E157" s="11">
        <v>0</v>
      </c>
      <c r="F157" s="11">
        <v>0</v>
      </c>
      <c r="G157" s="58"/>
      <c r="H157" s="54" t="s">
        <v>36</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244</v>
      </c>
      <c r="C158" s="53" t="s">
        <v>1569</v>
      </c>
      <c r="D158" s="53" t="s">
        <v>95</v>
      </c>
      <c r="E158" s="11">
        <v>0</v>
      </c>
      <c r="F158" s="11">
        <f>5+30+10+20+10+20+10+20+37+10+10+10+30+5+50+10+5+10+10+30+120</f>
        <v>462</v>
      </c>
      <c r="G158" s="58"/>
      <c r="H158" s="54" t="s">
        <v>37</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9" t="s">
        <v>245</v>
      </c>
      <c r="C159" s="53"/>
      <c r="D159" s="53"/>
      <c r="E159" s="11">
        <v>0</v>
      </c>
      <c r="F159" s="11">
        <v>0</v>
      </c>
      <c r="G159" s="120"/>
      <c r="H159" s="54" t="s">
        <v>36</v>
      </c>
      <c r="I159" s="54"/>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66" t="s">
        <v>246</v>
      </c>
      <c r="C160" s="67" t="s">
        <v>44</v>
      </c>
      <c r="D160" s="67" t="s">
        <v>44</v>
      </c>
      <c r="E160" s="68">
        <f>SUM(E161:E164)</f>
        <v>0</v>
      </c>
      <c r="F160" s="68">
        <f>SUMIF(D161:D164,"OK",F161:F164)</f>
        <v>1000</v>
      </c>
      <c r="G160" s="69" t="s">
        <v>44</v>
      </c>
      <c r="H160" s="70"/>
      <c r="I160" s="70"/>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242</v>
      </c>
      <c r="C161" s="53" t="s">
        <v>1570</v>
      </c>
      <c r="D161" s="53" t="s">
        <v>95</v>
      </c>
      <c r="E161" s="11">
        <v>0</v>
      </c>
      <c r="F161" s="11">
        <f>20+20+30+10+10+30+10+20+10+50+10+10+10+20+30+20+10+20+20+10+20+10+10+20+10+30+10</f>
        <v>480</v>
      </c>
      <c r="G161" s="60"/>
      <c r="H161" s="54" t="s">
        <v>37</v>
      </c>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243</v>
      </c>
      <c r="C162" s="53"/>
      <c r="D162" s="53"/>
      <c r="E162" s="11">
        <v>0</v>
      </c>
      <c r="F162" s="11">
        <v>0</v>
      </c>
      <c r="G162" s="58"/>
      <c r="H162" s="54" t="s">
        <v>36</v>
      </c>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9" t="s">
        <v>244</v>
      </c>
      <c r="C163" s="53">
        <v>16</v>
      </c>
      <c r="D163" s="53" t="s">
        <v>95</v>
      </c>
      <c r="E163" s="11">
        <v>0</v>
      </c>
      <c r="F163" s="11">
        <f>30+20+20+10+20+50+10+30+30+20+10+20+20+30+30+20+20+20+10+10+20+10+50</f>
        <v>510</v>
      </c>
      <c r="G163" s="58"/>
      <c r="H163" s="54" t="s">
        <v>37</v>
      </c>
      <c r="I163" s="54"/>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9" t="s">
        <v>244</v>
      </c>
      <c r="C164" s="53">
        <v>4</v>
      </c>
      <c r="D164" s="53" t="s">
        <v>95</v>
      </c>
      <c r="E164" s="11">
        <v>0</v>
      </c>
      <c r="F164" s="11">
        <v>10</v>
      </c>
      <c r="G164" s="58"/>
      <c r="H164" s="54" t="s">
        <v>38</v>
      </c>
      <c r="I164" s="54"/>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66" t="s">
        <v>247</v>
      </c>
      <c r="C165" s="67" t="s">
        <v>44</v>
      </c>
      <c r="D165" s="67" t="s">
        <v>44</v>
      </c>
      <c r="E165" s="68">
        <f>SUM(E166:E168)</f>
        <v>0</v>
      </c>
      <c r="F165" s="68">
        <f>SUMIF(D166:D168,"OK",F166:F168)</f>
        <v>0</v>
      </c>
      <c r="G165" s="69" t="s">
        <v>44</v>
      </c>
      <c r="H165" s="70"/>
      <c r="I165" s="70"/>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43</v>
      </c>
      <c r="C166" s="71"/>
      <c r="D166" s="53"/>
      <c r="E166" s="11">
        <v>0</v>
      </c>
      <c r="F166" s="11">
        <v>0</v>
      </c>
      <c r="G166" s="60"/>
      <c r="H166" s="54"/>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43</v>
      </c>
      <c r="C167" s="71"/>
      <c r="D167" s="53"/>
      <c r="E167" s="11">
        <v>0</v>
      </c>
      <c r="F167" s="11">
        <v>0</v>
      </c>
      <c r="G167" s="60"/>
      <c r="H167" s="54"/>
      <c r="I167" s="54"/>
      <c r="J167" s="3"/>
      <c r="K167" s="3"/>
      <c r="L167" s="3"/>
      <c r="M167" s="3"/>
      <c r="N167" s="3"/>
      <c r="O167" s="3"/>
      <c r="P167" s="3"/>
      <c r="Q167" s="3"/>
      <c r="R167" s="3"/>
      <c r="S167" s="3"/>
      <c r="T167" s="3"/>
      <c r="U167" s="3"/>
      <c r="V167" s="3"/>
      <c r="W167" s="35"/>
      <c r="X167" s="32"/>
      <c r="Y167" s="3"/>
      <c r="Z167" s="3"/>
    </row>
    <row r="168" spans="1:26" ht="15.75" hidden="1" customHeight="1" outlineLevel="1" x14ac:dyDescent="0.3">
      <c r="A168" s="3"/>
      <c r="B168" s="9" t="s">
        <v>43</v>
      </c>
      <c r="C168" s="53"/>
      <c r="D168" s="53"/>
      <c r="E168" s="11">
        <v>0</v>
      </c>
      <c r="F168" s="11">
        <v>0</v>
      </c>
      <c r="G168" s="60"/>
      <c r="H168" s="54"/>
      <c r="I168" s="54"/>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66" t="s">
        <v>62</v>
      </c>
      <c r="C169" s="67" t="s">
        <v>44</v>
      </c>
      <c r="D169" s="67" t="s">
        <v>44</v>
      </c>
      <c r="E169" s="68">
        <f>SUM(E170:E183)</f>
        <v>0</v>
      </c>
      <c r="F169" s="68">
        <f>SUMIF(D170:D183,"OK",F170:F183)</f>
        <v>176</v>
      </c>
      <c r="G169" s="69" t="s">
        <v>44</v>
      </c>
      <c r="H169" s="70"/>
      <c r="I169" s="70"/>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1571</v>
      </c>
      <c r="C170" s="53" t="s">
        <v>1572</v>
      </c>
      <c r="D170" s="53" t="s">
        <v>95</v>
      </c>
      <c r="E170" s="11">
        <v>0</v>
      </c>
      <c r="F170" s="11">
        <f>50+20</f>
        <v>70</v>
      </c>
      <c r="G170" s="62" t="s">
        <v>1573</v>
      </c>
      <c r="H170" s="54" t="s">
        <v>37</v>
      </c>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1574</v>
      </c>
      <c r="C171" s="71">
        <v>26</v>
      </c>
      <c r="D171" s="53" t="s">
        <v>95</v>
      </c>
      <c r="E171" s="11">
        <v>0</v>
      </c>
      <c r="F171" s="11">
        <f>106</f>
        <v>106</v>
      </c>
      <c r="G171" s="57" t="s">
        <v>1575</v>
      </c>
      <c r="H171" s="54" t="s">
        <v>37</v>
      </c>
      <c r="I171" s="54"/>
      <c r="J171" s="3"/>
      <c r="K171" s="3"/>
      <c r="L171" s="3"/>
      <c r="M171" s="3"/>
      <c r="N171" s="3"/>
      <c r="O171" s="3"/>
      <c r="P171" s="3"/>
      <c r="Q171" s="3"/>
      <c r="R171" s="3"/>
      <c r="S171" s="3"/>
      <c r="T171" s="3"/>
      <c r="U171" s="3"/>
      <c r="V171" s="3"/>
      <c r="W171" s="35"/>
      <c r="X171" s="32"/>
      <c r="Y171" s="3"/>
      <c r="Z171" s="3"/>
    </row>
    <row r="172" spans="1:26" ht="15.75" hidden="1" customHeight="1" outlineLevel="1" x14ac:dyDescent="0.3">
      <c r="A172" s="3"/>
      <c r="B172" s="9" t="s">
        <v>62</v>
      </c>
      <c r="C172" s="53"/>
      <c r="D172" s="53"/>
      <c r="E172" s="11">
        <v>0</v>
      </c>
      <c r="F172" s="11">
        <v>0</v>
      </c>
      <c r="G172" s="60"/>
      <c r="H172" s="54"/>
      <c r="I172" s="54"/>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62</v>
      </c>
      <c r="C173" s="53"/>
      <c r="D173" s="53"/>
      <c r="E173" s="11">
        <v>0</v>
      </c>
      <c r="F173" s="11">
        <v>0</v>
      </c>
      <c r="G173" s="61"/>
      <c r="H173" s="54"/>
      <c r="I173" s="54"/>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62</v>
      </c>
      <c r="C180" s="53"/>
      <c r="D180" s="53"/>
      <c r="E180" s="11">
        <v>0</v>
      </c>
      <c r="F180" s="11">
        <v>0</v>
      </c>
      <c r="G180" s="60"/>
      <c r="H180" s="54"/>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62</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62</v>
      </c>
      <c r="C182" s="53"/>
      <c r="D182" s="53"/>
      <c r="E182" s="11">
        <v>0</v>
      </c>
      <c r="F182" s="11">
        <v>0</v>
      </c>
      <c r="G182" s="60"/>
      <c r="H182" s="54"/>
      <c r="I182" s="54"/>
      <c r="J182" s="3"/>
      <c r="K182" s="3"/>
      <c r="L182" s="3"/>
      <c r="M182" s="3"/>
      <c r="N182" s="3"/>
      <c r="O182" s="3"/>
      <c r="P182" s="3"/>
      <c r="Q182" s="3"/>
      <c r="R182" s="3"/>
      <c r="S182" s="3"/>
      <c r="T182" s="3"/>
      <c r="U182" s="3"/>
      <c r="V182" s="3"/>
      <c r="W182" s="35"/>
      <c r="X182" s="32"/>
      <c r="Y182" s="3"/>
      <c r="Z182" s="3"/>
    </row>
    <row r="183" spans="1:26" ht="15.75" hidden="1" customHeight="1" outlineLevel="1" x14ac:dyDescent="0.3">
      <c r="A183" s="3"/>
      <c r="B183" s="9" t="s">
        <v>62</v>
      </c>
      <c r="C183" s="53"/>
      <c r="D183" s="53"/>
      <c r="E183" s="11">
        <v>0</v>
      </c>
      <c r="F183" s="11">
        <v>0</v>
      </c>
      <c r="G183" s="60"/>
      <c r="H183" s="54"/>
      <c r="I183" s="54"/>
      <c r="J183" s="3"/>
      <c r="K183" s="3"/>
      <c r="L183" s="3"/>
      <c r="M183" s="3"/>
      <c r="N183" s="3"/>
      <c r="O183" s="3"/>
      <c r="P183" s="3"/>
      <c r="Q183" s="3"/>
      <c r="R183" s="3"/>
      <c r="S183" s="3"/>
      <c r="T183" s="3"/>
      <c r="U183" s="3"/>
      <c r="V183" s="3"/>
      <c r="W183" s="35"/>
      <c r="X183" s="32"/>
      <c r="Y183" s="3"/>
      <c r="Z183" s="3"/>
    </row>
    <row r="184" spans="1:26" ht="19.5" customHeight="1" collapsed="1" x14ac:dyDescent="0.3">
      <c r="A184" s="3"/>
      <c r="B184" s="64" t="s">
        <v>64</v>
      </c>
      <c r="C184" s="47" t="s">
        <v>44</v>
      </c>
      <c r="D184" s="47" t="s">
        <v>44</v>
      </c>
      <c r="E184" s="48">
        <f>SUM(E185:E187)</f>
        <v>0</v>
      </c>
      <c r="F184" s="48">
        <f>SUMIF(D185:D187,"OK",F185:F187)</f>
        <v>10150</v>
      </c>
      <c r="G184" s="49" t="s">
        <v>44</v>
      </c>
      <c r="H184" s="65"/>
      <c r="I184" s="65"/>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1576</v>
      </c>
      <c r="C185" s="53">
        <v>20</v>
      </c>
      <c r="D185" s="53" t="s">
        <v>95</v>
      </c>
      <c r="E185" s="11">
        <v>0</v>
      </c>
      <c r="F185" s="11">
        <f>150</f>
        <v>150</v>
      </c>
      <c r="G185" s="62" t="s">
        <v>1577</v>
      </c>
      <c r="H185" s="54" t="s">
        <v>37</v>
      </c>
      <c r="I185" s="54"/>
      <c r="J185" s="3"/>
      <c r="K185" s="3"/>
      <c r="L185" s="3"/>
      <c r="M185" s="3"/>
      <c r="N185" s="3"/>
      <c r="O185" s="3"/>
      <c r="P185" s="3"/>
      <c r="Q185" s="3"/>
      <c r="R185" s="3"/>
      <c r="S185" s="3"/>
      <c r="T185" s="3"/>
      <c r="U185" s="3"/>
      <c r="V185" s="3"/>
      <c r="W185" s="35"/>
      <c r="X185" s="32"/>
      <c r="Y185" s="3"/>
      <c r="Z185" s="3"/>
    </row>
    <row r="186" spans="1:26" ht="15.75" hidden="1" customHeight="1" outlineLevel="1" x14ac:dyDescent="0.3">
      <c r="A186" s="3"/>
      <c r="B186" s="9" t="s">
        <v>1578</v>
      </c>
      <c r="C186" s="53">
        <v>30</v>
      </c>
      <c r="D186" s="53" t="s">
        <v>95</v>
      </c>
      <c r="E186" s="11">
        <v>0</v>
      </c>
      <c r="F186" s="11">
        <f>250</f>
        <v>250</v>
      </c>
      <c r="G186" s="62" t="s">
        <v>1579</v>
      </c>
      <c r="H186" s="54" t="s">
        <v>37</v>
      </c>
      <c r="I186" s="54"/>
      <c r="J186" s="3"/>
      <c r="K186" s="3"/>
      <c r="L186" s="3"/>
      <c r="M186" s="3"/>
      <c r="N186" s="3"/>
      <c r="O186" s="3"/>
      <c r="P186" s="3"/>
      <c r="Q186" s="3"/>
      <c r="R186" s="3"/>
      <c r="S186" s="3"/>
      <c r="T186" s="3"/>
      <c r="U186" s="3"/>
      <c r="V186" s="3"/>
      <c r="W186" s="35"/>
      <c r="X186" s="32"/>
      <c r="Y186" s="3"/>
      <c r="Z186" s="3"/>
    </row>
    <row r="187" spans="1:26" ht="15.75" hidden="1" customHeight="1" outlineLevel="1" x14ac:dyDescent="0.3">
      <c r="A187" s="3"/>
      <c r="B187" s="9" t="s">
        <v>1578</v>
      </c>
      <c r="C187" s="53" t="s">
        <v>1580</v>
      </c>
      <c r="D187" s="53" t="s">
        <v>95</v>
      </c>
      <c r="E187" s="11">
        <v>0</v>
      </c>
      <c r="F187" s="11">
        <f>120+1000+500+5000+2000+1000+130</f>
        <v>9750</v>
      </c>
      <c r="G187" s="58"/>
      <c r="H187" s="54" t="s">
        <v>38</v>
      </c>
      <c r="I187" s="54"/>
      <c r="J187" s="3"/>
      <c r="K187" s="3"/>
      <c r="L187" s="3"/>
      <c r="M187" s="3"/>
      <c r="N187" s="3"/>
      <c r="O187" s="3"/>
      <c r="P187" s="3"/>
      <c r="Q187" s="3"/>
      <c r="R187" s="3"/>
      <c r="S187" s="3"/>
      <c r="T187" s="3"/>
      <c r="U187" s="3"/>
      <c r="V187" s="3"/>
      <c r="W187" s="35"/>
      <c r="X187" s="32"/>
      <c r="Y187" s="3"/>
      <c r="Z187" s="3"/>
    </row>
    <row r="188" spans="1:26" ht="19.5" customHeight="1" collapsed="1" x14ac:dyDescent="0.3">
      <c r="A188" s="3"/>
      <c r="B188" s="64" t="s">
        <v>260</v>
      </c>
      <c r="C188" s="47" t="s">
        <v>44</v>
      </c>
      <c r="D188" s="47" t="s">
        <v>44</v>
      </c>
      <c r="E188" s="48">
        <f>SUM(E189:E195)</f>
        <v>0</v>
      </c>
      <c r="F188" s="48">
        <f>SUMIF(D189:D195,"OK",F189:F195)</f>
        <v>0.24</v>
      </c>
      <c r="G188" s="49" t="s">
        <v>44</v>
      </c>
      <c r="H188" s="65"/>
      <c r="I188" s="65"/>
      <c r="J188" s="3"/>
      <c r="K188" s="3"/>
      <c r="L188" s="3"/>
      <c r="M188" s="3"/>
      <c r="N188" s="3"/>
      <c r="O188" s="3"/>
      <c r="P188" s="3"/>
      <c r="Q188" s="3"/>
      <c r="R188" s="3"/>
      <c r="S188" s="3"/>
      <c r="T188" s="3"/>
      <c r="U188" s="3"/>
      <c r="V188" s="3"/>
      <c r="W188" s="35"/>
      <c r="X188" s="32"/>
      <c r="Y188" s="3"/>
      <c r="Z188" s="3"/>
    </row>
    <row r="189" spans="1:26" ht="15.75" hidden="1" customHeight="1" outlineLevel="1" x14ac:dyDescent="0.3">
      <c r="A189" s="3"/>
      <c r="B189" s="9" t="s">
        <v>261</v>
      </c>
      <c r="C189" s="53"/>
      <c r="D189" s="53"/>
      <c r="E189" s="11">
        <v>0</v>
      </c>
      <c r="F189" s="11">
        <v>0</v>
      </c>
      <c r="G189" s="58"/>
      <c r="H189" s="54" t="s">
        <v>37</v>
      </c>
      <c r="I189" s="54"/>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262</v>
      </c>
      <c r="C190" s="53">
        <v>30</v>
      </c>
      <c r="D190" s="53" t="s">
        <v>95</v>
      </c>
      <c r="E190" s="11">
        <v>0</v>
      </c>
      <c r="F190" s="11">
        <v>0.24</v>
      </c>
      <c r="G190" s="60"/>
      <c r="H190" s="54" t="s">
        <v>38</v>
      </c>
      <c r="I190" s="54"/>
      <c r="J190" s="3"/>
      <c r="K190" s="3"/>
      <c r="L190" s="3"/>
      <c r="M190" s="3"/>
      <c r="N190" s="3"/>
      <c r="O190" s="3"/>
      <c r="P190" s="3"/>
      <c r="Q190" s="3"/>
      <c r="R190" s="3"/>
      <c r="S190" s="3"/>
      <c r="T190" s="3"/>
      <c r="U190" s="3"/>
      <c r="V190" s="3"/>
      <c r="W190" s="35"/>
      <c r="X190" s="32"/>
      <c r="Y190" s="3"/>
      <c r="Z190" s="3"/>
    </row>
    <row r="191" spans="1:26" ht="15.75" hidden="1" customHeight="1" outlineLevel="1" x14ac:dyDescent="0.3">
      <c r="A191" s="3"/>
      <c r="B191" s="9" t="s">
        <v>264</v>
      </c>
      <c r="C191" s="53"/>
      <c r="D191" s="53"/>
      <c r="E191" s="11">
        <v>0</v>
      </c>
      <c r="F191" s="11">
        <v>0</v>
      </c>
      <c r="G191" s="58"/>
      <c r="H191" s="54" t="s">
        <v>235</v>
      </c>
      <c r="I191" s="54"/>
      <c r="J191" s="3"/>
      <c r="K191" s="3"/>
      <c r="L191" s="3"/>
      <c r="M191" s="3"/>
      <c r="N191" s="3"/>
      <c r="O191" s="3"/>
      <c r="P191" s="3"/>
      <c r="Q191" s="3"/>
      <c r="R191" s="3"/>
      <c r="S191" s="3"/>
      <c r="T191" s="3"/>
      <c r="U191" s="3"/>
      <c r="V191" s="3"/>
      <c r="W191" s="35"/>
      <c r="X191" s="32"/>
      <c r="Y191" s="3"/>
      <c r="Z191" s="3"/>
    </row>
    <row r="192" spans="1:26" ht="15.75" hidden="1" customHeight="1" outlineLevel="1" x14ac:dyDescent="0.3">
      <c r="A192" s="3"/>
      <c r="B192" s="9" t="s">
        <v>265</v>
      </c>
      <c r="C192" s="53"/>
      <c r="D192" s="53"/>
      <c r="E192" s="11">
        <v>0</v>
      </c>
      <c r="F192" s="11">
        <v>0</v>
      </c>
      <c r="G192" s="58"/>
      <c r="H192" s="54" t="s">
        <v>266</v>
      </c>
      <c r="I192" s="54"/>
      <c r="J192" s="3"/>
      <c r="K192" s="3"/>
      <c r="L192" s="3"/>
      <c r="M192" s="3"/>
      <c r="N192" s="3"/>
      <c r="O192" s="3"/>
      <c r="P192" s="3"/>
      <c r="Q192" s="3"/>
      <c r="R192" s="3"/>
      <c r="S192" s="3"/>
      <c r="T192" s="3"/>
      <c r="U192" s="3"/>
      <c r="V192" s="3"/>
      <c r="W192" s="35"/>
      <c r="X192" s="32"/>
      <c r="Y192" s="3"/>
      <c r="Z192" s="3"/>
    </row>
    <row r="193" spans="1:26" ht="15.75" hidden="1" customHeight="1" outlineLevel="1" x14ac:dyDescent="0.3">
      <c r="A193" s="3"/>
      <c r="B193" s="9" t="s">
        <v>552</v>
      </c>
      <c r="C193" s="53"/>
      <c r="D193" s="53"/>
      <c r="E193" s="11">
        <v>0</v>
      </c>
      <c r="F193" s="11">
        <v>0</v>
      </c>
      <c r="G193" s="58"/>
      <c r="H193" s="54" t="s">
        <v>39</v>
      </c>
      <c r="I193" s="54"/>
      <c r="J193" s="3"/>
      <c r="K193" s="3"/>
      <c r="L193" s="3"/>
      <c r="M193" s="3"/>
      <c r="N193" s="3"/>
      <c r="O193" s="3"/>
      <c r="P193" s="3"/>
      <c r="Q193" s="3"/>
      <c r="R193" s="3"/>
      <c r="S193" s="3"/>
      <c r="T193" s="3"/>
      <c r="U193" s="3"/>
      <c r="V193" s="3"/>
      <c r="W193" s="35"/>
      <c r="X193" s="32"/>
      <c r="Y193" s="3"/>
      <c r="Z193" s="3"/>
    </row>
    <row r="194" spans="1:26" ht="15.75" hidden="1" customHeight="1" outlineLevel="1" x14ac:dyDescent="0.3">
      <c r="A194" s="3"/>
      <c r="B194" s="9" t="s">
        <v>1581</v>
      </c>
      <c r="C194" s="53"/>
      <c r="D194" s="53"/>
      <c r="E194" s="11">
        <v>0</v>
      </c>
      <c r="F194" s="11">
        <v>0</v>
      </c>
      <c r="G194" s="58"/>
      <c r="H194" s="54" t="s">
        <v>38</v>
      </c>
      <c r="I194" s="54"/>
      <c r="J194" s="3"/>
      <c r="K194" s="3"/>
      <c r="L194" s="3"/>
      <c r="M194" s="3"/>
      <c r="N194" s="3"/>
      <c r="O194" s="3"/>
      <c r="P194" s="3"/>
      <c r="Q194" s="3"/>
      <c r="R194" s="3"/>
      <c r="S194" s="3"/>
      <c r="T194" s="3"/>
      <c r="U194" s="3"/>
      <c r="V194" s="3"/>
      <c r="W194" s="35"/>
      <c r="X194" s="32"/>
      <c r="Y194" s="3"/>
      <c r="Z194" s="3"/>
    </row>
    <row r="195" spans="1:26" ht="15.75" hidden="1" customHeight="1" outlineLevel="1" x14ac:dyDescent="0.3">
      <c r="A195" s="3"/>
      <c r="B195" s="9" t="s">
        <v>917</v>
      </c>
      <c r="C195" s="53"/>
      <c r="D195" s="53"/>
      <c r="E195" s="11">
        <v>0</v>
      </c>
      <c r="F195" s="11">
        <v>0</v>
      </c>
      <c r="G195" s="58"/>
      <c r="H195" s="54"/>
      <c r="I195" s="54"/>
      <c r="J195" s="3"/>
      <c r="K195" s="3"/>
      <c r="L195" s="3"/>
      <c r="M195" s="3"/>
      <c r="N195" s="3"/>
      <c r="O195" s="3"/>
      <c r="P195" s="3"/>
      <c r="Q195" s="3"/>
      <c r="R195" s="3"/>
      <c r="S195" s="3"/>
      <c r="T195" s="3"/>
      <c r="U195" s="3"/>
      <c r="V195" s="3"/>
      <c r="W195" s="35"/>
      <c r="X195" s="32"/>
      <c r="Y195" s="3"/>
      <c r="Z195" s="3"/>
    </row>
    <row r="196" spans="1:26" ht="15.75" customHeight="1" collapsed="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6" ht="15.75" customHeight="1" x14ac:dyDescent="0.3">
      <c r="A197" s="3"/>
      <c r="B197" s="3"/>
      <c r="C197" s="28"/>
      <c r="D197" s="28"/>
      <c r="E197" s="28"/>
      <c r="F197" s="101"/>
      <c r="G197" s="112"/>
      <c r="H197" s="28"/>
      <c r="I197" s="28"/>
      <c r="J197" s="28"/>
      <c r="K197" s="28"/>
      <c r="L197" s="28"/>
      <c r="M197" s="28"/>
      <c r="N197" s="28"/>
      <c r="O197" s="28"/>
      <c r="P197" s="28"/>
      <c r="Q197" s="28"/>
      <c r="R197" s="28"/>
      <c r="S197" s="28"/>
      <c r="T197" s="28"/>
      <c r="U197" s="28"/>
      <c r="V197" s="28"/>
      <c r="W197" s="35"/>
      <c r="X197" s="32"/>
    </row>
    <row r="198" spans="1:26"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6"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6"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6"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6"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6"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6"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6"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6"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6"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6"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c r="A392" s="3"/>
      <c r="B392" s="3"/>
      <c r="C392" s="28"/>
      <c r="D392" s="28"/>
      <c r="E392" s="28"/>
      <c r="F392" s="28"/>
      <c r="G392" s="112"/>
      <c r="H392" s="28"/>
      <c r="I392" s="28"/>
      <c r="J392" s="28"/>
      <c r="K392" s="28"/>
      <c r="L392" s="28"/>
      <c r="M392" s="28"/>
      <c r="N392" s="28"/>
      <c r="O392" s="28"/>
      <c r="P392" s="28"/>
      <c r="Q392" s="28"/>
      <c r="R392" s="28"/>
      <c r="S392" s="28"/>
      <c r="T392" s="28"/>
      <c r="U392" s="28"/>
      <c r="V392" s="28"/>
      <c r="W392" s="35"/>
      <c r="X392" s="32"/>
    </row>
    <row r="393" spans="1:24" ht="15.75" customHeight="1" x14ac:dyDescent="0.3">
      <c r="A393" s="3"/>
      <c r="B393" s="3"/>
      <c r="C393" s="28"/>
      <c r="D393" s="28"/>
      <c r="E393" s="28"/>
      <c r="F393" s="28"/>
      <c r="G393" s="112"/>
      <c r="H393" s="28"/>
      <c r="I393" s="28"/>
      <c r="J393" s="28"/>
      <c r="K393" s="28"/>
      <c r="L393" s="28"/>
      <c r="M393" s="28"/>
      <c r="N393" s="28"/>
      <c r="O393" s="28"/>
      <c r="P393" s="28"/>
      <c r="Q393" s="28"/>
      <c r="R393" s="28"/>
      <c r="S393" s="28"/>
      <c r="T393" s="28"/>
      <c r="U393" s="28"/>
      <c r="V393" s="28"/>
      <c r="W393" s="35"/>
      <c r="X393" s="32"/>
    </row>
    <row r="394" spans="1:24" ht="15.75" customHeight="1" x14ac:dyDescent="0.3">
      <c r="A394" s="3"/>
      <c r="B394" s="3"/>
      <c r="C394" s="28"/>
      <c r="D394" s="28"/>
      <c r="E394" s="28"/>
      <c r="F394" s="28"/>
      <c r="G394" s="112"/>
      <c r="H394" s="28"/>
      <c r="I394" s="28"/>
      <c r="J394" s="28"/>
      <c r="K394" s="28"/>
      <c r="L394" s="28"/>
      <c r="M394" s="28"/>
      <c r="N394" s="28"/>
      <c r="O394" s="28"/>
      <c r="P394" s="28"/>
      <c r="Q394" s="28"/>
      <c r="R394" s="28"/>
      <c r="S394" s="28"/>
      <c r="T394" s="28"/>
      <c r="U394" s="28"/>
      <c r="V394" s="28"/>
      <c r="W394" s="35"/>
      <c r="X394" s="32"/>
    </row>
    <row r="395" spans="1:24" ht="15.75" customHeight="1" x14ac:dyDescent="0.3">
      <c r="A395" s="3"/>
      <c r="B395" s="3"/>
      <c r="C395" s="28"/>
      <c r="D395" s="28"/>
      <c r="E395" s="28"/>
      <c r="F395" s="28"/>
      <c r="G395" s="112"/>
      <c r="H395" s="28"/>
      <c r="I395" s="28"/>
      <c r="J395" s="28"/>
      <c r="K395" s="28"/>
      <c r="L395" s="28"/>
      <c r="M395" s="28"/>
      <c r="N395" s="28"/>
      <c r="O395" s="28"/>
      <c r="P395" s="28"/>
      <c r="Q395" s="28"/>
      <c r="R395" s="28"/>
      <c r="S395" s="28"/>
      <c r="T395" s="28"/>
      <c r="U395" s="28"/>
      <c r="V395" s="28"/>
      <c r="W395" s="35"/>
      <c r="X395" s="32"/>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6000000}"/>
  <mergeCells count="4">
    <mergeCell ref="B2:B3"/>
    <mergeCell ref="B4:B5"/>
    <mergeCell ref="H4:H5"/>
    <mergeCell ref="I4:I5"/>
  </mergeCells>
  <conditionalFormatting sqref="W6:W125">
    <cfRule type="cellIs" dxfId="13" priority="1" operator="equal">
      <formula>"Diferente"</formula>
    </cfRule>
    <cfRule type="cellIs" dxfId="12" priority="2" operator="equal">
      <formula>"OK"</formula>
    </cfRule>
  </conditionalFormatting>
  <dataValidations count="1">
    <dataValidation type="list" allowBlank="1" showErrorMessage="1" sqref="D7:D125 D128:D129 D131:D133 D135:D138 D140:D145 D147:D153 D156:D159 D161:D164 D166:D168 D170:D183 D185:D187 D189:D195" xr:uid="{00000000-0002-0000-16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600-000000000000}">
          <x14:formula1>
            <xm:f>'Plano de contas DG'!$C$5:$C$38</xm:f>
          </x14:formula1>
          <xm:sqref>I6:I195</xm:sqref>
        </x14:dataValidation>
        <x14:dataValidation type="list" allowBlank="1" showErrorMessage="1" xr:uid="{00000000-0002-0000-1600-000001000000}">
          <x14:formula1>
            <xm:f>Caixa!$B$5:$B$8</xm:f>
          </x14:formula1>
          <xm:sqref>H7:H125 H128:H129 H131:H133 H135:H138 H140:H145 H156:H159 H161:H164 H166:H168 H170:H183 H185:H187 H189:H195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22" customWidth="1"/>
    <col min="8" max="8" width="18.88671875" customWidth="1"/>
    <col min="9" max="9" width="86.33203125" customWidth="1"/>
    <col min="10" max="10" width="20.6640625" hidden="1"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25" customHeight="1" x14ac:dyDescent="0.3">
      <c r="A2" s="3"/>
      <c r="B2" s="231" t="s">
        <v>270</v>
      </c>
      <c r="C2" s="232"/>
      <c r="D2" s="206"/>
      <c r="E2" s="206"/>
      <c r="F2" s="207"/>
      <c r="G2" s="73"/>
      <c r="H2" s="73"/>
      <c r="I2" s="74"/>
      <c r="J2" s="73"/>
      <c r="K2" s="28"/>
      <c r="L2" s="28"/>
      <c r="M2" s="28"/>
      <c r="N2" s="28"/>
      <c r="O2" s="28"/>
      <c r="P2" s="28"/>
      <c r="Q2" s="28"/>
      <c r="R2" s="28"/>
      <c r="S2" s="28"/>
      <c r="T2" s="28"/>
      <c r="U2" s="3"/>
    </row>
    <row r="3" spans="1:26" ht="14.25" customHeight="1" x14ac:dyDescent="0.3">
      <c r="A3" s="3"/>
      <c r="B3" s="202"/>
      <c r="C3" s="233"/>
      <c r="D3" s="234"/>
      <c r="E3" s="234"/>
      <c r="F3" s="235"/>
      <c r="G3" s="73"/>
      <c r="H3" s="73"/>
      <c r="I3" s="74"/>
      <c r="J3" s="73"/>
      <c r="K3" s="28"/>
      <c r="L3" s="28"/>
      <c r="M3" s="28"/>
      <c r="N3" s="28"/>
      <c r="O3" s="28"/>
      <c r="P3" s="28"/>
      <c r="Q3" s="28"/>
      <c r="R3" s="28"/>
      <c r="S3" s="28"/>
      <c r="T3" s="28"/>
      <c r="U3" s="3"/>
    </row>
    <row r="4" spans="1:26" ht="14.25" customHeight="1" x14ac:dyDescent="0.3">
      <c r="A4" s="3"/>
      <c r="B4" s="220" t="s">
        <v>74</v>
      </c>
      <c r="C4" s="39" t="s">
        <v>44</v>
      </c>
      <c r="D4" s="39" t="s">
        <v>44</v>
      </c>
      <c r="E4" s="18">
        <f>SUBTOTAL(9,E16,E63,E38,E152,E177,E183,E90,E6,E34,E262,E325,E212,E222,E232,E242,E252,E116)</f>
        <v>0</v>
      </c>
      <c r="F4" s="18">
        <f>SUBTOTAL(9,F16,F63,F38,F142,F152,F177,F183,F90,F6,F34,F262,F325,F212,F222,F232,F242,F252,F116)</f>
        <v>19134.95</v>
      </c>
      <c r="G4" s="39" t="s">
        <v>44</v>
      </c>
      <c r="H4" s="230" t="s">
        <v>1</v>
      </c>
      <c r="I4" s="236" t="s">
        <v>271</v>
      </c>
      <c r="J4" s="230" t="s">
        <v>75</v>
      </c>
      <c r="K4" s="28"/>
      <c r="L4" s="28"/>
      <c r="M4" s="28"/>
      <c r="N4" s="28"/>
      <c r="O4" s="28"/>
      <c r="P4" s="28"/>
      <c r="Q4" s="28"/>
      <c r="R4" s="28"/>
      <c r="S4" s="28"/>
      <c r="T4" s="28"/>
      <c r="U4" s="3"/>
      <c r="W4" s="3"/>
      <c r="X4" s="3"/>
      <c r="Y4" s="3"/>
      <c r="Z4" s="3"/>
    </row>
    <row r="5" spans="1:26" ht="14.25" customHeight="1"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877.99999999999989</v>
      </c>
      <c r="G6" s="78"/>
      <c r="H6" s="78"/>
      <c r="I6" s="79"/>
      <c r="J6" s="78"/>
      <c r="K6" s="28"/>
      <c r="L6" s="28"/>
      <c r="M6" s="28"/>
      <c r="N6" s="28"/>
      <c r="O6" s="28"/>
      <c r="P6" s="28"/>
      <c r="Q6" s="28"/>
      <c r="R6" s="28"/>
      <c r="S6" s="28"/>
      <c r="T6" s="28"/>
      <c r="U6" s="3"/>
      <c r="W6" s="3"/>
      <c r="X6" s="3"/>
      <c r="Y6" s="3"/>
      <c r="Z6" s="3"/>
    </row>
    <row r="7" spans="1:26" ht="14.4" outlineLevel="1" x14ac:dyDescent="0.3">
      <c r="A7" s="3"/>
      <c r="B7" s="9" t="s">
        <v>274</v>
      </c>
      <c r="C7" s="53">
        <v>4</v>
      </c>
      <c r="D7" s="53" t="s">
        <v>95</v>
      </c>
      <c r="E7" s="11">
        <v>0</v>
      </c>
      <c r="F7" s="11">
        <v>453.64</v>
      </c>
      <c r="G7" s="80"/>
      <c r="H7" s="56" t="s">
        <v>37</v>
      </c>
      <c r="I7" s="102" t="s">
        <v>1582</v>
      </c>
      <c r="J7" s="56"/>
      <c r="K7" s="28"/>
      <c r="L7" s="28"/>
      <c r="M7" s="28"/>
      <c r="N7" s="28"/>
      <c r="O7" s="28"/>
      <c r="P7" s="28"/>
      <c r="Q7" s="28"/>
      <c r="R7" s="28"/>
      <c r="S7" s="28"/>
      <c r="T7" s="28"/>
      <c r="U7" s="3"/>
      <c r="W7" s="3"/>
      <c r="X7" s="3"/>
      <c r="Y7" s="3"/>
      <c r="Z7" s="3"/>
    </row>
    <row r="8" spans="1:26" ht="14.4" outlineLevel="1" x14ac:dyDescent="0.3">
      <c r="A8" s="3"/>
      <c r="B8" s="9" t="s">
        <v>274</v>
      </c>
      <c r="C8" s="53"/>
      <c r="D8" s="53"/>
      <c r="E8" s="11">
        <v>0</v>
      </c>
      <c r="F8" s="11">
        <v>0</v>
      </c>
      <c r="G8" s="80"/>
      <c r="H8" s="56"/>
      <c r="I8" s="102"/>
      <c r="J8" s="56"/>
      <c r="K8" s="28"/>
      <c r="L8" s="28"/>
      <c r="M8" s="28"/>
      <c r="N8" s="28"/>
      <c r="O8" s="28"/>
      <c r="P8" s="28"/>
      <c r="Q8" s="28"/>
      <c r="R8" s="28"/>
      <c r="S8" s="28"/>
      <c r="T8" s="28"/>
      <c r="U8" s="3"/>
      <c r="W8" s="3"/>
      <c r="X8" s="3"/>
      <c r="Y8" s="3"/>
      <c r="Z8" s="3"/>
    </row>
    <row r="9" spans="1:26" ht="14.4" outlineLevel="1" x14ac:dyDescent="0.3">
      <c r="A9" s="3"/>
      <c r="B9" s="9" t="s">
        <v>281</v>
      </c>
      <c r="C9" s="53"/>
      <c r="D9" s="53"/>
      <c r="E9" s="11">
        <v>0</v>
      </c>
      <c r="F9" s="11">
        <v>0</v>
      </c>
      <c r="G9" s="80"/>
      <c r="H9" s="56"/>
      <c r="I9" s="102"/>
      <c r="J9" s="56"/>
      <c r="K9" s="28"/>
      <c r="L9" s="28"/>
      <c r="M9" s="28"/>
      <c r="N9" s="28"/>
      <c r="O9" s="28"/>
      <c r="P9" s="28"/>
      <c r="Q9" s="28"/>
      <c r="R9" s="28"/>
      <c r="S9" s="28"/>
      <c r="T9" s="28"/>
      <c r="U9" s="3"/>
      <c r="W9" s="3"/>
      <c r="X9" s="3"/>
      <c r="Y9" s="3"/>
      <c r="Z9" s="3"/>
    </row>
    <row r="10" spans="1:26" ht="14.4" outlineLevel="1" x14ac:dyDescent="0.3">
      <c r="A10" s="3"/>
      <c r="B10" s="9" t="s">
        <v>282</v>
      </c>
      <c r="C10" s="53">
        <v>13</v>
      </c>
      <c r="D10" s="53" t="s">
        <v>95</v>
      </c>
      <c r="E10" s="11">
        <v>0</v>
      </c>
      <c r="F10" s="11">
        <v>306.18</v>
      </c>
      <c r="G10" s="80"/>
      <c r="H10" s="56" t="s">
        <v>37</v>
      </c>
      <c r="I10" s="102" t="s">
        <v>1583</v>
      </c>
      <c r="J10" s="80"/>
      <c r="K10" s="28"/>
      <c r="L10" s="28"/>
      <c r="M10" s="28"/>
      <c r="N10" s="28"/>
      <c r="O10" s="28"/>
      <c r="P10" s="28"/>
      <c r="Q10" s="28"/>
      <c r="R10" s="28"/>
      <c r="S10" s="28"/>
      <c r="T10" s="28"/>
      <c r="U10" s="3"/>
      <c r="W10" s="3"/>
      <c r="X10" s="3"/>
      <c r="Y10" s="3"/>
      <c r="Z10" s="3"/>
    </row>
    <row r="11" spans="1:26" ht="14.4" outlineLevel="1" x14ac:dyDescent="0.3">
      <c r="A11" s="3"/>
      <c r="B11" s="9" t="s">
        <v>282</v>
      </c>
      <c r="C11" s="53">
        <v>13</v>
      </c>
      <c r="D11" s="53" t="s">
        <v>95</v>
      </c>
      <c r="E11" s="11">
        <v>0</v>
      </c>
      <c r="F11" s="11">
        <v>48.79</v>
      </c>
      <c r="G11" s="80"/>
      <c r="H11" s="56" t="s">
        <v>37</v>
      </c>
      <c r="I11" s="102" t="s">
        <v>1584</v>
      </c>
      <c r="J11" s="80"/>
      <c r="K11" s="28"/>
      <c r="L11" s="28"/>
      <c r="M11" s="28"/>
      <c r="N11" s="28"/>
      <c r="O11" s="28"/>
      <c r="P11" s="28"/>
      <c r="Q11" s="28"/>
      <c r="R11" s="28"/>
      <c r="S11" s="28"/>
      <c r="T11" s="28"/>
      <c r="U11" s="3"/>
      <c r="W11" s="3"/>
      <c r="X11" s="3"/>
      <c r="Y11" s="3"/>
      <c r="Z11" s="3"/>
    </row>
    <row r="12" spans="1:26" ht="14.4" outlineLevel="1" x14ac:dyDescent="0.3">
      <c r="A12" s="3"/>
      <c r="B12" s="9" t="s">
        <v>282</v>
      </c>
      <c r="C12" s="53">
        <v>13</v>
      </c>
      <c r="D12" s="53" t="s">
        <v>95</v>
      </c>
      <c r="E12" s="11">
        <v>0</v>
      </c>
      <c r="F12" s="11">
        <v>69.39</v>
      </c>
      <c r="G12" s="80"/>
      <c r="H12" s="56" t="s">
        <v>37</v>
      </c>
      <c r="I12" s="102" t="s">
        <v>1585</v>
      </c>
      <c r="J12" s="80"/>
      <c r="K12" s="28"/>
      <c r="L12" s="28"/>
      <c r="M12" s="28"/>
      <c r="N12" s="28"/>
      <c r="O12" s="28"/>
      <c r="P12" s="28"/>
      <c r="Q12" s="28"/>
      <c r="R12" s="28"/>
      <c r="S12" s="28"/>
      <c r="T12" s="28"/>
      <c r="U12" s="3"/>
      <c r="W12" s="3"/>
      <c r="X12" s="3"/>
      <c r="Y12" s="3"/>
      <c r="Z12" s="3"/>
    </row>
    <row r="13" spans="1:26" ht="14.4" outlineLevel="1" x14ac:dyDescent="0.3">
      <c r="A13" s="3"/>
      <c r="B13" s="9" t="s">
        <v>282</v>
      </c>
      <c r="C13" s="53"/>
      <c r="D13" s="53"/>
      <c r="E13" s="11">
        <v>0</v>
      </c>
      <c r="F13" s="11">
        <v>0</v>
      </c>
      <c r="G13" s="80"/>
      <c r="H13" s="56"/>
      <c r="I13" s="102"/>
      <c r="J13" s="80"/>
      <c r="K13" s="28"/>
      <c r="L13" s="28"/>
      <c r="M13" s="28"/>
      <c r="N13" s="28"/>
      <c r="O13" s="28"/>
      <c r="P13" s="28"/>
      <c r="Q13" s="28"/>
      <c r="R13" s="28"/>
      <c r="S13" s="28"/>
      <c r="T13" s="28"/>
      <c r="U13" s="3"/>
      <c r="W13" s="3"/>
      <c r="X13" s="3"/>
      <c r="Y13" s="3"/>
      <c r="Z13" s="3"/>
    </row>
    <row r="14" spans="1:26" ht="14.4" outlineLevel="1" x14ac:dyDescent="0.3">
      <c r="A14" s="3"/>
      <c r="B14" s="9" t="s">
        <v>560</v>
      </c>
      <c r="C14" s="53"/>
      <c r="D14" s="53"/>
      <c r="E14" s="11">
        <v>0</v>
      </c>
      <c r="F14" s="11">
        <v>0</v>
      </c>
      <c r="G14" s="80"/>
      <c r="H14" s="56"/>
      <c r="I14" s="102"/>
      <c r="J14" s="80"/>
      <c r="K14" s="28"/>
      <c r="L14" s="28"/>
      <c r="M14" s="28"/>
      <c r="N14" s="28"/>
      <c r="O14" s="28"/>
      <c r="P14" s="28"/>
      <c r="Q14" s="28"/>
      <c r="R14" s="28"/>
      <c r="S14" s="28"/>
      <c r="T14" s="28"/>
      <c r="U14" s="3"/>
      <c r="W14" s="3"/>
      <c r="X14" s="3"/>
      <c r="Y14" s="3"/>
      <c r="Z14" s="3"/>
    </row>
    <row r="15" spans="1:26" ht="14.4" outlineLevel="1" x14ac:dyDescent="0.3">
      <c r="A15" s="3"/>
      <c r="B15" s="9" t="s">
        <v>66</v>
      </c>
      <c r="C15" s="53"/>
      <c r="D15" s="53"/>
      <c r="E15" s="11">
        <v>0</v>
      </c>
      <c r="F15" s="11">
        <v>0</v>
      </c>
      <c r="G15" s="80"/>
      <c r="H15" s="56"/>
      <c r="I15" s="102"/>
      <c r="J15" s="56"/>
      <c r="K15" s="28"/>
      <c r="L15" s="28"/>
      <c r="M15" s="28"/>
      <c r="N15" s="28"/>
      <c r="O15" s="28"/>
      <c r="P15" s="28"/>
      <c r="Q15" s="28"/>
      <c r="R15" s="28"/>
      <c r="S15" s="28"/>
      <c r="T15" s="28"/>
      <c r="U15" s="3"/>
      <c r="W15" s="3"/>
      <c r="X15" s="3"/>
      <c r="Y15" s="3"/>
      <c r="Z15" s="3"/>
    </row>
    <row r="16" spans="1:26" ht="20.399999999999999" x14ac:dyDescent="0.3">
      <c r="A16" s="3"/>
      <c r="B16" s="75" t="s">
        <v>288</v>
      </c>
      <c r="C16" s="76" t="s">
        <v>44</v>
      </c>
      <c r="D16" s="76" t="s">
        <v>44</v>
      </c>
      <c r="E16" s="77">
        <f>SUM(E17:E33)</f>
        <v>0</v>
      </c>
      <c r="F16" s="77">
        <f>SUMIF(D17:D33,"OK",F17:F33)</f>
        <v>4174</v>
      </c>
      <c r="G16" s="78"/>
      <c r="H16" s="78"/>
      <c r="I16" s="79"/>
      <c r="J16" s="78"/>
      <c r="K16" s="28"/>
      <c r="L16" s="28"/>
      <c r="M16" s="28"/>
      <c r="N16" s="28"/>
      <c r="O16" s="28"/>
      <c r="P16" s="28"/>
      <c r="Q16" s="28"/>
      <c r="R16" s="28"/>
      <c r="S16" s="28"/>
      <c r="T16" s="28"/>
      <c r="U16" s="3"/>
    </row>
    <row r="17" spans="1:22" ht="14.4" outlineLevel="1" x14ac:dyDescent="0.3">
      <c r="A17" s="3"/>
      <c r="B17" s="9" t="s">
        <v>562</v>
      </c>
      <c r="C17" s="53">
        <v>25</v>
      </c>
      <c r="D17" s="53" t="s">
        <v>95</v>
      </c>
      <c r="E17" s="11">
        <v>0</v>
      </c>
      <c r="F17" s="11">
        <v>1438</v>
      </c>
      <c r="G17" s="265"/>
      <c r="H17" s="56" t="s">
        <v>37</v>
      </c>
      <c r="I17" s="239" t="s">
        <v>1586</v>
      </c>
      <c r="J17" s="56"/>
      <c r="K17" s="28"/>
      <c r="L17" s="28"/>
      <c r="M17" s="28"/>
      <c r="N17" s="28"/>
      <c r="O17" s="28"/>
      <c r="P17" s="28"/>
      <c r="Q17" s="28"/>
      <c r="R17" s="28"/>
      <c r="S17" s="28"/>
      <c r="T17" s="28"/>
      <c r="U17" s="3"/>
    </row>
    <row r="18" spans="1:22" ht="14.4" outlineLevel="1" x14ac:dyDescent="0.3">
      <c r="A18" s="3"/>
      <c r="B18" s="9" t="s">
        <v>564</v>
      </c>
      <c r="C18" s="53">
        <v>25</v>
      </c>
      <c r="D18" s="53" t="s">
        <v>95</v>
      </c>
      <c r="E18" s="11">
        <v>0</v>
      </c>
      <c r="F18" s="11">
        <v>819</v>
      </c>
      <c r="G18" s="213"/>
      <c r="H18" s="56" t="s">
        <v>37</v>
      </c>
      <c r="I18" s="213"/>
      <c r="J18" s="56"/>
      <c r="K18" s="28"/>
      <c r="L18" s="28"/>
      <c r="M18" s="28"/>
      <c r="N18" s="28"/>
      <c r="O18" s="28"/>
      <c r="P18" s="28"/>
      <c r="Q18" s="28"/>
      <c r="R18" s="28"/>
      <c r="S18" s="28"/>
      <c r="T18" s="28"/>
      <c r="U18" s="3"/>
    </row>
    <row r="19" spans="1:22" ht="14.4" outlineLevel="1" x14ac:dyDescent="0.3">
      <c r="A19" s="3"/>
      <c r="B19" s="9" t="s">
        <v>565</v>
      </c>
      <c r="C19" s="53">
        <v>25</v>
      </c>
      <c r="D19" s="53" t="s">
        <v>95</v>
      </c>
      <c r="E19" s="11">
        <v>0</v>
      </c>
      <c r="F19" s="11">
        <v>100</v>
      </c>
      <c r="G19" s="213"/>
      <c r="H19" s="56" t="s">
        <v>37</v>
      </c>
      <c r="I19" s="213"/>
      <c r="J19" s="56"/>
      <c r="K19" s="28"/>
      <c r="L19" s="28"/>
      <c r="M19" s="28"/>
      <c r="N19" s="28"/>
      <c r="O19" s="28"/>
      <c r="P19" s="28"/>
      <c r="Q19" s="28"/>
      <c r="R19" s="28"/>
      <c r="S19" s="28"/>
      <c r="T19" s="28"/>
      <c r="U19" s="3"/>
    </row>
    <row r="20" spans="1:22" ht="14.4" outlineLevel="1" x14ac:dyDescent="0.3">
      <c r="A20" s="3"/>
      <c r="B20" s="9" t="s">
        <v>566</v>
      </c>
      <c r="C20" s="53">
        <v>25</v>
      </c>
      <c r="D20" s="53" t="s">
        <v>95</v>
      </c>
      <c r="E20" s="11">
        <v>0</v>
      </c>
      <c r="F20" s="11">
        <v>100</v>
      </c>
      <c r="G20" s="213"/>
      <c r="H20" s="56" t="s">
        <v>37</v>
      </c>
      <c r="I20" s="213"/>
      <c r="J20" s="56"/>
      <c r="K20" s="28"/>
      <c r="L20" s="28"/>
      <c r="M20" s="28"/>
      <c r="N20" s="28"/>
      <c r="O20" s="28"/>
      <c r="P20" s="28"/>
      <c r="Q20" s="28"/>
      <c r="R20" s="28"/>
      <c r="S20" s="28"/>
      <c r="T20" s="28"/>
      <c r="U20" s="3"/>
    </row>
    <row r="21" spans="1:22" ht="14.4" outlineLevel="1" x14ac:dyDescent="0.3">
      <c r="A21" s="3"/>
      <c r="B21" s="9" t="s">
        <v>567</v>
      </c>
      <c r="C21" s="53">
        <v>25</v>
      </c>
      <c r="D21" s="53" t="s">
        <v>95</v>
      </c>
      <c r="E21" s="11">
        <v>0</v>
      </c>
      <c r="F21" s="11">
        <v>400</v>
      </c>
      <c r="G21" s="214"/>
      <c r="H21" s="56" t="s">
        <v>37</v>
      </c>
      <c r="I21" s="214"/>
      <c r="J21" s="56"/>
      <c r="K21" s="28"/>
      <c r="L21" s="28"/>
      <c r="M21" s="28"/>
      <c r="N21" s="28"/>
      <c r="O21" s="28"/>
      <c r="P21" s="28"/>
      <c r="Q21" s="28"/>
      <c r="R21" s="28"/>
      <c r="S21" s="28"/>
      <c r="T21" s="28"/>
      <c r="U21" s="3"/>
    </row>
    <row r="22" spans="1:22" ht="14.4" outlineLevel="1" x14ac:dyDescent="0.3">
      <c r="A22" s="3"/>
      <c r="B22" s="9" t="s">
        <v>568</v>
      </c>
      <c r="C22" s="53">
        <v>23</v>
      </c>
      <c r="D22" s="53" t="s">
        <v>95</v>
      </c>
      <c r="E22" s="11">
        <v>0</v>
      </c>
      <c r="F22" s="11">
        <v>160</v>
      </c>
      <c r="G22" s="237"/>
      <c r="H22" s="56" t="s">
        <v>37</v>
      </c>
      <c r="I22" s="239" t="s">
        <v>1587</v>
      </c>
      <c r="J22" s="56"/>
      <c r="K22" s="28"/>
      <c r="L22" s="28"/>
      <c r="M22" s="28"/>
      <c r="N22" s="28"/>
      <c r="O22" s="28"/>
      <c r="P22" s="28"/>
      <c r="Q22" s="28"/>
      <c r="R22" s="28"/>
      <c r="S22" s="28"/>
      <c r="T22" s="28"/>
      <c r="U22" s="3"/>
      <c r="V22" s="14"/>
    </row>
    <row r="23" spans="1:22" ht="14.4" outlineLevel="1" x14ac:dyDescent="0.3">
      <c r="A23" s="3"/>
      <c r="B23" s="9" t="s">
        <v>571</v>
      </c>
      <c r="C23" s="53">
        <v>23</v>
      </c>
      <c r="D23" s="53" t="s">
        <v>95</v>
      </c>
      <c r="E23" s="11">
        <v>0</v>
      </c>
      <c r="F23" s="11">
        <v>480</v>
      </c>
      <c r="G23" s="213"/>
      <c r="H23" s="56" t="s">
        <v>37</v>
      </c>
      <c r="I23" s="213"/>
      <c r="J23" s="56"/>
      <c r="K23" s="28"/>
      <c r="L23" s="28"/>
      <c r="M23" s="28"/>
      <c r="N23" s="28"/>
      <c r="O23" s="28"/>
      <c r="P23" s="28"/>
      <c r="Q23" s="28"/>
      <c r="R23" s="28"/>
      <c r="S23" s="28"/>
      <c r="T23" s="28"/>
      <c r="U23" s="3"/>
      <c r="V23" s="14"/>
    </row>
    <row r="24" spans="1:22" ht="14.4" outlineLevel="1" x14ac:dyDescent="0.3">
      <c r="A24" s="3"/>
      <c r="B24" s="9" t="s">
        <v>572</v>
      </c>
      <c r="C24" s="53">
        <v>23</v>
      </c>
      <c r="D24" s="53" t="s">
        <v>95</v>
      </c>
      <c r="E24" s="11">
        <v>0</v>
      </c>
      <c r="F24" s="11">
        <v>530</v>
      </c>
      <c r="G24" s="213"/>
      <c r="H24" s="56" t="s">
        <v>37</v>
      </c>
      <c r="I24" s="213"/>
      <c r="J24" s="56"/>
      <c r="K24" s="28"/>
      <c r="L24" s="28"/>
      <c r="M24" s="28"/>
      <c r="N24" s="28"/>
      <c r="O24" s="28"/>
      <c r="P24" s="28"/>
      <c r="Q24" s="28"/>
      <c r="R24" s="28"/>
      <c r="S24" s="28"/>
      <c r="T24" s="28"/>
      <c r="U24" s="3"/>
      <c r="V24" s="14"/>
    </row>
    <row r="25" spans="1:22" ht="14.4" outlineLevel="1" x14ac:dyDescent="0.3">
      <c r="A25" s="3"/>
      <c r="B25" s="9" t="s">
        <v>573</v>
      </c>
      <c r="C25" s="53">
        <v>23</v>
      </c>
      <c r="D25" s="53" t="s">
        <v>95</v>
      </c>
      <c r="E25" s="11">
        <v>0</v>
      </c>
      <c r="F25" s="11">
        <v>30</v>
      </c>
      <c r="G25" s="213"/>
      <c r="H25" s="56" t="s">
        <v>37</v>
      </c>
      <c r="I25" s="213"/>
      <c r="J25" s="56"/>
      <c r="K25" s="28"/>
      <c r="L25" s="28"/>
      <c r="M25" s="28"/>
      <c r="N25" s="28"/>
      <c r="O25" s="28"/>
      <c r="P25" s="28"/>
      <c r="Q25" s="28"/>
      <c r="R25" s="28"/>
      <c r="S25" s="28"/>
      <c r="T25" s="28"/>
      <c r="U25" s="3"/>
      <c r="V25" s="14"/>
    </row>
    <row r="26" spans="1:22" ht="14.25" customHeight="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25" customHeight="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25" customHeight="1" outlineLevel="1" x14ac:dyDescent="0.3">
      <c r="A28" s="3"/>
      <c r="B28" s="9" t="s">
        <v>1588</v>
      </c>
      <c r="C28" s="53"/>
      <c r="D28" s="53"/>
      <c r="E28" s="11">
        <v>0</v>
      </c>
      <c r="F28" s="11">
        <v>0</v>
      </c>
      <c r="G28" s="214"/>
      <c r="H28" s="56"/>
      <c r="I28" s="214"/>
      <c r="J28" s="56"/>
      <c r="K28" s="28"/>
      <c r="L28" s="28"/>
      <c r="M28" s="28"/>
      <c r="N28" s="28"/>
      <c r="O28" s="28"/>
      <c r="P28" s="28"/>
      <c r="Q28" s="28"/>
      <c r="R28" s="28"/>
      <c r="S28" s="28"/>
      <c r="T28" s="28"/>
      <c r="U28" s="3"/>
      <c r="V28" s="14"/>
    </row>
    <row r="29" spans="1:22" ht="14.4" outlineLevel="1" x14ac:dyDescent="0.3">
      <c r="A29" s="3"/>
      <c r="B29" s="9" t="s">
        <v>293</v>
      </c>
      <c r="C29" s="53">
        <v>25</v>
      </c>
      <c r="D29" s="53" t="s">
        <v>95</v>
      </c>
      <c r="E29" s="11">
        <v>0</v>
      </c>
      <c r="F29" s="11">
        <v>117</v>
      </c>
      <c r="G29" s="56"/>
      <c r="H29" s="56" t="s">
        <v>37</v>
      </c>
      <c r="I29" s="102" t="s">
        <v>1589</v>
      </c>
      <c r="J29" s="56"/>
      <c r="K29" s="28"/>
      <c r="L29" s="28"/>
      <c r="M29" s="28"/>
      <c r="N29" s="28"/>
      <c r="O29" s="28"/>
      <c r="P29" s="28"/>
      <c r="Q29" s="28"/>
      <c r="R29" s="28"/>
      <c r="S29" s="28"/>
      <c r="T29" s="28"/>
      <c r="U29" s="3"/>
      <c r="V29" s="14"/>
    </row>
    <row r="30" spans="1:22" ht="14.4" outlineLevel="1" x14ac:dyDescent="0.3">
      <c r="A30" s="3"/>
      <c r="B30" s="9" t="s">
        <v>295</v>
      </c>
      <c r="C30" s="53"/>
      <c r="D30" s="53"/>
      <c r="E30" s="11">
        <v>0</v>
      </c>
      <c r="F30" s="11">
        <v>0</v>
      </c>
      <c r="G30" s="80"/>
      <c r="H30" s="56"/>
      <c r="I30" s="102"/>
      <c r="J30" s="56"/>
      <c r="K30" s="28"/>
      <c r="L30" s="28"/>
      <c r="M30" s="28"/>
      <c r="N30" s="28"/>
      <c r="O30" s="28"/>
      <c r="P30" s="28"/>
      <c r="Q30" s="28"/>
      <c r="R30" s="28"/>
      <c r="S30" s="28"/>
      <c r="T30" s="28"/>
      <c r="U30" s="3"/>
    </row>
    <row r="31" spans="1:22" ht="14.4" outlineLevel="1" x14ac:dyDescent="0.3">
      <c r="A31" s="3"/>
      <c r="B31" s="9" t="s">
        <v>580</v>
      </c>
      <c r="C31" s="53"/>
      <c r="D31" s="53"/>
      <c r="E31" s="11">
        <v>0</v>
      </c>
      <c r="F31" s="11">
        <v>0</v>
      </c>
      <c r="G31" s="56"/>
      <c r="H31" s="56"/>
      <c r="I31" s="102"/>
      <c r="J31" s="56"/>
      <c r="K31" s="28"/>
      <c r="L31" s="28"/>
      <c r="M31" s="28"/>
      <c r="N31" s="28"/>
      <c r="O31" s="28"/>
      <c r="P31" s="28"/>
      <c r="Q31" s="28"/>
      <c r="R31" s="28"/>
      <c r="S31" s="28"/>
      <c r="T31" s="28"/>
      <c r="U31" s="3"/>
    </row>
    <row r="32" spans="1:22" ht="14.4" outlineLevel="1" x14ac:dyDescent="0.3">
      <c r="A32" s="3"/>
      <c r="B32" s="9" t="s">
        <v>583</v>
      </c>
      <c r="C32" s="53"/>
      <c r="D32" s="53"/>
      <c r="E32" s="11">
        <v>0</v>
      </c>
      <c r="F32" s="11">
        <v>0</v>
      </c>
      <c r="G32" s="80"/>
      <c r="H32" s="56"/>
      <c r="I32" s="102"/>
      <c r="J32" s="56"/>
      <c r="K32" s="28"/>
      <c r="L32" s="28"/>
      <c r="M32" s="28"/>
      <c r="N32" s="28"/>
      <c r="O32" s="28"/>
      <c r="P32" s="28"/>
      <c r="Q32" s="28"/>
      <c r="R32" s="28"/>
      <c r="S32" s="28"/>
      <c r="T32" s="28"/>
      <c r="U32" s="3"/>
    </row>
    <row r="33" spans="1:26" ht="14.4"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20.399999999999999" x14ac:dyDescent="0.3">
      <c r="A34" s="3"/>
      <c r="B34" s="75" t="s">
        <v>301</v>
      </c>
      <c r="C34" s="76" t="s">
        <v>44</v>
      </c>
      <c r="D34" s="76" t="s">
        <v>44</v>
      </c>
      <c r="E34" s="77">
        <f>SUM(E35:E37)</f>
        <v>0</v>
      </c>
      <c r="F34" s="77">
        <f>SUMIF(D35:D37,"OK",F35:F37)</f>
        <v>0.05</v>
      </c>
      <c r="G34" s="78"/>
      <c r="H34" s="78"/>
      <c r="I34" s="79"/>
      <c r="J34" s="78"/>
      <c r="K34" s="28"/>
      <c r="L34" s="28"/>
      <c r="M34" s="28"/>
      <c r="N34" s="28"/>
      <c r="O34" s="28"/>
      <c r="P34" s="28"/>
      <c r="Q34" s="28"/>
      <c r="R34" s="28"/>
      <c r="S34" s="28"/>
      <c r="T34" s="28"/>
      <c r="U34" s="3"/>
      <c r="W34" s="3"/>
      <c r="X34" s="3"/>
      <c r="Y34" s="3"/>
      <c r="Z34" s="3"/>
    </row>
    <row r="35" spans="1:26" ht="14.4" outlineLevel="1" x14ac:dyDescent="0.3">
      <c r="A35" s="3"/>
      <c r="B35" s="9" t="s">
        <v>584</v>
      </c>
      <c r="C35" s="53">
        <v>30</v>
      </c>
      <c r="D35" s="53" t="s">
        <v>95</v>
      </c>
      <c r="E35" s="11">
        <v>0</v>
      </c>
      <c r="F35" s="11">
        <v>0.05</v>
      </c>
      <c r="G35" s="56"/>
      <c r="H35" s="56" t="s">
        <v>38</v>
      </c>
      <c r="I35" s="117" t="s">
        <v>105</v>
      </c>
      <c r="J35" s="56"/>
      <c r="K35" s="28"/>
      <c r="L35" s="28"/>
      <c r="M35" s="28"/>
      <c r="N35" s="28"/>
      <c r="O35" s="28"/>
      <c r="P35" s="28"/>
      <c r="Q35" s="28"/>
      <c r="R35" s="28"/>
      <c r="S35" s="28"/>
      <c r="T35" s="28"/>
      <c r="U35" s="3"/>
      <c r="W35" s="3"/>
      <c r="X35" s="3"/>
      <c r="Y35" s="3"/>
      <c r="Z35" s="3"/>
    </row>
    <row r="36" spans="1:26" ht="14.4" outlineLevel="1" x14ac:dyDescent="0.3">
      <c r="A36" s="3"/>
      <c r="B36" s="9"/>
      <c r="C36" s="53"/>
      <c r="D36" s="53"/>
      <c r="E36" s="11">
        <v>0</v>
      </c>
      <c r="F36" s="11">
        <v>0</v>
      </c>
      <c r="G36" s="58"/>
      <c r="H36" s="56"/>
      <c r="I36" s="102"/>
      <c r="J36" s="56"/>
      <c r="K36" s="28"/>
      <c r="L36" s="28"/>
      <c r="M36" s="28"/>
      <c r="N36" s="28"/>
      <c r="O36" s="28"/>
      <c r="P36" s="28"/>
      <c r="Q36" s="28"/>
      <c r="R36" s="28"/>
      <c r="S36" s="28"/>
      <c r="T36" s="28"/>
      <c r="U36" s="3"/>
      <c r="W36" s="3"/>
      <c r="X36" s="3"/>
      <c r="Y36" s="3"/>
      <c r="Z36" s="3"/>
    </row>
    <row r="37" spans="1:26" ht="14.4" outlineLevel="1" x14ac:dyDescent="0.3">
      <c r="A37" s="3"/>
      <c r="B37" s="9"/>
      <c r="C37" s="53"/>
      <c r="D37" s="53"/>
      <c r="E37" s="11">
        <v>0</v>
      </c>
      <c r="F37" s="11">
        <v>0</v>
      </c>
      <c r="G37" s="56"/>
      <c r="H37" s="56"/>
      <c r="I37" s="102"/>
      <c r="J37" s="56"/>
      <c r="K37" s="28"/>
      <c r="L37" s="28"/>
      <c r="M37" s="28"/>
      <c r="N37" s="28"/>
      <c r="O37" s="28"/>
      <c r="P37" s="28"/>
      <c r="Q37" s="28"/>
      <c r="R37" s="28"/>
      <c r="S37" s="28"/>
      <c r="T37" s="28"/>
      <c r="U37" s="3"/>
      <c r="W37" s="3"/>
      <c r="X37" s="3"/>
      <c r="Y37" s="3"/>
      <c r="Z37" s="3"/>
    </row>
    <row r="38" spans="1:26" ht="20.399999999999999" x14ac:dyDescent="0.3">
      <c r="A38" s="3"/>
      <c r="B38" s="75" t="s">
        <v>307</v>
      </c>
      <c r="C38" s="76" t="s">
        <v>44</v>
      </c>
      <c r="D38" s="76" t="s">
        <v>44</v>
      </c>
      <c r="E38" s="77">
        <f>SUM(E39:E62)</f>
        <v>0</v>
      </c>
      <c r="F38" s="77">
        <f>SUMIF(D39:D62,"OK",F39:F62)</f>
        <v>3010.9300000000003</v>
      </c>
      <c r="G38" s="78"/>
      <c r="H38" s="78"/>
      <c r="I38" s="79"/>
      <c r="J38" s="78"/>
      <c r="K38" s="28"/>
      <c r="L38" s="28"/>
      <c r="M38" s="28"/>
      <c r="N38" s="28"/>
      <c r="O38" s="28"/>
      <c r="P38" s="28"/>
      <c r="Q38" s="28"/>
      <c r="R38" s="28"/>
      <c r="S38" s="28"/>
      <c r="T38" s="28"/>
      <c r="U38" s="3"/>
      <c r="W38" s="3"/>
      <c r="X38" s="3"/>
      <c r="Y38" s="3"/>
      <c r="Z38" s="3"/>
    </row>
    <row r="39" spans="1:26" ht="14.4" outlineLevel="1" x14ac:dyDescent="0.3">
      <c r="A39" s="3"/>
      <c r="B39" s="9" t="s">
        <v>308</v>
      </c>
      <c r="C39" s="53">
        <v>23</v>
      </c>
      <c r="D39" s="53" t="s">
        <v>95</v>
      </c>
      <c r="E39" s="11">
        <v>0</v>
      </c>
      <c r="F39" s="11">
        <v>1563.68</v>
      </c>
      <c r="G39" s="56"/>
      <c r="H39" s="56" t="s">
        <v>37</v>
      </c>
      <c r="I39" s="102" t="s">
        <v>1590</v>
      </c>
      <c r="J39" s="56"/>
      <c r="K39" s="28"/>
      <c r="L39" s="28"/>
      <c r="M39" s="28"/>
      <c r="N39" s="28"/>
      <c r="O39" s="28"/>
      <c r="P39" s="28"/>
      <c r="Q39" s="28"/>
      <c r="R39" s="28"/>
      <c r="S39" s="28"/>
      <c r="T39" s="28"/>
      <c r="U39" s="3"/>
      <c r="W39" s="3"/>
      <c r="X39" s="3"/>
      <c r="Y39" s="3"/>
      <c r="Z39" s="3"/>
    </row>
    <row r="40" spans="1:26" ht="14.4" outlineLevel="1" x14ac:dyDescent="0.3">
      <c r="A40" s="3"/>
      <c r="B40" s="9" t="s">
        <v>590</v>
      </c>
      <c r="C40" s="53">
        <v>17</v>
      </c>
      <c r="D40" s="53" t="s">
        <v>95</v>
      </c>
      <c r="E40" s="11">
        <v>0</v>
      </c>
      <c r="F40" s="11">
        <v>650</v>
      </c>
      <c r="G40" s="56"/>
      <c r="H40" s="56" t="s">
        <v>37</v>
      </c>
      <c r="I40" s="102" t="s">
        <v>1591</v>
      </c>
      <c r="J40" s="56"/>
      <c r="K40" s="28"/>
      <c r="L40" s="28"/>
      <c r="M40" s="28"/>
      <c r="N40" s="28"/>
      <c r="O40" s="28"/>
      <c r="P40" s="28"/>
      <c r="Q40" s="28"/>
      <c r="R40" s="28"/>
      <c r="S40" s="28"/>
      <c r="T40" s="28"/>
      <c r="U40" s="3"/>
      <c r="W40" s="3"/>
      <c r="X40" s="3"/>
      <c r="Y40" s="3"/>
      <c r="Z40" s="3"/>
    </row>
    <row r="41" spans="1:26" ht="14.4"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outlineLevel="1" x14ac:dyDescent="0.3">
      <c r="A43" s="3"/>
      <c r="B43" s="9" t="s">
        <v>315</v>
      </c>
      <c r="C43" s="53">
        <v>13</v>
      </c>
      <c r="D43" s="53" t="s">
        <v>95</v>
      </c>
      <c r="E43" s="11">
        <v>0</v>
      </c>
      <c r="F43" s="11">
        <v>84.9</v>
      </c>
      <c r="G43" s="56"/>
      <c r="H43" s="56" t="s">
        <v>37</v>
      </c>
      <c r="I43" s="102" t="s">
        <v>1592</v>
      </c>
      <c r="J43" s="56"/>
      <c r="K43" s="28"/>
      <c r="L43" s="28"/>
      <c r="M43" s="28"/>
      <c r="N43" s="28"/>
      <c r="O43" s="28"/>
      <c r="P43" s="28"/>
      <c r="Q43" s="28"/>
      <c r="R43" s="28"/>
      <c r="S43" s="28"/>
      <c r="T43" s="28"/>
      <c r="U43" s="3"/>
      <c r="W43" s="3"/>
      <c r="X43" s="3"/>
      <c r="Y43" s="3"/>
      <c r="Z43" s="3"/>
    </row>
    <row r="44" spans="1:26" ht="14.4" outlineLevel="1" x14ac:dyDescent="0.3">
      <c r="A44" s="3"/>
      <c r="B44" s="9" t="s">
        <v>317</v>
      </c>
      <c r="C44" s="53"/>
      <c r="D44" s="53"/>
      <c r="E44" s="11">
        <v>0</v>
      </c>
      <c r="F44" s="11">
        <v>0</v>
      </c>
      <c r="G44" s="80"/>
      <c r="H44" s="56"/>
      <c r="I44" s="102"/>
      <c r="J44" s="56"/>
      <c r="K44" s="28"/>
      <c r="L44" s="28"/>
      <c r="M44" s="28"/>
      <c r="N44" s="28"/>
      <c r="O44" s="28"/>
      <c r="P44" s="28"/>
      <c r="Q44" s="28"/>
      <c r="R44" s="28"/>
      <c r="S44" s="28"/>
      <c r="T44" s="28"/>
      <c r="U44" s="3"/>
      <c r="W44" s="3"/>
      <c r="X44" s="3"/>
      <c r="Y44" s="3"/>
      <c r="Z44" s="3"/>
    </row>
    <row r="45" spans="1:26" ht="14.4" outlineLevel="1" x14ac:dyDescent="0.3">
      <c r="A45" s="3"/>
      <c r="B45" s="9" t="s">
        <v>1194</v>
      </c>
      <c r="C45" s="53">
        <v>10</v>
      </c>
      <c r="D45" s="53" t="s">
        <v>95</v>
      </c>
      <c r="E45" s="11">
        <v>0</v>
      </c>
      <c r="F45" s="11">
        <v>264.02</v>
      </c>
      <c r="G45" s="56" t="s">
        <v>1593</v>
      </c>
      <c r="H45" s="56" t="s">
        <v>37</v>
      </c>
      <c r="I45" s="102" t="s">
        <v>1594</v>
      </c>
      <c r="J45" s="56"/>
      <c r="K45" s="28"/>
      <c r="L45" s="28"/>
      <c r="M45" s="28"/>
      <c r="N45" s="28"/>
      <c r="O45" s="28"/>
      <c r="P45" s="28"/>
      <c r="Q45" s="28"/>
      <c r="R45" s="28"/>
      <c r="S45" s="28"/>
      <c r="T45" s="28"/>
      <c r="U45" s="3"/>
      <c r="W45" s="3"/>
      <c r="X45" s="3"/>
      <c r="Y45" s="3"/>
      <c r="Z45" s="3"/>
    </row>
    <row r="46" spans="1:26" ht="14.4" outlineLevel="1" x14ac:dyDescent="0.3">
      <c r="A46" s="3"/>
      <c r="B46" s="9" t="s">
        <v>1197</v>
      </c>
      <c r="C46" s="53">
        <v>10</v>
      </c>
      <c r="D46" s="53" t="s">
        <v>95</v>
      </c>
      <c r="E46" s="11">
        <v>0</v>
      </c>
      <c r="F46" s="11">
        <v>448.33</v>
      </c>
      <c r="G46" s="56" t="s">
        <v>1595</v>
      </c>
      <c r="H46" s="56" t="s">
        <v>37</v>
      </c>
      <c r="I46" s="102" t="s">
        <v>1596</v>
      </c>
      <c r="J46" s="56"/>
      <c r="K46" s="28"/>
      <c r="L46" s="28"/>
      <c r="M46" s="28"/>
      <c r="N46" s="28"/>
      <c r="O46" s="28"/>
      <c r="P46" s="28"/>
      <c r="Q46" s="28"/>
      <c r="R46" s="28"/>
      <c r="S46" s="28"/>
      <c r="T46" s="28"/>
      <c r="U46" s="3"/>
      <c r="W46" s="3"/>
      <c r="X46" s="3"/>
      <c r="Y46" s="3"/>
      <c r="Z46" s="3"/>
    </row>
    <row r="47" spans="1:26" ht="14.4" outlineLevel="1" x14ac:dyDescent="0.3">
      <c r="A47" s="3"/>
      <c r="B47" s="9" t="s">
        <v>51</v>
      </c>
      <c r="C47" s="53"/>
      <c r="D47" s="53"/>
      <c r="E47" s="11">
        <v>0</v>
      </c>
      <c r="F47" s="11">
        <v>0</v>
      </c>
      <c r="G47" s="56"/>
      <c r="H47" s="56"/>
      <c r="I47" s="102"/>
      <c r="J47" s="56"/>
      <c r="K47" s="28"/>
      <c r="L47" s="28"/>
      <c r="M47" s="28"/>
      <c r="N47" s="28"/>
      <c r="O47" s="28"/>
      <c r="P47" s="28"/>
      <c r="Q47" s="28"/>
      <c r="R47" s="28"/>
      <c r="S47" s="28"/>
      <c r="T47" s="28"/>
      <c r="U47" s="3"/>
      <c r="W47" s="3"/>
      <c r="X47" s="3"/>
      <c r="Y47" s="3"/>
      <c r="Z47" s="3"/>
    </row>
    <row r="48" spans="1:26" ht="14.4" outlineLevel="1" x14ac:dyDescent="0.3">
      <c r="A48" s="3"/>
      <c r="B48" s="9" t="s">
        <v>51</v>
      </c>
      <c r="C48" s="53"/>
      <c r="D48" s="53"/>
      <c r="E48" s="11">
        <v>0</v>
      </c>
      <c r="F48" s="11">
        <v>0</v>
      </c>
      <c r="G48" s="56"/>
      <c r="H48" s="56"/>
      <c r="I48" s="102"/>
      <c r="J48" s="56"/>
      <c r="K48" s="28"/>
      <c r="L48" s="28"/>
      <c r="M48" s="28"/>
      <c r="N48" s="28"/>
      <c r="O48" s="28"/>
      <c r="P48" s="28"/>
      <c r="Q48" s="28"/>
      <c r="R48" s="28"/>
      <c r="S48" s="28"/>
      <c r="T48" s="28"/>
      <c r="U48" s="3"/>
      <c r="W48" s="3"/>
      <c r="X48" s="3"/>
      <c r="Y48" s="3"/>
      <c r="Z48" s="3"/>
    </row>
    <row r="49" spans="1:26" ht="14.4" outlineLevel="1" x14ac:dyDescent="0.3">
      <c r="A49" s="3"/>
      <c r="B49" s="9" t="s">
        <v>51</v>
      </c>
      <c r="C49" s="53"/>
      <c r="D49" s="53"/>
      <c r="E49" s="11">
        <v>0</v>
      </c>
      <c r="F49" s="11">
        <v>0</v>
      </c>
      <c r="G49" s="56"/>
      <c r="H49" s="56"/>
      <c r="I49" s="102"/>
      <c r="J49" s="56"/>
      <c r="K49" s="28"/>
      <c r="L49" s="28"/>
      <c r="M49" s="28"/>
      <c r="N49" s="28"/>
      <c r="O49" s="28"/>
      <c r="P49" s="28"/>
      <c r="Q49" s="28"/>
      <c r="R49" s="28"/>
      <c r="S49" s="28"/>
      <c r="T49" s="28"/>
      <c r="U49" s="3"/>
      <c r="W49" s="3"/>
      <c r="X49" s="3"/>
      <c r="Y49" s="3"/>
      <c r="Z49" s="3"/>
    </row>
    <row r="50" spans="1:26" ht="14.4" outlineLevel="1" x14ac:dyDescent="0.3">
      <c r="A50" s="3"/>
      <c r="B50" s="9" t="s">
        <v>51</v>
      </c>
      <c r="C50" s="53"/>
      <c r="D50" s="53"/>
      <c r="E50" s="11">
        <v>0</v>
      </c>
      <c r="F50" s="11">
        <v>0</v>
      </c>
      <c r="G50" s="80"/>
      <c r="H50" s="56"/>
      <c r="I50" s="102"/>
      <c r="J50" s="56"/>
      <c r="K50" s="28"/>
      <c r="L50" s="28"/>
      <c r="M50" s="28"/>
      <c r="N50" s="28"/>
      <c r="O50" s="28"/>
      <c r="P50" s="28"/>
      <c r="Q50" s="28"/>
      <c r="R50" s="28"/>
      <c r="S50" s="28"/>
      <c r="T50" s="28"/>
      <c r="U50" s="3"/>
      <c r="W50" s="3"/>
      <c r="X50" s="3"/>
      <c r="Y50" s="3"/>
      <c r="Z50" s="3"/>
    </row>
    <row r="51" spans="1:26" ht="14.4" outlineLevel="1" x14ac:dyDescent="0.3">
      <c r="A51" s="3"/>
      <c r="B51" s="9" t="s">
        <v>51</v>
      </c>
      <c r="C51" s="53"/>
      <c r="D51" s="53"/>
      <c r="E51" s="11">
        <v>0</v>
      </c>
      <c r="F51" s="11">
        <v>0</v>
      </c>
      <c r="G51" s="80"/>
      <c r="H51" s="56"/>
      <c r="I51" s="102"/>
      <c r="J51" s="56"/>
      <c r="K51" s="28"/>
      <c r="L51" s="28"/>
      <c r="M51" s="28"/>
      <c r="N51" s="28"/>
      <c r="O51" s="28"/>
      <c r="P51" s="28"/>
      <c r="Q51" s="28"/>
      <c r="R51" s="28"/>
      <c r="S51" s="28"/>
      <c r="T51" s="28"/>
      <c r="U51" s="3"/>
      <c r="W51" s="3"/>
      <c r="X51" s="3"/>
      <c r="Y51" s="3"/>
      <c r="Z51" s="3"/>
    </row>
    <row r="52" spans="1:26" ht="14.4" outlineLevel="1" x14ac:dyDescent="0.3">
      <c r="A52" s="3"/>
      <c r="B52" s="9" t="s">
        <v>51</v>
      </c>
      <c r="C52" s="71"/>
      <c r="D52" s="53"/>
      <c r="E52" s="11">
        <v>0</v>
      </c>
      <c r="F52" s="11">
        <v>0</v>
      </c>
      <c r="G52" s="56"/>
      <c r="H52" s="56"/>
      <c r="I52" s="102"/>
      <c r="J52" s="56"/>
      <c r="K52" s="28"/>
      <c r="L52" s="28"/>
      <c r="M52" s="28"/>
      <c r="N52" s="28"/>
      <c r="O52" s="28"/>
      <c r="P52" s="28"/>
      <c r="Q52" s="28"/>
      <c r="R52" s="28"/>
      <c r="S52" s="28"/>
      <c r="T52" s="28"/>
      <c r="U52" s="3"/>
      <c r="W52" s="3"/>
      <c r="X52" s="3"/>
      <c r="Y52" s="3"/>
      <c r="Z52" s="3"/>
    </row>
    <row r="53" spans="1:26" ht="14.4" outlineLevel="1" x14ac:dyDescent="0.3">
      <c r="A53" s="3"/>
      <c r="B53" s="9" t="s">
        <v>51</v>
      </c>
      <c r="C53" s="53"/>
      <c r="D53" s="53"/>
      <c r="E53" s="11">
        <v>0</v>
      </c>
      <c r="F53" s="11">
        <v>0</v>
      </c>
      <c r="G53" s="56"/>
      <c r="H53" s="56"/>
      <c r="I53" s="102"/>
      <c r="J53" s="56"/>
      <c r="K53" s="28"/>
      <c r="L53" s="28"/>
      <c r="M53" s="28"/>
      <c r="N53" s="28"/>
      <c r="O53" s="28"/>
      <c r="P53" s="28"/>
      <c r="Q53" s="28"/>
      <c r="R53" s="28"/>
      <c r="S53" s="28"/>
      <c r="T53" s="28"/>
      <c r="U53" s="3"/>
      <c r="W53" s="3"/>
      <c r="X53" s="3"/>
      <c r="Y53" s="3"/>
      <c r="Z53" s="3"/>
    </row>
    <row r="54" spans="1:26" ht="14.4" outlineLevel="1" x14ac:dyDescent="0.3">
      <c r="A54" s="3"/>
      <c r="B54" s="9" t="s">
        <v>51</v>
      </c>
      <c r="C54" s="53"/>
      <c r="D54" s="53"/>
      <c r="E54" s="11">
        <v>0</v>
      </c>
      <c r="F54" s="11">
        <v>0</v>
      </c>
      <c r="G54" s="56"/>
      <c r="H54" s="56"/>
      <c r="I54" s="102"/>
      <c r="J54" s="56"/>
      <c r="K54" s="28"/>
      <c r="L54" s="28"/>
      <c r="M54" s="28"/>
      <c r="N54" s="28"/>
      <c r="O54" s="28"/>
      <c r="P54" s="28"/>
      <c r="Q54" s="28"/>
      <c r="R54" s="28"/>
      <c r="S54" s="28"/>
      <c r="T54" s="28"/>
      <c r="U54" s="3"/>
      <c r="W54" s="3"/>
      <c r="X54" s="3"/>
      <c r="Y54" s="3"/>
      <c r="Z54" s="3"/>
    </row>
    <row r="55" spans="1:26" ht="14.4" outlineLevel="1" x14ac:dyDescent="0.3">
      <c r="A55" s="3"/>
      <c r="B55" s="9" t="s">
        <v>51</v>
      </c>
      <c r="C55" s="53"/>
      <c r="D55" s="53"/>
      <c r="E55" s="11">
        <v>0</v>
      </c>
      <c r="F55" s="11">
        <v>0</v>
      </c>
      <c r="G55" s="80"/>
      <c r="H55" s="56"/>
      <c r="I55" s="102"/>
      <c r="J55" s="56"/>
      <c r="K55" s="28"/>
      <c r="L55" s="28"/>
      <c r="M55" s="28"/>
      <c r="N55" s="28"/>
      <c r="O55" s="28"/>
      <c r="P55" s="28"/>
      <c r="Q55" s="28"/>
      <c r="R55" s="28"/>
      <c r="S55" s="28"/>
      <c r="T55" s="28"/>
      <c r="U55" s="3"/>
      <c r="W55" s="3"/>
      <c r="X55" s="3"/>
      <c r="Y55" s="3"/>
      <c r="Z55" s="3"/>
    </row>
    <row r="56" spans="1:26" ht="14.4" outlineLevel="1" x14ac:dyDescent="0.3">
      <c r="A56" s="3"/>
      <c r="B56" s="9" t="s">
        <v>51</v>
      </c>
      <c r="C56" s="53"/>
      <c r="D56" s="53"/>
      <c r="E56" s="11">
        <v>0</v>
      </c>
      <c r="F56" s="11">
        <v>0</v>
      </c>
      <c r="G56" s="80"/>
      <c r="H56" s="56"/>
      <c r="I56" s="102"/>
      <c r="J56" s="56"/>
      <c r="K56" s="28"/>
      <c r="L56" s="28"/>
      <c r="M56" s="28"/>
      <c r="N56" s="28"/>
      <c r="O56" s="28"/>
      <c r="P56" s="28"/>
      <c r="Q56" s="28"/>
      <c r="R56" s="28"/>
      <c r="S56" s="28"/>
      <c r="T56" s="28"/>
      <c r="U56" s="3"/>
      <c r="W56" s="3"/>
      <c r="X56" s="3"/>
      <c r="Y56" s="3"/>
      <c r="Z56" s="3"/>
    </row>
    <row r="57" spans="1:26" ht="14.4" outlineLevel="1" x14ac:dyDescent="0.3">
      <c r="A57" s="3"/>
      <c r="B57" s="9" t="s">
        <v>51</v>
      </c>
      <c r="C57" s="53"/>
      <c r="D57" s="53"/>
      <c r="E57" s="11">
        <v>0</v>
      </c>
      <c r="F57" s="11">
        <v>0</v>
      </c>
      <c r="G57" s="80"/>
      <c r="H57" s="56"/>
      <c r="I57" s="102"/>
      <c r="J57" s="56"/>
      <c r="K57" s="28"/>
      <c r="L57" s="28"/>
      <c r="M57" s="28"/>
      <c r="N57" s="28"/>
      <c r="O57" s="28"/>
      <c r="P57" s="28"/>
      <c r="Q57" s="28"/>
      <c r="R57" s="28"/>
      <c r="S57" s="28"/>
      <c r="T57" s="28"/>
      <c r="U57" s="3"/>
      <c r="W57" s="3"/>
      <c r="X57" s="3"/>
      <c r="Y57" s="3"/>
      <c r="Z57" s="3"/>
    </row>
    <row r="58" spans="1:26" ht="14.4" outlineLevel="1" x14ac:dyDescent="0.3">
      <c r="A58" s="3"/>
      <c r="B58" s="9" t="s">
        <v>51</v>
      </c>
      <c r="C58" s="53"/>
      <c r="D58" s="53"/>
      <c r="E58" s="11">
        <v>0</v>
      </c>
      <c r="F58" s="11">
        <v>0</v>
      </c>
      <c r="G58" s="80"/>
      <c r="H58" s="56"/>
      <c r="I58" s="102"/>
      <c r="J58" s="56"/>
      <c r="K58" s="28"/>
      <c r="L58" s="28"/>
      <c r="M58" s="28"/>
      <c r="N58" s="28"/>
      <c r="O58" s="28"/>
      <c r="P58" s="28"/>
      <c r="Q58" s="28"/>
      <c r="R58" s="28"/>
      <c r="S58" s="28"/>
      <c r="T58" s="28"/>
      <c r="U58" s="3"/>
      <c r="W58" s="3"/>
      <c r="X58" s="3"/>
      <c r="Y58" s="3"/>
      <c r="Z58" s="3"/>
    </row>
    <row r="59" spans="1:26" ht="14.4" outlineLevel="1" x14ac:dyDescent="0.3">
      <c r="A59" s="3"/>
      <c r="B59" s="9" t="s">
        <v>51</v>
      </c>
      <c r="C59" s="53"/>
      <c r="D59" s="53"/>
      <c r="E59" s="11">
        <v>0</v>
      </c>
      <c r="F59" s="11">
        <v>0</v>
      </c>
      <c r="G59" s="80"/>
      <c r="H59" s="56"/>
      <c r="I59" s="102"/>
      <c r="J59" s="56"/>
      <c r="K59" s="28"/>
      <c r="L59" s="28"/>
      <c r="M59" s="28"/>
      <c r="N59" s="28"/>
      <c r="O59" s="28"/>
      <c r="P59" s="28"/>
      <c r="Q59" s="28"/>
      <c r="R59" s="28"/>
      <c r="S59" s="28"/>
      <c r="T59" s="28"/>
      <c r="U59" s="3"/>
      <c r="W59" s="3"/>
      <c r="X59" s="3"/>
      <c r="Y59" s="3"/>
      <c r="Z59" s="3"/>
    </row>
    <row r="60" spans="1:26" ht="14.4" outlineLevel="1" x14ac:dyDescent="0.3">
      <c r="A60" s="3"/>
      <c r="B60" s="9" t="s">
        <v>51</v>
      </c>
      <c r="C60" s="53"/>
      <c r="D60" s="53"/>
      <c r="E60" s="11">
        <v>0</v>
      </c>
      <c r="F60" s="11">
        <v>0</v>
      </c>
      <c r="G60" s="80"/>
      <c r="H60" s="56"/>
      <c r="I60" s="102"/>
      <c r="J60" s="56"/>
      <c r="K60" s="28"/>
      <c r="L60" s="28"/>
      <c r="M60" s="28"/>
      <c r="N60" s="28"/>
      <c r="O60" s="28"/>
      <c r="P60" s="28"/>
      <c r="Q60" s="28"/>
      <c r="R60" s="28"/>
      <c r="S60" s="28"/>
      <c r="T60" s="28"/>
      <c r="U60" s="3"/>
      <c r="W60" s="3"/>
      <c r="X60" s="3"/>
      <c r="Y60" s="3"/>
      <c r="Z60" s="3"/>
    </row>
    <row r="61" spans="1:26" ht="14.4" outlineLevel="1" x14ac:dyDescent="0.3">
      <c r="A61" s="3"/>
      <c r="B61" s="9" t="s">
        <v>51</v>
      </c>
      <c r="C61" s="53"/>
      <c r="D61" s="53"/>
      <c r="E61" s="11">
        <v>0</v>
      </c>
      <c r="F61" s="11">
        <v>0</v>
      </c>
      <c r="G61" s="80"/>
      <c r="H61" s="56"/>
      <c r="I61" s="102"/>
      <c r="J61" s="56"/>
      <c r="K61" s="28"/>
      <c r="L61" s="28"/>
      <c r="M61" s="28"/>
      <c r="N61" s="28"/>
      <c r="O61" s="28"/>
      <c r="P61" s="28"/>
      <c r="Q61" s="28"/>
      <c r="R61" s="28"/>
      <c r="S61" s="28"/>
      <c r="T61" s="28"/>
      <c r="U61" s="3"/>
      <c r="W61" s="3"/>
      <c r="X61" s="3"/>
      <c r="Y61" s="3"/>
      <c r="Z61" s="3"/>
    </row>
    <row r="62" spans="1:26" ht="14.4" outlineLevel="1" x14ac:dyDescent="0.3">
      <c r="A62" s="3"/>
      <c r="B62" s="9" t="s">
        <v>51</v>
      </c>
      <c r="C62" s="53"/>
      <c r="D62" s="53"/>
      <c r="E62" s="11">
        <v>0</v>
      </c>
      <c r="F62" s="11">
        <v>0</v>
      </c>
      <c r="G62" s="56"/>
      <c r="H62" s="56"/>
      <c r="I62" s="102"/>
      <c r="J62" s="56"/>
      <c r="K62" s="28"/>
      <c r="L62" s="28"/>
      <c r="M62" s="28"/>
      <c r="N62" s="28"/>
      <c r="O62" s="28"/>
      <c r="P62" s="28"/>
      <c r="Q62" s="28"/>
      <c r="R62" s="28"/>
      <c r="S62" s="28"/>
      <c r="T62" s="28"/>
      <c r="U62" s="3"/>
      <c r="W62" s="3"/>
      <c r="X62" s="3"/>
      <c r="Y62" s="3"/>
      <c r="Z62" s="3"/>
    </row>
    <row r="63" spans="1:26" ht="20.399999999999999" x14ac:dyDescent="0.3">
      <c r="A63" s="3"/>
      <c r="B63" s="75" t="s">
        <v>330</v>
      </c>
      <c r="C63" s="76" t="s">
        <v>44</v>
      </c>
      <c r="D63" s="76" t="s">
        <v>44</v>
      </c>
      <c r="E63" s="77">
        <f>SUM(E64:E89)</f>
        <v>0</v>
      </c>
      <c r="F63" s="77">
        <f>SUMIF(D64:D89,"OK",F64:F89)</f>
        <v>3018.28</v>
      </c>
      <c r="G63" s="78"/>
      <c r="H63" s="78"/>
      <c r="I63" s="79"/>
      <c r="J63" s="78"/>
      <c r="K63" s="28"/>
      <c r="L63" s="28"/>
      <c r="M63" s="28"/>
      <c r="N63" s="28"/>
      <c r="O63" s="28"/>
      <c r="P63" s="28"/>
      <c r="Q63" s="28"/>
      <c r="R63" s="28"/>
      <c r="S63" s="28"/>
      <c r="T63" s="28"/>
      <c r="U63" s="3"/>
    </row>
    <row r="64" spans="1:26" ht="14.4" outlineLevel="1" x14ac:dyDescent="0.3">
      <c r="A64" s="3"/>
      <c r="B64" s="9" t="s">
        <v>1200</v>
      </c>
      <c r="C64" s="71">
        <v>2</v>
      </c>
      <c r="D64" s="53" t="s">
        <v>95</v>
      </c>
      <c r="E64" s="11">
        <v>0</v>
      </c>
      <c r="F64" s="11">
        <v>265.49</v>
      </c>
      <c r="G64" s="56" t="s">
        <v>1597</v>
      </c>
      <c r="H64" s="56" t="s">
        <v>37</v>
      </c>
      <c r="I64" s="102" t="s">
        <v>1598</v>
      </c>
      <c r="J64" s="80"/>
      <c r="K64" s="28"/>
      <c r="L64" s="28"/>
      <c r="M64" s="28"/>
      <c r="N64" s="28"/>
      <c r="O64" s="28"/>
      <c r="P64" s="28"/>
      <c r="Q64" s="28"/>
      <c r="R64" s="28"/>
      <c r="S64" s="28"/>
      <c r="T64" s="28"/>
      <c r="U64" s="3"/>
      <c r="V64" s="14"/>
    </row>
    <row r="65" spans="1:22" ht="14.4" outlineLevel="1" x14ac:dyDescent="0.3">
      <c r="A65" s="3"/>
      <c r="B65" s="9" t="s">
        <v>1200</v>
      </c>
      <c r="C65" s="71">
        <v>2</v>
      </c>
      <c r="D65" s="53" t="s">
        <v>95</v>
      </c>
      <c r="E65" s="11">
        <v>0</v>
      </c>
      <c r="F65" s="11">
        <v>85.44</v>
      </c>
      <c r="G65" s="56" t="s">
        <v>1599</v>
      </c>
      <c r="H65" s="56" t="s">
        <v>37</v>
      </c>
      <c r="I65" s="102" t="s">
        <v>1600</v>
      </c>
      <c r="J65" s="80"/>
      <c r="K65" s="28"/>
      <c r="L65" s="28"/>
      <c r="M65" s="28"/>
      <c r="N65" s="28"/>
      <c r="O65" s="28"/>
      <c r="P65" s="28"/>
      <c r="Q65" s="28"/>
      <c r="R65" s="28"/>
      <c r="S65" s="28"/>
      <c r="T65" s="28"/>
      <c r="U65" s="3"/>
      <c r="V65" s="14"/>
    </row>
    <row r="66" spans="1:22" ht="14.4" outlineLevel="1" x14ac:dyDescent="0.3">
      <c r="A66" s="3"/>
      <c r="B66" s="9" t="s">
        <v>1200</v>
      </c>
      <c r="C66" s="71">
        <v>5</v>
      </c>
      <c r="D66" s="53" t="s">
        <v>95</v>
      </c>
      <c r="E66" s="11">
        <v>0</v>
      </c>
      <c r="F66" s="11">
        <v>30</v>
      </c>
      <c r="G66" s="56" t="s">
        <v>788</v>
      </c>
      <c r="H66" s="56" t="s">
        <v>37</v>
      </c>
      <c r="I66" s="102" t="s">
        <v>1601</v>
      </c>
      <c r="J66" s="80"/>
      <c r="K66" s="28"/>
      <c r="L66" s="28"/>
      <c r="M66" s="28"/>
      <c r="N66" s="28"/>
      <c r="O66" s="28"/>
      <c r="P66" s="28"/>
      <c r="Q66" s="28"/>
      <c r="R66" s="28"/>
      <c r="S66" s="28"/>
      <c r="T66" s="28"/>
      <c r="U66" s="3"/>
      <c r="V66" s="14"/>
    </row>
    <row r="67" spans="1:22" ht="14.4" outlineLevel="1" x14ac:dyDescent="0.3">
      <c r="A67" s="3"/>
      <c r="B67" s="9" t="s">
        <v>1200</v>
      </c>
      <c r="C67" s="71"/>
      <c r="D67" s="53"/>
      <c r="E67" s="11">
        <v>0</v>
      </c>
      <c r="F67" s="11">
        <v>0</v>
      </c>
      <c r="G67" s="56"/>
      <c r="H67" s="56"/>
      <c r="I67" s="102"/>
      <c r="J67" s="80"/>
      <c r="K67" s="28"/>
      <c r="L67" s="28"/>
      <c r="M67" s="28"/>
      <c r="N67" s="28"/>
      <c r="O67" s="28"/>
      <c r="P67" s="28"/>
      <c r="Q67" s="28"/>
      <c r="R67" s="28"/>
      <c r="S67" s="28"/>
      <c r="T67" s="28"/>
      <c r="U67" s="3"/>
      <c r="V67" s="14"/>
    </row>
    <row r="68" spans="1:22" ht="14.4" outlineLevel="1" x14ac:dyDescent="0.3">
      <c r="A68" s="3"/>
      <c r="B68" s="9" t="s">
        <v>1200</v>
      </c>
      <c r="C68" s="71"/>
      <c r="D68" s="53"/>
      <c r="E68" s="11">
        <v>0</v>
      </c>
      <c r="F68" s="11">
        <v>0</v>
      </c>
      <c r="G68" s="56"/>
      <c r="H68" s="56"/>
      <c r="I68" s="102"/>
      <c r="J68" s="80"/>
      <c r="K68" s="28"/>
      <c r="L68" s="28"/>
      <c r="M68" s="28"/>
      <c r="N68" s="28"/>
      <c r="O68" s="28"/>
      <c r="P68" s="28"/>
      <c r="Q68" s="28"/>
      <c r="R68" s="28"/>
      <c r="S68" s="28"/>
      <c r="T68" s="28"/>
      <c r="U68" s="3"/>
      <c r="V68" s="14"/>
    </row>
    <row r="69" spans="1:22" ht="14.4" outlineLevel="1" x14ac:dyDescent="0.3">
      <c r="A69" s="3"/>
      <c r="B69" s="9" t="s">
        <v>1203</v>
      </c>
      <c r="C69" s="71">
        <v>16</v>
      </c>
      <c r="D69" s="53" t="s">
        <v>95</v>
      </c>
      <c r="E69" s="11">
        <v>0</v>
      </c>
      <c r="F69" s="11">
        <v>68.86</v>
      </c>
      <c r="G69" s="56" t="s">
        <v>1599</v>
      </c>
      <c r="H69" s="56" t="s">
        <v>37</v>
      </c>
      <c r="I69" s="102" t="s">
        <v>1602</v>
      </c>
      <c r="J69" s="80"/>
      <c r="K69" s="28"/>
      <c r="L69" s="28"/>
      <c r="M69" s="28"/>
      <c r="N69" s="28"/>
      <c r="O69" s="28"/>
      <c r="P69" s="28"/>
      <c r="Q69" s="28"/>
      <c r="R69" s="28"/>
      <c r="S69" s="28"/>
      <c r="T69" s="28"/>
      <c r="U69" s="3"/>
      <c r="V69" s="14"/>
    </row>
    <row r="70" spans="1:22" ht="14.4" outlineLevel="1" x14ac:dyDescent="0.3">
      <c r="A70" s="3"/>
      <c r="B70" s="9" t="s">
        <v>1203</v>
      </c>
      <c r="C70" s="71">
        <v>16</v>
      </c>
      <c r="D70" s="53" t="s">
        <v>95</v>
      </c>
      <c r="E70" s="11">
        <v>0</v>
      </c>
      <c r="F70" s="11">
        <v>289.67</v>
      </c>
      <c r="G70" s="56" t="s">
        <v>1599</v>
      </c>
      <c r="H70" s="56" t="s">
        <v>37</v>
      </c>
      <c r="I70" s="102" t="s">
        <v>1603</v>
      </c>
      <c r="J70" s="80"/>
      <c r="K70" s="28"/>
      <c r="L70" s="28"/>
      <c r="M70" s="28"/>
      <c r="N70" s="28"/>
      <c r="O70" s="28"/>
      <c r="P70" s="28"/>
      <c r="Q70" s="28"/>
      <c r="R70" s="28"/>
      <c r="S70" s="28"/>
      <c r="T70" s="28"/>
      <c r="U70" s="3"/>
      <c r="V70" s="14"/>
    </row>
    <row r="71" spans="1:22" ht="14.4" outlineLevel="1" x14ac:dyDescent="0.3">
      <c r="A71" s="3"/>
      <c r="B71" s="9" t="s">
        <v>1203</v>
      </c>
      <c r="C71" s="71">
        <v>18</v>
      </c>
      <c r="D71" s="53" t="s">
        <v>95</v>
      </c>
      <c r="E71" s="11">
        <v>0</v>
      </c>
      <c r="F71" s="11">
        <v>70</v>
      </c>
      <c r="G71" s="56" t="s">
        <v>788</v>
      </c>
      <c r="H71" s="56" t="s">
        <v>37</v>
      </c>
      <c r="I71" s="102" t="s">
        <v>1601</v>
      </c>
      <c r="J71" s="80"/>
      <c r="K71" s="28"/>
      <c r="L71" s="28"/>
      <c r="M71" s="28"/>
      <c r="N71" s="28"/>
      <c r="O71" s="28"/>
      <c r="P71" s="28"/>
      <c r="Q71" s="28"/>
      <c r="R71" s="28"/>
      <c r="S71" s="28"/>
      <c r="T71" s="28"/>
      <c r="U71" s="3"/>
      <c r="V71" s="14"/>
    </row>
    <row r="72" spans="1:22" ht="14.4" outlineLevel="1" x14ac:dyDescent="0.3">
      <c r="A72" s="3"/>
      <c r="B72" s="9" t="s">
        <v>1203</v>
      </c>
      <c r="C72" s="71"/>
      <c r="D72" s="53"/>
      <c r="E72" s="11">
        <v>0</v>
      </c>
      <c r="F72" s="11">
        <v>0</v>
      </c>
      <c r="G72" s="56"/>
      <c r="H72" s="56"/>
      <c r="I72" s="102"/>
      <c r="J72" s="80"/>
      <c r="K72" s="28"/>
      <c r="L72" s="28"/>
      <c r="M72" s="28"/>
      <c r="N72" s="28"/>
      <c r="O72" s="28"/>
      <c r="P72" s="28"/>
      <c r="Q72" s="28"/>
      <c r="R72" s="28"/>
      <c r="S72" s="28"/>
      <c r="T72" s="28"/>
      <c r="U72" s="3"/>
      <c r="V72" s="14"/>
    </row>
    <row r="73" spans="1:22" ht="14.4" outlineLevel="1" x14ac:dyDescent="0.3">
      <c r="A73" s="3"/>
      <c r="B73" s="9" t="s">
        <v>1203</v>
      </c>
      <c r="C73" s="71"/>
      <c r="D73" s="53"/>
      <c r="E73" s="11">
        <v>0</v>
      </c>
      <c r="F73" s="11">
        <v>0</v>
      </c>
      <c r="G73" s="56"/>
      <c r="H73" s="56"/>
      <c r="I73" s="102"/>
      <c r="J73" s="80"/>
      <c r="K73" s="28"/>
      <c r="L73" s="28"/>
      <c r="M73" s="28"/>
      <c r="N73" s="28"/>
      <c r="O73" s="28"/>
      <c r="P73" s="28"/>
      <c r="Q73" s="28"/>
      <c r="R73" s="28"/>
      <c r="S73" s="28"/>
      <c r="T73" s="28"/>
      <c r="U73" s="3"/>
      <c r="V73" s="14"/>
    </row>
    <row r="74" spans="1:22" ht="14.4" outlineLevel="1" x14ac:dyDescent="0.3">
      <c r="A74" s="3"/>
      <c r="B74" s="9" t="s">
        <v>1203</v>
      </c>
      <c r="C74" s="71"/>
      <c r="D74" s="53"/>
      <c r="E74" s="11">
        <v>0</v>
      </c>
      <c r="F74" s="11">
        <v>0</v>
      </c>
      <c r="G74" s="56"/>
      <c r="H74" s="56"/>
      <c r="I74" s="102"/>
      <c r="J74" s="80"/>
      <c r="K74" s="28"/>
      <c r="L74" s="28"/>
      <c r="M74" s="28"/>
      <c r="N74" s="28"/>
      <c r="O74" s="28"/>
      <c r="P74" s="28"/>
      <c r="Q74" s="28"/>
      <c r="R74" s="28"/>
      <c r="S74" s="28"/>
      <c r="T74" s="28"/>
      <c r="U74" s="3"/>
      <c r="V74" s="14"/>
    </row>
    <row r="75" spans="1:22" ht="14.4" outlineLevel="1" x14ac:dyDescent="0.3">
      <c r="A75" s="3"/>
      <c r="B75" s="9" t="s">
        <v>1203</v>
      </c>
      <c r="C75" s="71"/>
      <c r="D75" s="53"/>
      <c r="E75" s="11">
        <v>0</v>
      </c>
      <c r="F75" s="11">
        <v>0</v>
      </c>
      <c r="G75" s="56"/>
      <c r="H75" s="56"/>
      <c r="I75" s="102"/>
      <c r="J75" s="80"/>
      <c r="K75" s="28"/>
      <c r="L75" s="28"/>
      <c r="M75" s="28"/>
      <c r="N75" s="28"/>
      <c r="O75" s="28"/>
      <c r="P75" s="28"/>
      <c r="Q75" s="28"/>
      <c r="R75" s="28"/>
      <c r="S75" s="28"/>
      <c r="T75" s="28"/>
      <c r="U75" s="3"/>
      <c r="V75" s="14"/>
    </row>
    <row r="76" spans="1:22" ht="14.4" outlineLevel="1" x14ac:dyDescent="0.3">
      <c r="A76" s="3"/>
      <c r="B76" s="9" t="s">
        <v>1203</v>
      </c>
      <c r="C76" s="71"/>
      <c r="D76" s="53"/>
      <c r="E76" s="11">
        <v>0</v>
      </c>
      <c r="F76" s="11">
        <v>0</v>
      </c>
      <c r="G76" s="56"/>
      <c r="H76" s="56"/>
      <c r="I76" s="102"/>
      <c r="J76" s="80"/>
      <c r="K76" s="28"/>
      <c r="L76" s="28"/>
      <c r="M76" s="28"/>
      <c r="N76" s="28"/>
      <c r="O76" s="28"/>
      <c r="P76" s="28"/>
      <c r="Q76" s="28"/>
      <c r="R76" s="28"/>
      <c r="S76" s="28"/>
      <c r="T76" s="28"/>
      <c r="U76" s="3"/>
      <c r="V76" s="14"/>
    </row>
    <row r="77" spans="1:22" ht="14.4" outlineLevel="1" x14ac:dyDescent="0.3">
      <c r="A77" s="3"/>
      <c r="B77" s="9" t="s">
        <v>331</v>
      </c>
      <c r="C77" s="71">
        <v>8</v>
      </c>
      <c r="D77" s="53" t="s">
        <v>95</v>
      </c>
      <c r="E77" s="11">
        <v>0</v>
      </c>
      <c r="F77" s="11">
        <v>637.70000000000005</v>
      </c>
      <c r="G77" s="56"/>
      <c r="H77" s="56" t="s">
        <v>37</v>
      </c>
      <c r="I77" s="102" t="s">
        <v>1604</v>
      </c>
      <c r="J77" s="80"/>
      <c r="K77" s="28"/>
      <c r="L77" s="28"/>
      <c r="M77" s="28"/>
      <c r="N77" s="28"/>
      <c r="O77" s="28"/>
      <c r="P77" s="28"/>
      <c r="Q77" s="28"/>
      <c r="R77" s="28"/>
      <c r="S77" s="28"/>
      <c r="T77" s="28"/>
      <c r="U77" s="3"/>
      <c r="V77" s="14"/>
    </row>
    <row r="78" spans="1:22" ht="14.4" outlineLevel="1" x14ac:dyDescent="0.3">
      <c r="A78" s="3"/>
      <c r="B78" s="9" t="s">
        <v>331</v>
      </c>
      <c r="C78" s="71">
        <v>23</v>
      </c>
      <c r="D78" s="53" t="s">
        <v>95</v>
      </c>
      <c r="E78" s="11">
        <v>0</v>
      </c>
      <c r="F78" s="11">
        <v>107.8</v>
      </c>
      <c r="G78" s="56"/>
      <c r="H78" s="56" t="s">
        <v>37</v>
      </c>
      <c r="I78" s="102" t="s">
        <v>1605</v>
      </c>
      <c r="J78" s="80"/>
      <c r="K78" s="28"/>
      <c r="L78" s="28"/>
      <c r="M78" s="28"/>
      <c r="N78" s="28"/>
      <c r="O78" s="28"/>
      <c r="P78" s="28"/>
      <c r="Q78" s="28"/>
      <c r="R78" s="28"/>
      <c r="S78" s="28"/>
      <c r="T78" s="28"/>
      <c r="U78" s="3"/>
      <c r="V78" s="14"/>
    </row>
    <row r="79" spans="1:22" ht="14.4" outlineLevel="1" x14ac:dyDescent="0.3">
      <c r="A79" s="3"/>
      <c r="B79" s="9" t="s">
        <v>331</v>
      </c>
      <c r="C79" s="71"/>
      <c r="D79" s="53"/>
      <c r="E79" s="11">
        <v>0</v>
      </c>
      <c r="F79" s="11">
        <v>0</v>
      </c>
      <c r="G79" s="56"/>
      <c r="H79" s="56"/>
      <c r="I79" s="102"/>
      <c r="J79" s="80"/>
      <c r="K79" s="28"/>
      <c r="L79" s="28"/>
      <c r="M79" s="28"/>
      <c r="N79" s="28"/>
      <c r="O79" s="28"/>
      <c r="P79" s="28"/>
      <c r="Q79" s="28"/>
      <c r="R79" s="28"/>
      <c r="S79" s="28"/>
      <c r="T79" s="28"/>
      <c r="U79" s="3"/>
      <c r="V79" s="14"/>
    </row>
    <row r="80" spans="1:22" ht="14.4" outlineLevel="1" x14ac:dyDescent="0.3">
      <c r="A80" s="3"/>
      <c r="B80" s="9" t="s">
        <v>335</v>
      </c>
      <c r="C80" s="53"/>
      <c r="D80" s="53"/>
      <c r="E80" s="11">
        <v>0</v>
      </c>
      <c r="F80" s="11">
        <v>0</v>
      </c>
      <c r="G80" s="56"/>
      <c r="H80" s="56"/>
      <c r="I80" s="102"/>
      <c r="J80" s="56"/>
      <c r="K80" s="28"/>
      <c r="L80" s="28"/>
      <c r="M80" s="28"/>
      <c r="N80" s="28"/>
      <c r="O80" s="28"/>
      <c r="P80" s="28"/>
      <c r="Q80" s="28"/>
      <c r="R80" s="28"/>
      <c r="S80" s="28"/>
      <c r="T80" s="28"/>
      <c r="U80" s="3"/>
    </row>
    <row r="81" spans="1:26" ht="14.4" outlineLevel="1" x14ac:dyDescent="0.3">
      <c r="A81" s="3"/>
      <c r="B81" s="9" t="s">
        <v>335</v>
      </c>
      <c r="C81" s="53"/>
      <c r="D81" s="53"/>
      <c r="E81" s="11">
        <v>0</v>
      </c>
      <c r="F81" s="11">
        <v>0</v>
      </c>
      <c r="G81" s="56"/>
      <c r="H81" s="56"/>
      <c r="I81" s="80"/>
      <c r="J81" s="56"/>
      <c r="K81" s="28"/>
      <c r="L81" s="28"/>
      <c r="M81" s="28"/>
      <c r="N81" s="28"/>
      <c r="O81" s="28"/>
      <c r="P81" s="28"/>
      <c r="Q81" s="28"/>
      <c r="R81" s="28"/>
      <c r="S81" s="28"/>
      <c r="T81" s="28"/>
      <c r="U81" s="3"/>
    </row>
    <row r="82" spans="1:26" ht="14.4" outlineLevel="1" x14ac:dyDescent="0.3">
      <c r="A82" s="3"/>
      <c r="B82" s="9" t="s">
        <v>628</v>
      </c>
      <c r="C82" s="71">
        <v>2</v>
      </c>
      <c r="D82" s="53" t="s">
        <v>95</v>
      </c>
      <c r="E82" s="11">
        <v>0</v>
      </c>
      <c r="F82" s="11">
        <f>430.86</f>
        <v>430.86</v>
      </c>
      <c r="G82" s="56" t="s">
        <v>1599</v>
      </c>
      <c r="H82" s="56" t="s">
        <v>37</v>
      </c>
      <c r="I82" s="102" t="s">
        <v>1606</v>
      </c>
      <c r="J82" s="80"/>
      <c r="K82" s="28"/>
      <c r="L82" s="28"/>
      <c r="M82" s="28"/>
      <c r="N82" s="28"/>
      <c r="O82" s="28"/>
      <c r="P82" s="28"/>
      <c r="Q82" s="28"/>
      <c r="R82" s="28"/>
      <c r="S82" s="28"/>
      <c r="T82" s="28"/>
      <c r="U82" s="3"/>
    </row>
    <row r="83" spans="1:26" ht="14.4" outlineLevel="1" x14ac:dyDescent="0.3">
      <c r="A83" s="3"/>
      <c r="B83" s="9" t="s">
        <v>628</v>
      </c>
      <c r="C83" s="71">
        <v>3</v>
      </c>
      <c r="D83" s="53" t="s">
        <v>95</v>
      </c>
      <c r="E83" s="11">
        <v>0</v>
      </c>
      <c r="F83" s="11">
        <v>140.37</v>
      </c>
      <c r="G83" s="56" t="s">
        <v>1607</v>
      </c>
      <c r="H83" s="56" t="s">
        <v>37</v>
      </c>
      <c r="I83" s="102" t="s">
        <v>1608</v>
      </c>
      <c r="J83" s="80"/>
      <c r="K83" s="28"/>
      <c r="L83" s="28"/>
      <c r="M83" s="28"/>
      <c r="N83" s="28"/>
      <c r="O83" s="28"/>
      <c r="P83" s="28"/>
      <c r="Q83" s="28"/>
      <c r="R83" s="28"/>
      <c r="S83" s="28"/>
      <c r="T83" s="28"/>
      <c r="U83" s="3"/>
    </row>
    <row r="84" spans="1:26" ht="14.4" outlineLevel="1" x14ac:dyDescent="0.3">
      <c r="A84" s="3"/>
      <c r="B84" s="9" t="s">
        <v>630</v>
      </c>
      <c r="C84" s="71">
        <v>16</v>
      </c>
      <c r="D84" s="53" t="s">
        <v>95</v>
      </c>
      <c r="E84" s="11">
        <v>0</v>
      </c>
      <c r="F84" s="11">
        <v>573.9</v>
      </c>
      <c r="G84" s="56" t="s">
        <v>1609</v>
      </c>
      <c r="H84" s="56" t="s">
        <v>37</v>
      </c>
      <c r="I84" s="102" t="s">
        <v>1610</v>
      </c>
      <c r="J84" s="80"/>
      <c r="K84" s="28"/>
      <c r="L84" s="28"/>
      <c r="M84" s="28"/>
      <c r="N84" s="28"/>
      <c r="O84" s="28"/>
      <c r="P84" s="28"/>
      <c r="Q84" s="28"/>
      <c r="R84" s="28"/>
      <c r="S84" s="28"/>
      <c r="T84" s="28"/>
      <c r="U84" s="3"/>
    </row>
    <row r="85" spans="1:26" ht="14.4" outlineLevel="1" x14ac:dyDescent="0.3">
      <c r="A85" s="3"/>
      <c r="B85" s="9" t="s">
        <v>630</v>
      </c>
      <c r="C85" s="71">
        <v>16</v>
      </c>
      <c r="D85" s="53" t="s">
        <v>95</v>
      </c>
      <c r="E85" s="11">
        <v>0</v>
      </c>
      <c r="F85" s="11">
        <v>30.19</v>
      </c>
      <c r="G85" s="56" t="s">
        <v>1609</v>
      </c>
      <c r="H85" s="56" t="s">
        <v>37</v>
      </c>
      <c r="I85" s="102" t="s">
        <v>1611</v>
      </c>
      <c r="J85" s="80"/>
      <c r="K85" s="28"/>
      <c r="L85" s="28"/>
      <c r="M85" s="28"/>
      <c r="N85" s="28"/>
      <c r="O85" s="28"/>
      <c r="P85" s="28"/>
      <c r="Q85" s="28"/>
      <c r="R85" s="28"/>
      <c r="S85" s="28"/>
      <c r="T85" s="28"/>
      <c r="U85" s="3"/>
    </row>
    <row r="86" spans="1:26" ht="14.4" outlineLevel="1" x14ac:dyDescent="0.3">
      <c r="A86" s="3"/>
      <c r="B86" s="9" t="s">
        <v>630</v>
      </c>
      <c r="C86" s="71"/>
      <c r="D86" s="53"/>
      <c r="E86" s="11">
        <v>0</v>
      </c>
      <c r="F86" s="11">
        <v>0</v>
      </c>
      <c r="G86" s="56"/>
      <c r="H86" s="56"/>
      <c r="I86" s="102"/>
      <c r="J86" s="80"/>
      <c r="K86" s="28"/>
      <c r="L86" s="28"/>
      <c r="M86" s="28"/>
      <c r="N86" s="28"/>
      <c r="O86" s="28"/>
      <c r="P86" s="28"/>
      <c r="Q86" s="28"/>
      <c r="R86" s="28"/>
      <c r="S86" s="28"/>
      <c r="T86" s="28"/>
      <c r="U86" s="3"/>
    </row>
    <row r="87" spans="1:26" ht="14.4" outlineLevel="1" x14ac:dyDescent="0.3">
      <c r="A87" s="3"/>
      <c r="B87" s="9" t="s">
        <v>1612</v>
      </c>
      <c r="C87" s="71"/>
      <c r="D87" s="53"/>
      <c r="E87" s="11">
        <v>0</v>
      </c>
      <c r="F87" s="11">
        <v>0</v>
      </c>
      <c r="G87" s="56"/>
      <c r="H87" s="56"/>
      <c r="I87" s="102"/>
      <c r="J87" s="56"/>
      <c r="K87" s="28"/>
      <c r="L87" s="28"/>
      <c r="M87" s="28"/>
      <c r="N87" s="28"/>
      <c r="O87" s="28"/>
      <c r="P87" s="28"/>
      <c r="Q87" s="28"/>
      <c r="R87" s="28"/>
      <c r="S87" s="28"/>
      <c r="T87" s="28"/>
      <c r="U87" s="3"/>
      <c r="W87" s="3"/>
      <c r="X87" s="3"/>
      <c r="Y87" s="3"/>
      <c r="Z87" s="3"/>
    </row>
    <row r="88" spans="1:26" ht="14.4" outlineLevel="1" x14ac:dyDescent="0.3">
      <c r="A88" s="3"/>
      <c r="B88" s="9" t="s">
        <v>66</v>
      </c>
      <c r="C88" s="53">
        <v>15</v>
      </c>
      <c r="D88" s="53" t="s">
        <v>95</v>
      </c>
      <c r="E88" s="11">
        <v>0</v>
      </c>
      <c r="F88" s="11">
        <v>170</v>
      </c>
      <c r="G88" s="56" t="s">
        <v>1613</v>
      </c>
      <c r="H88" s="56" t="s">
        <v>37</v>
      </c>
      <c r="I88" s="117" t="s">
        <v>1614</v>
      </c>
      <c r="J88" s="56"/>
      <c r="K88" s="28"/>
      <c r="L88" s="28"/>
      <c r="M88" s="28"/>
      <c r="N88" s="28"/>
      <c r="O88" s="28"/>
      <c r="P88" s="28"/>
      <c r="Q88" s="28"/>
      <c r="R88" s="28"/>
      <c r="S88" s="28"/>
      <c r="T88" s="28"/>
      <c r="U88" s="3"/>
      <c r="W88" s="3"/>
      <c r="X88" s="3"/>
      <c r="Y88" s="3"/>
      <c r="Z88" s="3"/>
    </row>
    <row r="89" spans="1:26" ht="14.4" outlineLevel="1" x14ac:dyDescent="0.3">
      <c r="A89" s="3"/>
      <c r="B89" s="9" t="s">
        <v>812</v>
      </c>
      <c r="C89" s="53">
        <v>30</v>
      </c>
      <c r="D89" s="53" t="s">
        <v>95</v>
      </c>
      <c r="E89" s="11">
        <v>0</v>
      </c>
      <c r="F89" s="11">
        <v>118</v>
      </c>
      <c r="G89" s="80"/>
      <c r="H89" s="56" t="s">
        <v>37</v>
      </c>
      <c r="I89" s="102" t="s">
        <v>1615</v>
      </c>
      <c r="J89" s="56"/>
      <c r="K89" s="28"/>
      <c r="L89" s="28"/>
      <c r="M89" s="28"/>
      <c r="N89" s="28"/>
      <c r="O89" s="28"/>
      <c r="P89" s="28"/>
      <c r="Q89" s="28"/>
      <c r="R89" s="28"/>
      <c r="S89" s="28"/>
      <c r="T89" s="28"/>
      <c r="U89" s="3"/>
      <c r="W89" s="3"/>
      <c r="X89" s="3"/>
      <c r="Y89" s="3"/>
      <c r="Z89" s="3"/>
    </row>
    <row r="90" spans="1:26" ht="20.399999999999999" x14ac:dyDescent="0.3">
      <c r="A90" s="3"/>
      <c r="B90" s="75" t="s">
        <v>349</v>
      </c>
      <c r="C90" s="76" t="s">
        <v>44</v>
      </c>
      <c r="D90" s="76" t="s">
        <v>44</v>
      </c>
      <c r="E90" s="77">
        <f t="shared" ref="E90:F90" si="0">SUM(E91,E107,E112)</f>
        <v>0</v>
      </c>
      <c r="F90" s="77">
        <f t="shared" si="0"/>
        <v>0</v>
      </c>
      <c r="G90" s="78"/>
      <c r="H90" s="78"/>
      <c r="I90" s="79"/>
      <c r="J90" s="78"/>
      <c r="K90" s="28"/>
      <c r="L90" s="28"/>
      <c r="M90" s="28"/>
      <c r="N90" s="28"/>
      <c r="O90" s="28"/>
      <c r="P90" s="28"/>
      <c r="Q90" s="28"/>
      <c r="R90" s="28"/>
      <c r="S90" s="28"/>
      <c r="T90" s="28"/>
      <c r="U90" s="3"/>
      <c r="W90" s="3"/>
      <c r="X90" s="3"/>
      <c r="Y90" s="3"/>
      <c r="Z90" s="3"/>
    </row>
    <row r="91" spans="1:26" outlineLevel="1" x14ac:dyDescent="0.3">
      <c r="A91" s="3"/>
      <c r="B91" s="82" t="s">
        <v>350</v>
      </c>
      <c r="C91" s="83"/>
      <c r="D91" s="83"/>
      <c r="E91" s="84">
        <f>SUM(E92:E106)</f>
        <v>0</v>
      </c>
      <c r="F91" s="84">
        <f>SUMIF(D92:D106,"OK",F92:F106)</f>
        <v>0</v>
      </c>
      <c r="G91" s="85"/>
      <c r="H91" s="85"/>
      <c r="I91" s="86"/>
      <c r="J91" s="85"/>
      <c r="K91" s="28"/>
      <c r="L91" s="28"/>
      <c r="M91" s="28"/>
      <c r="N91" s="28"/>
      <c r="O91" s="28"/>
      <c r="P91" s="28"/>
      <c r="Q91" s="28"/>
      <c r="R91" s="28"/>
      <c r="S91" s="28"/>
      <c r="T91" s="28"/>
      <c r="U91" s="3"/>
      <c r="W91" s="3"/>
      <c r="X91" s="3"/>
      <c r="Y91" s="3"/>
      <c r="Z91" s="3"/>
    </row>
    <row r="92" spans="1:26" ht="14.4" outlineLevel="1" x14ac:dyDescent="0.3">
      <c r="A92" s="3"/>
      <c r="B92" s="9" t="s">
        <v>51</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4.4" outlineLevel="1" x14ac:dyDescent="0.3">
      <c r="A93" s="3"/>
      <c r="B93" s="9" t="s">
        <v>51</v>
      </c>
      <c r="C93" s="53"/>
      <c r="D93" s="53"/>
      <c r="E93" s="11">
        <v>0</v>
      </c>
      <c r="F93" s="11">
        <v>0</v>
      </c>
      <c r="G93" s="56"/>
      <c r="H93" s="56"/>
      <c r="I93" s="102"/>
      <c r="J93" s="56"/>
      <c r="K93" s="28"/>
      <c r="L93" s="28"/>
      <c r="M93" s="28"/>
      <c r="N93" s="28"/>
      <c r="O93" s="28"/>
      <c r="P93" s="28"/>
      <c r="Q93" s="28"/>
      <c r="R93" s="28"/>
      <c r="S93" s="28"/>
      <c r="T93" s="28"/>
      <c r="U93" s="3"/>
      <c r="W93" s="3"/>
      <c r="X93" s="3"/>
      <c r="Y93" s="3"/>
      <c r="Z93" s="3"/>
    </row>
    <row r="94" spans="1:26" ht="14.4" outlineLevel="1" x14ac:dyDescent="0.3">
      <c r="A94" s="3"/>
      <c r="B94" s="9" t="s">
        <v>51</v>
      </c>
      <c r="C94" s="53"/>
      <c r="D94" s="53"/>
      <c r="E94" s="11">
        <v>0</v>
      </c>
      <c r="F94" s="11">
        <v>0</v>
      </c>
      <c r="G94" s="56"/>
      <c r="H94" s="56"/>
      <c r="I94" s="102"/>
      <c r="J94" s="56"/>
      <c r="K94" s="28"/>
      <c r="L94" s="28"/>
      <c r="M94" s="28"/>
      <c r="N94" s="28"/>
      <c r="O94" s="28"/>
      <c r="P94" s="28"/>
      <c r="Q94" s="28"/>
      <c r="R94" s="28"/>
      <c r="S94" s="28"/>
      <c r="T94" s="28"/>
      <c r="U94" s="3"/>
      <c r="W94" s="3"/>
      <c r="X94" s="3"/>
      <c r="Y94" s="3"/>
      <c r="Z94" s="3"/>
    </row>
    <row r="95" spans="1:26" ht="14.4" outlineLevel="1" x14ac:dyDescent="0.3">
      <c r="A95" s="3"/>
      <c r="B95" s="9" t="s">
        <v>51</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outlineLevel="1" x14ac:dyDescent="0.3">
      <c r="A96" s="3"/>
      <c r="B96" s="9" t="s">
        <v>51</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outlineLevel="1" x14ac:dyDescent="0.3">
      <c r="A97" s="3"/>
      <c r="B97" s="9" t="s">
        <v>51</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outlineLevel="1" x14ac:dyDescent="0.3">
      <c r="A98" s="3"/>
      <c r="B98" s="9" t="s">
        <v>51</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outlineLevel="1" x14ac:dyDescent="0.3">
      <c r="A99" s="3"/>
      <c r="B99" s="9" t="s">
        <v>51</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outlineLevel="1" x14ac:dyDescent="0.3">
      <c r="A100" s="3"/>
      <c r="B100" s="9" t="s">
        <v>51</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outlineLevel="1" x14ac:dyDescent="0.3">
      <c r="A101" s="3"/>
      <c r="B101" s="9" t="s">
        <v>51</v>
      </c>
      <c r="C101" s="53"/>
      <c r="D101" s="53"/>
      <c r="E101" s="11">
        <v>0</v>
      </c>
      <c r="F101" s="11">
        <v>0</v>
      </c>
      <c r="G101" s="56"/>
      <c r="H101" s="56"/>
      <c r="I101" s="102"/>
      <c r="J101" s="56"/>
      <c r="K101" s="28"/>
      <c r="L101" s="28"/>
      <c r="M101" s="28"/>
      <c r="N101" s="28"/>
      <c r="O101" s="28"/>
      <c r="P101" s="28"/>
      <c r="Q101" s="28"/>
      <c r="R101" s="28"/>
      <c r="S101" s="28"/>
      <c r="T101" s="28"/>
      <c r="U101" s="3"/>
      <c r="W101" s="3"/>
      <c r="X101" s="3"/>
      <c r="Y101" s="3"/>
      <c r="Z101" s="3"/>
    </row>
    <row r="102" spans="1:26" ht="14.4" outlineLevel="1" x14ac:dyDescent="0.3">
      <c r="A102" s="3"/>
      <c r="B102" s="9" t="s">
        <v>51</v>
      </c>
      <c r="C102" s="53"/>
      <c r="D102" s="53"/>
      <c r="E102" s="11">
        <v>0</v>
      </c>
      <c r="F102" s="11">
        <v>0</v>
      </c>
      <c r="G102" s="56"/>
      <c r="H102" s="56"/>
      <c r="I102" s="102"/>
      <c r="J102" s="56"/>
      <c r="K102" s="28"/>
      <c r="L102" s="28"/>
      <c r="M102" s="28"/>
      <c r="N102" s="28"/>
      <c r="O102" s="28"/>
      <c r="P102" s="28"/>
      <c r="Q102" s="28"/>
      <c r="R102" s="28"/>
      <c r="S102" s="28"/>
      <c r="T102" s="28"/>
      <c r="U102" s="3"/>
      <c r="W102" s="3"/>
      <c r="X102" s="3"/>
      <c r="Y102" s="3"/>
      <c r="Z102" s="3"/>
    </row>
    <row r="103" spans="1:26" ht="14.4" outlineLevel="1" x14ac:dyDescent="0.3">
      <c r="A103" s="3"/>
      <c r="B103" s="9" t="s">
        <v>51</v>
      </c>
      <c r="C103" s="53"/>
      <c r="D103" s="53"/>
      <c r="E103" s="11">
        <v>0</v>
      </c>
      <c r="F103" s="11">
        <v>0</v>
      </c>
      <c r="G103" s="56"/>
      <c r="H103" s="56"/>
      <c r="I103" s="117"/>
      <c r="J103" s="56"/>
      <c r="K103" s="28"/>
      <c r="L103" s="28"/>
      <c r="M103" s="28"/>
      <c r="N103" s="28"/>
      <c r="O103" s="28"/>
      <c r="P103" s="28"/>
      <c r="Q103" s="28"/>
      <c r="R103" s="28"/>
      <c r="S103" s="28"/>
      <c r="T103" s="28"/>
      <c r="U103" s="3"/>
      <c r="W103" s="3"/>
      <c r="X103" s="3"/>
      <c r="Y103" s="3"/>
      <c r="Z103" s="3"/>
    </row>
    <row r="104" spans="1:26" ht="14.4" outlineLevel="1" x14ac:dyDescent="0.3">
      <c r="A104" s="3"/>
      <c r="B104" s="9" t="s">
        <v>51</v>
      </c>
      <c r="C104" s="53"/>
      <c r="D104" s="53"/>
      <c r="E104" s="11">
        <v>0</v>
      </c>
      <c r="F104" s="11">
        <v>0</v>
      </c>
      <c r="G104" s="56"/>
      <c r="H104" s="56"/>
      <c r="I104" s="102"/>
      <c r="J104" s="56"/>
      <c r="K104" s="28"/>
      <c r="L104" s="28"/>
      <c r="M104" s="28"/>
      <c r="N104" s="28"/>
      <c r="O104" s="28"/>
      <c r="P104" s="28"/>
      <c r="Q104" s="28"/>
      <c r="R104" s="28"/>
      <c r="S104" s="28"/>
      <c r="T104" s="28"/>
      <c r="U104" s="3"/>
      <c r="W104" s="3"/>
      <c r="X104" s="3"/>
      <c r="Y104" s="3"/>
      <c r="Z104" s="3"/>
    </row>
    <row r="105" spans="1:26" ht="14.4" outlineLevel="1" x14ac:dyDescent="0.3">
      <c r="A105" s="3"/>
      <c r="B105" s="9" t="s">
        <v>51</v>
      </c>
      <c r="C105" s="53"/>
      <c r="D105" s="53"/>
      <c r="E105" s="11">
        <v>0</v>
      </c>
      <c r="F105" s="11">
        <v>0</v>
      </c>
      <c r="G105" s="56"/>
      <c r="H105" s="56"/>
      <c r="I105" s="117"/>
      <c r="J105" s="56"/>
      <c r="K105" s="28"/>
      <c r="L105" s="28"/>
      <c r="M105" s="28"/>
      <c r="N105" s="28"/>
      <c r="O105" s="28"/>
      <c r="P105" s="28"/>
      <c r="Q105" s="28"/>
      <c r="R105" s="28"/>
      <c r="S105" s="28"/>
      <c r="T105" s="28"/>
      <c r="U105" s="3"/>
      <c r="W105" s="3"/>
      <c r="X105" s="3"/>
      <c r="Y105" s="3"/>
      <c r="Z105" s="3"/>
    </row>
    <row r="106" spans="1:26" ht="14.4" outlineLevel="1" x14ac:dyDescent="0.3">
      <c r="A106" s="3"/>
      <c r="B106" s="9" t="s">
        <v>51</v>
      </c>
      <c r="C106" s="53"/>
      <c r="D106" s="53"/>
      <c r="E106" s="11">
        <v>0</v>
      </c>
      <c r="F106" s="11">
        <v>0</v>
      </c>
      <c r="G106" s="56"/>
      <c r="H106" s="56"/>
      <c r="I106" s="117"/>
      <c r="J106" s="56"/>
      <c r="K106" s="28"/>
      <c r="L106" s="28"/>
      <c r="M106" s="28"/>
      <c r="N106" s="28"/>
      <c r="O106" s="28"/>
      <c r="P106" s="28"/>
      <c r="Q106" s="28"/>
      <c r="R106" s="28"/>
      <c r="S106" s="28"/>
      <c r="T106" s="28"/>
      <c r="U106" s="3"/>
      <c r="W106" s="3"/>
      <c r="X106" s="3"/>
      <c r="Y106" s="3"/>
      <c r="Z106" s="3"/>
    </row>
    <row r="107" spans="1:26" outlineLevel="1" x14ac:dyDescent="0.3">
      <c r="A107" s="3"/>
      <c r="B107" s="82" t="s">
        <v>353</v>
      </c>
      <c r="C107" s="83"/>
      <c r="D107" s="83"/>
      <c r="E107" s="84">
        <f>SUM(E108:E111)</f>
        <v>0</v>
      </c>
      <c r="F107" s="84">
        <f>SUMIF(D108:D111,"OK",F108:F111)</f>
        <v>0</v>
      </c>
      <c r="G107" s="85"/>
      <c r="H107" s="85"/>
      <c r="I107" s="86"/>
      <c r="J107" s="85"/>
      <c r="K107" s="28"/>
      <c r="L107" s="28"/>
      <c r="M107" s="28"/>
      <c r="N107" s="28"/>
      <c r="O107" s="28"/>
      <c r="P107" s="28"/>
      <c r="Q107" s="28"/>
      <c r="R107" s="28"/>
      <c r="S107" s="28"/>
      <c r="T107" s="28"/>
      <c r="U107" s="3"/>
      <c r="W107" s="3"/>
      <c r="X107" s="3"/>
      <c r="Y107" s="3"/>
      <c r="Z107" s="3"/>
    </row>
    <row r="108" spans="1:26" ht="14.4" outlineLevel="1" x14ac:dyDescent="0.3">
      <c r="A108" s="3"/>
      <c r="B108" s="9" t="s">
        <v>51</v>
      </c>
      <c r="C108" s="53"/>
      <c r="D108" s="53"/>
      <c r="E108" s="11">
        <v>0</v>
      </c>
      <c r="F108" s="11">
        <v>0</v>
      </c>
      <c r="G108" s="56"/>
      <c r="H108" s="56"/>
      <c r="I108" s="102"/>
      <c r="J108" s="56"/>
      <c r="K108" s="28"/>
      <c r="L108" s="28"/>
      <c r="M108" s="28"/>
      <c r="N108" s="28"/>
      <c r="O108" s="28"/>
      <c r="P108" s="28"/>
      <c r="Q108" s="28"/>
      <c r="R108" s="28"/>
      <c r="S108" s="28"/>
      <c r="T108" s="28"/>
      <c r="U108" s="3"/>
      <c r="W108" s="3"/>
      <c r="X108" s="3"/>
      <c r="Y108" s="3"/>
      <c r="Z108" s="3"/>
    </row>
    <row r="109" spans="1:26" ht="14.4" outlineLevel="1" x14ac:dyDescent="0.3">
      <c r="A109" s="3"/>
      <c r="B109" s="9" t="s">
        <v>51</v>
      </c>
      <c r="C109" s="53"/>
      <c r="D109" s="53"/>
      <c r="E109" s="11">
        <v>0</v>
      </c>
      <c r="F109" s="11">
        <v>0</v>
      </c>
      <c r="G109" s="56"/>
      <c r="H109" s="56"/>
      <c r="I109" s="102"/>
      <c r="J109" s="56"/>
      <c r="K109" s="28"/>
      <c r="L109" s="28"/>
      <c r="M109" s="28"/>
      <c r="N109" s="28"/>
      <c r="O109" s="28"/>
      <c r="P109" s="28"/>
      <c r="Q109" s="28"/>
      <c r="R109" s="28"/>
      <c r="S109" s="28"/>
      <c r="T109" s="28"/>
      <c r="U109" s="3"/>
      <c r="W109" s="3"/>
      <c r="X109" s="3"/>
      <c r="Y109" s="3"/>
      <c r="Z109" s="3"/>
    </row>
    <row r="110" spans="1:26" ht="14.4" outlineLevel="1" x14ac:dyDescent="0.3">
      <c r="A110" s="3"/>
      <c r="B110" s="9" t="s">
        <v>51</v>
      </c>
      <c r="C110" s="53"/>
      <c r="D110" s="53"/>
      <c r="E110" s="11">
        <v>0</v>
      </c>
      <c r="F110" s="11">
        <v>0</v>
      </c>
      <c r="G110" s="56"/>
      <c r="H110" s="56"/>
      <c r="I110" s="102"/>
      <c r="J110" s="56"/>
      <c r="K110" s="28"/>
      <c r="L110" s="28"/>
      <c r="M110" s="28"/>
      <c r="N110" s="28"/>
      <c r="O110" s="28"/>
      <c r="P110" s="28"/>
      <c r="Q110" s="28"/>
      <c r="R110" s="28"/>
      <c r="S110" s="28"/>
      <c r="T110" s="28"/>
      <c r="U110" s="3"/>
      <c r="W110" s="3"/>
      <c r="X110" s="3"/>
      <c r="Y110" s="3"/>
      <c r="Z110" s="3"/>
    </row>
    <row r="111" spans="1:26" ht="14.4" outlineLevel="1" x14ac:dyDescent="0.3">
      <c r="A111" s="3"/>
      <c r="B111" s="9" t="s">
        <v>51</v>
      </c>
      <c r="C111" s="53"/>
      <c r="D111" s="53"/>
      <c r="E111" s="11">
        <v>0</v>
      </c>
      <c r="F111" s="11">
        <v>0</v>
      </c>
      <c r="G111" s="80"/>
      <c r="H111" s="56"/>
      <c r="I111" s="102"/>
      <c r="J111" s="56"/>
      <c r="K111" s="28"/>
      <c r="L111" s="28"/>
      <c r="M111" s="28"/>
      <c r="N111" s="28"/>
      <c r="O111" s="28"/>
      <c r="P111" s="28"/>
      <c r="Q111" s="28"/>
      <c r="R111" s="28"/>
      <c r="S111" s="28"/>
      <c r="T111" s="28"/>
      <c r="U111" s="3"/>
      <c r="W111" s="3"/>
      <c r="X111" s="3"/>
      <c r="Y111" s="3"/>
      <c r="Z111" s="3"/>
    </row>
    <row r="112" spans="1:26" outlineLevel="1" x14ac:dyDescent="0.3">
      <c r="A112" s="3"/>
      <c r="B112" s="82" t="s">
        <v>357</v>
      </c>
      <c r="C112" s="83"/>
      <c r="D112" s="83"/>
      <c r="E112" s="84">
        <f>SUM(E113:E115)</f>
        <v>0</v>
      </c>
      <c r="F112" s="84">
        <f>SUMIF(D113:D115,"OK",F113:F115)</f>
        <v>0</v>
      </c>
      <c r="G112" s="85"/>
      <c r="H112" s="85"/>
      <c r="I112" s="86"/>
      <c r="J112" s="85"/>
      <c r="K112" s="28"/>
      <c r="L112" s="28"/>
      <c r="M112" s="28"/>
      <c r="N112" s="28"/>
      <c r="O112" s="28"/>
      <c r="P112" s="28"/>
      <c r="Q112" s="28"/>
      <c r="R112" s="28"/>
      <c r="S112" s="28"/>
      <c r="T112" s="28"/>
      <c r="U112" s="3"/>
      <c r="W112" s="3"/>
      <c r="X112" s="3"/>
      <c r="Y112" s="3"/>
      <c r="Z112" s="3"/>
    </row>
    <row r="113" spans="1:26" ht="14.4" outlineLevel="1" x14ac:dyDescent="0.3">
      <c r="A113" s="3"/>
      <c r="B113" s="9" t="s">
        <v>51</v>
      </c>
      <c r="C113" s="53"/>
      <c r="D113" s="53"/>
      <c r="E113" s="11">
        <v>0</v>
      </c>
      <c r="F113" s="11">
        <v>0</v>
      </c>
      <c r="G113" s="56"/>
      <c r="H113" s="56"/>
      <c r="I113" s="102"/>
      <c r="J113" s="56"/>
      <c r="K113" s="28"/>
      <c r="L113" s="28"/>
      <c r="M113" s="28"/>
      <c r="N113" s="28"/>
      <c r="O113" s="28"/>
      <c r="P113" s="28"/>
      <c r="Q113" s="28"/>
      <c r="R113" s="28"/>
      <c r="S113" s="28"/>
      <c r="T113" s="28"/>
      <c r="U113" s="3"/>
      <c r="W113" s="3"/>
      <c r="X113" s="3"/>
      <c r="Y113" s="3"/>
      <c r="Z113" s="3"/>
    </row>
    <row r="114" spans="1:26" ht="14.4" outlineLevel="1" x14ac:dyDescent="0.3">
      <c r="A114" s="3"/>
      <c r="B114" s="9" t="s">
        <v>51</v>
      </c>
      <c r="C114" s="53"/>
      <c r="D114" s="53"/>
      <c r="E114" s="11">
        <v>0</v>
      </c>
      <c r="F114" s="11">
        <v>0</v>
      </c>
      <c r="G114" s="56"/>
      <c r="H114" s="56"/>
      <c r="I114" s="102"/>
      <c r="J114" s="56"/>
      <c r="K114" s="28"/>
      <c r="L114" s="28"/>
      <c r="M114" s="28"/>
      <c r="N114" s="28"/>
      <c r="O114" s="28"/>
      <c r="P114" s="28"/>
      <c r="Q114" s="28"/>
      <c r="R114" s="28"/>
      <c r="S114" s="28"/>
      <c r="T114" s="28"/>
      <c r="U114" s="3"/>
      <c r="W114" s="3"/>
      <c r="X114" s="3"/>
      <c r="Y114" s="3"/>
      <c r="Z114" s="3"/>
    </row>
    <row r="115" spans="1:26" ht="14.4" outlineLevel="1" x14ac:dyDescent="0.3">
      <c r="A115" s="3"/>
      <c r="B115" s="9" t="s">
        <v>51</v>
      </c>
      <c r="C115" s="53"/>
      <c r="D115" s="53"/>
      <c r="E115" s="11">
        <v>0</v>
      </c>
      <c r="F115" s="11">
        <v>0</v>
      </c>
      <c r="G115" s="56"/>
      <c r="H115" s="56"/>
      <c r="I115" s="117"/>
      <c r="J115" s="56"/>
      <c r="K115" s="28"/>
      <c r="L115" s="28"/>
      <c r="M115" s="28"/>
      <c r="N115" s="28"/>
      <c r="O115" s="28"/>
      <c r="P115" s="28"/>
      <c r="Q115" s="28"/>
      <c r="R115" s="28"/>
      <c r="S115" s="28"/>
      <c r="T115" s="28"/>
      <c r="U115" s="3"/>
      <c r="W115" s="3"/>
      <c r="X115" s="3"/>
      <c r="Y115" s="3"/>
      <c r="Z115" s="3"/>
    </row>
    <row r="116" spans="1:26" ht="20.399999999999999" x14ac:dyDescent="0.3">
      <c r="A116" s="3"/>
      <c r="B116" s="75" t="s">
        <v>358</v>
      </c>
      <c r="C116" s="76" t="s">
        <v>44</v>
      </c>
      <c r="D116" s="76" t="s">
        <v>44</v>
      </c>
      <c r="E116" s="77">
        <f t="shared" ref="E116:F116" si="1">SUM(E117,E123)</f>
        <v>0</v>
      </c>
      <c r="F116" s="77">
        <f t="shared" si="1"/>
        <v>4130.32</v>
      </c>
      <c r="G116" s="78"/>
      <c r="H116" s="78"/>
      <c r="I116" s="79"/>
      <c r="J116" s="78"/>
      <c r="K116" s="28"/>
      <c r="L116" s="28"/>
      <c r="M116" s="28"/>
      <c r="N116" s="28"/>
      <c r="O116" s="28"/>
      <c r="P116" s="28"/>
      <c r="Q116" s="28"/>
      <c r="R116" s="28"/>
      <c r="S116" s="28"/>
      <c r="T116" s="28"/>
      <c r="U116" s="3"/>
      <c r="W116" s="3"/>
      <c r="X116" s="3"/>
      <c r="Y116" s="3"/>
      <c r="Z116" s="3"/>
    </row>
    <row r="117" spans="1:26" outlineLevel="1" x14ac:dyDescent="0.3">
      <c r="A117" s="3"/>
      <c r="B117" s="82" t="s">
        <v>359</v>
      </c>
      <c r="C117" s="83"/>
      <c r="D117" s="83"/>
      <c r="E117" s="84">
        <f>SUM(E118:E122)</f>
        <v>0</v>
      </c>
      <c r="F117" s="84">
        <f>SUMIF(D118:D122,"OK",F118:F122)</f>
        <v>980.9</v>
      </c>
      <c r="G117" s="85"/>
      <c r="H117" s="85"/>
      <c r="I117" s="86"/>
      <c r="J117" s="85"/>
      <c r="K117" s="28"/>
      <c r="L117" s="28"/>
      <c r="M117" s="28"/>
      <c r="N117" s="28"/>
      <c r="O117" s="28"/>
      <c r="P117" s="28"/>
      <c r="Q117" s="28"/>
      <c r="R117" s="28"/>
      <c r="S117" s="28"/>
      <c r="T117" s="28"/>
      <c r="U117" s="3"/>
      <c r="W117" s="3"/>
      <c r="X117" s="3"/>
      <c r="Y117" s="3"/>
      <c r="Z117" s="3"/>
    </row>
    <row r="118" spans="1:26" ht="14.4" outlineLevel="1" x14ac:dyDescent="0.3">
      <c r="A118" s="3"/>
      <c r="B118" s="9" t="s">
        <v>614</v>
      </c>
      <c r="C118" s="53">
        <v>29</v>
      </c>
      <c r="D118" s="53" t="s">
        <v>95</v>
      </c>
      <c r="E118" s="11">
        <v>0</v>
      </c>
      <c r="F118" s="11">
        <v>95</v>
      </c>
      <c r="G118" s="80"/>
      <c r="H118" s="56" t="s">
        <v>37</v>
      </c>
      <c r="I118" s="102" t="s">
        <v>1616</v>
      </c>
      <c r="J118" s="56"/>
      <c r="K118" s="28"/>
      <c r="L118" s="28"/>
      <c r="M118" s="28"/>
      <c r="N118" s="28"/>
      <c r="O118" s="28"/>
      <c r="P118" s="28"/>
      <c r="Q118" s="28"/>
      <c r="R118" s="28"/>
      <c r="S118" s="28"/>
      <c r="T118" s="28"/>
      <c r="U118" s="3"/>
      <c r="W118" s="3"/>
      <c r="X118" s="3"/>
      <c r="Y118" s="3"/>
      <c r="Z118" s="3"/>
    </row>
    <row r="119" spans="1:26" ht="14.4" outlineLevel="1" x14ac:dyDescent="0.3">
      <c r="A119" s="3"/>
      <c r="B119" s="9" t="s">
        <v>987</v>
      </c>
      <c r="C119" s="53">
        <v>31</v>
      </c>
      <c r="D119" s="53" t="s">
        <v>95</v>
      </c>
      <c r="E119" s="11">
        <v>0</v>
      </c>
      <c r="F119" s="11">
        <v>426</v>
      </c>
      <c r="G119" s="56"/>
      <c r="H119" s="56" t="s">
        <v>37</v>
      </c>
      <c r="I119" s="102" t="s">
        <v>1617</v>
      </c>
      <c r="J119" s="56"/>
      <c r="K119" s="28"/>
      <c r="L119" s="28"/>
      <c r="M119" s="28"/>
      <c r="N119" s="28"/>
      <c r="O119" s="28"/>
      <c r="P119" s="28"/>
      <c r="Q119" s="28"/>
      <c r="R119" s="28"/>
      <c r="S119" s="28"/>
      <c r="T119" s="28"/>
      <c r="U119" s="3"/>
      <c r="W119" s="3"/>
      <c r="X119" s="3"/>
      <c r="Y119" s="3"/>
      <c r="Z119" s="3"/>
    </row>
    <row r="120" spans="1:26" ht="14.4" outlineLevel="1" x14ac:dyDescent="0.3">
      <c r="A120" s="3"/>
      <c r="B120" s="9" t="s">
        <v>987</v>
      </c>
      <c r="C120" s="53">
        <v>31</v>
      </c>
      <c r="D120" s="53" t="s">
        <v>95</v>
      </c>
      <c r="E120" s="11">
        <v>0</v>
      </c>
      <c r="F120" s="11">
        <v>190</v>
      </c>
      <c r="G120" s="56"/>
      <c r="H120" s="56" t="s">
        <v>37</v>
      </c>
      <c r="I120" s="102" t="s">
        <v>1618</v>
      </c>
      <c r="J120" s="56"/>
      <c r="K120" s="28"/>
      <c r="L120" s="28"/>
      <c r="M120" s="28"/>
      <c r="N120" s="28"/>
      <c r="O120" s="28"/>
      <c r="P120" s="28"/>
      <c r="Q120" s="28"/>
      <c r="R120" s="28"/>
      <c r="S120" s="28"/>
      <c r="T120" s="28"/>
      <c r="U120" s="3"/>
      <c r="W120" s="3"/>
      <c r="X120" s="3"/>
      <c r="Y120" s="3"/>
      <c r="Z120" s="3"/>
    </row>
    <row r="121" spans="1:26" ht="14.4" outlineLevel="1" x14ac:dyDescent="0.3">
      <c r="A121" s="3"/>
      <c r="B121" s="9" t="s">
        <v>987</v>
      </c>
      <c r="C121" s="53">
        <v>31</v>
      </c>
      <c r="D121" s="53" t="s">
        <v>95</v>
      </c>
      <c r="E121" s="11">
        <v>0</v>
      </c>
      <c r="F121" s="11">
        <v>49.9</v>
      </c>
      <c r="G121" s="56"/>
      <c r="H121" s="56" t="s">
        <v>37</v>
      </c>
      <c r="I121" s="102" t="s">
        <v>1619</v>
      </c>
      <c r="J121" s="56"/>
      <c r="K121" s="28"/>
      <c r="L121" s="28"/>
      <c r="M121" s="28"/>
      <c r="N121" s="28"/>
      <c r="O121" s="28"/>
      <c r="P121" s="28"/>
      <c r="Q121" s="28"/>
      <c r="R121" s="28"/>
      <c r="S121" s="28"/>
      <c r="T121" s="28"/>
      <c r="U121" s="3"/>
      <c r="W121" s="3"/>
      <c r="X121" s="3"/>
      <c r="Y121" s="3"/>
      <c r="Z121" s="3"/>
    </row>
    <row r="122" spans="1:26" ht="14.4" outlineLevel="1" x14ac:dyDescent="0.3">
      <c r="A122" s="3"/>
      <c r="B122" s="9" t="s">
        <v>360</v>
      </c>
      <c r="C122" s="53">
        <v>31</v>
      </c>
      <c r="D122" s="53" t="s">
        <v>95</v>
      </c>
      <c r="E122" s="11">
        <v>0</v>
      </c>
      <c r="F122" s="11">
        <v>220</v>
      </c>
      <c r="G122" s="56"/>
      <c r="H122" s="56" t="s">
        <v>37</v>
      </c>
      <c r="I122" s="102" t="s">
        <v>1620</v>
      </c>
      <c r="J122" s="56"/>
      <c r="K122" s="28"/>
      <c r="L122" s="28"/>
      <c r="M122" s="28"/>
      <c r="N122" s="28"/>
      <c r="O122" s="28"/>
      <c r="P122" s="28"/>
      <c r="Q122" s="28"/>
      <c r="R122" s="28"/>
      <c r="S122" s="28"/>
      <c r="T122" s="28"/>
      <c r="U122" s="3"/>
      <c r="W122" s="3"/>
      <c r="X122" s="3"/>
      <c r="Y122" s="3"/>
      <c r="Z122" s="3"/>
    </row>
    <row r="123" spans="1:26" outlineLevel="1" x14ac:dyDescent="0.3">
      <c r="A123" s="3"/>
      <c r="B123" s="82" t="s">
        <v>633</v>
      </c>
      <c r="C123" s="83"/>
      <c r="D123" s="83"/>
      <c r="E123" s="84">
        <f>SUM(E124:E141)</f>
        <v>0</v>
      </c>
      <c r="F123" s="84">
        <f>SUMIF(D124:D141,"OK",F124:F141)</f>
        <v>3149.42</v>
      </c>
      <c r="G123" s="85"/>
      <c r="H123" s="85"/>
      <c r="I123" s="86"/>
      <c r="J123" s="85"/>
      <c r="K123" s="28"/>
      <c r="L123" s="28"/>
      <c r="M123" s="28"/>
      <c r="N123" s="28"/>
      <c r="O123" s="28"/>
      <c r="P123" s="28"/>
      <c r="Q123" s="28"/>
      <c r="R123" s="28"/>
      <c r="S123" s="28"/>
      <c r="T123" s="28"/>
      <c r="U123" s="3"/>
      <c r="W123" s="3"/>
      <c r="X123" s="3"/>
      <c r="Y123" s="3"/>
      <c r="Z123" s="3"/>
    </row>
    <row r="124" spans="1:26" ht="14.4" outlineLevel="1" x14ac:dyDescent="0.3">
      <c r="A124" s="3"/>
      <c r="B124" s="9" t="s">
        <v>1621</v>
      </c>
      <c r="C124" s="53">
        <v>16</v>
      </c>
      <c r="D124" s="53" t="s">
        <v>95</v>
      </c>
      <c r="E124" s="11">
        <v>0</v>
      </c>
      <c r="F124" s="11">
        <v>332.5</v>
      </c>
      <c r="G124" s="56" t="s">
        <v>1622</v>
      </c>
      <c r="H124" s="56" t="s">
        <v>37</v>
      </c>
      <c r="I124" s="102" t="s">
        <v>1623</v>
      </c>
      <c r="J124" s="56"/>
      <c r="K124" s="28"/>
      <c r="L124" s="28"/>
      <c r="M124" s="28"/>
      <c r="N124" s="28"/>
      <c r="O124" s="28"/>
      <c r="P124" s="28"/>
      <c r="Q124" s="28"/>
      <c r="R124" s="28"/>
      <c r="S124" s="28"/>
      <c r="T124" s="28"/>
      <c r="U124" s="3"/>
      <c r="W124" s="3"/>
      <c r="X124" s="3"/>
      <c r="Y124" s="3"/>
      <c r="Z124" s="3"/>
    </row>
    <row r="125" spans="1:26" ht="14.4" outlineLevel="1" x14ac:dyDescent="0.3">
      <c r="A125" s="3"/>
      <c r="B125" s="9" t="s">
        <v>1624</v>
      </c>
      <c r="C125" s="53">
        <v>22</v>
      </c>
      <c r="D125" s="53" t="s">
        <v>95</v>
      </c>
      <c r="E125" s="11">
        <v>0</v>
      </c>
      <c r="F125" s="11">
        <v>44.9</v>
      </c>
      <c r="G125" s="80"/>
      <c r="H125" s="56" t="s">
        <v>37</v>
      </c>
      <c r="I125" s="102" t="s">
        <v>1625</v>
      </c>
      <c r="J125" s="56"/>
      <c r="K125" s="28"/>
      <c r="L125" s="28"/>
      <c r="M125" s="28"/>
      <c r="N125" s="28"/>
      <c r="O125" s="28"/>
      <c r="P125" s="28"/>
      <c r="Q125" s="28"/>
      <c r="R125" s="28"/>
      <c r="S125" s="28"/>
      <c r="T125" s="28"/>
      <c r="U125" s="3"/>
      <c r="W125" s="3"/>
      <c r="X125" s="3"/>
      <c r="Y125" s="3"/>
      <c r="Z125" s="3"/>
    </row>
    <row r="126" spans="1:26" ht="14.4" outlineLevel="1" x14ac:dyDescent="0.3">
      <c r="A126" s="3"/>
      <c r="B126" s="9" t="s">
        <v>1626</v>
      </c>
      <c r="C126" s="53">
        <v>23</v>
      </c>
      <c r="D126" s="53" t="s">
        <v>95</v>
      </c>
      <c r="E126" s="11">
        <v>0</v>
      </c>
      <c r="F126" s="11">
        <v>137.25</v>
      </c>
      <c r="G126" s="80"/>
      <c r="H126" s="56" t="s">
        <v>37</v>
      </c>
      <c r="I126" s="102" t="s">
        <v>1627</v>
      </c>
      <c r="J126" s="56"/>
      <c r="K126" s="28"/>
      <c r="L126" s="28"/>
      <c r="M126" s="28"/>
      <c r="N126" s="28"/>
      <c r="O126" s="28"/>
      <c r="P126" s="28"/>
      <c r="Q126" s="28"/>
      <c r="R126" s="28"/>
      <c r="S126" s="28"/>
      <c r="T126" s="28"/>
      <c r="U126" s="3"/>
      <c r="W126" s="3"/>
      <c r="X126" s="3"/>
      <c r="Y126" s="3"/>
      <c r="Z126" s="3"/>
    </row>
    <row r="127" spans="1:26" ht="14.4" outlineLevel="1" x14ac:dyDescent="0.3">
      <c r="A127" s="3"/>
      <c r="B127" s="9" t="s">
        <v>1626</v>
      </c>
      <c r="C127" s="53">
        <v>23</v>
      </c>
      <c r="D127" s="53" t="s">
        <v>95</v>
      </c>
      <c r="E127" s="11">
        <v>0</v>
      </c>
      <c r="F127" s="11">
        <v>917.75</v>
      </c>
      <c r="G127" s="56"/>
      <c r="H127" s="56" t="s">
        <v>37</v>
      </c>
      <c r="I127" s="102" t="s">
        <v>1628</v>
      </c>
      <c r="J127" s="56"/>
      <c r="K127" s="28"/>
      <c r="L127" s="28"/>
      <c r="M127" s="28"/>
      <c r="N127" s="28"/>
      <c r="O127" s="28"/>
      <c r="P127" s="28"/>
      <c r="Q127" s="28"/>
      <c r="R127" s="28"/>
      <c r="S127" s="28"/>
      <c r="T127" s="28"/>
      <c r="U127" s="3"/>
      <c r="W127" s="3"/>
      <c r="X127" s="3"/>
      <c r="Y127" s="3"/>
      <c r="Z127" s="3"/>
    </row>
    <row r="128" spans="1:26" ht="14.4" outlineLevel="1" x14ac:dyDescent="0.3">
      <c r="A128" s="3"/>
      <c r="B128" s="9" t="s">
        <v>1626</v>
      </c>
      <c r="C128" s="53">
        <v>23</v>
      </c>
      <c r="D128" s="53" t="s">
        <v>95</v>
      </c>
      <c r="E128" s="11">
        <v>0</v>
      </c>
      <c r="F128" s="11">
        <v>32</v>
      </c>
      <c r="G128" s="56"/>
      <c r="H128" s="56" t="s">
        <v>37</v>
      </c>
      <c r="I128" s="102" t="s">
        <v>1629</v>
      </c>
      <c r="J128" s="56"/>
      <c r="K128" s="28"/>
      <c r="L128" s="28"/>
      <c r="M128" s="28"/>
      <c r="N128" s="28"/>
      <c r="O128" s="28"/>
      <c r="P128" s="28"/>
      <c r="Q128" s="28"/>
      <c r="R128" s="28"/>
      <c r="S128" s="28"/>
      <c r="T128" s="28"/>
      <c r="U128" s="3"/>
      <c r="W128" s="3"/>
      <c r="X128" s="3"/>
      <c r="Y128" s="3"/>
      <c r="Z128" s="3"/>
    </row>
    <row r="129" spans="1:26" ht="14.4" outlineLevel="1" x14ac:dyDescent="0.3">
      <c r="A129" s="3"/>
      <c r="B129" s="9" t="s">
        <v>1626</v>
      </c>
      <c r="C129" s="71">
        <v>24</v>
      </c>
      <c r="D129" s="53" t="s">
        <v>95</v>
      </c>
      <c r="E129" s="11">
        <v>0</v>
      </c>
      <c r="F129" s="11">
        <v>122</v>
      </c>
      <c r="G129" s="56" t="s">
        <v>833</v>
      </c>
      <c r="H129" s="56" t="s">
        <v>37</v>
      </c>
      <c r="I129" s="102" t="s">
        <v>1630</v>
      </c>
      <c r="J129" s="56"/>
      <c r="K129" s="28"/>
      <c r="L129" s="28"/>
      <c r="M129" s="28"/>
      <c r="N129" s="28"/>
      <c r="O129" s="28"/>
      <c r="P129" s="28"/>
      <c r="Q129" s="28"/>
      <c r="R129" s="28"/>
      <c r="S129" s="28"/>
      <c r="T129" s="28"/>
      <c r="U129" s="3"/>
      <c r="W129" s="3"/>
      <c r="X129" s="3"/>
      <c r="Y129" s="3"/>
      <c r="Z129" s="3"/>
    </row>
    <row r="130" spans="1:26" ht="14.4" outlineLevel="1" x14ac:dyDescent="0.3">
      <c r="A130" s="3"/>
      <c r="B130" s="9" t="s">
        <v>1626</v>
      </c>
      <c r="C130" s="71">
        <v>24</v>
      </c>
      <c r="D130" s="53" t="s">
        <v>95</v>
      </c>
      <c r="E130" s="11">
        <v>0</v>
      </c>
      <c r="F130" s="11">
        <v>9.17</v>
      </c>
      <c r="G130" s="56" t="s">
        <v>1631</v>
      </c>
      <c r="H130" s="56" t="s">
        <v>37</v>
      </c>
      <c r="I130" s="102" t="s">
        <v>1632</v>
      </c>
      <c r="J130" s="56"/>
      <c r="K130" s="28"/>
      <c r="L130" s="28"/>
      <c r="M130" s="28"/>
      <c r="N130" s="28"/>
      <c r="O130" s="28"/>
      <c r="P130" s="28"/>
      <c r="Q130" s="28"/>
      <c r="R130" s="28"/>
      <c r="S130" s="28"/>
      <c r="T130" s="28"/>
      <c r="U130" s="3"/>
      <c r="W130" s="3"/>
      <c r="X130" s="3"/>
      <c r="Y130" s="3"/>
      <c r="Z130" s="3"/>
    </row>
    <row r="131" spans="1:26" ht="14.4" outlineLevel="1" x14ac:dyDescent="0.3">
      <c r="A131" s="3"/>
      <c r="B131" s="9" t="s">
        <v>1626</v>
      </c>
      <c r="C131" s="71">
        <v>24</v>
      </c>
      <c r="D131" s="53" t="s">
        <v>95</v>
      </c>
      <c r="E131" s="11">
        <v>0</v>
      </c>
      <c r="F131" s="11">
        <v>76.349999999999994</v>
      </c>
      <c r="G131" s="56" t="s">
        <v>1631</v>
      </c>
      <c r="H131" s="56" t="s">
        <v>37</v>
      </c>
      <c r="I131" s="102" t="s">
        <v>1633</v>
      </c>
      <c r="J131" s="56"/>
      <c r="K131" s="28"/>
      <c r="L131" s="28"/>
      <c r="M131" s="28"/>
      <c r="N131" s="28"/>
      <c r="O131" s="28"/>
      <c r="P131" s="28"/>
      <c r="Q131" s="28"/>
      <c r="R131" s="28"/>
      <c r="S131" s="28"/>
      <c r="T131" s="28"/>
      <c r="U131" s="3"/>
      <c r="W131" s="3"/>
      <c r="X131" s="3"/>
      <c r="Y131" s="3"/>
      <c r="Z131" s="3"/>
    </row>
    <row r="132" spans="1:26" ht="14.4" outlineLevel="1" x14ac:dyDescent="0.3">
      <c r="A132" s="3"/>
      <c r="B132" s="9" t="s">
        <v>1634</v>
      </c>
      <c r="C132" s="53">
        <v>24</v>
      </c>
      <c r="D132" s="53" t="s">
        <v>95</v>
      </c>
      <c r="E132" s="11">
        <v>0</v>
      </c>
      <c r="F132" s="11">
        <v>400</v>
      </c>
      <c r="G132" s="56"/>
      <c r="H132" s="56" t="s">
        <v>37</v>
      </c>
      <c r="I132" s="117" t="s">
        <v>1635</v>
      </c>
      <c r="J132" s="56"/>
      <c r="K132" s="28"/>
      <c r="L132" s="28"/>
      <c r="M132" s="28"/>
      <c r="N132" s="28"/>
      <c r="O132" s="28"/>
      <c r="P132" s="28"/>
      <c r="Q132" s="28"/>
      <c r="R132" s="28"/>
      <c r="S132" s="28"/>
      <c r="T132" s="28"/>
      <c r="U132" s="3"/>
      <c r="W132" s="3"/>
      <c r="X132" s="3"/>
      <c r="Y132" s="3"/>
      <c r="Z132" s="3"/>
    </row>
    <row r="133" spans="1:26" ht="14.4" outlineLevel="1" x14ac:dyDescent="0.3">
      <c r="A133" s="3"/>
      <c r="B133" s="9" t="s">
        <v>1621</v>
      </c>
      <c r="C133" s="53">
        <v>24</v>
      </c>
      <c r="D133" s="53" t="s">
        <v>95</v>
      </c>
      <c r="E133" s="11">
        <v>0</v>
      </c>
      <c r="F133" s="11">
        <v>332.5</v>
      </c>
      <c r="G133" s="56" t="s">
        <v>1622</v>
      </c>
      <c r="H133" s="56" t="s">
        <v>37</v>
      </c>
      <c r="I133" s="102" t="s">
        <v>1623</v>
      </c>
      <c r="J133" s="56"/>
      <c r="K133" s="28"/>
      <c r="L133" s="28"/>
      <c r="M133" s="28"/>
      <c r="N133" s="28"/>
      <c r="O133" s="28"/>
      <c r="P133" s="28"/>
      <c r="Q133" s="28"/>
      <c r="R133" s="28"/>
      <c r="S133" s="28"/>
      <c r="T133" s="28"/>
      <c r="U133" s="3"/>
      <c r="W133" s="3"/>
      <c r="X133" s="3"/>
      <c r="Y133" s="3"/>
      <c r="Z133" s="3"/>
    </row>
    <row r="134" spans="1:26" ht="14.4" outlineLevel="1" x14ac:dyDescent="0.3">
      <c r="A134" s="3"/>
      <c r="B134" s="9" t="s">
        <v>1636</v>
      </c>
      <c r="C134" s="53">
        <v>24</v>
      </c>
      <c r="D134" s="53" t="s">
        <v>95</v>
      </c>
      <c r="E134" s="11">
        <v>0</v>
      </c>
      <c r="F134" s="11">
        <v>250</v>
      </c>
      <c r="G134" s="56"/>
      <c r="H134" s="56" t="s">
        <v>37</v>
      </c>
      <c r="I134" s="140" t="s">
        <v>1637</v>
      </c>
      <c r="J134" s="56"/>
      <c r="K134" s="28"/>
      <c r="L134" s="28"/>
      <c r="M134" s="28"/>
      <c r="N134" s="28"/>
      <c r="O134" s="28"/>
      <c r="P134" s="28"/>
      <c r="Q134" s="28"/>
      <c r="R134" s="28"/>
      <c r="S134" s="28"/>
      <c r="T134" s="28"/>
      <c r="U134" s="3"/>
      <c r="W134" s="3"/>
      <c r="X134" s="3"/>
      <c r="Y134" s="3"/>
      <c r="Z134" s="3"/>
    </row>
    <row r="135" spans="1:26" ht="14.4" outlineLevel="1" x14ac:dyDescent="0.3">
      <c r="A135" s="3"/>
      <c r="B135" s="9" t="s">
        <v>1636</v>
      </c>
      <c r="C135" s="53">
        <v>24</v>
      </c>
      <c r="D135" s="53" t="s">
        <v>95</v>
      </c>
      <c r="E135" s="11">
        <v>0</v>
      </c>
      <c r="F135" s="11">
        <v>150</v>
      </c>
      <c r="G135" s="56"/>
      <c r="H135" s="56" t="s">
        <v>37</v>
      </c>
      <c r="I135" s="102" t="s">
        <v>1638</v>
      </c>
      <c r="J135" s="56"/>
      <c r="K135" s="28"/>
      <c r="L135" s="28"/>
      <c r="M135" s="28"/>
      <c r="N135" s="28"/>
      <c r="O135" s="28"/>
      <c r="P135" s="28"/>
      <c r="Q135" s="28"/>
      <c r="R135" s="28"/>
      <c r="S135" s="28"/>
      <c r="T135" s="28"/>
      <c r="U135" s="3"/>
      <c r="W135" s="3"/>
      <c r="X135" s="3"/>
      <c r="Y135" s="3"/>
      <c r="Z135" s="3"/>
    </row>
    <row r="136" spans="1:26" ht="14.4" outlineLevel="1" x14ac:dyDescent="0.3">
      <c r="A136" s="3"/>
      <c r="B136" s="9" t="s">
        <v>1626</v>
      </c>
      <c r="C136" s="53">
        <v>26</v>
      </c>
      <c r="D136" s="53" t="s">
        <v>95</v>
      </c>
      <c r="E136" s="11">
        <v>0</v>
      </c>
      <c r="F136" s="11">
        <v>240</v>
      </c>
      <c r="G136" s="56" t="s">
        <v>1639</v>
      </c>
      <c r="H136" s="56" t="s">
        <v>37</v>
      </c>
      <c r="I136" s="102" t="s">
        <v>1640</v>
      </c>
      <c r="J136" s="56"/>
      <c r="K136" s="28"/>
      <c r="L136" s="28"/>
      <c r="M136" s="28"/>
      <c r="N136" s="28"/>
      <c r="O136" s="28"/>
      <c r="P136" s="28"/>
      <c r="Q136" s="28"/>
      <c r="R136" s="28"/>
      <c r="S136" s="28"/>
      <c r="T136" s="28"/>
      <c r="U136" s="3"/>
      <c r="W136" s="3"/>
      <c r="X136" s="3"/>
      <c r="Y136" s="3"/>
      <c r="Z136" s="3"/>
    </row>
    <row r="137" spans="1:26" ht="14.4" outlineLevel="1" x14ac:dyDescent="0.3">
      <c r="A137" s="3"/>
      <c r="B137" s="9" t="s">
        <v>1626</v>
      </c>
      <c r="C137" s="53">
        <v>27</v>
      </c>
      <c r="D137" s="53" t="s">
        <v>95</v>
      </c>
      <c r="E137" s="11">
        <v>0</v>
      </c>
      <c r="F137" s="11">
        <v>105</v>
      </c>
      <c r="G137" s="56" t="s">
        <v>606</v>
      </c>
      <c r="H137" s="56" t="s">
        <v>37</v>
      </c>
      <c r="I137" s="102" t="s">
        <v>1601</v>
      </c>
      <c r="J137" s="56"/>
      <c r="K137" s="28"/>
      <c r="L137" s="28"/>
      <c r="M137" s="28"/>
      <c r="N137" s="28"/>
      <c r="O137" s="28"/>
      <c r="P137" s="28"/>
      <c r="Q137" s="28"/>
      <c r="R137" s="28"/>
      <c r="S137" s="28"/>
      <c r="T137" s="28"/>
      <c r="U137" s="3"/>
      <c r="W137" s="3"/>
      <c r="X137" s="3"/>
      <c r="Y137" s="3"/>
      <c r="Z137" s="3"/>
    </row>
    <row r="138" spans="1:26" ht="14.4" outlineLevel="1" x14ac:dyDescent="0.3">
      <c r="A138" s="3"/>
      <c r="B138" s="9" t="s">
        <v>51</v>
      </c>
      <c r="C138" s="53"/>
      <c r="D138" s="53"/>
      <c r="E138" s="11">
        <v>0</v>
      </c>
      <c r="F138" s="11">
        <v>0</v>
      </c>
      <c r="G138" s="56"/>
      <c r="H138" s="56"/>
      <c r="I138" s="102"/>
      <c r="J138" s="56"/>
      <c r="K138" s="28"/>
      <c r="L138" s="28"/>
      <c r="M138" s="28"/>
      <c r="N138" s="28"/>
      <c r="O138" s="28"/>
      <c r="P138" s="28"/>
      <c r="Q138" s="28"/>
      <c r="R138" s="28"/>
      <c r="S138" s="28"/>
      <c r="T138" s="28"/>
      <c r="U138" s="3"/>
      <c r="W138" s="3"/>
      <c r="X138" s="3"/>
      <c r="Y138" s="3"/>
      <c r="Z138" s="3"/>
    </row>
    <row r="139" spans="1:26" ht="14.4" outlineLevel="1" x14ac:dyDescent="0.3">
      <c r="A139" s="3"/>
      <c r="B139" s="9" t="s">
        <v>51</v>
      </c>
      <c r="C139" s="53"/>
      <c r="D139" s="53"/>
      <c r="E139" s="11">
        <v>0</v>
      </c>
      <c r="F139" s="11">
        <v>0</v>
      </c>
      <c r="G139" s="56"/>
      <c r="H139" s="56"/>
      <c r="I139" s="102"/>
      <c r="J139" s="56"/>
      <c r="K139" s="28"/>
      <c r="L139" s="28"/>
      <c r="M139" s="28"/>
      <c r="N139" s="28"/>
      <c r="O139" s="28"/>
      <c r="P139" s="28"/>
      <c r="Q139" s="28"/>
      <c r="R139" s="28"/>
      <c r="S139" s="28"/>
      <c r="T139" s="28"/>
      <c r="U139" s="3"/>
      <c r="W139" s="3"/>
      <c r="X139" s="3"/>
      <c r="Y139" s="3"/>
      <c r="Z139" s="3"/>
    </row>
    <row r="140" spans="1:26" ht="14.4" outlineLevel="1" x14ac:dyDescent="0.3">
      <c r="A140" s="3"/>
      <c r="B140" s="9" t="s">
        <v>51</v>
      </c>
      <c r="C140" s="53"/>
      <c r="D140" s="53"/>
      <c r="E140" s="11">
        <v>0</v>
      </c>
      <c r="F140" s="11">
        <v>0</v>
      </c>
      <c r="G140" s="56"/>
      <c r="H140" s="56"/>
      <c r="I140" s="102"/>
      <c r="J140" s="56"/>
      <c r="K140" s="28"/>
      <c r="L140" s="28"/>
      <c r="M140" s="28"/>
      <c r="N140" s="28"/>
      <c r="O140" s="28"/>
      <c r="P140" s="28"/>
      <c r="Q140" s="28"/>
      <c r="R140" s="28"/>
      <c r="S140" s="28"/>
      <c r="T140" s="28"/>
      <c r="U140" s="3"/>
      <c r="W140" s="3"/>
      <c r="X140" s="3"/>
      <c r="Y140" s="3"/>
      <c r="Z140" s="3"/>
    </row>
    <row r="141" spans="1:26" ht="14.4" outlineLevel="1" x14ac:dyDescent="0.3">
      <c r="A141" s="3"/>
      <c r="B141" s="9" t="s">
        <v>51</v>
      </c>
      <c r="C141" s="53"/>
      <c r="D141" s="53"/>
      <c r="E141" s="11">
        <v>0</v>
      </c>
      <c r="F141" s="11">
        <v>0</v>
      </c>
      <c r="G141" s="56"/>
      <c r="H141" s="56"/>
      <c r="I141" s="102"/>
      <c r="J141" s="56"/>
      <c r="K141" s="28"/>
      <c r="L141" s="28"/>
      <c r="M141" s="28"/>
      <c r="N141" s="28"/>
      <c r="O141" s="28"/>
      <c r="P141" s="28"/>
      <c r="Q141" s="28"/>
      <c r="R141" s="28"/>
      <c r="S141" s="28"/>
      <c r="T141" s="28"/>
      <c r="U141" s="3"/>
      <c r="W141" s="3"/>
      <c r="X141" s="3"/>
      <c r="Y141" s="3"/>
      <c r="Z141" s="3"/>
    </row>
    <row r="142" spans="1:26" ht="20.399999999999999" x14ac:dyDescent="0.3">
      <c r="A142" s="3"/>
      <c r="B142" s="75" t="s">
        <v>88</v>
      </c>
      <c r="C142" s="76" t="s">
        <v>44</v>
      </c>
      <c r="D142" s="76" t="s">
        <v>44</v>
      </c>
      <c r="E142" s="77">
        <f>SUM(E143:E151)</f>
        <v>0</v>
      </c>
      <c r="F142" s="77">
        <f>SUMIF(D143:D151,"OK",F143:F151)</f>
        <v>0</v>
      </c>
      <c r="G142" s="78"/>
      <c r="H142" s="78"/>
      <c r="I142" s="79"/>
      <c r="J142" s="78"/>
      <c r="K142" s="28"/>
      <c r="L142" s="28"/>
      <c r="M142" s="28"/>
      <c r="N142" s="28"/>
      <c r="O142" s="28"/>
      <c r="P142" s="28"/>
      <c r="Q142" s="28"/>
      <c r="R142" s="28"/>
      <c r="S142" s="28"/>
      <c r="T142" s="28"/>
      <c r="U142" s="3"/>
      <c r="W142" s="3"/>
      <c r="X142" s="3"/>
      <c r="Y142" s="3"/>
      <c r="Z142" s="3"/>
    </row>
    <row r="143" spans="1:26" ht="14.4" outlineLevel="1" x14ac:dyDescent="0.3">
      <c r="A143" s="3"/>
      <c r="B143" s="9" t="s">
        <v>354</v>
      </c>
      <c r="C143" s="71"/>
      <c r="D143" s="53"/>
      <c r="E143" s="11">
        <v>0</v>
      </c>
      <c r="F143" s="11">
        <v>0</v>
      </c>
      <c r="G143" s="80"/>
      <c r="H143" s="56"/>
      <c r="I143" s="102"/>
      <c r="J143" s="80"/>
      <c r="K143" s="28"/>
      <c r="L143" s="28"/>
      <c r="M143" s="28"/>
      <c r="N143" s="28"/>
      <c r="O143" s="28"/>
      <c r="P143" s="28"/>
      <c r="Q143" s="28"/>
      <c r="R143" s="28"/>
      <c r="S143" s="28"/>
      <c r="T143" s="28"/>
      <c r="U143" s="3"/>
      <c r="W143" s="3"/>
      <c r="X143" s="3"/>
      <c r="Y143" s="3"/>
      <c r="Z143" s="3"/>
    </row>
    <row r="144" spans="1:26" ht="14.4" outlineLevel="1" x14ac:dyDescent="0.3">
      <c r="A144" s="3"/>
      <c r="B144" s="9" t="s">
        <v>355</v>
      </c>
      <c r="C144" s="53"/>
      <c r="D144" s="53"/>
      <c r="E144" s="11">
        <v>0</v>
      </c>
      <c r="F144" s="11">
        <v>0</v>
      </c>
      <c r="G144" s="80"/>
      <c r="H144" s="56"/>
      <c r="I144" s="102"/>
      <c r="J144" s="56"/>
      <c r="K144" s="28"/>
      <c r="L144" s="28"/>
      <c r="M144" s="28"/>
      <c r="N144" s="28"/>
      <c r="O144" s="28"/>
      <c r="P144" s="28"/>
      <c r="Q144" s="28"/>
      <c r="R144" s="28"/>
      <c r="S144" s="28"/>
      <c r="T144" s="28"/>
      <c r="U144" s="3"/>
      <c r="W144" s="3"/>
      <c r="X144" s="3"/>
      <c r="Y144" s="3"/>
      <c r="Z144" s="3"/>
    </row>
    <row r="145" spans="1:26" ht="14.4" outlineLevel="1" x14ac:dyDescent="0.3">
      <c r="A145" s="3"/>
      <c r="B145" s="9" t="s">
        <v>356</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14.4" outlineLevel="1" x14ac:dyDescent="0.3">
      <c r="A146" s="3"/>
      <c r="B146" s="9" t="s">
        <v>370</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14.4" outlineLevel="1" x14ac:dyDescent="0.3">
      <c r="A147" s="3"/>
      <c r="B147" s="9" t="s">
        <v>328</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4.4" outlineLevel="1" x14ac:dyDescent="0.3">
      <c r="A148" s="3"/>
      <c r="B148" s="9" t="s">
        <v>329</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14.4" outlineLevel="1" x14ac:dyDescent="0.3">
      <c r="A149" s="3"/>
      <c r="B149" s="9" t="s">
        <v>371</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14.4" outlineLevel="1" x14ac:dyDescent="0.3">
      <c r="A150" s="3"/>
      <c r="B150" s="9" t="s">
        <v>372</v>
      </c>
      <c r="C150" s="53"/>
      <c r="D150" s="53"/>
      <c r="E150" s="11">
        <v>0</v>
      </c>
      <c r="F150" s="11">
        <v>0</v>
      </c>
      <c r="G150" s="56"/>
      <c r="H150" s="56"/>
      <c r="I150" s="80"/>
      <c r="J150" s="56"/>
      <c r="K150" s="28"/>
      <c r="L150" s="28"/>
      <c r="M150" s="28"/>
      <c r="N150" s="28"/>
      <c r="O150" s="28"/>
      <c r="P150" s="28"/>
      <c r="Q150" s="28"/>
      <c r="R150" s="28"/>
      <c r="S150" s="28"/>
      <c r="T150" s="28"/>
      <c r="U150" s="3"/>
      <c r="W150" s="3"/>
      <c r="X150" s="3"/>
      <c r="Y150" s="3"/>
      <c r="Z150" s="3"/>
    </row>
    <row r="151" spans="1:26" ht="14.4" outlineLevel="1" x14ac:dyDescent="0.3">
      <c r="A151" s="3"/>
      <c r="B151" s="9" t="s">
        <v>373</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20.399999999999999" x14ac:dyDescent="0.3">
      <c r="A152" s="3"/>
      <c r="B152" s="75" t="s">
        <v>89</v>
      </c>
      <c r="C152" s="76" t="s">
        <v>44</v>
      </c>
      <c r="D152" s="76" t="s">
        <v>44</v>
      </c>
      <c r="E152" s="77">
        <f t="shared" ref="E152:F152" si="2">SUM(E153,E159,E165,E171)</f>
        <v>0</v>
      </c>
      <c r="F152" s="77">
        <f t="shared" si="2"/>
        <v>2529.2399999999998</v>
      </c>
      <c r="G152" s="78"/>
      <c r="H152" s="78"/>
      <c r="I152" s="79"/>
      <c r="J152" s="78"/>
      <c r="K152" s="28"/>
      <c r="L152" s="28"/>
      <c r="M152" s="28"/>
      <c r="N152" s="28"/>
      <c r="O152" s="28"/>
      <c r="P152" s="28"/>
      <c r="Q152" s="28"/>
      <c r="R152" s="28"/>
      <c r="S152" s="28"/>
      <c r="T152" s="28"/>
      <c r="U152" s="3"/>
      <c r="W152" s="3"/>
      <c r="X152" s="3"/>
      <c r="Y152" s="3"/>
      <c r="Z152" s="3"/>
    </row>
    <row r="153" spans="1:26" outlineLevel="1" x14ac:dyDescent="0.3">
      <c r="A153" s="3"/>
      <c r="B153" s="82" t="s">
        <v>381</v>
      </c>
      <c r="C153" s="83"/>
      <c r="D153" s="83"/>
      <c r="E153" s="84">
        <f>SUM(E154:E158)</f>
        <v>0</v>
      </c>
      <c r="F153" s="84">
        <f>SUMIF(D154:D158,"OK",F154:F158)</f>
        <v>537</v>
      </c>
      <c r="G153" s="85"/>
      <c r="H153" s="85"/>
      <c r="I153" s="86"/>
      <c r="J153" s="85"/>
      <c r="K153" s="28"/>
      <c r="L153" s="28"/>
      <c r="M153" s="28"/>
      <c r="N153" s="28"/>
      <c r="O153" s="28"/>
      <c r="P153" s="28"/>
      <c r="Q153" s="28"/>
      <c r="R153" s="28"/>
      <c r="S153" s="28"/>
      <c r="T153" s="28"/>
      <c r="U153" s="3"/>
      <c r="W153" s="3"/>
      <c r="X153" s="3"/>
      <c r="Y153" s="3"/>
      <c r="Z153" s="3"/>
    </row>
    <row r="154" spans="1:26" ht="14.4" outlineLevel="1" x14ac:dyDescent="0.3">
      <c r="A154" s="3"/>
      <c r="B154" s="9" t="s">
        <v>845</v>
      </c>
      <c r="C154" s="53">
        <v>10</v>
      </c>
      <c r="D154" s="53" t="s">
        <v>95</v>
      </c>
      <c r="E154" s="11">
        <v>0</v>
      </c>
      <c r="F154" s="11">
        <v>537</v>
      </c>
      <c r="G154" s="56" t="s">
        <v>1641</v>
      </c>
      <c r="H154" s="56" t="s">
        <v>37</v>
      </c>
      <c r="I154" s="117" t="s">
        <v>1642</v>
      </c>
      <c r="J154" s="56"/>
      <c r="K154" s="28"/>
      <c r="L154" s="28"/>
      <c r="M154" s="28"/>
      <c r="N154" s="28"/>
      <c r="O154" s="28"/>
      <c r="P154" s="28"/>
      <c r="Q154" s="28"/>
      <c r="R154" s="28"/>
      <c r="S154" s="28"/>
      <c r="T154" s="28"/>
      <c r="U154" s="3"/>
      <c r="W154" s="3"/>
      <c r="X154" s="3"/>
      <c r="Y154" s="3"/>
      <c r="Z154" s="3"/>
    </row>
    <row r="155" spans="1:26" ht="14.4" outlineLevel="1" x14ac:dyDescent="0.3">
      <c r="A155" s="3"/>
      <c r="B155" s="9" t="s">
        <v>355</v>
      </c>
      <c r="C155" s="53"/>
      <c r="D155" s="53"/>
      <c r="E155" s="11">
        <v>0</v>
      </c>
      <c r="F155" s="11">
        <v>0</v>
      </c>
      <c r="G155" s="56"/>
      <c r="H155" s="56"/>
      <c r="I155" s="117"/>
      <c r="J155" s="56"/>
      <c r="K155" s="28"/>
      <c r="L155" s="28"/>
      <c r="M155" s="28"/>
      <c r="N155" s="28"/>
      <c r="O155" s="28"/>
      <c r="P155" s="28"/>
      <c r="Q155" s="28"/>
      <c r="R155" s="28"/>
      <c r="S155" s="28"/>
      <c r="T155" s="28"/>
      <c r="U155" s="3"/>
      <c r="W155" s="3"/>
      <c r="X155" s="3"/>
      <c r="Y155" s="3"/>
      <c r="Z155" s="3"/>
    </row>
    <row r="156" spans="1:26" ht="14.4" outlineLevel="1" x14ac:dyDescent="0.3">
      <c r="A156" s="3"/>
      <c r="B156" s="9" t="s">
        <v>356</v>
      </c>
      <c r="C156" s="53"/>
      <c r="D156" s="53"/>
      <c r="E156" s="11">
        <v>0</v>
      </c>
      <c r="F156" s="11">
        <v>0</v>
      </c>
      <c r="G156" s="56"/>
      <c r="H156" s="56"/>
      <c r="I156" s="102"/>
      <c r="J156" s="56"/>
      <c r="K156" s="28"/>
      <c r="L156" s="28"/>
      <c r="M156" s="28"/>
      <c r="N156" s="28"/>
      <c r="O156" s="28"/>
      <c r="P156" s="28"/>
      <c r="Q156" s="28"/>
      <c r="R156" s="28"/>
      <c r="S156" s="28"/>
      <c r="T156" s="28"/>
      <c r="U156" s="3"/>
      <c r="W156" s="3"/>
      <c r="X156" s="3"/>
      <c r="Y156" s="3"/>
      <c r="Z156" s="3"/>
    </row>
    <row r="157" spans="1:26" ht="14.4" outlineLevel="1" x14ac:dyDescent="0.3">
      <c r="A157" s="3"/>
      <c r="B157" s="9" t="s">
        <v>370</v>
      </c>
      <c r="C157" s="53"/>
      <c r="D157" s="53"/>
      <c r="E157" s="11">
        <v>0</v>
      </c>
      <c r="F157" s="11">
        <v>0</v>
      </c>
      <c r="G157" s="80"/>
      <c r="H157" s="56"/>
      <c r="I157" s="102"/>
      <c r="J157" s="56"/>
      <c r="K157" s="28"/>
      <c r="L157" s="28"/>
      <c r="M157" s="28"/>
      <c r="N157" s="28"/>
      <c r="O157" s="28"/>
      <c r="P157" s="28"/>
      <c r="Q157" s="28"/>
      <c r="R157" s="28"/>
      <c r="S157" s="28"/>
      <c r="T157" s="28"/>
      <c r="U157" s="3"/>
      <c r="W157" s="3"/>
      <c r="X157" s="3"/>
      <c r="Y157" s="3"/>
      <c r="Z157" s="3"/>
    </row>
    <row r="158" spans="1:26" ht="14.4" outlineLevel="1" x14ac:dyDescent="0.3">
      <c r="A158" s="3"/>
      <c r="B158" s="9" t="s">
        <v>328</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outlineLevel="1" x14ac:dyDescent="0.3">
      <c r="A159" s="3"/>
      <c r="B159" s="82" t="s">
        <v>644</v>
      </c>
      <c r="C159" s="83"/>
      <c r="D159" s="83"/>
      <c r="E159" s="84">
        <f>SUM(E160:E164)</f>
        <v>0</v>
      </c>
      <c r="F159" s="84">
        <f>SUMIF(D160:D164,"OK",F160:F164)</f>
        <v>1992.24</v>
      </c>
      <c r="G159" s="85"/>
      <c r="H159" s="85"/>
      <c r="I159" s="86"/>
      <c r="J159" s="85"/>
      <c r="K159" s="28"/>
      <c r="L159" s="28"/>
      <c r="M159" s="28"/>
      <c r="N159" s="28"/>
      <c r="O159" s="28"/>
      <c r="P159" s="28"/>
      <c r="Q159" s="28"/>
      <c r="R159" s="28"/>
      <c r="S159" s="28"/>
      <c r="T159" s="28"/>
      <c r="U159" s="3"/>
      <c r="W159" s="3"/>
      <c r="X159" s="3"/>
      <c r="Y159" s="3"/>
      <c r="Z159" s="3"/>
    </row>
    <row r="160" spans="1:26" ht="14.4" outlineLevel="1" x14ac:dyDescent="0.3">
      <c r="A160" s="3"/>
      <c r="B160" s="9" t="s">
        <v>1148</v>
      </c>
      <c r="C160" s="53">
        <v>29</v>
      </c>
      <c r="D160" s="53" t="s">
        <v>95</v>
      </c>
      <c r="E160" s="11">
        <v>0</v>
      </c>
      <c r="F160" s="11">
        <v>500</v>
      </c>
      <c r="G160" s="56" t="s">
        <v>1643</v>
      </c>
      <c r="H160" s="56" t="s">
        <v>37</v>
      </c>
      <c r="I160" s="117" t="s">
        <v>1644</v>
      </c>
      <c r="J160" s="56"/>
      <c r="K160" s="28"/>
      <c r="L160" s="28"/>
      <c r="M160" s="28"/>
      <c r="N160" s="28"/>
      <c r="O160" s="28"/>
      <c r="P160" s="28"/>
      <c r="Q160" s="28"/>
      <c r="R160" s="28"/>
      <c r="S160" s="28"/>
      <c r="T160" s="28"/>
      <c r="U160" s="3"/>
      <c r="W160" s="3"/>
      <c r="X160" s="3"/>
      <c r="Y160" s="3"/>
      <c r="Z160" s="3"/>
    </row>
    <row r="161" spans="1:26" ht="14.4" outlineLevel="1" x14ac:dyDescent="0.3">
      <c r="A161" s="3"/>
      <c r="B161" s="9" t="s">
        <v>1645</v>
      </c>
      <c r="C161" s="53">
        <v>30</v>
      </c>
      <c r="D161" s="53" t="s">
        <v>95</v>
      </c>
      <c r="E161" s="11">
        <v>0</v>
      </c>
      <c r="F161" s="11">
        <v>37.840000000000003</v>
      </c>
      <c r="G161" s="56"/>
      <c r="H161" s="56" t="s">
        <v>37</v>
      </c>
      <c r="I161" s="117" t="s">
        <v>1644</v>
      </c>
      <c r="J161" s="56"/>
      <c r="K161" s="28"/>
      <c r="L161" s="28"/>
      <c r="M161" s="28"/>
      <c r="N161" s="28"/>
      <c r="O161" s="28"/>
      <c r="P161" s="28"/>
      <c r="Q161" s="28"/>
      <c r="R161" s="28"/>
      <c r="S161" s="28"/>
      <c r="T161" s="28"/>
      <c r="U161" s="3"/>
      <c r="W161" s="3"/>
      <c r="X161" s="3"/>
      <c r="Y161" s="3"/>
      <c r="Z161" s="3"/>
    </row>
    <row r="162" spans="1:26" ht="14.4" outlineLevel="1" x14ac:dyDescent="0.3">
      <c r="A162" s="3"/>
      <c r="B162" s="9" t="s">
        <v>1646</v>
      </c>
      <c r="C162" s="53">
        <v>30</v>
      </c>
      <c r="D162" s="53" t="s">
        <v>95</v>
      </c>
      <c r="E162" s="11">
        <v>0</v>
      </c>
      <c r="F162" s="11">
        <v>764.4</v>
      </c>
      <c r="G162" s="56"/>
      <c r="H162" s="56" t="s">
        <v>38</v>
      </c>
      <c r="I162" s="117" t="s">
        <v>1644</v>
      </c>
      <c r="J162" s="56"/>
      <c r="K162" s="28"/>
      <c r="L162" s="28"/>
      <c r="M162" s="28"/>
      <c r="N162" s="28"/>
      <c r="O162" s="28"/>
      <c r="P162" s="28"/>
      <c r="Q162" s="28"/>
      <c r="R162" s="28"/>
      <c r="S162" s="28"/>
      <c r="T162" s="28"/>
      <c r="U162" s="3"/>
      <c r="W162" s="3"/>
      <c r="X162" s="3"/>
      <c r="Y162" s="3"/>
      <c r="Z162" s="3"/>
    </row>
    <row r="163" spans="1:26" ht="14.4" outlineLevel="1" x14ac:dyDescent="0.3">
      <c r="A163" s="3"/>
      <c r="B163" s="9" t="s">
        <v>1647</v>
      </c>
      <c r="C163" s="53">
        <v>30</v>
      </c>
      <c r="D163" s="53" t="s">
        <v>95</v>
      </c>
      <c r="E163" s="11">
        <v>0</v>
      </c>
      <c r="F163" s="11">
        <v>690</v>
      </c>
      <c r="G163" s="56"/>
      <c r="H163" s="56" t="s">
        <v>38</v>
      </c>
      <c r="I163" s="117" t="s">
        <v>1644</v>
      </c>
      <c r="J163" s="56"/>
      <c r="K163" s="28"/>
      <c r="L163" s="28"/>
      <c r="M163" s="28"/>
      <c r="N163" s="28"/>
      <c r="O163" s="28"/>
      <c r="P163" s="28"/>
      <c r="Q163" s="28"/>
      <c r="R163" s="28"/>
      <c r="S163" s="28"/>
      <c r="T163" s="28"/>
      <c r="U163" s="3"/>
      <c r="W163" s="3"/>
      <c r="X163" s="3"/>
      <c r="Y163" s="3"/>
      <c r="Z163" s="3"/>
    </row>
    <row r="164" spans="1:26" ht="14.4" outlineLevel="1" x14ac:dyDescent="0.3">
      <c r="A164" s="3"/>
      <c r="B164" s="9" t="s">
        <v>328</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outlineLevel="1" x14ac:dyDescent="0.3">
      <c r="A165" s="3"/>
      <c r="B165" s="82" t="s">
        <v>382</v>
      </c>
      <c r="C165" s="83"/>
      <c r="D165" s="83"/>
      <c r="E165" s="84">
        <f>SUM(E166:E170)</f>
        <v>0</v>
      </c>
      <c r="F165" s="84">
        <f>SUMIF(D166:D170,"OK",F166:F170)</f>
        <v>0</v>
      </c>
      <c r="G165" s="85"/>
      <c r="H165" s="85"/>
      <c r="I165" s="86"/>
      <c r="J165" s="85"/>
      <c r="K165" s="28"/>
      <c r="L165" s="28"/>
      <c r="M165" s="28"/>
      <c r="N165" s="28"/>
      <c r="O165" s="28"/>
      <c r="P165" s="28"/>
      <c r="Q165" s="28"/>
      <c r="R165" s="28"/>
      <c r="S165" s="28"/>
      <c r="T165" s="28"/>
      <c r="U165" s="3"/>
      <c r="W165" s="3"/>
      <c r="X165" s="3"/>
      <c r="Y165" s="3"/>
      <c r="Z165" s="3"/>
    </row>
    <row r="166" spans="1:26" ht="14.4" outlineLevel="1" x14ac:dyDescent="0.3">
      <c r="A166" s="3"/>
      <c r="B166" s="9" t="s">
        <v>354</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outlineLevel="1" x14ac:dyDescent="0.3">
      <c r="A167" s="3"/>
      <c r="B167" s="9" t="s">
        <v>355</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t="14.4" outlineLevel="1" x14ac:dyDescent="0.3">
      <c r="A168" s="3"/>
      <c r="B168" s="9" t="s">
        <v>356</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t="14.4" outlineLevel="1" x14ac:dyDescent="0.3">
      <c r="A169" s="3"/>
      <c r="B169" s="9" t="s">
        <v>370</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outlineLevel="1" x14ac:dyDescent="0.3">
      <c r="A170" s="3"/>
      <c r="B170" s="9" t="s">
        <v>328</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outlineLevel="1" x14ac:dyDescent="0.3">
      <c r="A171" s="3"/>
      <c r="B171" s="82" t="s">
        <v>383</v>
      </c>
      <c r="C171" s="83"/>
      <c r="D171" s="83"/>
      <c r="E171" s="84">
        <f>SUM(E172:E176)</f>
        <v>0</v>
      </c>
      <c r="F171" s="84">
        <f>SUMIF(D172:D176,"OK",F172:F176)</f>
        <v>0</v>
      </c>
      <c r="G171" s="85"/>
      <c r="H171" s="85"/>
      <c r="I171" s="86"/>
      <c r="J171" s="85"/>
      <c r="K171" s="28"/>
      <c r="L171" s="28"/>
      <c r="M171" s="28"/>
      <c r="N171" s="28"/>
      <c r="O171" s="28"/>
      <c r="P171" s="28"/>
      <c r="Q171" s="28"/>
      <c r="R171" s="28"/>
      <c r="S171" s="28"/>
      <c r="T171" s="28"/>
      <c r="U171" s="3"/>
      <c r="W171" s="3"/>
      <c r="X171" s="3"/>
      <c r="Y171" s="3"/>
      <c r="Z171" s="3"/>
    </row>
    <row r="172" spans="1:26" ht="14.4" outlineLevel="1" x14ac:dyDescent="0.3">
      <c r="A172" s="3"/>
      <c r="B172" s="9" t="s">
        <v>354</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outlineLevel="1" x14ac:dyDescent="0.3">
      <c r="A173" s="3"/>
      <c r="B173" s="9" t="s">
        <v>355</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14.4" outlineLevel="1" x14ac:dyDescent="0.3">
      <c r="A174" s="3"/>
      <c r="B174" s="9" t="s">
        <v>356</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14.4" outlineLevel="1" x14ac:dyDescent="0.3">
      <c r="A175" s="3"/>
      <c r="B175" s="9" t="s">
        <v>370</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4.4" outlineLevel="1" x14ac:dyDescent="0.3">
      <c r="A176" s="3"/>
      <c r="B176" s="9" t="s">
        <v>328</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20.399999999999999" x14ac:dyDescent="0.3">
      <c r="A177" s="3"/>
      <c r="B177" s="75" t="s">
        <v>384</v>
      </c>
      <c r="C177" s="76" t="s">
        <v>44</v>
      </c>
      <c r="D177" s="76" t="s">
        <v>44</v>
      </c>
      <c r="E177" s="77">
        <f>SUM(E178:E182)</f>
        <v>0</v>
      </c>
      <c r="F177" s="77">
        <f>SUMIF(D178:D182,"OK",F178:F182)</f>
        <v>0</v>
      </c>
      <c r="G177" s="78"/>
      <c r="H177" s="78"/>
      <c r="I177" s="79"/>
      <c r="J177" s="78"/>
      <c r="K177" s="28"/>
      <c r="L177" s="28"/>
      <c r="M177" s="28"/>
      <c r="N177" s="28"/>
      <c r="O177" s="28"/>
      <c r="P177" s="28"/>
      <c r="Q177" s="28"/>
      <c r="R177" s="28"/>
      <c r="S177" s="28"/>
      <c r="T177" s="28"/>
      <c r="U177" s="3"/>
      <c r="W177" s="3"/>
      <c r="X177" s="3"/>
      <c r="Y177" s="3"/>
      <c r="Z177" s="3"/>
    </row>
    <row r="178" spans="1:26" ht="14.4" outlineLevel="1" x14ac:dyDescent="0.3">
      <c r="A178" s="3"/>
      <c r="B178" s="9" t="s">
        <v>354</v>
      </c>
      <c r="C178" s="53"/>
      <c r="D178" s="53"/>
      <c r="E178" s="11">
        <v>0</v>
      </c>
      <c r="F178" s="11">
        <v>0</v>
      </c>
      <c r="G178" s="56"/>
      <c r="H178" s="56"/>
      <c r="I178" s="102"/>
      <c r="J178" s="56"/>
      <c r="K178" s="28"/>
      <c r="L178" s="28"/>
      <c r="M178" s="28"/>
      <c r="N178" s="28"/>
      <c r="O178" s="28"/>
      <c r="P178" s="28"/>
      <c r="Q178" s="28"/>
      <c r="R178" s="28"/>
      <c r="S178" s="28"/>
      <c r="T178" s="28"/>
      <c r="U178" s="3"/>
      <c r="W178" s="3"/>
      <c r="X178" s="3"/>
      <c r="Y178" s="3"/>
      <c r="Z178" s="3"/>
    </row>
    <row r="179" spans="1:26" ht="14.4" outlineLevel="1" x14ac:dyDescent="0.3">
      <c r="A179" s="3"/>
      <c r="B179" s="9" t="s">
        <v>355</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4.4" outlineLevel="1" x14ac:dyDescent="0.3">
      <c r="A180" s="3"/>
      <c r="B180" s="9" t="s">
        <v>356</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14.4" outlineLevel="1" x14ac:dyDescent="0.3">
      <c r="A181" s="3"/>
      <c r="B181" s="9" t="s">
        <v>370</v>
      </c>
      <c r="C181" s="53"/>
      <c r="D181" s="53"/>
      <c r="E181" s="11">
        <v>0</v>
      </c>
      <c r="F181" s="11">
        <v>0</v>
      </c>
      <c r="G181" s="56"/>
      <c r="H181" s="56"/>
      <c r="I181" s="80"/>
      <c r="J181" s="56"/>
      <c r="K181" s="28"/>
      <c r="L181" s="28"/>
      <c r="M181" s="28"/>
      <c r="N181" s="28"/>
      <c r="O181" s="28"/>
      <c r="P181" s="28"/>
      <c r="Q181" s="28"/>
      <c r="R181" s="28"/>
      <c r="S181" s="28"/>
      <c r="T181" s="28"/>
      <c r="U181" s="3"/>
      <c r="W181" s="3"/>
      <c r="X181" s="3"/>
      <c r="Y181" s="3"/>
      <c r="Z181" s="3"/>
    </row>
    <row r="182" spans="1:26" ht="14.4" outlineLevel="1" x14ac:dyDescent="0.3">
      <c r="A182" s="3"/>
      <c r="B182" s="9" t="s">
        <v>328</v>
      </c>
      <c r="C182" s="53"/>
      <c r="D182" s="53"/>
      <c r="E182" s="11">
        <v>0</v>
      </c>
      <c r="F182" s="11">
        <v>0</v>
      </c>
      <c r="G182" s="56"/>
      <c r="H182" s="56"/>
      <c r="I182" s="80"/>
      <c r="J182" s="56"/>
      <c r="K182" s="28"/>
      <c r="L182" s="28"/>
      <c r="M182" s="28"/>
      <c r="N182" s="28"/>
      <c r="O182" s="28"/>
      <c r="P182" s="28"/>
      <c r="Q182" s="28"/>
      <c r="R182" s="28"/>
      <c r="S182" s="28"/>
      <c r="T182" s="28"/>
      <c r="U182" s="3"/>
      <c r="W182" s="3"/>
      <c r="X182" s="3"/>
      <c r="Y182" s="3"/>
      <c r="Z182" s="3"/>
    </row>
    <row r="183" spans="1:26" ht="20.399999999999999" x14ac:dyDescent="0.3">
      <c r="A183" s="3"/>
      <c r="B183" s="75" t="s">
        <v>385</v>
      </c>
      <c r="C183" s="76" t="s">
        <v>44</v>
      </c>
      <c r="D183" s="76" t="s">
        <v>44</v>
      </c>
      <c r="E183" s="77">
        <f>SUM(E184:E211)</f>
        <v>0</v>
      </c>
      <c r="F183" s="77">
        <f>SUMIF(D184:D211,"OK",F184:F211)</f>
        <v>30</v>
      </c>
      <c r="G183" s="78"/>
      <c r="H183" s="78"/>
      <c r="I183" s="79"/>
      <c r="J183" s="78"/>
      <c r="K183" s="28"/>
      <c r="L183" s="28"/>
      <c r="M183" s="28"/>
      <c r="N183" s="28"/>
      <c r="O183" s="28"/>
      <c r="P183" s="28"/>
      <c r="Q183" s="28"/>
      <c r="R183" s="28"/>
      <c r="S183" s="28"/>
      <c r="T183" s="28"/>
      <c r="U183" s="3"/>
      <c r="W183" s="3"/>
      <c r="X183" s="3"/>
      <c r="Y183" s="3"/>
      <c r="Z183" s="3"/>
    </row>
    <row r="184" spans="1:26" ht="14.4" outlineLevel="1" x14ac:dyDescent="0.3">
      <c r="A184" s="3"/>
      <c r="B184" s="9" t="s">
        <v>865</v>
      </c>
      <c r="C184" s="71">
        <v>12</v>
      </c>
      <c r="D184" s="53" t="s">
        <v>95</v>
      </c>
      <c r="E184" s="11">
        <v>0</v>
      </c>
      <c r="F184" s="11">
        <v>30</v>
      </c>
      <c r="G184" s="80"/>
      <c r="H184" s="56" t="s">
        <v>37</v>
      </c>
      <c r="I184" s="117" t="s">
        <v>1648</v>
      </c>
      <c r="J184" s="56"/>
      <c r="K184" s="28"/>
      <c r="L184" s="28"/>
      <c r="M184" s="28"/>
      <c r="N184" s="28"/>
      <c r="O184" s="28"/>
      <c r="P184" s="28"/>
      <c r="Q184" s="28"/>
      <c r="R184" s="28"/>
      <c r="S184" s="28"/>
      <c r="T184" s="28"/>
      <c r="U184" s="3"/>
      <c r="W184" s="3"/>
      <c r="X184" s="3"/>
      <c r="Y184" s="3"/>
      <c r="Z184" s="3"/>
    </row>
    <row r="185" spans="1:26" ht="14.4" outlineLevel="1" x14ac:dyDescent="0.3">
      <c r="A185" s="3"/>
      <c r="B185" s="9" t="s">
        <v>51</v>
      </c>
      <c r="C185" s="53"/>
      <c r="D185" s="53"/>
      <c r="E185" s="11">
        <v>0</v>
      </c>
      <c r="F185" s="11">
        <v>0</v>
      </c>
      <c r="G185" s="80"/>
      <c r="H185" s="56"/>
      <c r="I185" s="102"/>
      <c r="J185" s="80"/>
      <c r="K185" s="28"/>
      <c r="L185" s="28"/>
      <c r="M185" s="28"/>
      <c r="N185" s="28"/>
      <c r="O185" s="28"/>
      <c r="P185" s="28"/>
      <c r="Q185" s="28"/>
      <c r="R185" s="28"/>
      <c r="S185" s="28"/>
      <c r="T185" s="28"/>
      <c r="U185" s="3"/>
      <c r="W185" s="3"/>
      <c r="X185" s="3"/>
      <c r="Y185" s="3"/>
      <c r="Z185" s="3"/>
    </row>
    <row r="186" spans="1:26" ht="14.4" outlineLevel="1" x14ac:dyDescent="0.3">
      <c r="A186" s="3"/>
      <c r="B186" s="9" t="s">
        <v>51</v>
      </c>
      <c r="C186" s="53"/>
      <c r="D186" s="53"/>
      <c r="E186" s="11">
        <v>0</v>
      </c>
      <c r="F186" s="11">
        <v>0</v>
      </c>
      <c r="G186" s="56"/>
      <c r="H186" s="56"/>
      <c r="I186" s="102"/>
      <c r="J186" s="56"/>
      <c r="K186" s="28"/>
      <c r="L186" s="28"/>
      <c r="M186" s="28"/>
      <c r="N186" s="28"/>
      <c r="O186" s="28"/>
      <c r="P186" s="28"/>
      <c r="Q186" s="28"/>
      <c r="R186" s="28"/>
      <c r="S186" s="28"/>
      <c r="T186" s="28"/>
      <c r="U186" s="3"/>
      <c r="W186" s="3"/>
      <c r="X186" s="3"/>
      <c r="Y186" s="3"/>
      <c r="Z186" s="3"/>
    </row>
    <row r="187" spans="1:26" ht="14.4" outlineLevel="1" x14ac:dyDescent="0.3">
      <c r="A187" s="3"/>
      <c r="B187" s="9" t="s">
        <v>51</v>
      </c>
      <c r="C187" s="53"/>
      <c r="D187" s="53"/>
      <c r="E187" s="11">
        <v>0</v>
      </c>
      <c r="F187" s="11">
        <v>0</v>
      </c>
      <c r="G187" s="80"/>
      <c r="H187" s="56"/>
      <c r="I187" s="102"/>
      <c r="J187" s="56"/>
      <c r="K187" s="28"/>
      <c r="L187" s="28"/>
      <c r="M187" s="28"/>
      <c r="N187" s="28"/>
      <c r="O187" s="28"/>
      <c r="P187" s="28"/>
      <c r="Q187" s="28"/>
      <c r="R187" s="28"/>
      <c r="S187" s="28"/>
      <c r="T187" s="28"/>
      <c r="U187" s="3"/>
      <c r="W187" s="3"/>
      <c r="X187" s="3"/>
      <c r="Y187" s="3"/>
      <c r="Z187" s="3"/>
    </row>
    <row r="188" spans="1:26" ht="14.4" outlineLevel="1" x14ac:dyDescent="0.3">
      <c r="A188" s="3"/>
      <c r="B188" s="9" t="s">
        <v>51</v>
      </c>
      <c r="C188" s="53"/>
      <c r="D188" s="53"/>
      <c r="E188" s="11">
        <v>0</v>
      </c>
      <c r="F188" s="11">
        <v>0</v>
      </c>
      <c r="G188" s="56"/>
      <c r="H188" s="56"/>
      <c r="I188" s="102"/>
      <c r="J188" s="56"/>
      <c r="K188" s="28"/>
      <c r="L188" s="28"/>
      <c r="M188" s="28"/>
      <c r="N188" s="28"/>
      <c r="O188" s="28"/>
      <c r="P188" s="28"/>
      <c r="Q188" s="28"/>
      <c r="R188" s="28"/>
      <c r="S188" s="28"/>
      <c r="T188" s="28"/>
      <c r="U188" s="3"/>
      <c r="W188" s="3"/>
      <c r="X188" s="3"/>
      <c r="Y188" s="3"/>
      <c r="Z188" s="3"/>
    </row>
    <row r="189" spans="1:26" ht="14.4" outlineLevel="1" x14ac:dyDescent="0.3">
      <c r="A189" s="3"/>
      <c r="B189" s="9" t="s">
        <v>51</v>
      </c>
      <c r="C189" s="53"/>
      <c r="D189" s="53"/>
      <c r="E189" s="11">
        <v>0</v>
      </c>
      <c r="F189" s="11">
        <v>0</v>
      </c>
      <c r="G189" s="56"/>
      <c r="H189" s="56"/>
      <c r="I189" s="102"/>
      <c r="J189" s="56"/>
      <c r="K189" s="28"/>
      <c r="L189" s="28"/>
      <c r="M189" s="28"/>
      <c r="N189" s="28"/>
      <c r="O189" s="28"/>
      <c r="P189" s="28"/>
      <c r="Q189" s="28"/>
      <c r="R189" s="28"/>
      <c r="S189" s="28"/>
      <c r="T189" s="28"/>
      <c r="U189" s="3"/>
      <c r="W189" s="3"/>
      <c r="X189" s="3"/>
      <c r="Y189" s="3"/>
      <c r="Z189" s="3"/>
    </row>
    <row r="190" spans="1:26" ht="14.4" outlineLevel="1" x14ac:dyDescent="0.3">
      <c r="A190" s="3"/>
      <c r="B190" s="9" t="s">
        <v>51</v>
      </c>
      <c r="C190" s="53"/>
      <c r="D190" s="53"/>
      <c r="E190" s="11">
        <v>0</v>
      </c>
      <c r="F190" s="11">
        <v>0</v>
      </c>
      <c r="G190" s="80"/>
      <c r="H190" s="56"/>
      <c r="I190" s="117"/>
      <c r="J190" s="56"/>
      <c r="K190" s="28"/>
      <c r="L190" s="28"/>
      <c r="M190" s="28"/>
      <c r="N190" s="28"/>
      <c r="O190" s="28"/>
      <c r="P190" s="28"/>
      <c r="Q190" s="28"/>
      <c r="R190" s="28"/>
      <c r="S190" s="28"/>
      <c r="T190" s="28"/>
      <c r="U190" s="3"/>
      <c r="W190" s="3"/>
      <c r="X190" s="3"/>
      <c r="Y190" s="3"/>
      <c r="Z190" s="3"/>
    </row>
    <row r="191" spans="1:26" ht="14.4" outlineLevel="1" x14ac:dyDescent="0.3">
      <c r="A191" s="3"/>
      <c r="B191" s="9" t="s">
        <v>51</v>
      </c>
      <c r="C191" s="53"/>
      <c r="D191" s="53"/>
      <c r="E191" s="11">
        <v>0</v>
      </c>
      <c r="F191" s="11">
        <v>0</v>
      </c>
      <c r="G191" s="56"/>
      <c r="H191" s="56"/>
      <c r="I191" s="102"/>
      <c r="J191" s="56"/>
      <c r="K191" s="28"/>
      <c r="L191" s="28"/>
      <c r="M191" s="28"/>
      <c r="N191" s="28"/>
      <c r="O191" s="28"/>
      <c r="P191" s="28"/>
      <c r="Q191" s="28"/>
      <c r="R191" s="28"/>
      <c r="S191" s="28"/>
      <c r="T191" s="28"/>
      <c r="U191" s="3"/>
      <c r="W191" s="3"/>
      <c r="X191" s="3"/>
      <c r="Y191" s="3"/>
      <c r="Z191" s="3"/>
    </row>
    <row r="192" spans="1:26" ht="14.4" outlineLevel="1" x14ac:dyDescent="0.3">
      <c r="A192" s="3"/>
      <c r="B192" s="9" t="s">
        <v>51</v>
      </c>
      <c r="C192" s="53"/>
      <c r="D192" s="53"/>
      <c r="E192" s="11">
        <v>0</v>
      </c>
      <c r="F192" s="11">
        <v>0</v>
      </c>
      <c r="G192" s="56"/>
      <c r="H192" s="56"/>
      <c r="I192" s="102"/>
      <c r="J192" s="56"/>
      <c r="K192" s="28"/>
      <c r="L192" s="28"/>
      <c r="M192" s="28"/>
      <c r="N192" s="28"/>
      <c r="O192" s="28"/>
      <c r="P192" s="28"/>
      <c r="Q192" s="28"/>
      <c r="R192" s="28"/>
      <c r="S192" s="28"/>
      <c r="T192" s="28"/>
      <c r="U192" s="3"/>
      <c r="W192" s="3"/>
      <c r="X192" s="3"/>
      <c r="Y192" s="3"/>
      <c r="Z192" s="3"/>
    </row>
    <row r="193" spans="1:26" ht="14.4" outlineLevel="1" x14ac:dyDescent="0.3">
      <c r="A193" s="3"/>
      <c r="B193" s="9" t="s">
        <v>51</v>
      </c>
      <c r="C193" s="53"/>
      <c r="D193" s="53"/>
      <c r="E193" s="11">
        <v>0</v>
      </c>
      <c r="F193" s="11">
        <v>0</v>
      </c>
      <c r="G193" s="56"/>
      <c r="H193" s="56"/>
      <c r="I193" s="102"/>
      <c r="J193" s="56"/>
      <c r="K193" s="28"/>
      <c r="L193" s="28"/>
      <c r="M193" s="28"/>
      <c r="N193" s="28"/>
      <c r="O193" s="28"/>
      <c r="P193" s="28"/>
      <c r="Q193" s="28"/>
      <c r="R193" s="28"/>
      <c r="S193" s="28"/>
      <c r="T193" s="28"/>
      <c r="U193" s="3"/>
      <c r="W193" s="3"/>
      <c r="X193" s="3"/>
      <c r="Y193" s="3"/>
      <c r="Z193" s="3"/>
    </row>
    <row r="194" spans="1:26" ht="14.4" outlineLevel="1" x14ac:dyDescent="0.3">
      <c r="A194" s="3"/>
      <c r="B194" s="9" t="s">
        <v>51</v>
      </c>
      <c r="C194" s="53"/>
      <c r="D194" s="53"/>
      <c r="E194" s="11">
        <v>0</v>
      </c>
      <c r="F194" s="11">
        <v>0</v>
      </c>
      <c r="G194" s="56"/>
      <c r="H194" s="56"/>
      <c r="I194" s="102"/>
      <c r="J194" s="56"/>
      <c r="K194" s="28"/>
      <c r="L194" s="28"/>
      <c r="M194" s="28"/>
      <c r="N194" s="28"/>
      <c r="O194" s="28"/>
      <c r="P194" s="28"/>
      <c r="Q194" s="28"/>
      <c r="R194" s="28"/>
      <c r="S194" s="28"/>
      <c r="T194" s="28"/>
      <c r="U194" s="3"/>
      <c r="W194" s="3"/>
      <c r="X194" s="3"/>
      <c r="Y194" s="3"/>
      <c r="Z194" s="3"/>
    </row>
    <row r="195" spans="1:26" ht="14.4" outlineLevel="1" x14ac:dyDescent="0.3">
      <c r="A195" s="3"/>
      <c r="B195" s="9" t="s">
        <v>51</v>
      </c>
      <c r="C195" s="53"/>
      <c r="D195" s="53"/>
      <c r="E195" s="11">
        <v>0</v>
      </c>
      <c r="F195" s="11">
        <v>0</v>
      </c>
      <c r="G195" s="56"/>
      <c r="H195" s="56"/>
      <c r="I195" s="102"/>
      <c r="J195" s="56"/>
      <c r="K195" s="28"/>
      <c r="L195" s="28"/>
      <c r="M195" s="28"/>
      <c r="N195" s="28"/>
      <c r="O195" s="28"/>
      <c r="P195" s="28"/>
      <c r="Q195" s="28"/>
      <c r="R195" s="28"/>
      <c r="S195" s="28"/>
      <c r="T195" s="28"/>
      <c r="U195" s="3"/>
      <c r="W195" s="3"/>
      <c r="X195" s="3"/>
      <c r="Y195" s="3"/>
      <c r="Z195" s="3"/>
    </row>
    <row r="196" spans="1:26" ht="14.4" outlineLevel="1" x14ac:dyDescent="0.3">
      <c r="A196" s="3"/>
      <c r="B196" s="9" t="s">
        <v>51</v>
      </c>
      <c r="C196" s="53"/>
      <c r="D196" s="53"/>
      <c r="E196" s="11">
        <v>0</v>
      </c>
      <c r="F196" s="11">
        <v>0</v>
      </c>
      <c r="G196" s="56"/>
      <c r="H196" s="56"/>
      <c r="I196" s="117"/>
      <c r="J196" s="56"/>
      <c r="K196" s="28"/>
      <c r="L196" s="28"/>
      <c r="M196" s="28"/>
      <c r="N196" s="28"/>
      <c r="O196" s="28"/>
      <c r="P196" s="28"/>
      <c r="Q196" s="28"/>
      <c r="R196" s="28"/>
      <c r="S196" s="28"/>
      <c r="T196" s="28"/>
      <c r="U196" s="3"/>
      <c r="W196" s="3"/>
      <c r="X196" s="3"/>
      <c r="Y196" s="3"/>
      <c r="Z196" s="3"/>
    </row>
    <row r="197" spans="1:26" ht="14.4" outlineLevel="1" x14ac:dyDescent="0.3">
      <c r="A197" s="3"/>
      <c r="B197" s="9" t="s">
        <v>51</v>
      </c>
      <c r="C197" s="53"/>
      <c r="D197" s="53"/>
      <c r="E197" s="11">
        <v>0</v>
      </c>
      <c r="F197" s="11">
        <v>0</v>
      </c>
      <c r="G197" s="56"/>
      <c r="H197" s="56"/>
      <c r="I197" s="117"/>
      <c r="J197" s="56"/>
      <c r="K197" s="28"/>
      <c r="L197" s="28"/>
      <c r="M197" s="28"/>
      <c r="N197" s="28"/>
      <c r="O197" s="28"/>
      <c r="P197" s="28"/>
      <c r="Q197" s="28"/>
      <c r="R197" s="28"/>
      <c r="S197" s="28"/>
      <c r="T197" s="28"/>
      <c r="U197" s="3"/>
      <c r="W197" s="3"/>
      <c r="X197" s="3"/>
      <c r="Y197" s="3"/>
      <c r="Z197" s="3"/>
    </row>
    <row r="198" spans="1:26" ht="14.4" outlineLevel="1" x14ac:dyDescent="0.3">
      <c r="A198" s="3"/>
      <c r="B198" s="9" t="s">
        <v>51</v>
      </c>
      <c r="C198" s="53"/>
      <c r="D198" s="53"/>
      <c r="E198" s="11">
        <v>0</v>
      </c>
      <c r="F198" s="11">
        <v>0</v>
      </c>
      <c r="G198" s="56"/>
      <c r="H198" s="56"/>
      <c r="I198" s="102"/>
      <c r="J198" s="56"/>
      <c r="K198" s="28"/>
      <c r="L198" s="28"/>
      <c r="M198" s="28"/>
      <c r="N198" s="28"/>
      <c r="O198" s="28"/>
      <c r="P198" s="28"/>
      <c r="Q198" s="28"/>
      <c r="R198" s="28"/>
      <c r="S198" s="28"/>
      <c r="T198" s="28"/>
      <c r="U198" s="3"/>
      <c r="W198" s="3"/>
      <c r="X198" s="3"/>
      <c r="Y198" s="3"/>
      <c r="Z198" s="3"/>
    </row>
    <row r="199" spans="1:26" ht="14.4" outlineLevel="1" x14ac:dyDescent="0.3">
      <c r="A199" s="3"/>
      <c r="B199" s="9" t="s">
        <v>51</v>
      </c>
      <c r="C199" s="53"/>
      <c r="D199" s="53"/>
      <c r="E199" s="11">
        <v>0</v>
      </c>
      <c r="F199" s="11">
        <v>0</v>
      </c>
      <c r="G199" s="56"/>
      <c r="H199" s="56"/>
      <c r="I199" s="102"/>
      <c r="J199" s="56"/>
      <c r="K199" s="28"/>
      <c r="L199" s="28"/>
      <c r="M199" s="28"/>
      <c r="N199" s="28"/>
      <c r="O199" s="28"/>
      <c r="P199" s="28"/>
      <c r="Q199" s="28"/>
      <c r="R199" s="28"/>
      <c r="S199" s="28"/>
      <c r="T199" s="28"/>
      <c r="U199" s="3"/>
      <c r="W199" s="3"/>
      <c r="X199" s="3"/>
      <c r="Y199" s="3"/>
      <c r="Z199" s="3"/>
    </row>
    <row r="200" spans="1:26" ht="14.4" outlineLevel="1" x14ac:dyDescent="0.3">
      <c r="A200" s="3"/>
      <c r="B200" s="9" t="s">
        <v>51</v>
      </c>
      <c r="C200" s="53"/>
      <c r="D200" s="53"/>
      <c r="E200" s="11">
        <v>0</v>
      </c>
      <c r="F200" s="11">
        <v>0</v>
      </c>
      <c r="G200" s="56"/>
      <c r="H200" s="56"/>
      <c r="I200" s="102"/>
      <c r="J200" s="56"/>
      <c r="K200" s="28"/>
      <c r="L200" s="28"/>
      <c r="M200" s="28"/>
      <c r="N200" s="28"/>
      <c r="O200" s="28"/>
      <c r="P200" s="28"/>
      <c r="Q200" s="28"/>
      <c r="R200" s="28"/>
      <c r="S200" s="28"/>
      <c r="T200" s="28"/>
      <c r="U200" s="3"/>
      <c r="W200" s="3"/>
      <c r="X200" s="3"/>
      <c r="Y200" s="3"/>
      <c r="Z200" s="3"/>
    </row>
    <row r="201" spans="1:26" ht="14.4" outlineLevel="1" x14ac:dyDescent="0.3">
      <c r="A201" s="3"/>
      <c r="B201" s="9" t="s">
        <v>51</v>
      </c>
      <c r="C201" s="53"/>
      <c r="D201" s="53"/>
      <c r="E201" s="11">
        <v>0</v>
      </c>
      <c r="F201" s="11">
        <v>0</v>
      </c>
      <c r="G201" s="56"/>
      <c r="H201" s="56"/>
      <c r="I201" s="102"/>
      <c r="J201" s="56"/>
      <c r="K201" s="28"/>
      <c r="L201" s="28"/>
      <c r="M201" s="28"/>
      <c r="N201" s="28"/>
      <c r="O201" s="28"/>
      <c r="P201" s="28"/>
      <c r="Q201" s="28"/>
      <c r="R201" s="28"/>
      <c r="S201" s="28"/>
      <c r="T201" s="28"/>
      <c r="U201" s="3"/>
      <c r="W201" s="3"/>
      <c r="X201" s="3"/>
      <c r="Y201" s="3"/>
      <c r="Z201" s="3"/>
    </row>
    <row r="202" spans="1:26" ht="14.4" outlineLevel="1" x14ac:dyDescent="0.3">
      <c r="A202" s="3"/>
      <c r="B202" s="9" t="s">
        <v>51</v>
      </c>
      <c r="C202" s="53"/>
      <c r="D202" s="53"/>
      <c r="E202" s="11">
        <v>0</v>
      </c>
      <c r="F202" s="11">
        <v>0</v>
      </c>
      <c r="G202" s="56"/>
      <c r="H202" s="56"/>
      <c r="I202" s="102"/>
      <c r="J202" s="56"/>
      <c r="K202" s="28"/>
      <c r="L202" s="28"/>
      <c r="M202" s="28"/>
      <c r="N202" s="28"/>
      <c r="O202" s="28"/>
      <c r="P202" s="28"/>
      <c r="Q202" s="28"/>
      <c r="R202" s="28"/>
      <c r="S202" s="28"/>
      <c r="T202" s="28"/>
      <c r="U202" s="3"/>
      <c r="W202" s="3"/>
      <c r="X202" s="3"/>
      <c r="Y202" s="3"/>
      <c r="Z202" s="3"/>
    </row>
    <row r="203" spans="1:26" ht="14.4" outlineLevel="1" x14ac:dyDescent="0.3">
      <c r="A203" s="3"/>
      <c r="B203" s="9" t="s">
        <v>51</v>
      </c>
      <c r="C203" s="53"/>
      <c r="D203" s="53"/>
      <c r="E203" s="11">
        <v>0</v>
      </c>
      <c r="F203" s="11">
        <v>0</v>
      </c>
      <c r="G203" s="56"/>
      <c r="H203" s="56"/>
      <c r="I203" s="117"/>
      <c r="J203" s="56"/>
      <c r="K203" s="28"/>
      <c r="L203" s="28"/>
      <c r="M203" s="28"/>
      <c r="N203" s="28"/>
      <c r="O203" s="28"/>
      <c r="P203" s="28"/>
      <c r="Q203" s="28"/>
      <c r="R203" s="28"/>
      <c r="S203" s="28"/>
      <c r="T203" s="28"/>
      <c r="U203" s="3"/>
      <c r="W203" s="3"/>
      <c r="X203" s="3"/>
      <c r="Y203" s="3"/>
      <c r="Z203" s="3"/>
    </row>
    <row r="204" spans="1:26" ht="14.4" outlineLevel="1" x14ac:dyDescent="0.3">
      <c r="A204" s="3"/>
      <c r="B204" s="9" t="s">
        <v>51</v>
      </c>
      <c r="C204" s="53"/>
      <c r="D204" s="53"/>
      <c r="E204" s="11">
        <v>0</v>
      </c>
      <c r="F204" s="11">
        <v>0</v>
      </c>
      <c r="G204" s="56"/>
      <c r="H204" s="56"/>
      <c r="I204" s="102"/>
      <c r="J204" s="56"/>
      <c r="K204" s="28"/>
      <c r="L204" s="28"/>
      <c r="M204" s="28"/>
      <c r="N204" s="28"/>
      <c r="O204" s="28"/>
      <c r="P204" s="28"/>
      <c r="Q204" s="28"/>
      <c r="R204" s="28"/>
      <c r="S204" s="28"/>
      <c r="T204" s="28"/>
      <c r="U204" s="3"/>
      <c r="W204" s="3"/>
      <c r="X204" s="3"/>
      <c r="Y204" s="3"/>
      <c r="Z204" s="3"/>
    </row>
    <row r="205" spans="1:26" ht="14.4" outlineLevel="1" x14ac:dyDescent="0.3">
      <c r="A205" s="3"/>
      <c r="B205" s="9" t="s">
        <v>51</v>
      </c>
      <c r="C205" s="53"/>
      <c r="D205" s="53"/>
      <c r="E205" s="11">
        <v>0</v>
      </c>
      <c r="F205" s="11">
        <v>0</v>
      </c>
      <c r="G205" s="56"/>
      <c r="H205" s="56"/>
      <c r="I205" s="117"/>
      <c r="J205" s="56"/>
      <c r="K205" s="28"/>
      <c r="L205" s="28"/>
      <c r="M205" s="28"/>
      <c r="N205" s="28"/>
      <c r="O205" s="28"/>
      <c r="P205" s="28"/>
      <c r="Q205" s="28"/>
      <c r="R205" s="28"/>
      <c r="S205" s="28"/>
      <c r="T205" s="28"/>
      <c r="U205" s="3"/>
      <c r="W205" s="3"/>
      <c r="X205" s="3"/>
      <c r="Y205" s="3"/>
      <c r="Z205" s="3"/>
    </row>
    <row r="206" spans="1:26" ht="14.4" outlineLevel="1" x14ac:dyDescent="0.3">
      <c r="A206" s="3"/>
      <c r="B206" s="9" t="s">
        <v>51</v>
      </c>
      <c r="C206" s="53"/>
      <c r="D206" s="53"/>
      <c r="E206" s="11">
        <v>0</v>
      </c>
      <c r="F206" s="11">
        <v>0</v>
      </c>
      <c r="G206" s="56"/>
      <c r="H206" s="56"/>
      <c r="I206" s="117"/>
      <c r="J206" s="56"/>
      <c r="K206" s="28"/>
      <c r="L206" s="28"/>
      <c r="M206" s="28"/>
      <c r="N206" s="28"/>
      <c r="O206" s="28"/>
      <c r="P206" s="28"/>
      <c r="Q206" s="28"/>
      <c r="R206" s="28"/>
      <c r="S206" s="28"/>
      <c r="T206" s="28"/>
      <c r="U206" s="3"/>
      <c r="W206" s="3"/>
      <c r="X206" s="3"/>
      <c r="Y206" s="3"/>
      <c r="Z206" s="3"/>
    </row>
    <row r="207" spans="1:26" ht="14.4" outlineLevel="1" x14ac:dyDescent="0.3">
      <c r="A207" s="3"/>
      <c r="B207" s="9" t="s">
        <v>51</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outlineLevel="1" x14ac:dyDescent="0.3">
      <c r="A208" s="3"/>
      <c r="B208" s="9" t="s">
        <v>51</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4.4" outlineLevel="1" x14ac:dyDescent="0.3">
      <c r="A209" s="3"/>
      <c r="B209" s="9" t="s">
        <v>51</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4.4" outlineLevel="1" x14ac:dyDescent="0.3">
      <c r="A210" s="3"/>
      <c r="B210" s="9" t="s">
        <v>51</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4.4" outlineLevel="1" x14ac:dyDescent="0.3">
      <c r="A211" s="3"/>
      <c r="B211" s="9" t="s">
        <v>51</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20.399999999999999" x14ac:dyDescent="0.3">
      <c r="A212" s="3"/>
      <c r="B212" s="75" t="s">
        <v>395</v>
      </c>
      <c r="C212" s="76" t="s">
        <v>44</v>
      </c>
      <c r="D212" s="76" t="s">
        <v>44</v>
      </c>
      <c r="E212" s="77">
        <f>SUM(E213:E221)</f>
        <v>0</v>
      </c>
      <c r="F212" s="77">
        <f>SUMIF(D213:D221,"OK",F213:F221)</f>
        <v>100</v>
      </c>
      <c r="G212" s="78"/>
      <c r="H212" s="78"/>
      <c r="I212" s="79"/>
      <c r="J212" s="78"/>
      <c r="K212" s="28"/>
      <c r="L212" s="28"/>
      <c r="M212" s="28"/>
      <c r="N212" s="28"/>
      <c r="O212" s="28"/>
      <c r="P212" s="28"/>
      <c r="Q212" s="28"/>
      <c r="R212" s="28"/>
      <c r="S212" s="28"/>
      <c r="T212" s="28"/>
      <c r="U212" s="3"/>
      <c r="W212" s="3"/>
      <c r="X212" s="3"/>
      <c r="Y212" s="3"/>
      <c r="Z212" s="3"/>
    </row>
    <row r="213" spans="1:26" ht="14.4" outlineLevel="1" x14ac:dyDescent="0.3">
      <c r="A213" s="3"/>
      <c r="B213" s="9" t="s">
        <v>1649</v>
      </c>
      <c r="C213" s="53">
        <v>11</v>
      </c>
      <c r="D213" s="53" t="s">
        <v>95</v>
      </c>
      <c r="E213" s="11">
        <v>0</v>
      </c>
      <c r="F213" s="11">
        <v>100</v>
      </c>
      <c r="G213" s="56"/>
      <c r="H213" s="56" t="s">
        <v>37</v>
      </c>
      <c r="I213" s="102" t="s">
        <v>1650</v>
      </c>
      <c r="J213" s="56"/>
      <c r="K213" s="28"/>
      <c r="L213" s="28"/>
      <c r="M213" s="28"/>
      <c r="N213" s="28"/>
      <c r="O213" s="28"/>
      <c r="P213" s="28"/>
      <c r="Q213" s="28"/>
      <c r="R213" s="28"/>
      <c r="S213" s="28"/>
      <c r="T213" s="28"/>
      <c r="U213" s="3"/>
      <c r="W213" s="3"/>
      <c r="X213" s="3"/>
      <c r="Y213" s="3"/>
      <c r="Z213" s="3"/>
    </row>
    <row r="214" spans="1:26" ht="14.4" outlineLevel="1" x14ac:dyDescent="0.3">
      <c r="A214" s="3"/>
      <c r="B214" s="9" t="s">
        <v>355</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4.4" outlineLevel="1" x14ac:dyDescent="0.3">
      <c r="A215" s="3"/>
      <c r="B215" s="9" t="s">
        <v>356</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4.4" outlineLevel="1" x14ac:dyDescent="0.3">
      <c r="A216" s="3"/>
      <c r="B216" s="9" t="s">
        <v>370</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14.4" outlineLevel="1" x14ac:dyDescent="0.3">
      <c r="A217" s="3"/>
      <c r="B217" s="9" t="s">
        <v>328</v>
      </c>
      <c r="C217" s="53"/>
      <c r="D217" s="53"/>
      <c r="E217" s="11">
        <v>0</v>
      </c>
      <c r="F217" s="11">
        <v>0</v>
      </c>
      <c r="G217" s="56"/>
      <c r="H217" s="56"/>
      <c r="I217" s="80"/>
      <c r="J217" s="56"/>
      <c r="K217" s="28"/>
      <c r="L217" s="28"/>
      <c r="M217" s="28"/>
      <c r="N217" s="28"/>
      <c r="O217" s="28"/>
      <c r="P217" s="28"/>
      <c r="Q217" s="28"/>
      <c r="R217" s="28"/>
      <c r="S217" s="28"/>
      <c r="T217" s="28"/>
      <c r="U217" s="3"/>
      <c r="W217" s="3"/>
      <c r="X217" s="3"/>
      <c r="Y217" s="3"/>
      <c r="Z217" s="3"/>
    </row>
    <row r="218" spans="1:26" ht="14.4" outlineLevel="1" x14ac:dyDescent="0.3">
      <c r="A218" s="3"/>
      <c r="B218" s="9" t="s">
        <v>329</v>
      </c>
      <c r="C218" s="53"/>
      <c r="D218" s="53"/>
      <c r="E218" s="11">
        <v>0</v>
      </c>
      <c r="F218" s="11">
        <v>0</v>
      </c>
      <c r="G218" s="56"/>
      <c r="H218" s="56"/>
      <c r="I218" s="80"/>
      <c r="J218" s="56"/>
      <c r="K218" s="28"/>
      <c r="L218" s="28"/>
      <c r="M218" s="28"/>
      <c r="N218" s="28"/>
      <c r="O218" s="28"/>
      <c r="P218" s="28"/>
      <c r="Q218" s="28"/>
      <c r="R218" s="28"/>
      <c r="S218" s="28"/>
      <c r="T218" s="28"/>
      <c r="U218" s="3"/>
      <c r="W218" s="3"/>
      <c r="X218" s="3"/>
      <c r="Y218" s="3"/>
      <c r="Z218" s="3"/>
    </row>
    <row r="219" spans="1:26" ht="14.4" outlineLevel="1" x14ac:dyDescent="0.3">
      <c r="A219" s="3"/>
      <c r="B219" s="9" t="s">
        <v>371</v>
      </c>
      <c r="C219" s="53"/>
      <c r="D219" s="53"/>
      <c r="E219" s="11">
        <v>0</v>
      </c>
      <c r="F219" s="11">
        <v>0</v>
      </c>
      <c r="G219" s="56"/>
      <c r="H219" s="56"/>
      <c r="I219" s="80"/>
      <c r="J219" s="56"/>
      <c r="K219" s="28"/>
      <c r="L219" s="28"/>
      <c r="M219" s="28"/>
      <c r="N219" s="28"/>
      <c r="O219" s="28"/>
      <c r="P219" s="28"/>
      <c r="Q219" s="28"/>
      <c r="R219" s="28"/>
      <c r="S219" s="28"/>
      <c r="T219" s="28"/>
      <c r="U219" s="3"/>
      <c r="W219" s="3"/>
      <c r="X219" s="3"/>
      <c r="Y219" s="3"/>
      <c r="Z219" s="3"/>
    </row>
    <row r="220" spans="1:26" ht="14.4" outlineLevel="1" x14ac:dyDescent="0.3">
      <c r="A220" s="3"/>
      <c r="B220" s="9" t="s">
        <v>372</v>
      </c>
      <c r="C220" s="53"/>
      <c r="D220" s="53"/>
      <c r="E220" s="11">
        <v>0</v>
      </c>
      <c r="F220" s="11">
        <v>0</v>
      </c>
      <c r="G220" s="56"/>
      <c r="H220" s="56"/>
      <c r="I220" s="80"/>
      <c r="J220" s="56"/>
      <c r="K220" s="28"/>
      <c r="L220" s="28"/>
      <c r="M220" s="28"/>
      <c r="N220" s="28"/>
      <c r="O220" s="28"/>
      <c r="P220" s="28"/>
      <c r="Q220" s="28"/>
      <c r="R220" s="28"/>
      <c r="S220" s="28"/>
      <c r="T220" s="28"/>
      <c r="U220" s="3"/>
      <c r="W220" s="3"/>
      <c r="X220" s="3"/>
      <c r="Y220" s="3"/>
      <c r="Z220" s="3"/>
    </row>
    <row r="221" spans="1:26" ht="14.4" outlineLevel="1" x14ac:dyDescent="0.3">
      <c r="A221" s="3"/>
      <c r="B221" s="9" t="s">
        <v>373</v>
      </c>
      <c r="C221" s="53"/>
      <c r="D221" s="53"/>
      <c r="E221" s="11">
        <v>0</v>
      </c>
      <c r="F221" s="11">
        <v>0</v>
      </c>
      <c r="G221" s="56"/>
      <c r="H221" s="56"/>
      <c r="I221" s="80"/>
      <c r="J221" s="56"/>
      <c r="K221" s="28"/>
      <c r="L221" s="28"/>
      <c r="M221" s="28"/>
      <c r="N221" s="28"/>
      <c r="O221" s="28"/>
      <c r="P221" s="28"/>
      <c r="Q221" s="28"/>
      <c r="R221" s="28"/>
      <c r="S221" s="28"/>
      <c r="T221" s="28"/>
      <c r="U221" s="3"/>
      <c r="W221" s="3"/>
      <c r="X221" s="3"/>
      <c r="Y221" s="3"/>
      <c r="Z221" s="3"/>
    </row>
    <row r="222" spans="1:26" ht="20.399999999999999" x14ac:dyDescent="0.3">
      <c r="A222" s="3"/>
      <c r="B222" s="75" t="s">
        <v>402</v>
      </c>
      <c r="C222" s="76" t="s">
        <v>44</v>
      </c>
      <c r="D222" s="76" t="s">
        <v>44</v>
      </c>
      <c r="E222" s="77">
        <f>SUM(E223:E231)</f>
        <v>0</v>
      </c>
      <c r="F222" s="77">
        <f>SUMIF(D223:D231,"OK",F223:F231)</f>
        <v>0</v>
      </c>
      <c r="G222" s="78"/>
      <c r="H222" s="78"/>
      <c r="I222" s="79"/>
      <c r="J222" s="78"/>
      <c r="K222" s="28"/>
      <c r="L222" s="28"/>
      <c r="M222" s="28"/>
      <c r="N222" s="28"/>
      <c r="O222" s="28"/>
      <c r="P222" s="28"/>
      <c r="Q222" s="28"/>
      <c r="R222" s="28"/>
      <c r="S222" s="28"/>
      <c r="T222" s="28"/>
      <c r="U222" s="3"/>
      <c r="W222" s="3"/>
      <c r="X222" s="3"/>
      <c r="Y222" s="3"/>
      <c r="Z222" s="3"/>
    </row>
    <row r="223" spans="1:26" ht="14.4" outlineLevel="1" x14ac:dyDescent="0.3">
      <c r="A223" s="3"/>
      <c r="B223" s="9" t="s">
        <v>354</v>
      </c>
      <c r="C223" s="53"/>
      <c r="D223" s="53"/>
      <c r="E223" s="11">
        <v>0</v>
      </c>
      <c r="F223" s="11">
        <v>0</v>
      </c>
      <c r="G223" s="56"/>
      <c r="H223" s="56"/>
      <c r="I223" s="102"/>
      <c r="J223" s="56"/>
      <c r="K223" s="28"/>
      <c r="L223" s="28"/>
      <c r="M223" s="28"/>
      <c r="N223" s="28"/>
      <c r="O223" s="28"/>
      <c r="P223" s="28"/>
      <c r="Q223" s="28"/>
      <c r="R223" s="28"/>
      <c r="S223" s="28"/>
      <c r="T223" s="28"/>
      <c r="U223" s="3"/>
      <c r="W223" s="3"/>
      <c r="X223" s="3"/>
      <c r="Y223" s="3"/>
      <c r="Z223" s="3"/>
    </row>
    <row r="224" spans="1:26" ht="14.4" outlineLevel="1" x14ac:dyDescent="0.3">
      <c r="A224" s="3"/>
      <c r="B224" s="9" t="s">
        <v>355</v>
      </c>
      <c r="C224" s="53"/>
      <c r="D224" s="53"/>
      <c r="E224" s="11">
        <v>0</v>
      </c>
      <c r="F224" s="11">
        <v>0</v>
      </c>
      <c r="G224" s="56"/>
      <c r="H224" s="56"/>
      <c r="I224" s="102"/>
      <c r="J224" s="56"/>
      <c r="K224" s="28"/>
      <c r="L224" s="28"/>
      <c r="M224" s="28"/>
      <c r="N224" s="28"/>
      <c r="O224" s="28"/>
      <c r="P224" s="28"/>
      <c r="Q224" s="28"/>
      <c r="R224" s="28"/>
      <c r="S224" s="28"/>
      <c r="T224" s="28"/>
      <c r="U224" s="3"/>
      <c r="W224" s="3"/>
      <c r="X224" s="3"/>
      <c r="Y224" s="3"/>
      <c r="Z224" s="3"/>
    </row>
    <row r="225" spans="1:26" ht="14.4" outlineLevel="1" x14ac:dyDescent="0.3">
      <c r="A225" s="3"/>
      <c r="B225" s="9" t="s">
        <v>356</v>
      </c>
      <c r="C225" s="53"/>
      <c r="D225" s="53"/>
      <c r="E225" s="11">
        <v>0</v>
      </c>
      <c r="F225" s="11">
        <v>0</v>
      </c>
      <c r="G225" s="56"/>
      <c r="H225" s="56"/>
      <c r="I225" s="102"/>
      <c r="J225" s="56"/>
      <c r="K225" s="28"/>
      <c r="L225" s="28"/>
      <c r="M225" s="28"/>
      <c r="N225" s="28"/>
      <c r="O225" s="28"/>
      <c r="P225" s="28"/>
      <c r="Q225" s="28"/>
      <c r="R225" s="28"/>
      <c r="S225" s="28"/>
      <c r="T225" s="28"/>
      <c r="U225" s="3"/>
      <c r="W225" s="3"/>
      <c r="X225" s="3"/>
      <c r="Y225" s="3"/>
      <c r="Z225" s="3"/>
    </row>
    <row r="226" spans="1:26" ht="14.4" outlineLevel="1" x14ac:dyDescent="0.3">
      <c r="A226" s="3"/>
      <c r="B226" s="9" t="s">
        <v>370</v>
      </c>
      <c r="C226" s="53"/>
      <c r="D226" s="53"/>
      <c r="E226" s="11">
        <v>0</v>
      </c>
      <c r="F226" s="11">
        <v>0</v>
      </c>
      <c r="G226" s="56"/>
      <c r="H226" s="56"/>
      <c r="I226" s="102"/>
      <c r="J226" s="56"/>
      <c r="K226" s="28"/>
      <c r="L226" s="28"/>
      <c r="M226" s="28"/>
      <c r="N226" s="28"/>
      <c r="O226" s="28"/>
      <c r="P226" s="28"/>
      <c r="Q226" s="28"/>
      <c r="R226" s="28"/>
      <c r="S226" s="28"/>
      <c r="T226" s="28"/>
      <c r="U226" s="3"/>
      <c r="W226" s="3"/>
      <c r="X226" s="3"/>
      <c r="Y226" s="3"/>
      <c r="Z226" s="3"/>
    </row>
    <row r="227" spans="1:26" ht="14.4" outlineLevel="1" x14ac:dyDescent="0.3">
      <c r="A227" s="3"/>
      <c r="B227" s="9" t="s">
        <v>328</v>
      </c>
      <c r="C227" s="53"/>
      <c r="D227" s="53"/>
      <c r="E227" s="11">
        <v>0</v>
      </c>
      <c r="F227" s="11">
        <v>0</v>
      </c>
      <c r="G227" s="56"/>
      <c r="H227" s="56"/>
      <c r="I227" s="102"/>
      <c r="J227" s="56"/>
      <c r="K227" s="28"/>
      <c r="L227" s="28"/>
      <c r="M227" s="28"/>
      <c r="N227" s="28"/>
      <c r="O227" s="28"/>
      <c r="P227" s="28"/>
      <c r="Q227" s="28"/>
      <c r="R227" s="28"/>
      <c r="S227" s="28"/>
      <c r="T227" s="28"/>
      <c r="U227" s="3"/>
      <c r="W227" s="3"/>
      <c r="X227" s="3"/>
      <c r="Y227" s="3"/>
      <c r="Z227" s="3"/>
    </row>
    <row r="228" spans="1:26" ht="14.4" outlineLevel="1" x14ac:dyDescent="0.3">
      <c r="A228" s="3"/>
      <c r="B228" s="9" t="s">
        <v>329</v>
      </c>
      <c r="C228" s="53"/>
      <c r="D228" s="53"/>
      <c r="E228" s="11">
        <v>0</v>
      </c>
      <c r="F228" s="11">
        <v>0</v>
      </c>
      <c r="G228" s="56"/>
      <c r="H228" s="56"/>
      <c r="I228" s="102"/>
      <c r="J228" s="56"/>
      <c r="K228" s="28"/>
      <c r="L228" s="28"/>
      <c r="M228" s="28"/>
      <c r="N228" s="28"/>
      <c r="O228" s="28"/>
      <c r="P228" s="28"/>
      <c r="Q228" s="28"/>
      <c r="R228" s="28"/>
      <c r="S228" s="28"/>
      <c r="T228" s="28"/>
      <c r="U228" s="3"/>
      <c r="W228" s="3"/>
      <c r="X228" s="3"/>
      <c r="Y228" s="3"/>
      <c r="Z228" s="3"/>
    </row>
    <row r="229" spans="1:26" ht="14.4" outlineLevel="1" x14ac:dyDescent="0.3">
      <c r="A229" s="3"/>
      <c r="B229" s="9" t="s">
        <v>371</v>
      </c>
      <c r="C229" s="53"/>
      <c r="D229" s="53"/>
      <c r="E229" s="11">
        <v>0</v>
      </c>
      <c r="F229" s="11">
        <v>0</v>
      </c>
      <c r="G229" s="56"/>
      <c r="H229" s="56"/>
      <c r="I229" s="102"/>
      <c r="J229" s="56"/>
      <c r="K229" s="28"/>
      <c r="L229" s="28"/>
      <c r="M229" s="28"/>
      <c r="N229" s="28"/>
      <c r="O229" s="28"/>
      <c r="P229" s="28"/>
      <c r="Q229" s="28"/>
      <c r="R229" s="28"/>
      <c r="S229" s="28"/>
      <c r="T229" s="28"/>
      <c r="U229" s="3"/>
      <c r="W229" s="3"/>
      <c r="X229" s="3"/>
      <c r="Y229" s="3"/>
      <c r="Z229" s="3"/>
    </row>
    <row r="230" spans="1:26" ht="14.4" outlineLevel="1" x14ac:dyDescent="0.3">
      <c r="A230" s="3"/>
      <c r="B230" s="9" t="s">
        <v>372</v>
      </c>
      <c r="C230" s="53"/>
      <c r="D230" s="53"/>
      <c r="E230" s="11">
        <v>0</v>
      </c>
      <c r="F230" s="11">
        <v>0</v>
      </c>
      <c r="G230" s="80"/>
      <c r="H230" s="56"/>
      <c r="I230" s="102"/>
      <c r="J230" s="56"/>
      <c r="K230" s="28"/>
      <c r="L230" s="28"/>
      <c r="M230" s="28"/>
      <c r="N230" s="28"/>
      <c r="O230" s="28"/>
      <c r="P230" s="28"/>
      <c r="Q230" s="28"/>
      <c r="R230" s="28"/>
      <c r="S230" s="28"/>
      <c r="T230" s="28"/>
      <c r="U230" s="3"/>
      <c r="W230" s="3"/>
      <c r="X230" s="3"/>
      <c r="Y230" s="3"/>
      <c r="Z230" s="3"/>
    </row>
    <row r="231" spans="1:26" ht="14.4" outlineLevel="1" x14ac:dyDescent="0.3">
      <c r="A231" s="3"/>
      <c r="B231" s="9" t="s">
        <v>373</v>
      </c>
      <c r="C231" s="53"/>
      <c r="D231" s="53"/>
      <c r="E231" s="11">
        <v>0</v>
      </c>
      <c r="F231" s="11">
        <v>0</v>
      </c>
      <c r="G231" s="80"/>
      <c r="H231" s="56"/>
      <c r="I231" s="102"/>
      <c r="J231" s="56"/>
      <c r="K231" s="28"/>
      <c r="L231" s="28"/>
      <c r="M231" s="28"/>
      <c r="N231" s="28"/>
      <c r="O231" s="28"/>
      <c r="P231" s="28"/>
      <c r="Q231" s="28"/>
      <c r="R231" s="28"/>
      <c r="S231" s="28"/>
      <c r="T231" s="28"/>
      <c r="U231" s="3"/>
      <c r="W231" s="3"/>
      <c r="X231" s="3"/>
      <c r="Y231" s="3"/>
      <c r="Z231" s="3"/>
    </row>
    <row r="232" spans="1:26" ht="20.399999999999999" x14ac:dyDescent="0.3">
      <c r="A232" s="3"/>
      <c r="B232" s="75" t="s">
        <v>403</v>
      </c>
      <c r="C232" s="76" t="s">
        <v>44</v>
      </c>
      <c r="D232" s="76" t="s">
        <v>44</v>
      </c>
      <c r="E232" s="77">
        <f>SUM(E233:E241)</f>
        <v>0</v>
      </c>
      <c r="F232" s="77">
        <f>SUMIF(D233:D241,"OK",F233:F241)</f>
        <v>0</v>
      </c>
      <c r="G232" s="78"/>
      <c r="H232" s="78"/>
      <c r="I232" s="79"/>
      <c r="J232" s="78"/>
      <c r="K232" s="28"/>
      <c r="L232" s="28"/>
      <c r="M232" s="28"/>
      <c r="N232" s="28"/>
      <c r="O232" s="28"/>
      <c r="P232" s="28"/>
      <c r="Q232" s="28"/>
      <c r="R232" s="28"/>
      <c r="S232" s="28"/>
      <c r="T232" s="28"/>
      <c r="U232" s="3"/>
      <c r="W232" s="3"/>
      <c r="X232" s="3"/>
      <c r="Y232" s="3"/>
      <c r="Z232" s="3"/>
    </row>
    <row r="233" spans="1:26" ht="14.4" outlineLevel="1" x14ac:dyDescent="0.3">
      <c r="A233" s="3"/>
      <c r="B233" s="9" t="s">
        <v>354</v>
      </c>
      <c r="C233" s="53"/>
      <c r="D233" s="53"/>
      <c r="E233" s="11">
        <v>0</v>
      </c>
      <c r="F233" s="11">
        <v>0</v>
      </c>
      <c r="G233" s="56"/>
      <c r="H233" s="56"/>
      <c r="I233" s="102"/>
      <c r="J233" s="56"/>
      <c r="K233" s="28"/>
      <c r="L233" s="28"/>
      <c r="M233" s="28"/>
      <c r="N233" s="28"/>
      <c r="O233" s="28"/>
      <c r="P233" s="28"/>
      <c r="Q233" s="28"/>
      <c r="R233" s="28"/>
      <c r="S233" s="28"/>
      <c r="T233" s="28"/>
      <c r="U233" s="3"/>
      <c r="W233" s="3"/>
      <c r="X233" s="3"/>
      <c r="Y233" s="3"/>
      <c r="Z233" s="3"/>
    </row>
    <row r="234" spans="1:26" ht="14.4" outlineLevel="1" x14ac:dyDescent="0.3">
      <c r="A234" s="3"/>
      <c r="B234" s="9" t="s">
        <v>355</v>
      </c>
      <c r="C234" s="53"/>
      <c r="D234" s="53"/>
      <c r="E234" s="11">
        <v>0</v>
      </c>
      <c r="F234" s="11">
        <v>0</v>
      </c>
      <c r="G234" s="56"/>
      <c r="H234" s="56"/>
      <c r="I234" s="102"/>
      <c r="J234" s="56"/>
      <c r="K234" s="28"/>
      <c r="L234" s="28"/>
      <c r="M234" s="28"/>
      <c r="N234" s="28"/>
      <c r="O234" s="28"/>
      <c r="P234" s="28"/>
      <c r="Q234" s="28"/>
      <c r="R234" s="28"/>
      <c r="S234" s="28"/>
      <c r="T234" s="28"/>
      <c r="U234" s="3"/>
      <c r="W234" s="3"/>
      <c r="X234" s="3"/>
      <c r="Y234" s="3"/>
      <c r="Z234" s="3"/>
    </row>
    <row r="235" spans="1:26" ht="14.4" outlineLevel="1" x14ac:dyDescent="0.3">
      <c r="A235" s="3"/>
      <c r="B235" s="9" t="s">
        <v>356</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14.4" outlineLevel="1" x14ac:dyDescent="0.3">
      <c r="A236" s="3"/>
      <c r="B236" s="9" t="s">
        <v>370</v>
      </c>
      <c r="C236" s="53"/>
      <c r="D236" s="53"/>
      <c r="E236" s="11">
        <v>0</v>
      </c>
      <c r="F236" s="11">
        <v>0</v>
      </c>
      <c r="G236" s="56"/>
      <c r="H236" s="56"/>
      <c r="I236" s="80"/>
      <c r="J236" s="56"/>
      <c r="K236" s="28"/>
      <c r="L236" s="28"/>
      <c r="M236" s="28"/>
      <c r="N236" s="28"/>
      <c r="O236" s="28"/>
      <c r="P236" s="28"/>
      <c r="Q236" s="28"/>
      <c r="R236" s="28"/>
      <c r="S236" s="28"/>
      <c r="T236" s="28"/>
      <c r="U236" s="3"/>
      <c r="W236" s="3"/>
      <c r="X236" s="3"/>
      <c r="Y236" s="3"/>
      <c r="Z236" s="3"/>
    </row>
    <row r="237" spans="1:26" ht="14.4" outlineLevel="1" x14ac:dyDescent="0.3">
      <c r="A237" s="3"/>
      <c r="B237" s="9" t="s">
        <v>328</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4.4" outlineLevel="1" x14ac:dyDescent="0.3">
      <c r="A238" s="3"/>
      <c r="B238" s="9" t="s">
        <v>329</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4.4" outlineLevel="1" x14ac:dyDescent="0.3">
      <c r="A239" s="3"/>
      <c r="B239" s="9" t="s">
        <v>371</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4.4" outlineLevel="1" x14ac:dyDescent="0.3">
      <c r="A240" s="3"/>
      <c r="B240" s="9" t="s">
        <v>372</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4.4" outlineLevel="1" x14ac:dyDescent="0.3">
      <c r="A241" s="3"/>
      <c r="B241" s="9" t="s">
        <v>373</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20.399999999999999" x14ac:dyDescent="0.3">
      <c r="A242" s="3"/>
      <c r="B242" s="75" t="s">
        <v>404</v>
      </c>
      <c r="C242" s="76" t="s">
        <v>44</v>
      </c>
      <c r="D242" s="76" t="s">
        <v>44</v>
      </c>
      <c r="E242" s="77">
        <f>SUM(E243:E251)</f>
        <v>0</v>
      </c>
      <c r="F242" s="77">
        <f>SUMIF(D243:D251,"OK",F243:F251)</f>
        <v>0</v>
      </c>
      <c r="G242" s="78"/>
      <c r="H242" s="78"/>
      <c r="I242" s="79"/>
      <c r="J242" s="78"/>
      <c r="K242" s="28"/>
      <c r="L242" s="28"/>
      <c r="M242" s="28"/>
      <c r="N242" s="28"/>
      <c r="O242" s="28"/>
      <c r="P242" s="28"/>
      <c r="Q242" s="28"/>
      <c r="R242" s="28"/>
      <c r="S242" s="28"/>
      <c r="T242" s="28"/>
      <c r="U242" s="3"/>
      <c r="W242" s="3"/>
      <c r="X242" s="3"/>
      <c r="Y242" s="3"/>
      <c r="Z242" s="3"/>
    </row>
    <row r="243" spans="1:26" ht="14.4" outlineLevel="1" x14ac:dyDescent="0.3">
      <c r="A243" s="3"/>
      <c r="B243" s="9" t="s">
        <v>1526</v>
      </c>
      <c r="C243" s="53"/>
      <c r="D243" s="53"/>
      <c r="E243" s="11">
        <v>0</v>
      </c>
      <c r="F243" s="11">
        <v>0</v>
      </c>
      <c r="G243" s="80"/>
      <c r="H243" s="56"/>
      <c r="I243" s="102"/>
      <c r="J243" s="56"/>
      <c r="K243" s="28"/>
      <c r="L243" s="28"/>
      <c r="M243" s="28"/>
      <c r="N243" s="28"/>
      <c r="O243" s="28"/>
      <c r="P243" s="28"/>
      <c r="Q243" s="28"/>
      <c r="R243" s="28"/>
      <c r="S243" s="28"/>
      <c r="T243" s="28"/>
      <c r="U243" s="3"/>
      <c r="W243" s="3"/>
      <c r="X243" s="3"/>
      <c r="Y243" s="3"/>
      <c r="Z243" s="3"/>
    </row>
    <row r="244" spans="1:26" ht="14.4" outlineLevel="1" x14ac:dyDescent="0.3">
      <c r="A244" s="3"/>
      <c r="B244" s="9" t="s">
        <v>355</v>
      </c>
      <c r="C244" s="53"/>
      <c r="D244" s="53"/>
      <c r="E244" s="11">
        <v>0</v>
      </c>
      <c r="F244" s="11">
        <v>0</v>
      </c>
      <c r="G244" s="56"/>
      <c r="H244" s="56"/>
      <c r="I244" s="102"/>
      <c r="J244" s="56"/>
      <c r="K244" s="28"/>
      <c r="L244" s="28"/>
      <c r="M244" s="28"/>
      <c r="N244" s="28"/>
      <c r="O244" s="28"/>
      <c r="P244" s="28"/>
      <c r="Q244" s="28"/>
      <c r="R244" s="28"/>
      <c r="S244" s="28"/>
      <c r="T244" s="28"/>
      <c r="U244" s="3"/>
      <c r="W244" s="3"/>
      <c r="X244" s="3"/>
      <c r="Y244" s="3"/>
      <c r="Z244" s="3"/>
    </row>
    <row r="245" spans="1:26" ht="14.4" outlineLevel="1" x14ac:dyDescent="0.3">
      <c r="A245" s="3"/>
      <c r="B245" s="9" t="s">
        <v>356</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outlineLevel="1" x14ac:dyDescent="0.3">
      <c r="A246" s="3"/>
      <c r="B246" s="9" t="s">
        <v>370</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14.4" outlineLevel="1" x14ac:dyDescent="0.3">
      <c r="A247" s="3"/>
      <c r="B247" s="9" t="s">
        <v>328</v>
      </c>
      <c r="C247" s="53"/>
      <c r="D247" s="53"/>
      <c r="E247" s="11">
        <v>0</v>
      </c>
      <c r="F247" s="11">
        <v>0</v>
      </c>
      <c r="G247" s="56"/>
      <c r="H247" s="56"/>
      <c r="I247" s="80"/>
      <c r="J247" s="56"/>
      <c r="K247" s="28"/>
      <c r="L247" s="28"/>
      <c r="M247" s="28"/>
      <c r="N247" s="28"/>
      <c r="O247" s="28"/>
      <c r="P247" s="28"/>
      <c r="Q247" s="28"/>
      <c r="R247" s="28"/>
      <c r="S247" s="28"/>
      <c r="T247" s="28"/>
      <c r="U247" s="3"/>
      <c r="W247" s="3"/>
      <c r="X247" s="3"/>
      <c r="Y247" s="3"/>
      <c r="Z247" s="3"/>
    </row>
    <row r="248" spans="1:26" ht="14.4" outlineLevel="1" x14ac:dyDescent="0.3">
      <c r="A248" s="3"/>
      <c r="B248" s="9" t="s">
        <v>329</v>
      </c>
      <c r="C248" s="53"/>
      <c r="D248" s="53"/>
      <c r="E248" s="11">
        <v>0</v>
      </c>
      <c r="F248" s="11">
        <v>0</v>
      </c>
      <c r="G248" s="56"/>
      <c r="H248" s="56"/>
      <c r="I248" s="80"/>
      <c r="J248" s="56"/>
      <c r="K248" s="28"/>
      <c r="L248" s="28"/>
      <c r="M248" s="28"/>
      <c r="N248" s="28"/>
      <c r="O248" s="28"/>
      <c r="P248" s="28"/>
      <c r="Q248" s="28"/>
      <c r="R248" s="28"/>
      <c r="S248" s="28"/>
      <c r="T248" s="28"/>
      <c r="U248" s="3"/>
      <c r="W248" s="3"/>
      <c r="X248" s="3"/>
      <c r="Y248" s="3"/>
      <c r="Z248" s="3"/>
    </row>
    <row r="249" spans="1:26" ht="14.4" outlineLevel="1" x14ac:dyDescent="0.3">
      <c r="A249" s="3"/>
      <c r="B249" s="9" t="s">
        <v>371</v>
      </c>
      <c r="C249" s="53"/>
      <c r="D249" s="53"/>
      <c r="E249" s="11">
        <v>0</v>
      </c>
      <c r="F249" s="11">
        <v>0</v>
      </c>
      <c r="G249" s="56"/>
      <c r="H249" s="56"/>
      <c r="I249" s="80"/>
      <c r="J249" s="56"/>
      <c r="K249" s="28"/>
      <c r="L249" s="28"/>
      <c r="M249" s="28"/>
      <c r="N249" s="28"/>
      <c r="O249" s="28"/>
      <c r="P249" s="28"/>
      <c r="Q249" s="28"/>
      <c r="R249" s="28"/>
      <c r="S249" s="28"/>
      <c r="T249" s="28"/>
      <c r="U249" s="3"/>
      <c r="W249" s="3"/>
      <c r="X249" s="3"/>
      <c r="Y249" s="3"/>
      <c r="Z249" s="3"/>
    </row>
    <row r="250" spans="1:26" ht="14.4" outlineLevel="1" x14ac:dyDescent="0.3">
      <c r="A250" s="3"/>
      <c r="B250" s="9" t="s">
        <v>372</v>
      </c>
      <c r="C250" s="53"/>
      <c r="D250" s="53"/>
      <c r="E250" s="11">
        <v>0</v>
      </c>
      <c r="F250" s="11">
        <v>0</v>
      </c>
      <c r="G250" s="56"/>
      <c r="H250" s="56"/>
      <c r="I250" s="80"/>
      <c r="J250" s="56"/>
      <c r="K250" s="28"/>
      <c r="L250" s="28"/>
      <c r="M250" s="28"/>
      <c r="N250" s="28"/>
      <c r="O250" s="28"/>
      <c r="P250" s="28"/>
      <c r="Q250" s="28"/>
      <c r="R250" s="28"/>
      <c r="S250" s="28"/>
      <c r="T250" s="28"/>
      <c r="U250" s="3"/>
      <c r="W250" s="3"/>
      <c r="X250" s="3"/>
      <c r="Y250" s="3"/>
      <c r="Z250" s="3"/>
    </row>
    <row r="251" spans="1:26" ht="14.4" outlineLevel="1" x14ac:dyDescent="0.3">
      <c r="A251" s="3"/>
      <c r="B251" s="9" t="s">
        <v>373</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20.399999999999999" x14ac:dyDescent="0.3">
      <c r="A252" s="3"/>
      <c r="B252" s="75" t="s">
        <v>406</v>
      </c>
      <c r="C252" s="76" t="s">
        <v>44</v>
      </c>
      <c r="D252" s="76" t="s">
        <v>44</v>
      </c>
      <c r="E252" s="77">
        <f>SUM(E253:E261)</f>
        <v>0</v>
      </c>
      <c r="F252" s="77">
        <f>SUMIF(D253:D261,"OK",F253:F261)</f>
        <v>0</v>
      </c>
      <c r="G252" s="78"/>
      <c r="H252" s="78"/>
      <c r="I252" s="79"/>
      <c r="J252" s="78"/>
      <c r="K252" s="28"/>
      <c r="L252" s="28"/>
      <c r="M252" s="28"/>
      <c r="N252" s="28"/>
      <c r="O252" s="28"/>
      <c r="P252" s="28"/>
      <c r="Q252" s="28"/>
      <c r="R252" s="28"/>
      <c r="S252" s="28"/>
      <c r="T252" s="28"/>
      <c r="U252" s="3"/>
      <c r="W252" s="3"/>
      <c r="X252" s="3"/>
      <c r="Y252" s="3"/>
      <c r="Z252" s="3"/>
    </row>
    <row r="253" spans="1:26" ht="14.4" outlineLevel="1" x14ac:dyDescent="0.3">
      <c r="A253" s="3"/>
      <c r="B253" s="9" t="s">
        <v>354</v>
      </c>
      <c r="C253" s="53"/>
      <c r="D253" s="53"/>
      <c r="E253" s="11">
        <v>0</v>
      </c>
      <c r="F253" s="11">
        <v>0</v>
      </c>
      <c r="G253" s="56"/>
      <c r="H253" s="56"/>
      <c r="I253" s="102"/>
      <c r="J253" s="56"/>
      <c r="K253" s="28"/>
      <c r="L253" s="28"/>
      <c r="M253" s="28"/>
      <c r="N253" s="28"/>
      <c r="O253" s="28"/>
      <c r="P253" s="28"/>
      <c r="Q253" s="28"/>
      <c r="R253" s="28"/>
      <c r="S253" s="28"/>
      <c r="T253" s="28"/>
      <c r="U253" s="3"/>
      <c r="W253" s="3"/>
      <c r="X253" s="3"/>
      <c r="Y253" s="3"/>
      <c r="Z253" s="3"/>
    </row>
    <row r="254" spans="1:26" ht="14.4" outlineLevel="1" x14ac:dyDescent="0.3">
      <c r="A254" s="3"/>
      <c r="B254" s="9" t="s">
        <v>355</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14.4" outlineLevel="1" x14ac:dyDescent="0.3">
      <c r="A255" s="3"/>
      <c r="B255" s="9" t="s">
        <v>356</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t="14.4" outlineLevel="1" x14ac:dyDescent="0.3">
      <c r="A256" s="3"/>
      <c r="B256" s="9" t="s">
        <v>370</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t="14.4" outlineLevel="1" x14ac:dyDescent="0.3">
      <c r="A257" s="3"/>
      <c r="B257" s="9" t="s">
        <v>328</v>
      </c>
      <c r="C257" s="53"/>
      <c r="D257" s="53"/>
      <c r="E257" s="11">
        <v>0</v>
      </c>
      <c r="F257" s="11">
        <v>0</v>
      </c>
      <c r="G257" s="56"/>
      <c r="H257" s="56"/>
      <c r="I257" s="80"/>
      <c r="J257" s="56"/>
      <c r="K257" s="28"/>
      <c r="L257" s="28"/>
      <c r="M257" s="28"/>
      <c r="N257" s="28"/>
      <c r="O257" s="28"/>
      <c r="P257" s="28"/>
      <c r="Q257" s="28"/>
      <c r="R257" s="28"/>
      <c r="S257" s="28"/>
      <c r="T257" s="28"/>
      <c r="U257" s="3"/>
      <c r="W257" s="3"/>
      <c r="X257" s="3"/>
      <c r="Y257" s="3"/>
      <c r="Z257" s="3"/>
    </row>
    <row r="258" spans="1:26" ht="14.4" outlineLevel="1" x14ac:dyDescent="0.3">
      <c r="A258" s="3"/>
      <c r="B258" s="9" t="s">
        <v>329</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14.4" outlineLevel="1" x14ac:dyDescent="0.3">
      <c r="A259" s="3"/>
      <c r="B259" s="9" t="s">
        <v>371</v>
      </c>
      <c r="C259" s="53"/>
      <c r="D259" s="53"/>
      <c r="E259" s="11">
        <v>0</v>
      </c>
      <c r="F259" s="11">
        <v>0</v>
      </c>
      <c r="G259" s="56"/>
      <c r="H259" s="56"/>
      <c r="I259" s="80"/>
      <c r="J259" s="56"/>
      <c r="K259" s="28"/>
      <c r="L259" s="28"/>
      <c r="M259" s="28"/>
      <c r="N259" s="28"/>
      <c r="O259" s="28"/>
      <c r="P259" s="28"/>
      <c r="Q259" s="28"/>
      <c r="R259" s="28"/>
      <c r="S259" s="28"/>
      <c r="T259" s="28"/>
      <c r="U259" s="3"/>
      <c r="W259" s="3"/>
      <c r="X259" s="3"/>
      <c r="Y259" s="3"/>
      <c r="Z259" s="3"/>
    </row>
    <row r="260" spans="1:26" ht="14.4" outlineLevel="1" x14ac:dyDescent="0.3">
      <c r="A260" s="3"/>
      <c r="B260" s="9" t="s">
        <v>372</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outlineLevel="1" x14ac:dyDescent="0.3">
      <c r="A261" s="3"/>
      <c r="B261" s="9" t="s">
        <v>373</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20.399999999999999" x14ac:dyDescent="0.3">
      <c r="A262" s="3"/>
      <c r="B262" s="75" t="s">
        <v>409</v>
      </c>
      <c r="C262" s="76" t="s">
        <v>44</v>
      </c>
      <c r="D262" s="76" t="s">
        <v>44</v>
      </c>
      <c r="E262" s="77">
        <f>SUM(E263,E273,E283,E293)</f>
        <v>0</v>
      </c>
      <c r="F262" s="77">
        <f>SUM(F263,F273,F283,F293,F315)</f>
        <v>1264.1300000000001</v>
      </c>
      <c r="G262" s="78"/>
      <c r="H262" s="78"/>
      <c r="I262" s="79"/>
      <c r="J262" s="78"/>
      <c r="K262" s="28"/>
      <c r="L262" s="28"/>
      <c r="M262" s="28"/>
      <c r="N262" s="28"/>
      <c r="O262" s="28"/>
      <c r="P262" s="28"/>
      <c r="Q262" s="28"/>
      <c r="R262" s="28"/>
      <c r="S262" s="28"/>
      <c r="T262" s="28"/>
      <c r="U262" s="3"/>
      <c r="W262" s="3"/>
      <c r="X262" s="3"/>
      <c r="Y262" s="3"/>
      <c r="Z262" s="3"/>
    </row>
    <row r="263" spans="1:26" outlineLevel="1" x14ac:dyDescent="0.3">
      <c r="A263" s="3"/>
      <c r="B263" s="82" t="s">
        <v>233</v>
      </c>
      <c r="C263" s="83"/>
      <c r="D263" s="83"/>
      <c r="E263" s="84">
        <f>SUM(E264:E272)</f>
        <v>0</v>
      </c>
      <c r="F263" s="84">
        <f>SUMIF(D264:D272,"OK",F264:F272)</f>
        <v>0</v>
      </c>
      <c r="G263" s="85"/>
      <c r="H263" s="85"/>
      <c r="I263" s="86"/>
      <c r="J263" s="85"/>
      <c r="K263" s="28"/>
      <c r="L263" s="28"/>
      <c r="M263" s="28"/>
      <c r="N263" s="28"/>
      <c r="O263" s="28"/>
      <c r="P263" s="28"/>
      <c r="Q263" s="28"/>
      <c r="R263" s="28"/>
      <c r="S263" s="28"/>
      <c r="T263" s="28"/>
      <c r="U263" s="3"/>
      <c r="W263" s="3"/>
      <c r="X263" s="3"/>
      <c r="Y263" s="3"/>
      <c r="Z263" s="3"/>
    </row>
    <row r="264" spans="1:26" ht="14.4" outlineLevel="1" x14ac:dyDescent="0.3">
      <c r="A264" s="3"/>
      <c r="B264" s="9" t="s">
        <v>354</v>
      </c>
      <c r="C264" s="53"/>
      <c r="D264" s="53"/>
      <c r="E264" s="11">
        <v>0</v>
      </c>
      <c r="F264" s="11">
        <v>0</v>
      </c>
      <c r="G264" s="56"/>
      <c r="H264" s="56"/>
      <c r="I264" s="115"/>
      <c r="J264" s="56"/>
      <c r="K264" s="28"/>
      <c r="L264" s="28"/>
      <c r="M264" s="28"/>
      <c r="N264" s="28"/>
      <c r="O264" s="28"/>
      <c r="P264" s="28"/>
      <c r="Q264" s="28"/>
      <c r="R264" s="28"/>
      <c r="S264" s="28"/>
      <c r="T264" s="28"/>
      <c r="U264" s="3"/>
      <c r="W264" s="3"/>
      <c r="X264" s="3"/>
      <c r="Y264" s="3"/>
      <c r="Z264" s="3"/>
    </row>
    <row r="265" spans="1:26" ht="14.4" outlineLevel="1" x14ac:dyDescent="0.3">
      <c r="A265" s="3"/>
      <c r="B265" s="9" t="s">
        <v>355</v>
      </c>
      <c r="C265" s="53"/>
      <c r="D265" s="53"/>
      <c r="E265" s="11">
        <v>0</v>
      </c>
      <c r="F265" s="11">
        <v>0</v>
      </c>
      <c r="G265" s="56"/>
      <c r="H265" s="56"/>
      <c r="I265" s="115"/>
      <c r="J265" s="56"/>
      <c r="K265" s="28"/>
      <c r="L265" s="28"/>
      <c r="M265" s="28"/>
      <c r="N265" s="28"/>
      <c r="O265" s="28"/>
      <c r="P265" s="28"/>
      <c r="Q265" s="28"/>
      <c r="R265" s="28"/>
      <c r="S265" s="28"/>
      <c r="T265" s="28"/>
      <c r="U265" s="3"/>
      <c r="W265" s="3"/>
      <c r="X265" s="3"/>
      <c r="Y265" s="3"/>
      <c r="Z265" s="3"/>
    </row>
    <row r="266" spans="1:26" ht="14.4" outlineLevel="1" x14ac:dyDescent="0.3">
      <c r="A266" s="3"/>
      <c r="B266" s="9" t="s">
        <v>356</v>
      </c>
      <c r="C266" s="53"/>
      <c r="D266" s="53"/>
      <c r="E266" s="11">
        <v>0</v>
      </c>
      <c r="F266" s="11">
        <v>0</v>
      </c>
      <c r="G266" s="56"/>
      <c r="H266" s="56"/>
      <c r="I266" s="115"/>
      <c r="J266" s="56"/>
      <c r="K266" s="28"/>
      <c r="L266" s="28"/>
      <c r="M266" s="28"/>
      <c r="N266" s="28"/>
      <c r="O266" s="28"/>
      <c r="P266" s="28"/>
      <c r="Q266" s="28"/>
      <c r="R266" s="28"/>
      <c r="S266" s="28"/>
      <c r="T266" s="28"/>
      <c r="U266" s="3"/>
      <c r="W266" s="3"/>
      <c r="X266" s="3"/>
      <c r="Y266" s="3"/>
      <c r="Z266" s="3"/>
    </row>
    <row r="267" spans="1:26" ht="14.4" outlineLevel="1" x14ac:dyDescent="0.3">
      <c r="A267" s="3"/>
      <c r="B267" s="9" t="s">
        <v>370</v>
      </c>
      <c r="C267" s="53"/>
      <c r="D267" s="53"/>
      <c r="E267" s="11">
        <v>0</v>
      </c>
      <c r="F267" s="11">
        <v>0</v>
      </c>
      <c r="G267" s="56"/>
      <c r="H267" s="56"/>
      <c r="I267" s="102"/>
      <c r="J267" s="56"/>
      <c r="K267" s="28"/>
      <c r="L267" s="28"/>
      <c r="M267" s="28"/>
      <c r="N267" s="28"/>
      <c r="O267" s="28"/>
      <c r="P267" s="28"/>
      <c r="Q267" s="28"/>
      <c r="R267" s="28"/>
      <c r="S267" s="28"/>
      <c r="T267" s="28"/>
      <c r="U267" s="3"/>
      <c r="W267" s="3"/>
      <c r="X267" s="3"/>
      <c r="Y267" s="3"/>
      <c r="Z267" s="3"/>
    </row>
    <row r="268" spans="1:26" ht="14.4" outlineLevel="1" x14ac:dyDescent="0.3">
      <c r="A268" s="3"/>
      <c r="B268" s="9" t="s">
        <v>328</v>
      </c>
      <c r="C268" s="53"/>
      <c r="D268" s="53"/>
      <c r="E268" s="11">
        <v>0</v>
      </c>
      <c r="F268" s="11">
        <v>0</v>
      </c>
      <c r="G268" s="56"/>
      <c r="H268" s="56"/>
      <c r="I268" s="102"/>
      <c r="J268" s="56"/>
      <c r="K268" s="28"/>
      <c r="L268" s="28"/>
      <c r="M268" s="28"/>
      <c r="N268" s="28"/>
      <c r="O268" s="28"/>
      <c r="P268" s="28"/>
      <c r="Q268" s="28"/>
      <c r="R268" s="28"/>
      <c r="S268" s="28"/>
      <c r="T268" s="28"/>
      <c r="U268" s="3"/>
      <c r="W268" s="3"/>
      <c r="X268" s="3"/>
      <c r="Y268" s="3"/>
      <c r="Z268" s="3"/>
    </row>
    <row r="269" spans="1:26" ht="14.4" outlineLevel="1" x14ac:dyDescent="0.3">
      <c r="A269" s="3"/>
      <c r="B269" s="9" t="s">
        <v>329</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t="14.4" outlineLevel="1" x14ac:dyDescent="0.3">
      <c r="A270" s="3"/>
      <c r="B270" s="9" t="s">
        <v>371</v>
      </c>
      <c r="C270" s="53"/>
      <c r="D270" s="53"/>
      <c r="E270" s="11">
        <v>0</v>
      </c>
      <c r="F270" s="11">
        <v>0</v>
      </c>
      <c r="G270" s="56"/>
      <c r="H270" s="56"/>
      <c r="I270" s="80"/>
      <c r="J270" s="56"/>
      <c r="K270" s="28"/>
      <c r="L270" s="28"/>
      <c r="M270" s="28"/>
      <c r="N270" s="28"/>
      <c r="O270" s="28"/>
      <c r="P270" s="28"/>
      <c r="Q270" s="28"/>
      <c r="R270" s="28"/>
      <c r="S270" s="28"/>
      <c r="T270" s="28"/>
      <c r="U270" s="3"/>
      <c r="W270" s="3"/>
      <c r="X270" s="3"/>
      <c r="Y270" s="3"/>
      <c r="Z270" s="3"/>
    </row>
    <row r="271" spans="1:26" ht="14.4" outlineLevel="1" x14ac:dyDescent="0.3">
      <c r="A271" s="3"/>
      <c r="B271" s="9" t="s">
        <v>372</v>
      </c>
      <c r="C271" s="53"/>
      <c r="D271" s="53"/>
      <c r="E271" s="11">
        <v>0</v>
      </c>
      <c r="F271" s="11">
        <v>0</v>
      </c>
      <c r="G271" s="56"/>
      <c r="H271" s="56"/>
      <c r="I271" s="80"/>
      <c r="J271" s="56"/>
      <c r="K271" s="28"/>
      <c r="L271" s="28"/>
      <c r="M271" s="28"/>
      <c r="N271" s="28"/>
      <c r="O271" s="28"/>
      <c r="P271" s="28"/>
      <c r="Q271" s="28"/>
      <c r="R271" s="28"/>
      <c r="S271" s="28"/>
      <c r="T271" s="28"/>
      <c r="U271" s="3"/>
      <c r="W271" s="3"/>
      <c r="X271" s="3"/>
      <c r="Y271" s="3"/>
      <c r="Z271" s="3"/>
    </row>
    <row r="272" spans="1:26" ht="14.4" outlineLevel="1" x14ac:dyDescent="0.3">
      <c r="A272" s="3"/>
      <c r="B272" s="9" t="s">
        <v>373</v>
      </c>
      <c r="C272" s="53"/>
      <c r="D272" s="53"/>
      <c r="E272" s="11">
        <v>0</v>
      </c>
      <c r="F272" s="11">
        <v>0</v>
      </c>
      <c r="G272" s="56"/>
      <c r="H272" s="56"/>
      <c r="I272" s="80"/>
      <c r="J272" s="56"/>
      <c r="K272" s="28"/>
      <c r="L272" s="28"/>
      <c r="M272" s="28"/>
      <c r="N272" s="28"/>
      <c r="O272" s="28"/>
      <c r="P272" s="28"/>
      <c r="Q272" s="28"/>
      <c r="R272" s="28"/>
      <c r="S272" s="28"/>
      <c r="T272" s="28"/>
      <c r="U272" s="3"/>
      <c r="W272" s="3"/>
      <c r="X272" s="3"/>
      <c r="Y272" s="3"/>
      <c r="Z272" s="3"/>
    </row>
    <row r="273" spans="1:26" outlineLevel="1" x14ac:dyDescent="0.3">
      <c r="A273" s="3"/>
      <c r="B273" s="82" t="s">
        <v>652</v>
      </c>
      <c r="C273" s="83"/>
      <c r="D273" s="83"/>
      <c r="E273" s="84">
        <f>SUM(E274:E282)</f>
        <v>0</v>
      </c>
      <c r="F273" s="84">
        <f>SUMIF(D274:D282,"OK",F274:F282)</f>
        <v>0</v>
      </c>
      <c r="G273" s="85"/>
      <c r="H273" s="85"/>
      <c r="I273" s="86"/>
      <c r="J273" s="85"/>
      <c r="K273" s="28"/>
      <c r="L273" s="28"/>
      <c r="M273" s="28"/>
      <c r="N273" s="28"/>
      <c r="O273" s="28"/>
      <c r="P273" s="28"/>
      <c r="Q273" s="28"/>
      <c r="R273" s="28"/>
      <c r="S273" s="28"/>
      <c r="T273" s="28"/>
      <c r="U273" s="3"/>
      <c r="W273" s="3"/>
      <c r="X273" s="3"/>
      <c r="Y273" s="3"/>
      <c r="Z273" s="3"/>
    </row>
    <row r="274" spans="1:26" ht="14.4" outlineLevel="1" x14ac:dyDescent="0.3">
      <c r="A274" s="3"/>
      <c r="B274" s="9" t="s">
        <v>354</v>
      </c>
      <c r="C274" s="53"/>
      <c r="D274" s="53"/>
      <c r="E274" s="11">
        <v>0</v>
      </c>
      <c r="F274" s="11">
        <v>0</v>
      </c>
      <c r="G274" s="56"/>
      <c r="H274" s="56"/>
      <c r="I274" s="102"/>
      <c r="J274" s="56"/>
      <c r="K274" s="28"/>
      <c r="L274" s="28"/>
      <c r="M274" s="28"/>
      <c r="N274" s="28"/>
      <c r="O274" s="28"/>
      <c r="P274" s="28"/>
      <c r="Q274" s="28"/>
      <c r="R274" s="28"/>
      <c r="S274" s="28"/>
      <c r="T274" s="28"/>
      <c r="U274" s="3"/>
      <c r="W274" s="3"/>
      <c r="X274" s="3"/>
      <c r="Y274" s="3"/>
      <c r="Z274" s="3"/>
    </row>
    <row r="275" spans="1:26" ht="14.4" outlineLevel="1" x14ac:dyDescent="0.3">
      <c r="A275" s="3"/>
      <c r="B275" s="9" t="s">
        <v>355</v>
      </c>
      <c r="C275" s="53"/>
      <c r="D275" s="53"/>
      <c r="E275" s="11">
        <v>0</v>
      </c>
      <c r="F275" s="11">
        <v>0</v>
      </c>
      <c r="G275" s="56"/>
      <c r="H275" s="56"/>
      <c r="I275" s="102"/>
      <c r="J275" s="56"/>
      <c r="K275" s="28"/>
      <c r="L275" s="28"/>
      <c r="M275" s="28"/>
      <c r="N275" s="28"/>
      <c r="O275" s="28"/>
      <c r="P275" s="28"/>
      <c r="Q275" s="28"/>
      <c r="R275" s="28"/>
      <c r="S275" s="28"/>
      <c r="T275" s="28"/>
      <c r="U275" s="3"/>
      <c r="W275" s="3"/>
      <c r="X275" s="3"/>
      <c r="Y275" s="3"/>
      <c r="Z275" s="3"/>
    </row>
    <row r="276" spans="1:26" ht="14.4" outlineLevel="1" x14ac:dyDescent="0.3">
      <c r="A276" s="3"/>
      <c r="B276" s="9" t="s">
        <v>356</v>
      </c>
      <c r="C276" s="53"/>
      <c r="D276" s="53"/>
      <c r="E276" s="11">
        <v>0</v>
      </c>
      <c r="F276" s="11">
        <v>0</v>
      </c>
      <c r="G276" s="56"/>
      <c r="H276" s="56"/>
      <c r="I276" s="102"/>
      <c r="J276" s="56"/>
      <c r="K276" s="28"/>
      <c r="L276" s="28"/>
      <c r="M276" s="28"/>
      <c r="N276" s="28"/>
      <c r="O276" s="28"/>
      <c r="P276" s="28"/>
      <c r="Q276" s="28"/>
      <c r="R276" s="28"/>
      <c r="S276" s="28"/>
      <c r="T276" s="28"/>
      <c r="U276" s="3"/>
      <c r="W276" s="3"/>
      <c r="X276" s="3"/>
      <c r="Y276" s="3"/>
      <c r="Z276" s="3"/>
    </row>
    <row r="277" spans="1:26" ht="14.4" outlineLevel="1" x14ac:dyDescent="0.3">
      <c r="A277" s="3"/>
      <c r="B277" s="9" t="s">
        <v>370</v>
      </c>
      <c r="C277" s="53"/>
      <c r="D277" s="53"/>
      <c r="E277" s="11">
        <v>0</v>
      </c>
      <c r="F277" s="11">
        <v>0</v>
      </c>
      <c r="G277" s="56"/>
      <c r="H277" s="56"/>
      <c r="I277" s="102"/>
      <c r="J277" s="56"/>
      <c r="K277" s="28"/>
      <c r="L277" s="28"/>
      <c r="M277" s="28"/>
      <c r="N277" s="28"/>
      <c r="O277" s="28"/>
      <c r="P277" s="28"/>
      <c r="Q277" s="28"/>
      <c r="R277" s="28"/>
      <c r="S277" s="28"/>
      <c r="T277" s="28"/>
      <c r="U277" s="3"/>
      <c r="W277" s="3"/>
      <c r="X277" s="3"/>
      <c r="Y277" s="3"/>
      <c r="Z277" s="3"/>
    </row>
    <row r="278" spans="1:26" ht="14.4" outlineLevel="1" x14ac:dyDescent="0.3">
      <c r="A278" s="3"/>
      <c r="B278" s="9" t="s">
        <v>328</v>
      </c>
      <c r="C278" s="53"/>
      <c r="D278" s="53"/>
      <c r="E278" s="11">
        <v>0</v>
      </c>
      <c r="F278" s="11">
        <v>0</v>
      </c>
      <c r="G278" s="56"/>
      <c r="H278" s="56"/>
      <c r="I278" s="102"/>
      <c r="J278" s="56"/>
      <c r="K278" s="28"/>
      <c r="L278" s="28"/>
      <c r="M278" s="28"/>
      <c r="N278" s="28"/>
      <c r="O278" s="28"/>
      <c r="P278" s="28"/>
      <c r="Q278" s="28"/>
      <c r="R278" s="28"/>
      <c r="S278" s="28"/>
      <c r="T278" s="28"/>
      <c r="U278" s="3"/>
      <c r="W278" s="3"/>
      <c r="X278" s="3"/>
      <c r="Y278" s="3"/>
      <c r="Z278" s="3"/>
    </row>
    <row r="279" spans="1:26" ht="14.4" outlineLevel="1" x14ac:dyDescent="0.3">
      <c r="A279" s="3"/>
      <c r="B279" s="9" t="s">
        <v>329</v>
      </c>
      <c r="C279" s="53"/>
      <c r="D279" s="53"/>
      <c r="E279" s="11">
        <v>0</v>
      </c>
      <c r="F279" s="11">
        <v>0</v>
      </c>
      <c r="G279" s="56"/>
      <c r="H279" s="56"/>
      <c r="I279" s="102"/>
      <c r="J279" s="56"/>
      <c r="K279" s="28"/>
      <c r="L279" s="28"/>
      <c r="M279" s="28"/>
      <c r="N279" s="28"/>
      <c r="O279" s="28"/>
      <c r="P279" s="28"/>
      <c r="Q279" s="28"/>
      <c r="R279" s="28"/>
      <c r="S279" s="28"/>
      <c r="T279" s="28"/>
      <c r="U279" s="3"/>
      <c r="W279" s="3"/>
      <c r="X279" s="3"/>
      <c r="Y279" s="3"/>
      <c r="Z279" s="3"/>
    </row>
    <row r="280" spans="1:26" ht="14.4" outlineLevel="1" x14ac:dyDescent="0.3">
      <c r="A280" s="3"/>
      <c r="B280" s="9" t="s">
        <v>371</v>
      </c>
      <c r="C280" s="53"/>
      <c r="D280" s="53"/>
      <c r="E280" s="11">
        <v>0</v>
      </c>
      <c r="F280" s="11">
        <v>0</v>
      </c>
      <c r="G280" s="56"/>
      <c r="H280" s="56"/>
      <c r="I280" s="102"/>
      <c r="J280" s="56"/>
      <c r="K280" s="28"/>
      <c r="L280" s="28"/>
      <c r="M280" s="28"/>
      <c r="N280" s="28"/>
      <c r="O280" s="28"/>
      <c r="P280" s="28"/>
      <c r="Q280" s="28"/>
      <c r="R280" s="28"/>
      <c r="S280" s="28"/>
      <c r="T280" s="28"/>
      <c r="U280" s="3"/>
      <c r="W280" s="3"/>
      <c r="X280" s="3"/>
      <c r="Y280" s="3"/>
      <c r="Z280" s="3"/>
    </row>
    <row r="281" spans="1:26" ht="14.4" outlineLevel="1" x14ac:dyDescent="0.3">
      <c r="A281" s="3"/>
      <c r="B281" s="9" t="s">
        <v>372</v>
      </c>
      <c r="C281" s="53"/>
      <c r="D281" s="53"/>
      <c r="E281" s="11">
        <v>0</v>
      </c>
      <c r="F281" s="11">
        <v>0</v>
      </c>
      <c r="G281" s="56"/>
      <c r="H281" s="56"/>
      <c r="I281" s="102"/>
      <c r="J281" s="56"/>
      <c r="K281" s="28"/>
      <c r="L281" s="28"/>
      <c r="M281" s="28"/>
      <c r="N281" s="28"/>
      <c r="O281" s="28"/>
      <c r="P281" s="28"/>
      <c r="Q281" s="28"/>
      <c r="R281" s="28"/>
      <c r="S281" s="28"/>
      <c r="T281" s="28"/>
      <c r="U281" s="3"/>
      <c r="W281" s="3"/>
      <c r="X281" s="3"/>
      <c r="Y281" s="3"/>
      <c r="Z281" s="3"/>
    </row>
    <row r="282" spans="1:26" ht="14.4" outlineLevel="1" x14ac:dyDescent="0.3">
      <c r="A282" s="3"/>
      <c r="B282" s="9" t="s">
        <v>373</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outlineLevel="1" x14ac:dyDescent="0.3">
      <c r="A283" s="3"/>
      <c r="B283" s="82" t="s">
        <v>1651</v>
      </c>
      <c r="C283" s="83"/>
      <c r="D283" s="83"/>
      <c r="E283" s="84">
        <f>SUM(E284:E292)</f>
        <v>0</v>
      </c>
      <c r="F283" s="84">
        <f>SUMIF(D284:D292,"OK",F284:F292)</f>
        <v>1264.1300000000001</v>
      </c>
      <c r="G283" s="85"/>
      <c r="H283" s="85"/>
      <c r="I283" s="86"/>
      <c r="J283" s="85"/>
      <c r="K283" s="28"/>
      <c r="L283" s="28"/>
      <c r="M283" s="28"/>
      <c r="N283" s="28"/>
      <c r="O283" s="28"/>
      <c r="P283" s="28"/>
      <c r="Q283" s="28"/>
      <c r="R283" s="28"/>
      <c r="S283" s="28"/>
      <c r="T283" s="28"/>
      <c r="U283" s="3"/>
      <c r="W283" s="3"/>
      <c r="X283" s="3"/>
      <c r="Y283" s="3"/>
      <c r="Z283" s="3"/>
    </row>
    <row r="284" spans="1:26" ht="14.4" outlineLevel="1" x14ac:dyDescent="0.3">
      <c r="A284" s="3"/>
      <c r="B284" s="9" t="s">
        <v>1649</v>
      </c>
      <c r="C284" s="53">
        <v>8</v>
      </c>
      <c r="D284" s="53" t="s">
        <v>95</v>
      </c>
      <c r="E284" s="11">
        <v>0</v>
      </c>
      <c r="F284" s="11">
        <v>750</v>
      </c>
      <c r="G284" s="56" t="s">
        <v>1652</v>
      </c>
      <c r="H284" s="56" t="s">
        <v>37</v>
      </c>
      <c r="I284" s="117" t="s">
        <v>1653</v>
      </c>
      <c r="J284" s="56"/>
      <c r="K284" s="28"/>
      <c r="L284" s="28"/>
      <c r="M284" s="28"/>
      <c r="N284" s="28"/>
      <c r="O284" s="28"/>
      <c r="P284" s="28"/>
      <c r="Q284" s="28"/>
      <c r="R284" s="28"/>
      <c r="S284" s="28"/>
      <c r="T284" s="28"/>
      <c r="U284" s="3"/>
      <c r="W284" s="3"/>
      <c r="X284" s="3"/>
      <c r="Y284" s="3"/>
      <c r="Z284" s="3"/>
    </row>
    <row r="285" spans="1:26" ht="14.4" outlineLevel="1" x14ac:dyDescent="0.3">
      <c r="A285" s="3"/>
      <c r="B285" s="9" t="s">
        <v>1654</v>
      </c>
      <c r="C285" s="53">
        <v>13</v>
      </c>
      <c r="D285" s="53" t="s">
        <v>95</v>
      </c>
      <c r="E285" s="11">
        <v>0</v>
      </c>
      <c r="F285" s="11">
        <v>188</v>
      </c>
      <c r="G285" s="56" t="s">
        <v>1655</v>
      </c>
      <c r="H285" s="56" t="s">
        <v>37</v>
      </c>
      <c r="I285" s="102" t="s">
        <v>1656</v>
      </c>
      <c r="J285" s="56"/>
      <c r="K285" s="28"/>
      <c r="L285" s="28"/>
      <c r="M285" s="28"/>
      <c r="N285" s="28"/>
      <c r="O285" s="28"/>
      <c r="P285" s="28"/>
      <c r="Q285" s="28"/>
      <c r="R285" s="28"/>
      <c r="S285" s="28"/>
      <c r="T285" s="28"/>
      <c r="U285" s="3"/>
      <c r="W285" s="3"/>
      <c r="X285" s="3"/>
      <c r="Y285" s="3"/>
      <c r="Z285" s="3"/>
    </row>
    <row r="286" spans="1:26" ht="14.4" outlineLevel="1" x14ac:dyDescent="0.3">
      <c r="A286" s="3"/>
      <c r="B286" s="9" t="s">
        <v>1654</v>
      </c>
      <c r="C286" s="53">
        <v>13</v>
      </c>
      <c r="D286" s="53" t="s">
        <v>95</v>
      </c>
      <c r="E286" s="11">
        <v>0</v>
      </c>
      <c r="F286" s="11">
        <v>104.13</v>
      </c>
      <c r="G286" s="56" t="s">
        <v>1657</v>
      </c>
      <c r="H286" s="56" t="s">
        <v>37</v>
      </c>
      <c r="I286" s="102" t="s">
        <v>1658</v>
      </c>
      <c r="J286" s="56"/>
      <c r="K286" s="28"/>
      <c r="L286" s="28"/>
      <c r="M286" s="28"/>
      <c r="N286" s="28"/>
      <c r="O286" s="28"/>
      <c r="P286" s="28"/>
      <c r="Q286" s="28"/>
      <c r="R286" s="28"/>
      <c r="S286" s="28"/>
      <c r="T286" s="28"/>
      <c r="U286" s="3"/>
      <c r="W286" s="3"/>
      <c r="X286" s="3"/>
      <c r="Y286" s="3"/>
      <c r="Z286" s="3"/>
    </row>
    <row r="287" spans="1:26" ht="14.4" outlineLevel="1" x14ac:dyDescent="0.3">
      <c r="A287" s="3"/>
      <c r="B287" s="9" t="s">
        <v>1659</v>
      </c>
      <c r="C287" s="53">
        <v>20</v>
      </c>
      <c r="D287" s="53" t="s">
        <v>95</v>
      </c>
      <c r="E287" s="11">
        <v>0</v>
      </c>
      <c r="F287" s="11">
        <v>222</v>
      </c>
      <c r="G287" s="56"/>
      <c r="H287" s="56" t="s">
        <v>37</v>
      </c>
      <c r="I287" s="102" t="s">
        <v>1660</v>
      </c>
      <c r="J287" s="56"/>
      <c r="K287" s="28"/>
      <c r="L287" s="28"/>
      <c r="M287" s="28"/>
      <c r="N287" s="28"/>
      <c r="O287" s="28"/>
      <c r="P287" s="28"/>
      <c r="Q287" s="28"/>
      <c r="R287" s="28"/>
      <c r="S287" s="28"/>
      <c r="T287" s="28"/>
      <c r="U287" s="3"/>
      <c r="W287" s="3"/>
      <c r="X287" s="3"/>
      <c r="Y287" s="3"/>
      <c r="Z287" s="3"/>
    </row>
    <row r="288" spans="1:26" ht="14.4" outlineLevel="1" x14ac:dyDescent="0.3">
      <c r="A288" s="3"/>
      <c r="B288" s="9" t="s">
        <v>328</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4.4" outlineLevel="1" x14ac:dyDescent="0.3">
      <c r="A289" s="3"/>
      <c r="B289" s="9" t="s">
        <v>329</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4.4" outlineLevel="1" x14ac:dyDescent="0.3">
      <c r="A290" s="3"/>
      <c r="B290" s="9" t="s">
        <v>371</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t="14.4" outlineLevel="1" x14ac:dyDescent="0.3">
      <c r="A291" s="3"/>
      <c r="B291" s="9" t="s">
        <v>372</v>
      </c>
      <c r="C291" s="53"/>
      <c r="D291" s="53"/>
      <c r="E291" s="11">
        <v>0</v>
      </c>
      <c r="F291" s="11">
        <v>0</v>
      </c>
      <c r="G291" s="56"/>
      <c r="H291" s="56"/>
      <c r="I291" s="80"/>
      <c r="J291" s="56"/>
      <c r="K291" s="28"/>
      <c r="L291" s="28"/>
      <c r="M291" s="28"/>
      <c r="N291" s="28"/>
      <c r="O291" s="28"/>
      <c r="P291" s="28"/>
      <c r="Q291" s="28"/>
      <c r="R291" s="28"/>
      <c r="S291" s="28"/>
      <c r="T291" s="28"/>
      <c r="U291" s="3"/>
      <c r="W291" s="3"/>
      <c r="X291" s="3"/>
      <c r="Y291" s="3"/>
      <c r="Z291" s="3"/>
    </row>
    <row r="292" spans="1:26" ht="14.4" outlineLevel="1" x14ac:dyDescent="0.3">
      <c r="A292" s="3"/>
      <c r="B292" s="9" t="s">
        <v>373</v>
      </c>
      <c r="C292" s="53"/>
      <c r="D292" s="53"/>
      <c r="E292" s="11">
        <v>0</v>
      </c>
      <c r="F292" s="11">
        <v>0</v>
      </c>
      <c r="G292" s="56"/>
      <c r="H292" s="56"/>
      <c r="I292" s="80"/>
      <c r="J292" s="56"/>
      <c r="K292" s="28"/>
      <c r="L292" s="28"/>
      <c r="M292" s="28"/>
      <c r="N292" s="28"/>
      <c r="O292" s="28"/>
      <c r="P292" s="28"/>
      <c r="Q292" s="28"/>
      <c r="R292" s="28"/>
      <c r="S292" s="28"/>
      <c r="T292" s="28"/>
      <c r="U292" s="3"/>
      <c r="W292" s="3"/>
      <c r="X292" s="3"/>
      <c r="Y292" s="3"/>
      <c r="Z292" s="3"/>
    </row>
    <row r="293" spans="1:26" outlineLevel="1" x14ac:dyDescent="0.3">
      <c r="A293" s="3"/>
      <c r="B293" s="82" t="s">
        <v>65</v>
      </c>
      <c r="C293" s="83"/>
      <c r="D293" s="83"/>
      <c r="E293" s="84">
        <f>SUM(E294:E314)</f>
        <v>0</v>
      </c>
      <c r="F293" s="84">
        <f>SUMIF(D294:D314,"OK",F294:F314)</f>
        <v>0</v>
      </c>
      <c r="G293" s="85"/>
      <c r="H293" s="85"/>
      <c r="I293" s="86"/>
      <c r="J293" s="85"/>
      <c r="K293" s="28"/>
      <c r="L293" s="28"/>
      <c r="M293" s="28"/>
      <c r="N293" s="28"/>
      <c r="O293" s="28"/>
      <c r="P293" s="28"/>
      <c r="Q293" s="28"/>
      <c r="R293" s="28"/>
      <c r="S293" s="28"/>
      <c r="T293" s="28"/>
      <c r="U293" s="3"/>
      <c r="W293" s="3"/>
      <c r="X293" s="3"/>
      <c r="Y293" s="3"/>
      <c r="Z293" s="3"/>
    </row>
    <row r="294" spans="1:26" ht="14.4" outlineLevel="1" x14ac:dyDescent="0.3">
      <c r="A294" s="3"/>
      <c r="B294" s="9" t="s">
        <v>354</v>
      </c>
      <c r="C294" s="53"/>
      <c r="D294" s="53"/>
      <c r="E294" s="11">
        <v>0</v>
      </c>
      <c r="F294" s="11">
        <v>0</v>
      </c>
      <c r="G294" s="56"/>
      <c r="H294" s="56"/>
      <c r="I294" s="102"/>
      <c r="J294" s="56"/>
      <c r="K294" s="28"/>
      <c r="L294" s="28"/>
      <c r="M294" s="28"/>
      <c r="N294" s="28"/>
      <c r="O294" s="28"/>
      <c r="P294" s="28"/>
      <c r="Q294" s="28"/>
      <c r="R294" s="28"/>
      <c r="S294" s="28"/>
      <c r="T294" s="28"/>
      <c r="U294" s="3"/>
      <c r="W294" s="3"/>
      <c r="X294" s="3"/>
      <c r="Y294" s="3"/>
      <c r="Z294" s="3"/>
    </row>
    <row r="295" spans="1:26" ht="14.4" outlineLevel="1" x14ac:dyDescent="0.3">
      <c r="A295" s="3"/>
      <c r="B295" s="9" t="s">
        <v>355</v>
      </c>
      <c r="C295" s="53"/>
      <c r="D295" s="53"/>
      <c r="E295" s="11">
        <v>0</v>
      </c>
      <c r="F295" s="11">
        <v>0</v>
      </c>
      <c r="G295" s="56"/>
      <c r="H295" s="56"/>
      <c r="I295" s="102"/>
      <c r="J295" s="56"/>
      <c r="K295" s="28"/>
      <c r="L295" s="28"/>
      <c r="M295" s="28"/>
      <c r="N295" s="28"/>
      <c r="O295" s="28"/>
      <c r="P295" s="28"/>
      <c r="Q295" s="28"/>
      <c r="R295" s="28"/>
      <c r="S295" s="28"/>
      <c r="T295" s="28"/>
      <c r="U295" s="3"/>
      <c r="W295" s="3"/>
      <c r="X295" s="3"/>
      <c r="Y295" s="3"/>
      <c r="Z295" s="3"/>
    </row>
    <row r="296" spans="1:26" ht="14.4" outlineLevel="1" x14ac:dyDescent="0.3">
      <c r="A296" s="3"/>
      <c r="B296" s="9" t="s">
        <v>356</v>
      </c>
      <c r="C296" s="53"/>
      <c r="D296" s="53"/>
      <c r="E296" s="11">
        <v>0</v>
      </c>
      <c r="F296" s="11">
        <v>0</v>
      </c>
      <c r="G296" s="56"/>
      <c r="H296" s="56"/>
      <c r="I296" s="102"/>
      <c r="J296" s="56"/>
      <c r="K296" s="28"/>
      <c r="L296" s="28"/>
      <c r="M296" s="28"/>
      <c r="N296" s="28"/>
      <c r="O296" s="28"/>
      <c r="P296" s="28"/>
      <c r="Q296" s="28"/>
      <c r="R296" s="28"/>
      <c r="S296" s="28"/>
      <c r="T296" s="28"/>
      <c r="U296" s="3"/>
      <c r="W296" s="3"/>
      <c r="X296" s="3"/>
      <c r="Y296" s="3"/>
      <c r="Z296" s="3"/>
    </row>
    <row r="297" spans="1:26" ht="14.4" outlineLevel="1" x14ac:dyDescent="0.3">
      <c r="A297" s="3"/>
      <c r="B297" s="9" t="s">
        <v>370</v>
      </c>
      <c r="C297" s="53"/>
      <c r="D297" s="53"/>
      <c r="E297" s="11">
        <v>0</v>
      </c>
      <c r="F297" s="11">
        <v>0</v>
      </c>
      <c r="G297" s="56"/>
      <c r="H297" s="56"/>
      <c r="I297" s="102"/>
      <c r="J297" s="56"/>
      <c r="K297" s="28"/>
      <c r="L297" s="28"/>
      <c r="M297" s="28"/>
      <c r="N297" s="28"/>
      <c r="O297" s="28"/>
      <c r="P297" s="28"/>
      <c r="Q297" s="28"/>
      <c r="R297" s="28"/>
      <c r="S297" s="28"/>
      <c r="T297" s="28"/>
      <c r="U297" s="3"/>
      <c r="W297" s="3"/>
      <c r="X297" s="3"/>
      <c r="Y297" s="3"/>
      <c r="Z297" s="3"/>
    </row>
    <row r="298" spans="1:26" ht="14.4" outlineLevel="1" x14ac:dyDescent="0.3">
      <c r="A298" s="3"/>
      <c r="B298" s="9" t="s">
        <v>328</v>
      </c>
      <c r="C298" s="53"/>
      <c r="D298" s="53"/>
      <c r="E298" s="11">
        <v>0</v>
      </c>
      <c r="F298" s="11">
        <v>0</v>
      </c>
      <c r="G298" s="80"/>
      <c r="H298" s="56"/>
      <c r="I298" s="102"/>
      <c r="J298" s="56"/>
      <c r="K298" s="28"/>
      <c r="L298" s="28"/>
      <c r="M298" s="28"/>
      <c r="N298" s="28"/>
      <c r="O298" s="28"/>
      <c r="P298" s="28"/>
      <c r="Q298" s="28"/>
      <c r="R298" s="28"/>
      <c r="S298" s="28"/>
      <c r="T298" s="28"/>
      <c r="U298" s="3"/>
      <c r="W298" s="3"/>
      <c r="X298" s="3"/>
      <c r="Y298" s="3"/>
      <c r="Z298" s="3"/>
    </row>
    <row r="299" spans="1:26" ht="14.4" outlineLevel="1" x14ac:dyDescent="0.3">
      <c r="A299" s="3"/>
      <c r="B299" s="9" t="s">
        <v>329</v>
      </c>
      <c r="C299" s="53"/>
      <c r="D299" s="53"/>
      <c r="E299" s="11">
        <v>0</v>
      </c>
      <c r="F299" s="11">
        <v>0</v>
      </c>
      <c r="G299" s="56"/>
      <c r="H299" s="56"/>
      <c r="I299" s="102"/>
      <c r="J299" s="56"/>
      <c r="K299" s="28"/>
      <c r="L299" s="28"/>
      <c r="M299" s="28"/>
      <c r="N299" s="28"/>
      <c r="O299" s="28"/>
      <c r="P299" s="28"/>
      <c r="Q299" s="28"/>
      <c r="R299" s="28"/>
      <c r="S299" s="28"/>
      <c r="T299" s="28"/>
      <c r="U299" s="3"/>
      <c r="W299" s="3"/>
      <c r="X299" s="3"/>
      <c r="Y299" s="3"/>
      <c r="Z299" s="3"/>
    </row>
    <row r="300" spans="1:26" ht="14.4" outlineLevel="1" x14ac:dyDescent="0.3">
      <c r="A300" s="3"/>
      <c r="B300" s="9" t="s">
        <v>371</v>
      </c>
      <c r="C300" s="53"/>
      <c r="D300" s="53"/>
      <c r="E300" s="11">
        <v>0</v>
      </c>
      <c r="F300" s="11">
        <v>0</v>
      </c>
      <c r="G300" s="56"/>
      <c r="H300" s="56"/>
      <c r="I300" s="102"/>
      <c r="J300" s="56"/>
      <c r="K300" s="28"/>
      <c r="L300" s="28"/>
      <c r="M300" s="28"/>
      <c r="N300" s="28"/>
      <c r="O300" s="28"/>
      <c r="P300" s="28"/>
      <c r="Q300" s="28"/>
      <c r="R300" s="28"/>
      <c r="S300" s="28"/>
      <c r="T300" s="28"/>
      <c r="U300" s="3"/>
      <c r="W300" s="3"/>
      <c r="X300" s="3"/>
      <c r="Y300" s="3"/>
      <c r="Z300" s="3"/>
    </row>
    <row r="301" spans="1:26" ht="14.4" outlineLevel="1" x14ac:dyDescent="0.3">
      <c r="A301" s="3"/>
      <c r="B301" s="9" t="s">
        <v>372</v>
      </c>
      <c r="C301" s="53"/>
      <c r="D301" s="53"/>
      <c r="E301" s="11">
        <v>0</v>
      </c>
      <c r="F301" s="11">
        <v>0</v>
      </c>
      <c r="G301" s="56"/>
      <c r="H301" s="56"/>
      <c r="I301" s="102"/>
      <c r="J301" s="56"/>
      <c r="K301" s="28"/>
      <c r="L301" s="28"/>
      <c r="M301" s="28"/>
      <c r="N301" s="28"/>
      <c r="O301" s="28"/>
      <c r="P301" s="28"/>
      <c r="Q301" s="28"/>
      <c r="R301" s="28"/>
      <c r="S301" s="28"/>
      <c r="T301" s="28"/>
      <c r="U301" s="3"/>
      <c r="W301" s="3"/>
      <c r="X301" s="3"/>
      <c r="Y301" s="3"/>
      <c r="Z301" s="3"/>
    </row>
    <row r="302" spans="1:26" ht="14.4" outlineLevel="1" x14ac:dyDescent="0.3">
      <c r="A302" s="3"/>
      <c r="B302" s="9" t="s">
        <v>373</v>
      </c>
      <c r="C302" s="53"/>
      <c r="D302" s="53"/>
      <c r="E302" s="11">
        <v>0</v>
      </c>
      <c r="F302" s="11">
        <v>0</v>
      </c>
      <c r="G302" s="56"/>
      <c r="H302" s="56"/>
      <c r="I302" s="102"/>
      <c r="J302" s="56"/>
      <c r="K302" s="28"/>
      <c r="L302" s="28"/>
      <c r="M302" s="28"/>
      <c r="N302" s="28"/>
      <c r="O302" s="28"/>
      <c r="P302" s="28"/>
      <c r="Q302" s="28"/>
      <c r="R302" s="28"/>
      <c r="S302" s="28"/>
      <c r="T302" s="28"/>
      <c r="U302" s="3"/>
      <c r="W302" s="3"/>
      <c r="X302" s="3"/>
      <c r="Y302" s="3"/>
      <c r="Z302" s="3"/>
    </row>
    <row r="303" spans="1:26" ht="14.4" outlineLevel="1" x14ac:dyDescent="0.3">
      <c r="A303" s="3"/>
      <c r="B303" s="9" t="s">
        <v>1661</v>
      </c>
      <c r="C303" s="53"/>
      <c r="D303" s="53"/>
      <c r="E303" s="11">
        <v>0</v>
      </c>
      <c r="F303" s="11">
        <v>0</v>
      </c>
      <c r="G303" s="56"/>
      <c r="H303" s="56"/>
      <c r="I303" s="102"/>
      <c r="J303" s="56"/>
      <c r="K303" s="28"/>
      <c r="L303" s="28"/>
      <c r="M303" s="28"/>
      <c r="N303" s="28"/>
      <c r="O303" s="28"/>
      <c r="P303" s="28"/>
      <c r="Q303" s="28"/>
      <c r="R303" s="28"/>
      <c r="S303" s="28"/>
      <c r="T303" s="28"/>
      <c r="U303" s="3"/>
      <c r="W303" s="3"/>
      <c r="X303" s="3"/>
      <c r="Y303" s="3"/>
      <c r="Z303" s="3"/>
    </row>
    <row r="304" spans="1:26" ht="14.4" outlineLevel="1" x14ac:dyDescent="0.3">
      <c r="A304" s="3"/>
      <c r="B304" s="9" t="s">
        <v>1662</v>
      </c>
      <c r="C304" s="53"/>
      <c r="D304" s="53"/>
      <c r="E304" s="11">
        <v>0</v>
      </c>
      <c r="F304" s="11">
        <v>0</v>
      </c>
      <c r="G304" s="56"/>
      <c r="H304" s="56"/>
      <c r="I304" s="102"/>
      <c r="J304" s="56"/>
      <c r="K304" s="28"/>
      <c r="L304" s="28"/>
      <c r="M304" s="28"/>
      <c r="N304" s="28"/>
      <c r="O304" s="28"/>
      <c r="P304" s="28"/>
      <c r="Q304" s="28"/>
      <c r="R304" s="28"/>
      <c r="S304" s="28"/>
      <c r="T304" s="28"/>
      <c r="U304" s="3"/>
      <c r="W304" s="3"/>
      <c r="X304" s="3"/>
      <c r="Y304" s="3"/>
      <c r="Z304" s="3"/>
    </row>
    <row r="305" spans="1:26" ht="14.4" outlineLevel="1" x14ac:dyDescent="0.3">
      <c r="A305" s="3"/>
      <c r="B305" s="9" t="s">
        <v>1663</v>
      </c>
      <c r="C305" s="53"/>
      <c r="D305" s="53"/>
      <c r="E305" s="11">
        <v>0</v>
      </c>
      <c r="F305" s="11">
        <v>0</v>
      </c>
      <c r="G305" s="56"/>
      <c r="H305" s="56"/>
      <c r="I305" s="102"/>
      <c r="J305" s="56"/>
      <c r="K305" s="28"/>
      <c r="L305" s="28"/>
      <c r="M305" s="28"/>
      <c r="N305" s="28"/>
      <c r="O305" s="28"/>
      <c r="P305" s="28"/>
      <c r="Q305" s="28"/>
      <c r="R305" s="28"/>
      <c r="S305" s="28"/>
      <c r="T305" s="28"/>
      <c r="U305" s="3"/>
      <c r="W305" s="3"/>
      <c r="X305" s="3"/>
      <c r="Y305" s="3"/>
      <c r="Z305" s="3"/>
    </row>
    <row r="306" spans="1:26" ht="14.4" outlineLevel="1" x14ac:dyDescent="0.3">
      <c r="A306" s="3"/>
      <c r="B306" s="9" t="s">
        <v>1664</v>
      </c>
      <c r="C306" s="53"/>
      <c r="D306" s="53"/>
      <c r="E306" s="11">
        <v>0</v>
      </c>
      <c r="F306" s="11">
        <v>0</v>
      </c>
      <c r="G306" s="56"/>
      <c r="H306" s="56"/>
      <c r="I306" s="102"/>
      <c r="J306" s="56"/>
      <c r="K306" s="28"/>
      <c r="L306" s="28"/>
      <c r="M306" s="28"/>
      <c r="N306" s="28"/>
      <c r="O306" s="28"/>
      <c r="P306" s="28"/>
      <c r="Q306" s="28"/>
      <c r="R306" s="28"/>
      <c r="S306" s="28"/>
      <c r="T306" s="28"/>
      <c r="U306" s="3"/>
      <c r="W306" s="3"/>
      <c r="X306" s="3"/>
      <c r="Y306" s="3"/>
      <c r="Z306" s="3"/>
    </row>
    <row r="307" spans="1:26" ht="14.4" outlineLevel="1" x14ac:dyDescent="0.3">
      <c r="A307" s="3"/>
      <c r="B307" s="9" t="s">
        <v>1665</v>
      </c>
      <c r="C307" s="53"/>
      <c r="D307" s="53"/>
      <c r="E307" s="11">
        <v>0</v>
      </c>
      <c r="F307" s="11">
        <v>0</v>
      </c>
      <c r="G307" s="56"/>
      <c r="H307" s="56"/>
      <c r="I307" s="102"/>
      <c r="J307" s="56"/>
      <c r="K307" s="28"/>
      <c r="L307" s="28"/>
      <c r="M307" s="28"/>
      <c r="N307" s="28"/>
      <c r="O307" s="28"/>
      <c r="P307" s="28"/>
      <c r="Q307" s="28"/>
      <c r="R307" s="28"/>
      <c r="S307" s="28"/>
      <c r="T307" s="28"/>
      <c r="U307" s="3"/>
      <c r="W307" s="3"/>
      <c r="X307" s="3"/>
      <c r="Y307" s="3"/>
      <c r="Z307" s="3"/>
    </row>
    <row r="308" spans="1:26" ht="14.4" outlineLevel="1" x14ac:dyDescent="0.3">
      <c r="A308" s="3"/>
      <c r="B308" s="9" t="s">
        <v>1666</v>
      </c>
      <c r="C308" s="53"/>
      <c r="D308" s="53"/>
      <c r="E308" s="11">
        <v>0</v>
      </c>
      <c r="F308" s="11">
        <v>0</v>
      </c>
      <c r="G308" s="56"/>
      <c r="H308" s="56"/>
      <c r="I308" s="102"/>
      <c r="J308" s="56"/>
      <c r="K308" s="28"/>
      <c r="L308" s="28"/>
      <c r="M308" s="28"/>
      <c r="N308" s="28"/>
      <c r="O308" s="28"/>
      <c r="P308" s="28"/>
      <c r="Q308" s="28"/>
      <c r="R308" s="28"/>
      <c r="S308" s="28"/>
      <c r="T308" s="28"/>
      <c r="U308" s="3"/>
      <c r="W308" s="3"/>
      <c r="X308" s="3"/>
      <c r="Y308" s="3"/>
      <c r="Z308" s="3"/>
    </row>
    <row r="309" spans="1:26" ht="14.4" outlineLevel="1" x14ac:dyDescent="0.3">
      <c r="A309" s="3"/>
      <c r="B309" s="9" t="s">
        <v>1667</v>
      </c>
      <c r="C309" s="53"/>
      <c r="D309" s="53"/>
      <c r="E309" s="11">
        <v>0</v>
      </c>
      <c r="F309" s="11">
        <v>0</v>
      </c>
      <c r="G309" s="56"/>
      <c r="H309" s="56"/>
      <c r="I309" s="102"/>
      <c r="J309" s="56"/>
      <c r="K309" s="28"/>
      <c r="L309" s="28"/>
      <c r="M309" s="28"/>
      <c r="N309" s="28"/>
      <c r="O309" s="28"/>
      <c r="P309" s="28"/>
      <c r="Q309" s="28"/>
      <c r="R309" s="28"/>
      <c r="S309" s="28"/>
      <c r="T309" s="28"/>
      <c r="U309" s="3"/>
      <c r="W309" s="3"/>
      <c r="X309" s="3"/>
      <c r="Y309" s="3"/>
      <c r="Z309" s="3"/>
    </row>
    <row r="310" spans="1:26" ht="14.4" outlineLevel="1" x14ac:dyDescent="0.3">
      <c r="A310" s="3"/>
      <c r="B310" s="9" t="s">
        <v>1668</v>
      </c>
      <c r="C310" s="53"/>
      <c r="D310" s="53"/>
      <c r="E310" s="11">
        <v>0</v>
      </c>
      <c r="F310" s="11">
        <v>0</v>
      </c>
      <c r="G310" s="56"/>
      <c r="H310" s="56"/>
      <c r="I310" s="102"/>
      <c r="J310" s="56"/>
      <c r="K310" s="28"/>
      <c r="L310" s="28"/>
      <c r="M310" s="28"/>
      <c r="N310" s="28"/>
      <c r="O310" s="28"/>
      <c r="P310" s="28"/>
      <c r="Q310" s="28"/>
      <c r="R310" s="28"/>
      <c r="S310" s="28"/>
      <c r="T310" s="28"/>
      <c r="U310" s="3"/>
      <c r="W310" s="3"/>
      <c r="X310" s="3"/>
      <c r="Y310" s="3"/>
      <c r="Z310" s="3"/>
    </row>
    <row r="311" spans="1:26" ht="14.4" outlineLevel="1" x14ac:dyDescent="0.3">
      <c r="A311" s="3"/>
      <c r="B311" s="9" t="s">
        <v>1669</v>
      </c>
      <c r="C311" s="53"/>
      <c r="D311" s="53"/>
      <c r="E311" s="11">
        <v>0</v>
      </c>
      <c r="F311" s="11">
        <v>0</v>
      </c>
      <c r="G311" s="56"/>
      <c r="H311" s="56"/>
      <c r="I311" s="102"/>
      <c r="J311" s="56"/>
      <c r="K311" s="28"/>
      <c r="L311" s="28"/>
      <c r="M311" s="28"/>
      <c r="N311" s="28"/>
      <c r="O311" s="28"/>
      <c r="P311" s="28"/>
      <c r="Q311" s="28"/>
      <c r="R311" s="28"/>
      <c r="S311" s="28"/>
      <c r="T311" s="28"/>
      <c r="U311" s="3"/>
      <c r="W311" s="3"/>
      <c r="X311" s="3"/>
      <c r="Y311" s="3"/>
      <c r="Z311" s="3"/>
    </row>
    <row r="312" spans="1:26" ht="14.4" outlineLevel="1" x14ac:dyDescent="0.3">
      <c r="A312" s="3"/>
      <c r="B312" s="9" t="s">
        <v>1670</v>
      </c>
      <c r="C312" s="53"/>
      <c r="D312" s="53"/>
      <c r="E312" s="11">
        <v>0</v>
      </c>
      <c r="F312" s="11">
        <v>0</v>
      </c>
      <c r="G312" s="56"/>
      <c r="H312" s="56"/>
      <c r="I312" s="102"/>
      <c r="J312" s="56"/>
      <c r="K312" s="28"/>
      <c r="L312" s="28"/>
      <c r="M312" s="28"/>
      <c r="N312" s="28"/>
      <c r="O312" s="28"/>
      <c r="P312" s="28"/>
      <c r="Q312" s="28"/>
      <c r="R312" s="28"/>
      <c r="S312" s="28"/>
      <c r="T312" s="28"/>
      <c r="U312" s="3"/>
      <c r="W312" s="3"/>
      <c r="X312" s="3"/>
      <c r="Y312" s="3"/>
      <c r="Z312" s="3"/>
    </row>
    <row r="313" spans="1:26" ht="14.4" outlineLevel="1" x14ac:dyDescent="0.3">
      <c r="A313" s="3"/>
      <c r="B313" s="9" t="s">
        <v>1671</v>
      </c>
      <c r="C313" s="53"/>
      <c r="D313" s="53"/>
      <c r="E313" s="11">
        <v>0</v>
      </c>
      <c r="F313" s="11">
        <v>0</v>
      </c>
      <c r="G313" s="56"/>
      <c r="H313" s="56"/>
      <c r="I313" s="102"/>
      <c r="J313" s="56"/>
      <c r="K313" s="28"/>
      <c r="L313" s="28"/>
      <c r="M313" s="28"/>
      <c r="N313" s="28"/>
      <c r="O313" s="28"/>
      <c r="P313" s="28"/>
      <c r="Q313" s="28"/>
      <c r="R313" s="28"/>
      <c r="S313" s="28"/>
      <c r="T313" s="28"/>
      <c r="U313" s="3"/>
      <c r="W313" s="3"/>
      <c r="X313" s="3"/>
      <c r="Y313" s="3"/>
      <c r="Z313" s="3"/>
    </row>
    <row r="314" spans="1:26" ht="14.4" outlineLevel="1" x14ac:dyDescent="0.3">
      <c r="A314" s="3"/>
      <c r="B314" s="9" t="s">
        <v>1672</v>
      </c>
      <c r="C314" s="53"/>
      <c r="D314" s="53"/>
      <c r="E314" s="11">
        <v>0</v>
      </c>
      <c r="F314" s="11">
        <v>0</v>
      </c>
      <c r="G314" s="56"/>
      <c r="H314" s="56"/>
      <c r="I314" s="80"/>
      <c r="J314" s="56"/>
      <c r="K314" s="28"/>
      <c r="L314" s="28"/>
      <c r="M314" s="28"/>
      <c r="N314" s="28"/>
      <c r="O314" s="28"/>
      <c r="P314" s="28"/>
      <c r="Q314" s="28"/>
      <c r="R314" s="28"/>
      <c r="S314" s="28"/>
      <c r="T314" s="28"/>
      <c r="U314" s="3"/>
      <c r="W314" s="3"/>
      <c r="X314" s="3"/>
      <c r="Y314" s="3"/>
      <c r="Z314" s="3"/>
    </row>
    <row r="315" spans="1:26" outlineLevel="1" x14ac:dyDescent="0.3">
      <c r="A315" s="3"/>
      <c r="B315" s="82" t="s">
        <v>690</v>
      </c>
      <c r="C315" s="83"/>
      <c r="D315" s="83"/>
      <c r="E315" s="84">
        <f>SUM(E316:E324)</f>
        <v>0</v>
      </c>
      <c r="F315" s="84">
        <f>SUMIF(D316:D324,"OK",F316:F324)</f>
        <v>0</v>
      </c>
      <c r="G315" s="85"/>
      <c r="H315" s="85"/>
      <c r="I315" s="86"/>
      <c r="J315" s="85"/>
      <c r="K315" s="28"/>
      <c r="L315" s="28"/>
      <c r="M315" s="28"/>
      <c r="N315" s="28"/>
      <c r="O315" s="28"/>
      <c r="P315" s="28"/>
      <c r="Q315" s="28"/>
      <c r="R315" s="28"/>
      <c r="S315" s="28"/>
      <c r="T315" s="28"/>
      <c r="U315" s="3"/>
      <c r="W315" s="3"/>
      <c r="X315" s="3"/>
      <c r="Y315" s="3"/>
      <c r="Z315" s="3"/>
    </row>
    <row r="316" spans="1:26" ht="14.4" outlineLevel="1" x14ac:dyDescent="0.3">
      <c r="A316" s="3"/>
      <c r="B316" s="9" t="s">
        <v>354</v>
      </c>
      <c r="C316" s="53"/>
      <c r="D316" s="53"/>
      <c r="E316" s="11">
        <v>0</v>
      </c>
      <c r="F316" s="11">
        <v>0</v>
      </c>
      <c r="G316" s="56"/>
      <c r="H316" s="56"/>
      <c r="I316" s="102"/>
      <c r="J316" s="56"/>
      <c r="K316" s="28"/>
      <c r="L316" s="28"/>
      <c r="M316" s="28"/>
      <c r="N316" s="28"/>
      <c r="O316" s="28"/>
      <c r="P316" s="28"/>
      <c r="Q316" s="28"/>
      <c r="R316" s="28"/>
      <c r="S316" s="28"/>
      <c r="T316" s="28"/>
      <c r="U316" s="3"/>
      <c r="W316" s="3"/>
      <c r="X316" s="3"/>
      <c r="Y316" s="3"/>
      <c r="Z316" s="3"/>
    </row>
    <row r="317" spans="1:26" ht="14.4" outlineLevel="1" x14ac:dyDescent="0.3">
      <c r="A317" s="3"/>
      <c r="B317" s="9" t="s">
        <v>355</v>
      </c>
      <c r="C317" s="53"/>
      <c r="D317" s="53"/>
      <c r="E317" s="11">
        <v>0</v>
      </c>
      <c r="F317" s="11">
        <v>0</v>
      </c>
      <c r="G317" s="56"/>
      <c r="H317" s="56"/>
      <c r="I317" s="102"/>
      <c r="J317" s="56"/>
      <c r="K317" s="28"/>
      <c r="L317" s="28"/>
      <c r="M317" s="28"/>
      <c r="N317" s="28"/>
      <c r="O317" s="28"/>
      <c r="P317" s="28"/>
      <c r="Q317" s="28"/>
      <c r="R317" s="28"/>
      <c r="S317" s="28"/>
      <c r="T317" s="28"/>
      <c r="U317" s="3"/>
      <c r="W317" s="3"/>
      <c r="X317" s="3"/>
      <c r="Y317" s="3"/>
      <c r="Z317" s="3"/>
    </row>
    <row r="318" spans="1:26" ht="14.4" outlineLevel="1" x14ac:dyDescent="0.3">
      <c r="A318" s="3"/>
      <c r="B318" s="9" t="s">
        <v>356</v>
      </c>
      <c r="C318" s="53"/>
      <c r="D318" s="53"/>
      <c r="E318" s="11">
        <v>0</v>
      </c>
      <c r="F318" s="11">
        <v>0</v>
      </c>
      <c r="G318" s="56"/>
      <c r="H318" s="56"/>
      <c r="I318" s="80"/>
      <c r="J318" s="56"/>
      <c r="K318" s="28"/>
      <c r="L318" s="28"/>
      <c r="M318" s="28"/>
      <c r="N318" s="28"/>
      <c r="O318" s="28"/>
      <c r="P318" s="28"/>
      <c r="Q318" s="28"/>
      <c r="R318" s="28"/>
      <c r="S318" s="28"/>
      <c r="T318" s="28"/>
      <c r="U318" s="3"/>
      <c r="W318" s="3"/>
      <c r="X318" s="3"/>
      <c r="Y318" s="3"/>
      <c r="Z318" s="3"/>
    </row>
    <row r="319" spans="1:26" ht="14.4" outlineLevel="1" x14ac:dyDescent="0.3">
      <c r="A319" s="3"/>
      <c r="B319" s="9" t="s">
        <v>370</v>
      </c>
      <c r="C319" s="53"/>
      <c r="D319" s="53"/>
      <c r="E319" s="11">
        <v>0</v>
      </c>
      <c r="F319" s="11">
        <v>0</v>
      </c>
      <c r="G319" s="56"/>
      <c r="H319" s="56"/>
      <c r="I319" s="80"/>
      <c r="J319" s="56"/>
      <c r="K319" s="28"/>
      <c r="L319" s="28"/>
      <c r="M319" s="28"/>
      <c r="N319" s="28"/>
      <c r="O319" s="28"/>
      <c r="P319" s="28"/>
      <c r="Q319" s="28"/>
      <c r="R319" s="28"/>
      <c r="S319" s="28"/>
      <c r="T319" s="28"/>
      <c r="U319" s="3"/>
      <c r="W319" s="3"/>
      <c r="X319" s="3"/>
      <c r="Y319" s="3"/>
      <c r="Z319" s="3"/>
    </row>
    <row r="320" spans="1:26" ht="14.4" outlineLevel="1" x14ac:dyDescent="0.3">
      <c r="A320" s="3"/>
      <c r="B320" s="9" t="s">
        <v>328</v>
      </c>
      <c r="C320" s="53"/>
      <c r="D320" s="53"/>
      <c r="E320" s="11">
        <v>0</v>
      </c>
      <c r="F320" s="11">
        <v>0</v>
      </c>
      <c r="G320" s="56"/>
      <c r="H320" s="56"/>
      <c r="I320" s="80"/>
      <c r="J320" s="56"/>
      <c r="K320" s="28"/>
      <c r="L320" s="28"/>
      <c r="M320" s="28"/>
      <c r="N320" s="28"/>
      <c r="O320" s="28"/>
      <c r="P320" s="28"/>
      <c r="Q320" s="28"/>
      <c r="R320" s="28"/>
      <c r="S320" s="28"/>
      <c r="T320" s="28"/>
      <c r="U320" s="3"/>
      <c r="W320" s="3"/>
      <c r="X320" s="3"/>
      <c r="Y320" s="3"/>
      <c r="Z320" s="3"/>
    </row>
    <row r="321" spans="1:26" ht="14.4" outlineLevel="1" x14ac:dyDescent="0.3">
      <c r="A321" s="3"/>
      <c r="B321" s="9" t="s">
        <v>329</v>
      </c>
      <c r="C321" s="53"/>
      <c r="D321" s="53"/>
      <c r="E321" s="11">
        <v>0</v>
      </c>
      <c r="F321" s="11">
        <v>0</v>
      </c>
      <c r="G321" s="56"/>
      <c r="H321" s="56"/>
      <c r="I321" s="80"/>
      <c r="J321" s="56"/>
      <c r="K321" s="28"/>
      <c r="L321" s="28"/>
      <c r="M321" s="28"/>
      <c r="N321" s="28"/>
      <c r="O321" s="28"/>
      <c r="P321" s="28"/>
      <c r="Q321" s="28"/>
      <c r="R321" s="28"/>
      <c r="S321" s="28"/>
      <c r="T321" s="28"/>
      <c r="U321" s="3"/>
      <c r="W321" s="3"/>
      <c r="X321" s="3"/>
      <c r="Y321" s="3"/>
      <c r="Z321" s="3"/>
    </row>
    <row r="322" spans="1:26" ht="14.4" outlineLevel="1" x14ac:dyDescent="0.3">
      <c r="A322" s="3"/>
      <c r="B322" s="9" t="s">
        <v>371</v>
      </c>
      <c r="C322" s="53"/>
      <c r="D322" s="53"/>
      <c r="E322" s="11">
        <v>0</v>
      </c>
      <c r="F322" s="11">
        <v>0</v>
      </c>
      <c r="G322" s="56"/>
      <c r="H322" s="56"/>
      <c r="I322" s="80"/>
      <c r="J322" s="56"/>
      <c r="K322" s="28"/>
      <c r="L322" s="28"/>
      <c r="M322" s="28"/>
      <c r="N322" s="28"/>
      <c r="O322" s="28"/>
      <c r="P322" s="28"/>
      <c r="Q322" s="28"/>
      <c r="R322" s="28"/>
      <c r="S322" s="28"/>
      <c r="T322" s="28"/>
      <c r="U322" s="3"/>
      <c r="W322" s="3"/>
      <c r="X322" s="3"/>
      <c r="Y322" s="3"/>
      <c r="Z322" s="3"/>
    </row>
    <row r="323" spans="1:26" ht="14.4" outlineLevel="1" x14ac:dyDescent="0.3">
      <c r="A323" s="3"/>
      <c r="B323" s="9" t="s">
        <v>372</v>
      </c>
      <c r="C323" s="53"/>
      <c r="D323" s="53"/>
      <c r="E323" s="11">
        <v>0</v>
      </c>
      <c r="F323" s="11">
        <v>0</v>
      </c>
      <c r="G323" s="56"/>
      <c r="H323" s="56"/>
      <c r="I323" s="80"/>
      <c r="J323" s="56"/>
      <c r="K323" s="28"/>
      <c r="L323" s="28"/>
      <c r="M323" s="28"/>
      <c r="N323" s="28"/>
      <c r="O323" s="28"/>
      <c r="P323" s="28"/>
      <c r="Q323" s="28"/>
      <c r="R323" s="28"/>
      <c r="S323" s="28"/>
      <c r="T323" s="28"/>
      <c r="U323" s="3"/>
      <c r="W323" s="3"/>
      <c r="X323" s="3"/>
      <c r="Y323" s="3"/>
      <c r="Z323" s="3"/>
    </row>
    <row r="324" spans="1:26" ht="14.4" outlineLevel="1" x14ac:dyDescent="0.3">
      <c r="A324" s="3"/>
      <c r="B324" s="9" t="s">
        <v>373</v>
      </c>
      <c r="C324" s="53"/>
      <c r="D324" s="53"/>
      <c r="E324" s="11">
        <v>0</v>
      </c>
      <c r="F324" s="11">
        <v>0</v>
      </c>
      <c r="G324" s="56"/>
      <c r="H324" s="56"/>
      <c r="I324" s="80"/>
      <c r="J324" s="56"/>
      <c r="K324" s="28"/>
      <c r="L324" s="28"/>
      <c r="M324" s="28"/>
      <c r="N324" s="28"/>
      <c r="O324" s="28"/>
      <c r="P324" s="28"/>
      <c r="Q324" s="28"/>
      <c r="R324" s="28"/>
      <c r="S324" s="28"/>
      <c r="T324" s="28"/>
      <c r="U324" s="3"/>
      <c r="W324" s="3"/>
      <c r="X324" s="3"/>
      <c r="Y324" s="3"/>
      <c r="Z324" s="3"/>
    </row>
    <row r="325" spans="1:26" ht="20.399999999999999" x14ac:dyDescent="0.3">
      <c r="A325" s="3"/>
      <c r="B325" s="75" t="s">
        <v>412</v>
      </c>
      <c r="C325" s="76" t="s">
        <v>44</v>
      </c>
      <c r="D325" s="76" t="s">
        <v>44</v>
      </c>
      <c r="E325" s="77">
        <f>SUM(E326:E346)</f>
        <v>0</v>
      </c>
      <c r="F325" s="77">
        <f>SUMIF(D326:D346,"OK",F326:F346)</f>
        <v>0</v>
      </c>
      <c r="G325" s="78"/>
      <c r="H325" s="78"/>
      <c r="I325" s="79"/>
      <c r="J325" s="78"/>
      <c r="K325" s="28"/>
      <c r="L325" s="28"/>
      <c r="M325" s="28"/>
      <c r="N325" s="28"/>
      <c r="O325" s="28"/>
      <c r="P325" s="28"/>
      <c r="Q325" s="28"/>
      <c r="R325" s="28"/>
      <c r="S325" s="28"/>
      <c r="T325" s="28"/>
      <c r="U325" s="3"/>
      <c r="W325" s="3"/>
      <c r="X325" s="3"/>
      <c r="Y325" s="3"/>
      <c r="Z325" s="3"/>
    </row>
    <row r="326" spans="1:26" ht="14.4" outlineLevel="1" x14ac:dyDescent="0.3">
      <c r="A326" s="3"/>
      <c r="B326" s="9" t="s">
        <v>413</v>
      </c>
      <c r="C326" s="53"/>
      <c r="D326" s="53"/>
      <c r="E326" s="11">
        <v>0</v>
      </c>
      <c r="F326" s="11">
        <v>0</v>
      </c>
      <c r="G326" s="56"/>
      <c r="H326" s="56"/>
      <c r="I326" s="80"/>
      <c r="J326" s="56"/>
      <c r="K326" s="28"/>
      <c r="L326" s="28"/>
      <c r="M326" s="28"/>
      <c r="N326" s="28"/>
      <c r="O326" s="28"/>
      <c r="P326" s="28"/>
      <c r="Q326" s="28"/>
      <c r="R326" s="28"/>
      <c r="S326" s="28"/>
      <c r="T326" s="28"/>
      <c r="U326" s="3"/>
      <c r="W326" s="3"/>
      <c r="X326" s="3"/>
      <c r="Y326" s="3"/>
      <c r="Z326" s="3"/>
    </row>
    <row r="327" spans="1:26" ht="14.4" outlineLevel="1" x14ac:dyDescent="0.3">
      <c r="A327" s="3"/>
      <c r="B327" s="9" t="s">
        <v>414</v>
      </c>
      <c r="C327" s="53"/>
      <c r="D327" s="53"/>
      <c r="E327" s="11">
        <v>0</v>
      </c>
      <c r="F327" s="11">
        <v>0</v>
      </c>
      <c r="G327" s="80"/>
      <c r="H327" s="56"/>
      <c r="I327" s="102"/>
      <c r="J327" s="56"/>
      <c r="K327" s="28"/>
      <c r="L327" s="28"/>
      <c r="M327" s="28"/>
      <c r="N327" s="28"/>
      <c r="O327" s="28"/>
      <c r="P327" s="28"/>
      <c r="Q327" s="28"/>
      <c r="R327" s="28"/>
      <c r="S327" s="28"/>
      <c r="T327" s="28"/>
      <c r="U327" s="3"/>
      <c r="W327" s="3"/>
      <c r="X327" s="3"/>
      <c r="Y327" s="3"/>
      <c r="Z327" s="3"/>
    </row>
    <row r="328" spans="1:26" ht="14.4" outlineLevel="1" x14ac:dyDescent="0.3">
      <c r="A328" s="3"/>
      <c r="B328" s="9" t="s">
        <v>414</v>
      </c>
      <c r="C328" s="53"/>
      <c r="D328" s="53"/>
      <c r="E328" s="11">
        <v>0</v>
      </c>
      <c r="F328" s="11">
        <v>0</v>
      </c>
      <c r="G328" s="56"/>
      <c r="H328" s="56"/>
      <c r="I328" s="102"/>
      <c r="J328" s="56"/>
      <c r="K328" s="28"/>
      <c r="L328" s="28"/>
      <c r="M328" s="28"/>
      <c r="N328" s="28"/>
      <c r="O328" s="28"/>
      <c r="P328" s="28"/>
      <c r="Q328" s="28"/>
      <c r="R328" s="28"/>
      <c r="S328" s="28"/>
      <c r="T328" s="28"/>
      <c r="U328" s="3"/>
      <c r="W328" s="3"/>
      <c r="X328" s="3"/>
      <c r="Y328" s="3"/>
      <c r="Z328" s="3"/>
    </row>
    <row r="329" spans="1:26" ht="14.4" outlineLevel="1" x14ac:dyDescent="0.3">
      <c r="A329" s="3"/>
      <c r="B329" s="9" t="s">
        <v>415</v>
      </c>
      <c r="C329" s="53"/>
      <c r="D329" s="53"/>
      <c r="E329" s="11">
        <v>0</v>
      </c>
      <c r="F329" s="11">
        <v>0</v>
      </c>
      <c r="G329" s="56"/>
      <c r="H329" s="56"/>
      <c r="I329" s="80"/>
      <c r="J329" s="56"/>
      <c r="K329" s="28"/>
      <c r="L329" s="28"/>
      <c r="M329" s="28"/>
      <c r="N329" s="28"/>
      <c r="O329" s="28"/>
      <c r="P329" s="28"/>
      <c r="Q329" s="28"/>
      <c r="R329" s="28"/>
      <c r="S329" s="28"/>
      <c r="T329" s="28"/>
      <c r="U329" s="3"/>
      <c r="W329" s="3"/>
      <c r="X329" s="3"/>
      <c r="Y329" s="3"/>
      <c r="Z329" s="3"/>
    </row>
    <row r="330" spans="1:26" ht="14.4" outlineLevel="1" x14ac:dyDescent="0.3">
      <c r="A330" s="3"/>
      <c r="B330" s="9" t="s">
        <v>415</v>
      </c>
      <c r="C330" s="53"/>
      <c r="D330" s="53"/>
      <c r="E330" s="11">
        <v>0</v>
      </c>
      <c r="F330" s="11">
        <v>0</v>
      </c>
      <c r="G330" s="56"/>
      <c r="H330" s="56"/>
      <c r="I330" s="80"/>
      <c r="J330" s="56"/>
      <c r="K330" s="28"/>
      <c r="L330" s="28"/>
      <c r="M330" s="28"/>
      <c r="N330" s="28"/>
      <c r="O330" s="28"/>
      <c r="P330" s="28"/>
      <c r="Q330" s="28"/>
      <c r="R330" s="28"/>
      <c r="S330" s="28"/>
      <c r="T330" s="28"/>
      <c r="U330" s="3"/>
      <c r="W330" s="3"/>
      <c r="X330" s="3"/>
      <c r="Y330" s="3"/>
      <c r="Z330" s="3"/>
    </row>
    <row r="331" spans="1:26" ht="14.4" outlineLevel="1" x14ac:dyDescent="0.3">
      <c r="A331" s="3"/>
      <c r="B331" s="9" t="s">
        <v>415</v>
      </c>
      <c r="C331" s="53"/>
      <c r="D331" s="53"/>
      <c r="E331" s="11">
        <v>0</v>
      </c>
      <c r="F331" s="11">
        <v>0</v>
      </c>
      <c r="G331" s="56"/>
      <c r="H331" s="56"/>
      <c r="I331" s="80"/>
      <c r="J331" s="56"/>
      <c r="K331" s="28"/>
      <c r="L331" s="28"/>
      <c r="M331" s="28"/>
      <c r="N331" s="28"/>
      <c r="O331" s="28"/>
      <c r="P331" s="28"/>
      <c r="Q331" s="28"/>
      <c r="R331" s="28"/>
      <c r="S331" s="28"/>
      <c r="T331" s="28"/>
      <c r="U331" s="3"/>
      <c r="W331" s="3"/>
      <c r="X331" s="3"/>
      <c r="Y331" s="3"/>
      <c r="Z331" s="3"/>
    </row>
    <row r="332" spans="1:26" ht="14.4" outlineLevel="1" x14ac:dyDescent="0.3">
      <c r="A332" s="3"/>
      <c r="B332" s="9" t="s">
        <v>416</v>
      </c>
      <c r="C332" s="53"/>
      <c r="D332" s="53"/>
      <c r="E332" s="11">
        <v>0</v>
      </c>
      <c r="F332" s="11">
        <v>0</v>
      </c>
      <c r="G332" s="56"/>
      <c r="H332" s="56"/>
      <c r="I332" s="102"/>
      <c r="J332" s="56"/>
      <c r="K332" s="28"/>
      <c r="L332" s="28"/>
      <c r="M332" s="28"/>
      <c r="N332" s="28"/>
      <c r="O332" s="28"/>
      <c r="P332" s="28"/>
      <c r="Q332" s="28"/>
      <c r="R332" s="28"/>
      <c r="S332" s="28"/>
      <c r="T332" s="28"/>
      <c r="U332" s="3"/>
      <c r="W332" s="3"/>
      <c r="X332" s="3"/>
      <c r="Y332" s="3"/>
      <c r="Z332" s="3"/>
    </row>
    <row r="333" spans="1:26" ht="14.4" outlineLevel="1" x14ac:dyDescent="0.3">
      <c r="A333" s="3"/>
      <c r="B333" s="9" t="s">
        <v>416</v>
      </c>
      <c r="C333" s="53"/>
      <c r="D333" s="53"/>
      <c r="E333" s="11">
        <v>0</v>
      </c>
      <c r="F333" s="11">
        <v>0</v>
      </c>
      <c r="G333" s="56"/>
      <c r="H333" s="56"/>
      <c r="I333" s="102"/>
      <c r="J333" s="56"/>
      <c r="K333" s="28"/>
      <c r="L333" s="28"/>
      <c r="M333" s="28"/>
      <c r="N333" s="28"/>
      <c r="O333" s="28"/>
      <c r="P333" s="28"/>
      <c r="Q333" s="28"/>
      <c r="R333" s="28"/>
      <c r="S333" s="28"/>
      <c r="T333" s="28"/>
      <c r="U333" s="3"/>
      <c r="W333" s="3"/>
      <c r="X333" s="3"/>
      <c r="Y333" s="3"/>
      <c r="Z333" s="3"/>
    </row>
    <row r="334" spans="1:26" ht="14.4" outlineLevel="1" x14ac:dyDescent="0.3">
      <c r="A334" s="3"/>
      <c r="B334" s="9" t="s">
        <v>416</v>
      </c>
      <c r="C334" s="53"/>
      <c r="D334" s="53"/>
      <c r="E334" s="11">
        <v>0</v>
      </c>
      <c r="F334" s="11">
        <v>0</v>
      </c>
      <c r="G334" s="56"/>
      <c r="H334" s="56"/>
      <c r="I334" s="102"/>
      <c r="J334" s="56"/>
      <c r="K334" s="28"/>
      <c r="L334" s="28"/>
      <c r="M334" s="28"/>
      <c r="N334" s="28"/>
      <c r="O334" s="28"/>
      <c r="P334" s="28"/>
      <c r="Q334" s="28"/>
      <c r="R334" s="28"/>
      <c r="S334" s="28"/>
      <c r="T334" s="28"/>
      <c r="U334" s="3"/>
      <c r="W334" s="3"/>
      <c r="X334" s="3"/>
      <c r="Y334" s="3"/>
      <c r="Z334" s="3"/>
    </row>
    <row r="335" spans="1:26" ht="14.4" outlineLevel="1" x14ac:dyDescent="0.3">
      <c r="A335" s="3"/>
      <c r="B335" s="9" t="s">
        <v>417</v>
      </c>
      <c r="C335" s="53"/>
      <c r="D335" s="53"/>
      <c r="E335" s="11">
        <v>0</v>
      </c>
      <c r="F335" s="11">
        <v>0</v>
      </c>
      <c r="G335" s="56"/>
      <c r="H335" s="56"/>
      <c r="I335" s="102"/>
      <c r="J335" s="56"/>
      <c r="K335" s="28"/>
      <c r="L335" s="28"/>
      <c r="M335" s="28"/>
      <c r="N335" s="28"/>
      <c r="O335" s="28"/>
      <c r="P335" s="28"/>
      <c r="Q335" s="28"/>
      <c r="R335" s="28"/>
      <c r="S335" s="28"/>
      <c r="T335" s="28"/>
      <c r="U335" s="3"/>
      <c r="W335" s="3"/>
      <c r="X335" s="3"/>
      <c r="Y335" s="3"/>
      <c r="Z335" s="3"/>
    </row>
    <row r="336" spans="1:26" ht="14.4" outlineLevel="1" x14ac:dyDescent="0.3">
      <c r="A336" s="3"/>
      <c r="B336" s="9" t="s">
        <v>417</v>
      </c>
      <c r="C336" s="53"/>
      <c r="D336" s="53"/>
      <c r="E336" s="11">
        <v>0</v>
      </c>
      <c r="F336" s="11">
        <v>0</v>
      </c>
      <c r="G336" s="56"/>
      <c r="H336" s="56"/>
      <c r="I336" s="102"/>
      <c r="J336" s="56"/>
      <c r="K336" s="28"/>
      <c r="L336" s="28"/>
      <c r="M336" s="28"/>
      <c r="N336" s="28"/>
      <c r="O336" s="28"/>
      <c r="P336" s="28"/>
      <c r="Q336" s="28"/>
      <c r="R336" s="28"/>
      <c r="S336" s="28"/>
      <c r="T336" s="28"/>
      <c r="U336" s="3"/>
      <c r="W336" s="3"/>
      <c r="X336" s="3"/>
      <c r="Y336" s="3"/>
      <c r="Z336" s="3"/>
    </row>
    <row r="337" spans="1:26" ht="14.4" outlineLevel="1" x14ac:dyDescent="0.3">
      <c r="A337" s="3"/>
      <c r="B337" s="9" t="s">
        <v>417</v>
      </c>
      <c r="C337" s="53"/>
      <c r="D337" s="53"/>
      <c r="E337" s="11">
        <v>0</v>
      </c>
      <c r="F337" s="11">
        <v>0</v>
      </c>
      <c r="G337" s="56"/>
      <c r="H337" s="56"/>
      <c r="I337" s="102"/>
      <c r="J337" s="56"/>
      <c r="K337" s="28"/>
      <c r="L337" s="28"/>
      <c r="M337" s="28"/>
      <c r="N337" s="28"/>
      <c r="O337" s="28"/>
      <c r="P337" s="28"/>
      <c r="Q337" s="28"/>
      <c r="R337" s="28"/>
      <c r="S337" s="28"/>
      <c r="T337" s="28"/>
      <c r="U337" s="3"/>
      <c r="W337" s="3"/>
      <c r="X337" s="3"/>
      <c r="Y337" s="3"/>
      <c r="Z337" s="3"/>
    </row>
    <row r="338" spans="1:26" ht="14.4" outlineLevel="1" x14ac:dyDescent="0.3">
      <c r="A338" s="3"/>
      <c r="B338" s="9" t="s">
        <v>417</v>
      </c>
      <c r="C338" s="53"/>
      <c r="D338" s="53"/>
      <c r="E338" s="11">
        <v>0</v>
      </c>
      <c r="F338" s="11">
        <v>0</v>
      </c>
      <c r="G338" s="56"/>
      <c r="H338" s="56"/>
      <c r="I338" s="102"/>
      <c r="J338" s="56"/>
      <c r="K338" s="28"/>
      <c r="L338" s="28"/>
      <c r="M338" s="28"/>
      <c r="N338" s="28"/>
      <c r="O338" s="28"/>
      <c r="P338" s="28"/>
      <c r="Q338" s="28"/>
      <c r="R338" s="28"/>
      <c r="S338" s="28"/>
      <c r="T338" s="28"/>
      <c r="U338" s="3"/>
      <c r="W338" s="3"/>
      <c r="X338" s="3"/>
      <c r="Y338" s="3"/>
      <c r="Z338" s="3"/>
    </row>
    <row r="339" spans="1:26" ht="14.4" outlineLevel="1" x14ac:dyDescent="0.3">
      <c r="A339" s="3"/>
      <c r="B339" s="9" t="s">
        <v>418</v>
      </c>
      <c r="C339" s="53"/>
      <c r="D339" s="53"/>
      <c r="E339" s="11">
        <v>0</v>
      </c>
      <c r="F339" s="11">
        <v>0</v>
      </c>
      <c r="G339" s="56"/>
      <c r="H339" s="56"/>
      <c r="I339" s="102"/>
      <c r="J339" s="56"/>
      <c r="K339" s="28"/>
      <c r="L339" s="28"/>
      <c r="M339" s="28"/>
      <c r="N339" s="28"/>
      <c r="O339" s="28"/>
      <c r="P339" s="28"/>
      <c r="Q339" s="28"/>
      <c r="R339" s="28"/>
      <c r="S339" s="28"/>
      <c r="T339" s="28"/>
      <c r="U339" s="3"/>
      <c r="W339" s="3"/>
      <c r="X339" s="3"/>
      <c r="Y339" s="3"/>
      <c r="Z339" s="3"/>
    </row>
    <row r="340" spans="1:26" ht="14.4" outlineLevel="1" x14ac:dyDescent="0.3">
      <c r="A340" s="3"/>
      <c r="B340" s="9" t="s">
        <v>418</v>
      </c>
      <c r="C340" s="53"/>
      <c r="D340" s="53"/>
      <c r="E340" s="11">
        <v>0</v>
      </c>
      <c r="F340" s="11">
        <v>0</v>
      </c>
      <c r="G340" s="56"/>
      <c r="H340" s="56"/>
      <c r="I340" s="102"/>
      <c r="J340" s="56"/>
      <c r="K340" s="28"/>
      <c r="L340" s="28"/>
      <c r="M340" s="28"/>
      <c r="N340" s="28"/>
      <c r="O340" s="28"/>
      <c r="P340" s="28"/>
      <c r="Q340" s="28"/>
      <c r="R340" s="28"/>
      <c r="S340" s="28"/>
      <c r="T340" s="28"/>
      <c r="U340" s="3"/>
      <c r="W340" s="3"/>
      <c r="X340" s="3"/>
      <c r="Y340" s="3"/>
      <c r="Z340" s="3"/>
    </row>
    <row r="341" spans="1:26" ht="14.4" outlineLevel="1" x14ac:dyDescent="0.3">
      <c r="A341" s="3"/>
      <c r="B341" s="9" t="s">
        <v>418</v>
      </c>
      <c r="C341" s="53"/>
      <c r="D341" s="53"/>
      <c r="E341" s="11">
        <v>0</v>
      </c>
      <c r="F341" s="11">
        <v>0</v>
      </c>
      <c r="G341" s="56"/>
      <c r="H341" s="56"/>
      <c r="I341" s="102"/>
      <c r="J341" s="56"/>
      <c r="K341" s="28"/>
      <c r="L341" s="28"/>
      <c r="M341" s="28"/>
      <c r="N341" s="28"/>
      <c r="O341" s="28"/>
      <c r="P341" s="28"/>
      <c r="Q341" s="28"/>
      <c r="R341" s="28"/>
      <c r="S341" s="28"/>
      <c r="T341" s="28"/>
      <c r="U341" s="3"/>
      <c r="W341" s="3"/>
      <c r="X341" s="3"/>
      <c r="Y341" s="3"/>
      <c r="Z341" s="3"/>
    </row>
    <row r="342" spans="1:26" ht="14.4" outlineLevel="1" x14ac:dyDescent="0.3">
      <c r="A342" s="3"/>
      <c r="B342" s="9" t="s">
        <v>418</v>
      </c>
      <c r="C342" s="53"/>
      <c r="D342" s="53"/>
      <c r="E342" s="11">
        <v>0</v>
      </c>
      <c r="F342" s="11">
        <v>0</v>
      </c>
      <c r="G342" s="56"/>
      <c r="H342" s="56"/>
      <c r="I342" s="102"/>
      <c r="J342" s="56"/>
      <c r="K342" s="28"/>
      <c r="L342" s="28"/>
      <c r="M342" s="28"/>
      <c r="N342" s="28"/>
      <c r="O342" s="28"/>
      <c r="P342" s="28"/>
      <c r="Q342" s="28"/>
      <c r="R342" s="28"/>
      <c r="S342" s="28"/>
      <c r="T342" s="28"/>
      <c r="U342" s="3"/>
      <c r="W342" s="3"/>
      <c r="X342" s="3"/>
      <c r="Y342" s="3"/>
      <c r="Z342" s="3"/>
    </row>
    <row r="343" spans="1:26" ht="14.4" outlineLevel="1" x14ac:dyDescent="0.3">
      <c r="A343" s="3"/>
      <c r="B343" s="9" t="s">
        <v>419</v>
      </c>
      <c r="C343" s="53"/>
      <c r="D343" s="53"/>
      <c r="E343" s="11">
        <v>0</v>
      </c>
      <c r="F343" s="11">
        <v>0</v>
      </c>
      <c r="G343" s="56"/>
      <c r="H343" s="56"/>
      <c r="I343" s="80"/>
      <c r="J343" s="56"/>
      <c r="K343" s="28"/>
      <c r="L343" s="28"/>
      <c r="M343" s="28"/>
      <c r="N343" s="28"/>
      <c r="O343" s="28"/>
      <c r="P343" s="28"/>
      <c r="Q343" s="28"/>
      <c r="R343" s="28"/>
      <c r="S343" s="28"/>
      <c r="T343" s="28"/>
      <c r="U343" s="3"/>
      <c r="W343" s="3"/>
      <c r="X343" s="3"/>
      <c r="Y343" s="3"/>
      <c r="Z343" s="3"/>
    </row>
    <row r="344" spans="1:26" ht="14.4" outlineLevel="1" x14ac:dyDescent="0.3">
      <c r="A344" s="3"/>
      <c r="B344" s="9" t="s">
        <v>420</v>
      </c>
      <c r="C344" s="53"/>
      <c r="D344" s="53"/>
      <c r="E344" s="11">
        <v>0</v>
      </c>
      <c r="F344" s="11">
        <v>0</v>
      </c>
      <c r="G344" s="56"/>
      <c r="H344" s="56"/>
      <c r="I344" s="80"/>
      <c r="J344" s="56"/>
      <c r="K344" s="28"/>
      <c r="L344" s="28"/>
      <c r="M344" s="28"/>
      <c r="N344" s="28"/>
      <c r="O344" s="28"/>
      <c r="P344" s="28"/>
      <c r="Q344" s="28"/>
      <c r="R344" s="28"/>
      <c r="S344" s="28"/>
      <c r="T344" s="28"/>
      <c r="U344" s="3"/>
      <c r="W344" s="3"/>
      <c r="X344" s="3"/>
      <c r="Y344" s="3"/>
      <c r="Z344" s="3"/>
    </row>
    <row r="345" spans="1:26" ht="14.4" outlineLevel="1" x14ac:dyDescent="0.3">
      <c r="A345" s="3"/>
      <c r="B345" s="9" t="s">
        <v>421</v>
      </c>
      <c r="C345" s="53"/>
      <c r="D345" s="53"/>
      <c r="E345" s="11">
        <v>0</v>
      </c>
      <c r="F345" s="11">
        <v>0</v>
      </c>
      <c r="G345" s="56"/>
      <c r="H345" s="56"/>
      <c r="I345" s="80"/>
      <c r="J345" s="56"/>
      <c r="K345" s="28"/>
      <c r="L345" s="28"/>
      <c r="M345" s="28"/>
      <c r="N345" s="28"/>
      <c r="O345" s="28"/>
      <c r="P345" s="28"/>
      <c r="Q345" s="28"/>
      <c r="R345" s="28"/>
      <c r="S345" s="28"/>
      <c r="T345" s="28"/>
      <c r="U345" s="3"/>
      <c r="W345" s="3"/>
      <c r="X345" s="3"/>
      <c r="Y345" s="3"/>
      <c r="Z345" s="3"/>
    </row>
    <row r="346" spans="1:26" ht="14.4" outlineLevel="1" x14ac:dyDescent="0.3">
      <c r="A346" s="3"/>
      <c r="B346" s="9" t="s">
        <v>66</v>
      </c>
      <c r="C346" s="53"/>
      <c r="D346" s="53"/>
      <c r="E346" s="11">
        <v>0</v>
      </c>
      <c r="F346" s="11">
        <v>0</v>
      </c>
      <c r="G346" s="56"/>
      <c r="H346" s="56"/>
      <c r="I346" s="80"/>
      <c r="J346" s="56"/>
      <c r="K346" s="28"/>
      <c r="L346" s="28"/>
      <c r="M346" s="28"/>
      <c r="N346" s="28"/>
      <c r="O346" s="28"/>
      <c r="P346" s="28"/>
      <c r="Q346" s="28"/>
      <c r="R346" s="28"/>
      <c r="S346" s="28"/>
      <c r="T346" s="28"/>
      <c r="U346" s="3"/>
      <c r="W346" s="3"/>
      <c r="X346" s="3"/>
      <c r="Y346" s="3"/>
      <c r="Z346" s="3"/>
    </row>
    <row r="347" spans="1:26" ht="14.4"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6" ht="14.2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6" ht="14.25" customHeight="1" x14ac:dyDescent="0.3">
      <c r="A349" s="3"/>
      <c r="B349" s="3"/>
      <c r="C349" s="28"/>
      <c r="D349" s="28"/>
      <c r="E349" s="28"/>
      <c r="F349" s="28"/>
      <c r="G349" s="89"/>
      <c r="H349" s="89"/>
      <c r="I349" s="90"/>
      <c r="J349" s="89"/>
      <c r="K349" s="28"/>
      <c r="L349" s="28"/>
      <c r="M349" s="28"/>
      <c r="N349" s="28"/>
      <c r="O349" s="28"/>
      <c r="P349" s="28"/>
      <c r="Q349" s="28"/>
      <c r="R349" s="28"/>
      <c r="S349" s="28"/>
      <c r="T349" s="28"/>
      <c r="U349" s="3"/>
    </row>
    <row r="350" spans="1:26" ht="14.2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6" ht="14.2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6" ht="14.2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4.2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4.2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4.2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4.2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4.2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4.2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4.2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4.2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4.2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4.2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4.2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4.2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4.2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4.2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4.2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4.2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4.2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4.2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4.2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4.2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4.2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4.2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4.2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4.2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4.2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4.2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4.2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4.2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4.2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4.2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4.2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4.2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4.2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4.2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4.2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4.2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4.2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4.2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4.2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4.2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4.2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4.2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4.2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4.2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4.2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4.2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4.2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4.2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4.2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4.2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4.2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4.2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4.2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4.2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4.2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4.2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4.2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4.2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4.2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4.2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4.2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4.2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4.2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4.2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4.2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4.2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4.2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4.2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4.2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4.2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4.2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4.2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4.2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4.2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4.2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4.2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4.2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4.2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4.2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4.2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4.2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4.2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4.2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4.2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4.2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4.2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4.2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4.2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4.2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4.2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4.2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4.2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4.2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4.2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4.2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4.2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4.2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4.2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4.2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4.2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4.2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4.2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4.2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4.2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4.2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4.2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4.2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4.2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4.2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4.2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4.2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4.2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4.2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4.2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4.2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4.2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4.2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4.2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4.2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4.2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4.2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4.2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4.2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4.2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4.2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4.2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4.2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4.2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4.2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4.2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4.2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4.2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4.2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4.2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4.2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4.2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4.2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4.2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4.2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4.2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4.2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4.2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4.2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4.2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4.2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4.2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4.2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4.2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4.2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4.2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4.2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4.2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4.2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4.2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4.2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4.2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4.2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4.2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4.2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4.2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4.2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4.2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4.2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4.2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4.2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4.2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4.2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4.2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4.2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4.2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4.2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4.2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4.2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4.2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4.2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4.2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spans="1:21" ht="14.25" customHeight="1" x14ac:dyDescent="0.3">
      <c r="A529" s="3"/>
      <c r="B529" s="3"/>
      <c r="C529" s="28"/>
      <c r="D529" s="28"/>
      <c r="E529" s="28"/>
      <c r="F529" s="28"/>
      <c r="G529" s="89"/>
      <c r="H529" s="89"/>
      <c r="I529" s="90"/>
      <c r="J529" s="89"/>
      <c r="K529" s="28"/>
      <c r="L529" s="28"/>
      <c r="M529" s="28"/>
      <c r="N529" s="28"/>
      <c r="O529" s="28"/>
      <c r="P529" s="28"/>
      <c r="Q529" s="28"/>
      <c r="R529" s="28"/>
      <c r="S529" s="28"/>
      <c r="T529" s="28"/>
      <c r="U529" s="3"/>
    </row>
    <row r="530" spans="1:21" ht="14.25" customHeight="1" x14ac:dyDescent="0.3">
      <c r="A530" s="3"/>
      <c r="B530" s="3"/>
      <c r="C530" s="28"/>
      <c r="D530" s="28"/>
      <c r="E530" s="28"/>
      <c r="F530" s="28"/>
      <c r="G530" s="89"/>
      <c r="H530" s="89"/>
      <c r="I530" s="90"/>
      <c r="J530" s="89"/>
      <c r="K530" s="28"/>
      <c r="L530" s="28"/>
      <c r="M530" s="28"/>
      <c r="N530" s="28"/>
      <c r="O530" s="28"/>
      <c r="P530" s="28"/>
      <c r="Q530" s="28"/>
      <c r="R530" s="28"/>
      <c r="S530" s="28"/>
      <c r="T530" s="28"/>
      <c r="U530" s="3"/>
    </row>
    <row r="531" spans="1:21" ht="14.25" customHeight="1" x14ac:dyDescent="0.3">
      <c r="A531" s="3"/>
      <c r="B531" s="3"/>
      <c r="C531" s="28"/>
      <c r="D531" s="28"/>
      <c r="E531" s="28"/>
      <c r="F531" s="28"/>
      <c r="G531" s="89"/>
      <c r="H531" s="89"/>
      <c r="I531" s="90"/>
      <c r="J531" s="89"/>
      <c r="K531" s="28"/>
      <c r="L531" s="28"/>
      <c r="M531" s="28"/>
      <c r="N531" s="28"/>
      <c r="O531" s="28"/>
      <c r="P531" s="28"/>
      <c r="Q531" s="28"/>
      <c r="R531" s="28"/>
      <c r="S531" s="28"/>
      <c r="T531" s="28"/>
      <c r="U531" s="3"/>
    </row>
    <row r="532" spans="1:21" ht="14.25" customHeight="1" x14ac:dyDescent="0.3">
      <c r="A532" s="3"/>
      <c r="B532" s="3"/>
      <c r="C532" s="28"/>
      <c r="D532" s="28"/>
      <c r="E532" s="28"/>
      <c r="F532" s="28"/>
      <c r="G532" s="89"/>
      <c r="H532" s="89"/>
      <c r="I532" s="90"/>
      <c r="J532" s="89"/>
      <c r="K532" s="28"/>
      <c r="L532" s="28"/>
      <c r="M532" s="28"/>
      <c r="N532" s="28"/>
      <c r="O532" s="28"/>
      <c r="P532" s="28"/>
      <c r="Q532" s="28"/>
      <c r="R532" s="28"/>
      <c r="S532" s="28"/>
      <c r="T532" s="28"/>
      <c r="U532" s="3"/>
    </row>
    <row r="533" spans="1:21" ht="14.25" customHeight="1" x14ac:dyDescent="0.3">
      <c r="A533" s="3"/>
      <c r="B533" s="3"/>
      <c r="C533" s="28"/>
      <c r="D533" s="28"/>
      <c r="E533" s="28"/>
      <c r="F533" s="28"/>
      <c r="G533" s="89"/>
      <c r="H533" s="89"/>
      <c r="I533" s="90"/>
      <c r="J533" s="89"/>
      <c r="K533" s="28"/>
      <c r="L533" s="28"/>
      <c r="M533" s="28"/>
      <c r="N533" s="28"/>
      <c r="O533" s="28"/>
      <c r="P533" s="28"/>
      <c r="Q533" s="28"/>
      <c r="R533" s="28"/>
      <c r="S533" s="28"/>
      <c r="T533" s="28"/>
      <c r="U533" s="3"/>
    </row>
    <row r="534" spans="1:21" ht="14.25" customHeight="1" x14ac:dyDescent="0.3">
      <c r="A534" s="3"/>
      <c r="B534" s="3"/>
      <c r="C534" s="28"/>
      <c r="D534" s="28"/>
      <c r="E534" s="28"/>
      <c r="F534" s="28"/>
      <c r="G534" s="89"/>
      <c r="H534" s="89"/>
      <c r="I534" s="90"/>
      <c r="J534" s="89"/>
      <c r="K534" s="28"/>
      <c r="L534" s="28"/>
      <c r="M534" s="28"/>
      <c r="N534" s="28"/>
      <c r="O534" s="28"/>
      <c r="P534" s="28"/>
      <c r="Q534" s="28"/>
      <c r="R534" s="28"/>
      <c r="S534" s="28"/>
      <c r="T534" s="28"/>
      <c r="U534" s="3"/>
    </row>
    <row r="535" spans="1:21" ht="14.25" customHeight="1" x14ac:dyDescent="0.3">
      <c r="A535" s="3"/>
      <c r="B535" s="3"/>
      <c r="C535" s="28"/>
      <c r="D535" s="28"/>
      <c r="E535" s="28"/>
      <c r="F535" s="28"/>
      <c r="G535" s="89"/>
      <c r="H535" s="89"/>
      <c r="I535" s="90"/>
      <c r="J535" s="89"/>
      <c r="K535" s="28"/>
      <c r="L535" s="28"/>
      <c r="M535" s="28"/>
      <c r="N535" s="28"/>
      <c r="O535" s="28"/>
      <c r="P535" s="28"/>
      <c r="Q535" s="28"/>
      <c r="R535" s="28"/>
      <c r="S535" s="28"/>
      <c r="T535" s="28"/>
      <c r="U535" s="3"/>
    </row>
    <row r="536" spans="1:21" ht="14.25" customHeight="1" x14ac:dyDescent="0.3">
      <c r="A536" s="3"/>
      <c r="B536" s="3"/>
      <c r="C536" s="28"/>
      <c r="D536" s="28"/>
      <c r="E536" s="28"/>
      <c r="F536" s="28"/>
      <c r="G536" s="89"/>
      <c r="H536" s="89"/>
      <c r="I536" s="90"/>
      <c r="J536" s="89"/>
      <c r="K536" s="28"/>
      <c r="L536" s="28"/>
      <c r="M536" s="28"/>
      <c r="N536" s="28"/>
      <c r="O536" s="28"/>
      <c r="P536" s="28"/>
      <c r="Q536" s="28"/>
      <c r="R536" s="28"/>
      <c r="S536" s="28"/>
      <c r="T536" s="28"/>
      <c r="U536" s="3"/>
    </row>
    <row r="537" spans="1:21" ht="14.25" customHeight="1" x14ac:dyDescent="0.3">
      <c r="A537" s="3"/>
      <c r="B537" s="3"/>
      <c r="C537" s="28"/>
      <c r="D537" s="28"/>
      <c r="E537" s="28"/>
      <c r="F537" s="28"/>
      <c r="G537" s="89"/>
      <c r="H537" s="89"/>
      <c r="I537" s="90"/>
      <c r="J537" s="89"/>
      <c r="K537" s="28"/>
      <c r="L537" s="28"/>
      <c r="M537" s="28"/>
      <c r="N537" s="28"/>
      <c r="O537" s="28"/>
      <c r="P537" s="28"/>
      <c r="Q537" s="28"/>
      <c r="R537" s="28"/>
      <c r="S537" s="28"/>
      <c r="T537" s="28"/>
      <c r="U537" s="3"/>
    </row>
    <row r="538" spans="1:21" ht="14.25" customHeight="1" x14ac:dyDescent="0.3">
      <c r="A538" s="3"/>
      <c r="B538" s="3"/>
      <c r="C538" s="28"/>
      <c r="D538" s="28"/>
      <c r="E538" s="28"/>
      <c r="F538" s="28"/>
      <c r="G538" s="89"/>
      <c r="H538" s="89"/>
      <c r="I538" s="90"/>
      <c r="J538" s="89"/>
      <c r="K538" s="28"/>
      <c r="L538" s="28"/>
      <c r="M538" s="28"/>
      <c r="N538" s="28"/>
      <c r="O538" s="28"/>
      <c r="P538" s="28"/>
      <c r="Q538" s="28"/>
      <c r="R538" s="28"/>
      <c r="S538" s="28"/>
      <c r="T538" s="28"/>
      <c r="U538" s="3"/>
    </row>
    <row r="539" spans="1:21" ht="14.25" customHeight="1" x14ac:dyDescent="0.3">
      <c r="A539" s="3"/>
      <c r="B539" s="3"/>
      <c r="C539" s="28"/>
      <c r="D539" s="28"/>
      <c r="E539" s="28"/>
      <c r="F539" s="28"/>
      <c r="G539" s="89"/>
      <c r="H539" s="89"/>
      <c r="I539" s="90"/>
      <c r="J539" s="89"/>
      <c r="K539" s="28"/>
      <c r="L539" s="28"/>
      <c r="M539" s="28"/>
      <c r="N539" s="28"/>
      <c r="O539" s="28"/>
      <c r="P539" s="28"/>
      <c r="Q539" s="28"/>
      <c r="R539" s="28"/>
      <c r="S539" s="28"/>
      <c r="T539" s="28"/>
      <c r="U539" s="3"/>
    </row>
    <row r="540" spans="1:21" ht="14.25" customHeight="1" x14ac:dyDescent="0.3">
      <c r="A540" s="3"/>
      <c r="B540" s="3"/>
      <c r="C540" s="28"/>
      <c r="D540" s="28"/>
      <c r="E540" s="28"/>
      <c r="F540" s="28"/>
      <c r="G540" s="89"/>
      <c r="H540" s="89"/>
      <c r="I540" s="90"/>
      <c r="J540" s="89"/>
      <c r="K540" s="28"/>
      <c r="L540" s="28"/>
      <c r="M540" s="28"/>
      <c r="N540" s="28"/>
      <c r="O540" s="28"/>
      <c r="P540" s="28"/>
      <c r="Q540" s="28"/>
      <c r="R540" s="28"/>
      <c r="S540" s="28"/>
      <c r="T540" s="28"/>
      <c r="U540" s="3"/>
    </row>
    <row r="541" spans="1:21" ht="14.25" customHeight="1" x14ac:dyDescent="0.3">
      <c r="A541" s="3"/>
      <c r="B541" s="3"/>
      <c r="C541" s="28"/>
      <c r="D541" s="28"/>
      <c r="E541" s="28"/>
      <c r="F541" s="28"/>
      <c r="G541" s="89"/>
      <c r="H541" s="89"/>
      <c r="I541" s="90"/>
      <c r="J541" s="89"/>
      <c r="K541" s="28"/>
      <c r="L541" s="28"/>
      <c r="M541" s="28"/>
      <c r="N541" s="28"/>
      <c r="O541" s="28"/>
      <c r="P541" s="28"/>
      <c r="Q541" s="28"/>
      <c r="R541" s="28"/>
      <c r="S541" s="28"/>
      <c r="T541" s="28"/>
      <c r="U541" s="3"/>
    </row>
    <row r="542" spans="1:21" ht="14.25" customHeight="1" x14ac:dyDescent="0.3">
      <c r="A542" s="3"/>
      <c r="B542" s="3"/>
      <c r="C542" s="28"/>
      <c r="D542" s="28"/>
      <c r="E542" s="28"/>
      <c r="F542" s="28"/>
      <c r="G542" s="89"/>
      <c r="H542" s="89"/>
      <c r="I542" s="90"/>
      <c r="J542" s="89"/>
      <c r="K542" s="28"/>
      <c r="L542" s="28"/>
      <c r="M542" s="28"/>
      <c r="N542" s="28"/>
      <c r="O542" s="28"/>
      <c r="P542" s="28"/>
      <c r="Q542" s="28"/>
      <c r="R542" s="28"/>
      <c r="S542" s="28"/>
      <c r="T542" s="28"/>
      <c r="U542" s="3"/>
    </row>
    <row r="543" spans="1:21" ht="14.25" customHeight="1" x14ac:dyDescent="0.3">
      <c r="A543" s="3"/>
      <c r="B543" s="3"/>
      <c r="C543" s="28"/>
      <c r="D543" s="28"/>
      <c r="E543" s="28"/>
      <c r="F543" s="28"/>
      <c r="G543" s="89"/>
      <c r="H543" s="89"/>
      <c r="I543" s="90"/>
      <c r="J543" s="89"/>
      <c r="K543" s="28"/>
      <c r="L543" s="28"/>
      <c r="M543" s="28"/>
      <c r="N543" s="28"/>
      <c r="O543" s="28"/>
      <c r="P543" s="28"/>
      <c r="Q543" s="28"/>
      <c r="R543" s="28"/>
      <c r="S543" s="28"/>
      <c r="T543" s="28"/>
      <c r="U543" s="3"/>
    </row>
    <row r="544" spans="1:21" ht="14.25" customHeight="1" x14ac:dyDescent="0.3">
      <c r="A544" s="3"/>
      <c r="B544" s="3"/>
      <c r="C544" s="28"/>
      <c r="D544" s="28"/>
      <c r="E544" s="28"/>
      <c r="F544" s="28"/>
      <c r="G544" s="89"/>
      <c r="H544" s="89"/>
      <c r="I544" s="90"/>
      <c r="J544" s="89"/>
      <c r="K544" s="28"/>
      <c r="L544" s="28"/>
      <c r="M544" s="28"/>
      <c r="N544" s="28"/>
      <c r="O544" s="28"/>
      <c r="P544" s="28"/>
      <c r="Q544" s="28"/>
      <c r="R544" s="28"/>
      <c r="S544" s="28"/>
      <c r="T544" s="28"/>
      <c r="U544" s="3"/>
    </row>
    <row r="545" spans="1:21" ht="14.25" customHeight="1" x14ac:dyDescent="0.3">
      <c r="A545" s="3"/>
      <c r="B545" s="3"/>
      <c r="C545" s="28"/>
      <c r="D545" s="28"/>
      <c r="E545" s="28"/>
      <c r="F545" s="28"/>
      <c r="G545" s="89"/>
      <c r="H545" s="89"/>
      <c r="I545" s="90"/>
      <c r="J545" s="89"/>
      <c r="K545" s="28"/>
      <c r="L545" s="28"/>
      <c r="M545" s="28"/>
      <c r="N545" s="28"/>
      <c r="O545" s="28"/>
      <c r="P545" s="28"/>
      <c r="Q545" s="28"/>
      <c r="R545" s="28"/>
      <c r="S545" s="28"/>
      <c r="T545" s="28"/>
      <c r="U545" s="3"/>
    </row>
    <row r="546" spans="1:21" ht="14.25" customHeight="1" x14ac:dyDescent="0.3">
      <c r="A546" s="3"/>
      <c r="B546" s="3"/>
      <c r="C546" s="28"/>
      <c r="D546" s="28"/>
      <c r="E546" s="28"/>
      <c r="F546" s="28"/>
      <c r="G546" s="89"/>
      <c r="H546" s="89"/>
      <c r="I546" s="90"/>
      <c r="J546" s="89"/>
      <c r="K546" s="28"/>
      <c r="L546" s="28"/>
      <c r="M546" s="28"/>
      <c r="N546" s="28"/>
      <c r="O546" s="28"/>
      <c r="P546" s="28"/>
      <c r="Q546" s="28"/>
      <c r="R546" s="28"/>
      <c r="S546" s="28"/>
      <c r="T546" s="28"/>
      <c r="U546" s="3"/>
    </row>
    <row r="547" spans="1:21" ht="15.75" customHeight="1" x14ac:dyDescent="0.3"/>
    <row r="548" spans="1:21" ht="15.75" customHeight="1" x14ac:dyDescent="0.3"/>
    <row r="549" spans="1:21" ht="15.75" customHeight="1" x14ac:dyDescent="0.3"/>
    <row r="550" spans="1:21" ht="15.75" customHeight="1" x14ac:dyDescent="0.3"/>
    <row r="551" spans="1:21" ht="15.75" customHeight="1" x14ac:dyDescent="0.3"/>
    <row r="552" spans="1:21" ht="15.7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346" xr:uid="{00000000-0009-0000-0000-000017000000}"/>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41 D143:D151 D154:D158 D160:D164 D166:D170 D172:D176 D178:D182 D184:D261 D264:D272 D274:D282 D284:D292 D294:D314 D316:D324 D326:D346" xr:uid="{00000000-0002-0000-1700-000001000000}">
      <formula1>"OK,Parcial,Pendente"</formula1>
    </dataValidation>
  </dataValidations>
  <hyperlinks>
    <hyperlink ref="I7" r:id="rId1" xr:uid="{00000000-0004-0000-1700-000000000000}"/>
    <hyperlink ref="I10" r:id="rId2" xr:uid="{00000000-0004-0000-1700-000001000000}"/>
    <hyperlink ref="I11" r:id="rId3" xr:uid="{00000000-0004-0000-1700-000002000000}"/>
    <hyperlink ref="I12" r:id="rId4" xr:uid="{00000000-0004-0000-1700-000003000000}"/>
    <hyperlink ref="I17" r:id="rId5" xr:uid="{00000000-0004-0000-1700-000004000000}"/>
    <hyperlink ref="I22" r:id="rId6" xr:uid="{00000000-0004-0000-1700-000005000000}"/>
    <hyperlink ref="I29" r:id="rId7" xr:uid="{00000000-0004-0000-1700-000006000000}"/>
    <hyperlink ref="I39" r:id="rId8" xr:uid="{00000000-0004-0000-1700-000007000000}"/>
    <hyperlink ref="I40" r:id="rId9" xr:uid="{00000000-0004-0000-1700-000008000000}"/>
    <hyperlink ref="I43" r:id="rId10" xr:uid="{00000000-0004-0000-1700-000009000000}"/>
    <hyperlink ref="I45" r:id="rId11" xr:uid="{00000000-0004-0000-1700-00000A000000}"/>
    <hyperlink ref="I46" r:id="rId12" xr:uid="{00000000-0004-0000-1700-00000B000000}"/>
    <hyperlink ref="I64" r:id="rId13" xr:uid="{00000000-0004-0000-1700-00000C000000}"/>
    <hyperlink ref="I65" r:id="rId14" xr:uid="{00000000-0004-0000-1700-00000D000000}"/>
    <hyperlink ref="I66" r:id="rId15" xr:uid="{00000000-0004-0000-1700-00000E000000}"/>
    <hyperlink ref="I69" r:id="rId16" xr:uid="{00000000-0004-0000-1700-00000F000000}"/>
    <hyperlink ref="I70" r:id="rId17" xr:uid="{00000000-0004-0000-1700-000010000000}"/>
    <hyperlink ref="I71" r:id="rId18" xr:uid="{00000000-0004-0000-1700-000011000000}"/>
    <hyperlink ref="I77" r:id="rId19" xr:uid="{00000000-0004-0000-1700-000012000000}"/>
    <hyperlink ref="I78" r:id="rId20" xr:uid="{00000000-0004-0000-1700-000013000000}"/>
    <hyperlink ref="I82" r:id="rId21" xr:uid="{00000000-0004-0000-1700-000014000000}"/>
    <hyperlink ref="I83" r:id="rId22" xr:uid="{00000000-0004-0000-1700-000015000000}"/>
    <hyperlink ref="I84" r:id="rId23" xr:uid="{00000000-0004-0000-1700-000016000000}"/>
    <hyperlink ref="I85" r:id="rId24" xr:uid="{00000000-0004-0000-1700-000017000000}"/>
    <hyperlink ref="I89" r:id="rId25" xr:uid="{00000000-0004-0000-1700-000018000000}"/>
    <hyperlink ref="I118" r:id="rId26" xr:uid="{00000000-0004-0000-1700-000019000000}"/>
    <hyperlink ref="I119" r:id="rId27" xr:uid="{00000000-0004-0000-1700-00001A000000}"/>
    <hyperlink ref="I120" r:id="rId28" xr:uid="{00000000-0004-0000-1700-00001B000000}"/>
    <hyperlink ref="I121" r:id="rId29" xr:uid="{00000000-0004-0000-1700-00001C000000}"/>
    <hyperlink ref="I122" r:id="rId30" xr:uid="{00000000-0004-0000-1700-00001D000000}"/>
    <hyperlink ref="I124" r:id="rId31" xr:uid="{00000000-0004-0000-1700-00001E000000}"/>
    <hyperlink ref="I125" r:id="rId32" xr:uid="{00000000-0004-0000-1700-00001F000000}"/>
    <hyperlink ref="I126" r:id="rId33" xr:uid="{00000000-0004-0000-1700-000020000000}"/>
    <hyperlink ref="I127" r:id="rId34" xr:uid="{00000000-0004-0000-1700-000021000000}"/>
    <hyperlink ref="I128" r:id="rId35" xr:uid="{00000000-0004-0000-1700-000022000000}"/>
    <hyperlink ref="I129" r:id="rId36" xr:uid="{00000000-0004-0000-1700-000023000000}"/>
    <hyperlink ref="I130" r:id="rId37" xr:uid="{00000000-0004-0000-1700-000024000000}"/>
    <hyperlink ref="I131" r:id="rId38" xr:uid="{00000000-0004-0000-1700-000025000000}"/>
    <hyperlink ref="I133" r:id="rId39" xr:uid="{00000000-0004-0000-1700-000026000000}"/>
    <hyperlink ref="I134" r:id="rId40" xr:uid="{00000000-0004-0000-1700-000027000000}"/>
    <hyperlink ref="I135" r:id="rId41" xr:uid="{00000000-0004-0000-1700-000028000000}"/>
    <hyperlink ref="I136" r:id="rId42" xr:uid="{00000000-0004-0000-1700-000029000000}"/>
    <hyperlink ref="I137" r:id="rId43" xr:uid="{00000000-0004-0000-1700-00002A000000}"/>
    <hyperlink ref="I213" r:id="rId44" xr:uid="{00000000-0004-0000-1700-00002B000000}"/>
    <hyperlink ref="I285" r:id="rId45" xr:uid="{00000000-0004-0000-1700-00002C000000}"/>
    <hyperlink ref="I286" r:id="rId46" xr:uid="{00000000-0004-0000-1700-00002D000000}"/>
    <hyperlink ref="I287" r:id="rId47" xr:uid="{00000000-0004-0000-1700-00002E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700-000000000000}">
          <x14:formula1>
            <xm:f>Caixa!$B$5:$B$8</xm:f>
          </x14:formula1>
          <xm:sqref>H7:H15 H17:H33 H35:H37 H39:H62 H64:H89 H92:H106 H108:H111 H113:H115 H118:H122 H124:H141 H143:H151 H154:H158 H160:H164 H166:H170 H172:H176 H178:H182 H184:H211 H213:H221 H223:H231 H233:H241 H243:H251 H253:H261 H264:H272 H274:H282 H284:H292 H294:H314 H316:H324 H326:H346</xm:sqref>
        </x14:dataValidation>
        <x14:dataValidation type="list" allowBlank="1" showErrorMessage="1" xr:uid="{00000000-0002-0000-1700-000002000000}">
          <x14:formula1>
            <xm:f>'Plano de contas DG'!$C$43:$C$145</xm:f>
          </x14:formula1>
          <xm:sqref>J244</xm:sqref>
        </x14:dataValidation>
        <x14:dataValidation type="list" allowBlank="1" showErrorMessage="1" xr:uid="{00000000-0002-0000-1700-000003000000}">
          <x14:formula1>
            <xm:f>'Plano de contas DG'!$C$5:$C$145</xm:f>
          </x14:formula1>
          <xm:sqref>J6:J243 J245:J346</xm:sqref>
        </x14:dataValidation>
        <x14:dataValidation type="list" allowBlank="1" showErrorMessage="1" xr:uid="{00000000-0002-0000-1700-000004000000}">
          <x14:formula1>
            <xm:f>Caixa!$B$5:$B$7</xm:f>
          </x14:formula1>
          <xm:sqref>H16 H34 H90:H91 H107 H112 H116:H117 H123 H212 H222 H232 H242 H252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SUM(E6,E126,E154,E184,E188)</f>
        <v>24159.479999999992</v>
      </c>
      <c r="F4" s="18">
        <f t="shared" si="0"/>
        <v>105936.34999999999</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SUM(E7:E125)</f>
        <v>24159.479999999992</v>
      </c>
      <c r="F6" s="48">
        <f>SUMIF(D7:D125,"OK",F7:F125)+SUMIF(D7:D125,"Parcial",F7:F125)</f>
        <v>22468.249999999996</v>
      </c>
      <c r="G6" s="107" t="s">
        <v>44</v>
      </c>
      <c r="H6" s="50"/>
      <c r="I6" s="50"/>
      <c r="J6" s="51">
        <f>(COUNTIF(D7:D125,"Pendente")+COUNTIF(D7:D125,"Parcial"))/COUNTA(B7:B125)</f>
        <v>0.17</v>
      </c>
      <c r="K6" s="51">
        <f>IFERROR(-(X6/E6),"Pendente info")</f>
        <v>9.320689021452451E-2</v>
      </c>
      <c r="L6" s="91">
        <f>SUM(L7:L104)/COUNTA(B7:B104)</f>
        <v>0.21428571428571427</v>
      </c>
      <c r="M6" s="48">
        <f t="shared" ref="M6:U6" si="1">SUMIF($D$7:$D$125,"OK",M7:M125)+SUMIF($D$7:$D$125,"Parcial",M7:M125)</f>
        <v>9134.3800000000047</v>
      </c>
      <c r="N6" s="48">
        <f t="shared" si="1"/>
        <v>2063.8799999999983</v>
      </c>
      <c r="O6" s="48">
        <f t="shared" si="1"/>
        <v>1008</v>
      </c>
      <c r="P6" s="48">
        <f t="shared" si="1"/>
        <v>178.05999999999995</v>
      </c>
      <c r="Q6" s="48">
        <f t="shared" si="1"/>
        <v>140</v>
      </c>
      <c r="R6" s="48">
        <f t="shared" si="1"/>
        <v>210</v>
      </c>
      <c r="S6" s="48">
        <f t="shared" si="1"/>
        <v>222</v>
      </c>
      <c r="T6" s="48">
        <f t="shared" si="1"/>
        <v>620</v>
      </c>
      <c r="U6" s="48">
        <f t="shared" si="1"/>
        <v>9194.380000000001</v>
      </c>
      <c r="V6" s="47" t="s">
        <v>44</v>
      </c>
      <c r="W6" s="35" t="str">
        <f t="shared" ref="W6:W125" si="2">IF(F6=SUM(M6:U6),"OK","Diferente")</f>
        <v>Diferente</v>
      </c>
      <c r="X6" s="38">
        <f>SUM(X7:X125)</f>
        <v>-2251.83</v>
      </c>
      <c r="Y6" s="14">
        <f>SUM(M6:U6)-F6</f>
        <v>302.450000000008</v>
      </c>
      <c r="Z6" s="3"/>
    </row>
    <row r="7" spans="1:26" ht="14.4" hidden="1" outlineLevel="1" x14ac:dyDescent="0.3">
      <c r="A7" s="3"/>
      <c r="B7" s="99" t="s">
        <v>423</v>
      </c>
      <c r="C7" s="53"/>
      <c r="D7" s="53" t="s">
        <v>95</v>
      </c>
      <c r="E7" s="11">
        <f t="shared" ref="E7:E22" si="3">SUM(M7:U7)</f>
        <v>0</v>
      </c>
      <c r="F7" s="92"/>
      <c r="G7" s="142"/>
      <c r="H7" s="93"/>
      <c r="I7" s="54"/>
      <c r="J7" s="55"/>
      <c r="K7" s="53"/>
      <c r="L7" s="53" t="str">
        <f t="shared" ref="L7:L125" si="4">IF(C7&gt;=13,1,"")</f>
        <v/>
      </c>
      <c r="M7" s="11"/>
      <c r="N7" s="11"/>
      <c r="O7" s="11"/>
      <c r="P7" s="11"/>
      <c r="Q7" s="11"/>
      <c r="R7" s="11"/>
      <c r="S7" s="11"/>
      <c r="T7" s="11"/>
      <c r="U7" s="11"/>
      <c r="V7" s="56" t="s">
        <v>1673</v>
      </c>
      <c r="W7" s="35" t="str">
        <f t="shared" si="2"/>
        <v>OK</v>
      </c>
      <c r="X7" s="38" t="str">
        <f t="shared" ref="X7:X125" si="5">IF(W7="Diferente",F7-SUM(M7:U7),"")</f>
        <v/>
      </c>
      <c r="Y7" s="3"/>
      <c r="Z7" s="116"/>
    </row>
    <row r="8" spans="1:26" ht="14.4" hidden="1" outlineLevel="1" x14ac:dyDescent="0.3">
      <c r="A8" s="3"/>
      <c r="B8" s="99" t="s">
        <v>425</v>
      </c>
      <c r="C8" s="53"/>
      <c r="D8" s="53" t="s">
        <v>95</v>
      </c>
      <c r="E8" s="11">
        <f t="shared" si="3"/>
        <v>0</v>
      </c>
      <c r="F8" s="92"/>
      <c r="G8" s="142"/>
      <c r="H8" s="93"/>
      <c r="I8" s="54"/>
      <c r="J8" s="55"/>
      <c r="K8" s="53"/>
      <c r="L8" s="53" t="str">
        <f t="shared" si="4"/>
        <v/>
      </c>
      <c r="M8" s="11"/>
      <c r="N8" s="11"/>
      <c r="O8" s="11"/>
      <c r="P8" s="11"/>
      <c r="Q8" s="11"/>
      <c r="R8" s="11"/>
      <c r="S8" s="11"/>
      <c r="T8" s="11"/>
      <c r="U8" s="11"/>
      <c r="V8" s="56" t="s">
        <v>1674</v>
      </c>
      <c r="W8" s="35" t="str">
        <f t="shared" si="2"/>
        <v>OK</v>
      </c>
      <c r="X8" s="38" t="str">
        <f t="shared" si="5"/>
        <v/>
      </c>
      <c r="Y8" s="3"/>
      <c r="Z8" s="116"/>
    </row>
    <row r="9" spans="1:26" ht="14.4" hidden="1" outlineLevel="1" x14ac:dyDescent="0.3">
      <c r="A9" s="3"/>
      <c r="B9" s="99" t="s">
        <v>426</v>
      </c>
      <c r="C9" s="53"/>
      <c r="D9" s="53" t="s">
        <v>95</v>
      </c>
      <c r="E9" s="11">
        <f t="shared" si="3"/>
        <v>0</v>
      </c>
      <c r="F9" s="92"/>
      <c r="G9" s="142"/>
      <c r="H9" s="93"/>
      <c r="I9" s="54"/>
      <c r="J9" s="55"/>
      <c r="K9" s="53"/>
      <c r="L9" s="53" t="str">
        <f t="shared" si="4"/>
        <v/>
      </c>
      <c r="M9" s="11"/>
      <c r="N9" s="11"/>
      <c r="O9" s="11"/>
      <c r="P9" s="11"/>
      <c r="Q9" s="11"/>
      <c r="R9" s="11"/>
      <c r="S9" s="11"/>
      <c r="T9" s="11"/>
      <c r="U9" s="11"/>
      <c r="V9" s="56" t="s">
        <v>1674</v>
      </c>
      <c r="W9" s="35" t="str">
        <f t="shared" si="2"/>
        <v>OK</v>
      </c>
      <c r="X9" s="38" t="str">
        <f t="shared" si="5"/>
        <v/>
      </c>
      <c r="Y9" s="3"/>
      <c r="Z9" s="116"/>
    </row>
    <row r="10" spans="1:26" ht="14.4" hidden="1" outlineLevel="1" x14ac:dyDescent="0.3">
      <c r="A10" s="3"/>
      <c r="B10" s="99" t="s">
        <v>427</v>
      </c>
      <c r="C10" s="53"/>
      <c r="D10" s="53" t="s">
        <v>95</v>
      </c>
      <c r="E10" s="11">
        <f t="shared" si="3"/>
        <v>0</v>
      </c>
      <c r="F10" s="92"/>
      <c r="G10" s="142"/>
      <c r="H10" s="93"/>
      <c r="I10" s="54"/>
      <c r="J10" s="55"/>
      <c r="K10" s="53"/>
      <c r="L10" s="53" t="str">
        <f t="shared" si="4"/>
        <v/>
      </c>
      <c r="M10" s="11"/>
      <c r="N10" s="11"/>
      <c r="O10" s="11"/>
      <c r="P10" s="11"/>
      <c r="Q10" s="11"/>
      <c r="R10" s="11"/>
      <c r="S10" s="11"/>
      <c r="T10" s="11"/>
      <c r="U10" s="11"/>
      <c r="V10" s="56" t="s">
        <v>1674</v>
      </c>
      <c r="W10" s="35" t="str">
        <f t="shared" si="2"/>
        <v>OK</v>
      </c>
      <c r="X10" s="38" t="str">
        <f t="shared" si="5"/>
        <v/>
      </c>
      <c r="Y10" s="3"/>
      <c r="Z10" s="116"/>
    </row>
    <row r="11" spans="1:26" ht="14.4" hidden="1" outlineLevel="1" x14ac:dyDescent="0.3">
      <c r="A11" s="3"/>
      <c r="B11" s="99" t="s">
        <v>428</v>
      </c>
      <c r="C11" s="53">
        <v>10</v>
      </c>
      <c r="D11" s="53" t="s">
        <v>95</v>
      </c>
      <c r="E11" s="11">
        <f t="shared" si="3"/>
        <v>393.43</v>
      </c>
      <c r="F11" s="92">
        <f t="shared" ref="F11:F12" si="6">E11</f>
        <v>393.43</v>
      </c>
      <c r="G11" s="142"/>
      <c r="H11" s="93" t="s">
        <v>37</v>
      </c>
      <c r="I11" s="54"/>
      <c r="J11" s="55"/>
      <c r="K11" s="53"/>
      <c r="L11" s="53" t="str">
        <f t="shared" si="4"/>
        <v/>
      </c>
      <c r="M11" s="11">
        <v>148</v>
      </c>
      <c r="N11" s="11">
        <v>24.57</v>
      </c>
      <c r="O11" s="11">
        <v>12</v>
      </c>
      <c r="P11" s="11">
        <v>3.86</v>
      </c>
      <c r="Q11" s="11">
        <v>5</v>
      </c>
      <c r="R11" s="11"/>
      <c r="S11" s="11"/>
      <c r="T11" s="11"/>
      <c r="U11" s="11">
        <v>200</v>
      </c>
      <c r="V11" s="56" t="s">
        <v>1675</v>
      </c>
      <c r="W11" s="35" t="str">
        <f t="shared" si="2"/>
        <v>OK</v>
      </c>
      <c r="X11" s="38" t="str">
        <f t="shared" si="5"/>
        <v/>
      </c>
      <c r="Y11" s="3"/>
      <c r="Z11" s="116"/>
    </row>
    <row r="12" spans="1:26" ht="14.4" hidden="1" outlineLevel="1" x14ac:dyDescent="0.3">
      <c r="A12" s="3"/>
      <c r="B12" s="99" t="s">
        <v>429</v>
      </c>
      <c r="C12" s="53">
        <v>10</v>
      </c>
      <c r="D12" s="53" t="s">
        <v>95</v>
      </c>
      <c r="E12" s="11">
        <f t="shared" si="3"/>
        <v>258.19</v>
      </c>
      <c r="F12" s="92">
        <f t="shared" si="6"/>
        <v>258.19</v>
      </c>
      <c r="G12" s="142"/>
      <c r="H12" s="93" t="s">
        <v>37</v>
      </c>
      <c r="I12" s="54"/>
      <c r="J12" s="55"/>
      <c r="K12" s="53"/>
      <c r="L12" s="53" t="str">
        <f t="shared" si="4"/>
        <v/>
      </c>
      <c r="M12" s="11">
        <v>148</v>
      </c>
      <c r="N12" s="11">
        <v>24.57</v>
      </c>
      <c r="O12" s="11">
        <v>12</v>
      </c>
      <c r="P12" s="11">
        <v>2</v>
      </c>
      <c r="Q12" s="11"/>
      <c r="R12" s="11"/>
      <c r="S12" s="11"/>
      <c r="T12" s="11"/>
      <c r="U12" s="11">
        <v>71.62</v>
      </c>
      <c r="V12" s="56" t="s">
        <v>1676</v>
      </c>
      <c r="W12" s="35" t="str">
        <f t="shared" si="2"/>
        <v>OK</v>
      </c>
      <c r="X12" s="38" t="str">
        <f t="shared" si="5"/>
        <v/>
      </c>
      <c r="Y12" s="3"/>
      <c r="Z12" s="116"/>
    </row>
    <row r="13" spans="1:26" ht="14.4" hidden="1" outlineLevel="1" x14ac:dyDescent="0.3">
      <c r="A13" s="3"/>
      <c r="B13" s="99" t="s">
        <v>430</v>
      </c>
      <c r="C13" s="53">
        <v>5</v>
      </c>
      <c r="D13" s="53" t="s">
        <v>130</v>
      </c>
      <c r="E13" s="11">
        <f t="shared" si="3"/>
        <v>532.11</v>
      </c>
      <c r="F13" s="92">
        <f>629.76</f>
        <v>629.76</v>
      </c>
      <c r="G13" s="142" t="s">
        <v>1677</v>
      </c>
      <c r="H13" s="93" t="s">
        <v>37</v>
      </c>
      <c r="I13" s="54"/>
      <c r="J13" s="55"/>
      <c r="K13" s="53"/>
      <c r="L13" s="53" t="str">
        <f t="shared" si="4"/>
        <v/>
      </c>
      <c r="M13" s="11">
        <v>130.47999999999999</v>
      </c>
      <c r="N13" s="11">
        <v>24.57</v>
      </c>
      <c r="O13" s="11">
        <v>12</v>
      </c>
      <c r="P13" s="11">
        <v>1.44</v>
      </c>
      <c r="Q13" s="11">
        <v>10</v>
      </c>
      <c r="R13" s="11">
        <v>20</v>
      </c>
      <c r="S13" s="11">
        <v>50</v>
      </c>
      <c r="T13" s="11">
        <v>50</v>
      </c>
      <c r="U13" s="11">
        <v>233.62</v>
      </c>
      <c r="V13" s="56" t="s">
        <v>1678</v>
      </c>
      <c r="W13" s="35" t="str">
        <f t="shared" si="2"/>
        <v>Diferente</v>
      </c>
      <c r="X13" s="38">
        <f t="shared" si="5"/>
        <v>97.649999999999977</v>
      </c>
      <c r="Y13" s="3"/>
      <c r="Z13" s="116"/>
    </row>
    <row r="14" spans="1:26" ht="14.4" hidden="1" outlineLevel="1" x14ac:dyDescent="0.3">
      <c r="A14" s="3"/>
      <c r="B14" s="99" t="s">
        <v>432</v>
      </c>
      <c r="C14" s="53">
        <v>5</v>
      </c>
      <c r="D14" s="53" t="s">
        <v>130</v>
      </c>
      <c r="E14" s="11">
        <f t="shared" si="3"/>
        <v>307.28999999999996</v>
      </c>
      <c r="F14" s="92"/>
      <c r="G14" s="142" t="s">
        <v>1677</v>
      </c>
      <c r="H14" s="93" t="s">
        <v>37</v>
      </c>
      <c r="I14" s="54"/>
      <c r="J14" s="55"/>
      <c r="K14" s="53"/>
      <c r="L14" s="53" t="str">
        <f t="shared" si="4"/>
        <v/>
      </c>
      <c r="M14" s="11">
        <v>98.28</v>
      </c>
      <c r="N14" s="11">
        <v>24.57</v>
      </c>
      <c r="O14" s="11">
        <v>12</v>
      </c>
      <c r="P14" s="11">
        <v>1.44</v>
      </c>
      <c r="Q14" s="11">
        <v>5</v>
      </c>
      <c r="R14" s="11"/>
      <c r="S14" s="11"/>
      <c r="T14" s="11">
        <v>50</v>
      </c>
      <c r="U14" s="11">
        <v>116</v>
      </c>
      <c r="V14" s="56" t="s">
        <v>1679</v>
      </c>
      <c r="W14" s="35" t="str">
        <f t="shared" si="2"/>
        <v>Diferente</v>
      </c>
      <c r="X14" s="38">
        <f t="shared" si="5"/>
        <v>-307.28999999999996</v>
      </c>
      <c r="Y14" s="3"/>
      <c r="Z14" s="116"/>
    </row>
    <row r="15" spans="1:26" ht="18" hidden="1" customHeight="1" outlineLevel="1" x14ac:dyDescent="0.3">
      <c r="A15" s="3"/>
      <c r="B15" s="99" t="s">
        <v>433</v>
      </c>
      <c r="C15" s="53">
        <v>20</v>
      </c>
      <c r="D15" s="53" t="s">
        <v>95</v>
      </c>
      <c r="E15" s="11">
        <f t="shared" si="3"/>
        <v>363.62</v>
      </c>
      <c r="F15" s="92">
        <f t="shared" ref="F15:F20" si="7">E15</f>
        <v>363.62</v>
      </c>
      <c r="G15" s="142"/>
      <c r="H15" s="93" t="s">
        <v>37</v>
      </c>
      <c r="I15" s="54"/>
      <c r="J15" s="55"/>
      <c r="K15" s="53"/>
      <c r="L15" s="53">
        <f t="shared" si="4"/>
        <v>1</v>
      </c>
      <c r="M15" s="11">
        <v>61.99</v>
      </c>
      <c r="N15" s="11">
        <v>24.57</v>
      </c>
      <c r="O15" s="11">
        <v>12</v>
      </c>
      <c r="P15" s="11">
        <v>1.44</v>
      </c>
      <c r="Q15" s="11">
        <v>0</v>
      </c>
      <c r="R15" s="11">
        <v>0</v>
      </c>
      <c r="S15" s="11">
        <v>0</v>
      </c>
      <c r="T15" s="11"/>
      <c r="U15" s="11">
        <v>263.62</v>
      </c>
      <c r="V15" s="56" t="s">
        <v>1680</v>
      </c>
      <c r="W15" s="35" t="str">
        <f t="shared" si="2"/>
        <v>OK</v>
      </c>
      <c r="X15" s="38" t="str">
        <f t="shared" si="5"/>
        <v/>
      </c>
      <c r="Y15" s="3"/>
      <c r="Z15" s="116"/>
    </row>
    <row r="16" spans="1:26" ht="18" hidden="1" customHeight="1" outlineLevel="1" x14ac:dyDescent="0.3">
      <c r="A16" s="3"/>
      <c r="B16" s="99" t="s">
        <v>1409</v>
      </c>
      <c r="C16" s="53">
        <v>20</v>
      </c>
      <c r="D16" s="53" t="s">
        <v>95</v>
      </c>
      <c r="E16" s="11">
        <f t="shared" si="3"/>
        <v>200</v>
      </c>
      <c r="F16" s="92">
        <f t="shared" si="7"/>
        <v>200</v>
      </c>
      <c r="G16" s="142"/>
      <c r="H16" s="93" t="s">
        <v>37</v>
      </c>
      <c r="I16" s="54"/>
      <c r="J16" s="55"/>
      <c r="K16" s="53"/>
      <c r="L16" s="53">
        <f t="shared" si="4"/>
        <v>1</v>
      </c>
      <c r="M16" s="11">
        <v>61.99</v>
      </c>
      <c r="N16" s="11">
        <v>24.57</v>
      </c>
      <c r="O16" s="11">
        <v>12</v>
      </c>
      <c r="P16" s="11">
        <v>1.44</v>
      </c>
      <c r="Q16" s="11">
        <v>0</v>
      </c>
      <c r="R16" s="11">
        <v>0</v>
      </c>
      <c r="S16" s="11"/>
      <c r="T16" s="11"/>
      <c r="U16" s="11">
        <v>100</v>
      </c>
      <c r="V16" s="56" t="s">
        <v>1681</v>
      </c>
      <c r="W16" s="35" t="str">
        <f t="shared" si="2"/>
        <v>OK</v>
      </c>
      <c r="X16" s="38" t="str">
        <f t="shared" si="5"/>
        <v/>
      </c>
      <c r="Y16" s="3"/>
      <c r="Z16" s="116"/>
    </row>
    <row r="17" spans="1:26" ht="14.4" hidden="1" outlineLevel="1" x14ac:dyDescent="0.3">
      <c r="A17" s="3"/>
      <c r="B17" s="99" t="s">
        <v>435</v>
      </c>
      <c r="C17" s="53">
        <v>8</v>
      </c>
      <c r="D17" s="53" t="s">
        <v>95</v>
      </c>
      <c r="E17" s="11">
        <f t="shared" si="3"/>
        <v>360.81</v>
      </c>
      <c r="F17" s="92">
        <f t="shared" si="7"/>
        <v>360.81</v>
      </c>
      <c r="G17" s="142"/>
      <c r="H17" s="93" t="s">
        <v>37</v>
      </c>
      <c r="I17" s="54"/>
      <c r="J17" s="55"/>
      <c r="K17" s="53"/>
      <c r="L17" s="53" t="str">
        <f t="shared" si="4"/>
        <v/>
      </c>
      <c r="M17" s="11">
        <v>191.18</v>
      </c>
      <c r="N17" s="11">
        <v>24.57</v>
      </c>
      <c r="O17" s="11">
        <v>12</v>
      </c>
      <c r="P17" s="11">
        <v>1.44</v>
      </c>
      <c r="Q17" s="11">
        <v>5</v>
      </c>
      <c r="R17" s="11"/>
      <c r="S17" s="11"/>
      <c r="T17" s="11"/>
      <c r="U17" s="11">
        <v>126.62</v>
      </c>
      <c r="V17" s="56" t="s">
        <v>1682</v>
      </c>
      <c r="W17" s="35" t="str">
        <f t="shared" si="2"/>
        <v>OK</v>
      </c>
      <c r="X17" s="38" t="str">
        <f t="shared" si="5"/>
        <v/>
      </c>
      <c r="Y17" s="3"/>
      <c r="Z17" s="116"/>
    </row>
    <row r="18" spans="1:26" ht="14.4" hidden="1" outlineLevel="1" x14ac:dyDescent="0.3">
      <c r="A18" s="3"/>
      <c r="B18" s="99" t="s">
        <v>436</v>
      </c>
      <c r="C18" s="53">
        <v>8</v>
      </c>
      <c r="D18" s="53" t="s">
        <v>95</v>
      </c>
      <c r="E18" s="11">
        <f t="shared" si="3"/>
        <v>193.98999999999998</v>
      </c>
      <c r="F18" s="92">
        <f t="shared" si="7"/>
        <v>193.98999999999998</v>
      </c>
      <c r="G18" s="142"/>
      <c r="H18" s="93" t="s">
        <v>37</v>
      </c>
      <c r="I18" s="54"/>
      <c r="J18" s="55"/>
      <c r="K18" s="53"/>
      <c r="L18" s="53" t="str">
        <f t="shared" si="4"/>
        <v/>
      </c>
      <c r="M18" s="11">
        <v>135.97999999999999</v>
      </c>
      <c r="N18" s="11">
        <v>24.57</v>
      </c>
      <c r="O18" s="11">
        <v>12</v>
      </c>
      <c r="P18" s="11">
        <v>1.44</v>
      </c>
      <c r="Q18" s="11"/>
      <c r="R18" s="11"/>
      <c r="S18" s="11"/>
      <c r="T18" s="11"/>
      <c r="U18" s="11">
        <v>20</v>
      </c>
      <c r="V18" s="56" t="s">
        <v>1674</v>
      </c>
      <c r="W18" s="35" t="str">
        <f t="shared" si="2"/>
        <v>OK</v>
      </c>
      <c r="X18" s="38" t="str">
        <f t="shared" si="5"/>
        <v/>
      </c>
      <c r="Y18" s="3"/>
      <c r="Z18" s="116"/>
    </row>
    <row r="19" spans="1:26" ht="14.4" hidden="1" outlineLevel="1" x14ac:dyDescent="0.3">
      <c r="A19" s="3"/>
      <c r="B19" s="99" t="s">
        <v>437</v>
      </c>
      <c r="C19" s="53">
        <v>9</v>
      </c>
      <c r="D19" s="53" t="s">
        <v>95</v>
      </c>
      <c r="E19" s="11">
        <f t="shared" si="3"/>
        <v>501.28999999999996</v>
      </c>
      <c r="F19" s="92">
        <f t="shared" si="7"/>
        <v>501.28999999999996</v>
      </c>
      <c r="G19" s="142"/>
      <c r="H19" s="93" t="s">
        <v>37</v>
      </c>
      <c r="I19" s="54"/>
      <c r="J19" s="55"/>
      <c r="K19" s="53"/>
      <c r="L19" s="53" t="str">
        <f t="shared" si="4"/>
        <v/>
      </c>
      <c r="M19" s="11">
        <v>328.28</v>
      </c>
      <c r="N19" s="11">
        <v>24.57</v>
      </c>
      <c r="O19" s="11">
        <v>12</v>
      </c>
      <c r="P19" s="11">
        <v>11.44</v>
      </c>
      <c r="Q19" s="11">
        <v>5</v>
      </c>
      <c r="R19" s="11">
        <v>10</v>
      </c>
      <c r="S19" s="11"/>
      <c r="T19" s="11">
        <v>50</v>
      </c>
      <c r="U19" s="11">
        <v>60</v>
      </c>
      <c r="V19" s="56" t="s">
        <v>1683</v>
      </c>
      <c r="W19" s="35" t="str">
        <f t="shared" si="2"/>
        <v>OK</v>
      </c>
      <c r="X19" s="38" t="str">
        <f t="shared" si="5"/>
        <v/>
      </c>
      <c r="Y19" s="3"/>
      <c r="Z19" s="116"/>
    </row>
    <row r="20" spans="1:26" ht="14.4" hidden="1" outlineLevel="1" x14ac:dyDescent="0.3">
      <c r="A20" s="3"/>
      <c r="B20" s="99" t="s">
        <v>438</v>
      </c>
      <c r="C20" s="53">
        <v>9</v>
      </c>
      <c r="D20" s="53" t="s">
        <v>95</v>
      </c>
      <c r="E20" s="11">
        <f t="shared" si="3"/>
        <v>451.28999999999996</v>
      </c>
      <c r="F20" s="92">
        <f t="shared" si="7"/>
        <v>451.28999999999996</v>
      </c>
      <c r="G20" s="142"/>
      <c r="H20" s="93" t="s">
        <v>37</v>
      </c>
      <c r="I20" s="54"/>
      <c r="J20" s="55"/>
      <c r="K20" s="53"/>
      <c r="L20" s="53" t="str">
        <f t="shared" si="4"/>
        <v/>
      </c>
      <c r="M20" s="11">
        <v>328.28</v>
      </c>
      <c r="N20" s="11">
        <v>24.57</v>
      </c>
      <c r="O20" s="11">
        <v>12</v>
      </c>
      <c r="P20" s="11">
        <v>1.44</v>
      </c>
      <c r="Q20" s="11">
        <v>5</v>
      </c>
      <c r="R20" s="11">
        <v>10</v>
      </c>
      <c r="S20" s="11"/>
      <c r="T20" s="11">
        <v>50</v>
      </c>
      <c r="U20" s="11">
        <v>20</v>
      </c>
      <c r="V20" s="56" t="s">
        <v>1674</v>
      </c>
      <c r="W20" s="35" t="str">
        <f t="shared" si="2"/>
        <v>OK</v>
      </c>
      <c r="X20" s="38" t="str">
        <f t="shared" si="5"/>
        <v/>
      </c>
      <c r="Y20" s="3"/>
      <c r="Z20" s="116"/>
    </row>
    <row r="21" spans="1:26" ht="15.75" hidden="1" customHeight="1" outlineLevel="1" x14ac:dyDescent="0.3">
      <c r="A21" s="3"/>
      <c r="B21" s="99" t="s">
        <v>1410</v>
      </c>
      <c r="C21" s="53"/>
      <c r="D21" s="53" t="s">
        <v>105</v>
      </c>
      <c r="E21" s="11">
        <f t="shared" si="3"/>
        <v>335.99</v>
      </c>
      <c r="F21" s="92"/>
      <c r="G21" s="142"/>
      <c r="H21" s="93"/>
      <c r="I21" s="54"/>
      <c r="J21" s="55"/>
      <c r="K21" s="53"/>
      <c r="L21" s="53" t="str">
        <f t="shared" si="4"/>
        <v/>
      </c>
      <c r="M21" s="11">
        <v>120.98</v>
      </c>
      <c r="N21" s="11">
        <v>24.57</v>
      </c>
      <c r="O21" s="11">
        <v>12</v>
      </c>
      <c r="P21" s="11">
        <v>1.44</v>
      </c>
      <c r="Q21" s="11">
        <v>5</v>
      </c>
      <c r="R21" s="11">
        <v>5</v>
      </c>
      <c r="S21" s="11"/>
      <c r="T21" s="11">
        <v>30</v>
      </c>
      <c r="U21" s="11">
        <v>137</v>
      </c>
      <c r="V21" s="56" t="s">
        <v>1684</v>
      </c>
      <c r="W21" s="35" t="str">
        <f t="shared" si="2"/>
        <v>Diferente</v>
      </c>
      <c r="X21" s="38">
        <f t="shared" si="5"/>
        <v>-335.99</v>
      </c>
      <c r="Y21" s="3"/>
      <c r="Z21" s="116"/>
    </row>
    <row r="22" spans="1:26" ht="15.75" hidden="1" customHeight="1" outlineLevel="1" x14ac:dyDescent="0.3">
      <c r="A22" s="3"/>
      <c r="B22" s="99" t="s">
        <v>440</v>
      </c>
      <c r="C22" s="53"/>
      <c r="D22" s="53" t="s">
        <v>105</v>
      </c>
      <c r="E22" s="11">
        <f t="shared" si="3"/>
        <v>245.59</v>
      </c>
      <c r="F22" s="92"/>
      <c r="G22" s="142"/>
      <c r="H22" s="93"/>
      <c r="I22" s="54"/>
      <c r="J22" s="55"/>
      <c r="K22" s="53"/>
      <c r="L22" s="53" t="str">
        <f t="shared" si="4"/>
        <v/>
      </c>
      <c r="M22" s="11">
        <v>102.58</v>
      </c>
      <c r="N22" s="11">
        <v>24.57</v>
      </c>
      <c r="O22" s="11">
        <v>12</v>
      </c>
      <c r="P22" s="11">
        <v>1.44</v>
      </c>
      <c r="Q22" s="11">
        <v>5</v>
      </c>
      <c r="R22" s="11"/>
      <c r="S22" s="11"/>
      <c r="T22" s="11">
        <v>30</v>
      </c>
      <c r="U22" s="11">
        <v>70</v>
      </c>
      <c r="V22" s="56" t="s">
        <v>1685</v>
      </c>
      <c r="W22" s="35" t="str">
        <f t="shared" si="2"/>
        <v>Diferente</v>
      </c>
      <c r="X22" s="38">
        <f t="shared" si="5"/>
        <v>-245.59</v>
      </c>
      <c r="Y22" s="3"/>
      <c r="Z22" s="116"/>
    </row>
    <row r="23" spans="1:26" ht="15.75" hidden="1" customHeight="1" outlineLevel="1" x14ac:dyDescent="0.3">
      <c r="A23" s="3"/>
      <c r="B23" s="99" t="s">
        <v>443</v>
      </c>
      <c r="C23" s="53">
        <v>15</v>
      </c>
      <c r="D23" s="53" t="s">
        <v>95</v>
      </c>
      <c r="E23" s="11">
        <v>257</v>
      </c>
      <c r="F23" s="92">
        <f>SUM(M23:U23)</f>
        <v>464</v>
      </c>
      <c r="G23" s="142" t="s">
        <v>1686</v>
      </c>
      <c r="H23" s="93" t="s">
        <v>37</v>
      </c>
      <c r="I23" s="54"/>
      <c r="J23" s="55"/>
      <c r="K23" s="11"/>
      <c r="L23" s="53">
        <f t="shared" si="4"/>
        <v>1</v>
      </c>
      <c r="M23" s="11">
        <f>131.99+207</f>
        <v>338.99</v>
      </c>
      <c r="N23" s="11">
        <v>24.57</v>
      </c>
      <c r="O23" s="11">
        <v>12</v>
      </c>
      <c r="P23" s="11">
        <v>6.44</v>
      </c>
      <c r="Q23" s="11"/>
      <c r="R23" s="11">
        <v>10</v>
      </c>
      <c r="S23" s="11"/>
      <c r="T23" s="11"/>
      <c r="U23" s="11">
        <v>72</v>
      </c>
      <c r="V23" s="56" t="s">
        <v>1687</v>
      </c>
      <c r="W23" s="35" t="str">
        <f t="shared" si="2"/>
        <v>OK</v>
      </c>
      <c r="X23" s="38" t="str">
        <f t="shared" si="5"/>
        <v/>
      </c>
      <c r="Y23" s="3"/>
      <c r="Z23" s="116"/>
    </row>
    <row r="24" spans="1:26" ht="15.75" hidden="1" customHeight="1" outlineLevel="1" x14ac:dyDescent="0.3">
      <c r="A24" s="3"/>
      <c r="B24" s="99" t="s">
        <v>444</v>
      </c>
      <c r="C24" s="53"/>
      <c r="D24" s="53" t="s">
        <v>105</v>
      </c>
      <c r="E24" s="11">
        <f t="shared" ref="E24:E40" si="8">SUM(M24:U24)</f>
        <v>90</v>
      </c>
      <c r="F24" s="92"/>
      <c r="G24" s="142"/>
      <c r="H24" s="93"/>
      <c r="I24" s="54"/>
      <c r="J24" s="55"/>
      <c r="K24" s="11"/>
      <c r="L24" s="53" t="str">
        <f t="shared" si="4"/>
        <v/>
      </c>
      <c r="M24" s="11">
        <v>11.43</v>
      </c>
      <c r="N24" s="11">
        <v>24.57</v>
      </c>
      <c r="O24" s="11">
        <v>12</v>
      </c>
      <c r="P24" s="11">
        <v>2</v>
      </c>
      <c r="Q24" s="11"/>
      <c r="R24" s="11"/>
      <c r="S24" s="11"/>
      <c r="T24" s="11"/>
      <c r="U24" s="11">
        <v>40</v>
      </c>
      <c r="V24" s="56" t="s">
        <v>1688</v>
      </c>
      <c r="W24" s="35" t="str">
        <f t="shared" si="2"/>
        <v>Diferente</v>
      </c>
      <c r="X24" s="38">
        <f t="shared" si="5"/>
        <v>-90</v>
      </c>
      <c r="Y24" s="3"/>
      <c r="Z24" s="116"/>
    </row>
    <row r="25" spans="1:26" ht="15.75" hidden="1" customHeight="1" outlineLevel="1" x14ac:dyDescent="0.3">
      <c r="A25" s="3"/>
      <c r="B25" s="99" t="s">
        <v>445</v>
      </c>
      <c r="C25" s="53">
        <v>8</v>
      </c>
      <c r="D25" s="53" t="s">
        <v>95</v>
      </c>
      <c r="E25" s="11">
        <f t="shared" si="8"/>
        <v>530.62</v>
      </c>
      <c r="F25" s="92">
        <f t="shared" ref="F25:F28" si="9">E25</f>
        <v>530.62</v>
      </c>
      <c r="G25" s="142"/>
      <c r="H25" s="93" t="s">
        <v>37</v>
      </c>
      <c r="I25" s="54"/>
      <c r="J25" s="55"/>
      <c r="K25" s="11"/>
      <c r="L25" s="53" t="str">
        <f t="shared" si="4"/>
        <v/>
      </c>
      <c r="M25" s="11">
        <v>131.99</v>
      </c>
      <c r="N25" s="11">
        <v>24.57</v>
      </c>
      <c r="O25" s="11">
        <v>12</v>
      </c>
      <c r="P25" s="11">
        <v>11.44</v>
      </c>
      <c r="Q25" s="11">
        <v>5</v>
      </c>
      <c r="R25" s="11">
        <v>5</v>
      </c>
      <c r="S25" s="11">
        <v>10</v>
      </c>
      <c r="T25" s="11">
        <v>30</v>
      </c>
      <c r="U25" s="11">
        <v>300.62</v>
      </c>
      <c r="V25" s="56" t="s">
        <v>1689</v>
      </c>
      <c r="W25" s="35" t="str">
        <f t="shared" si="2"/>
        <v>OK</v>
      </c>
      <c r="X25" s="38" t="str">
        <f t="shared" si="5"/>
        <v/>
      </c>
      <c r="Y25" s="3"/>
      <c r="Z25" s="116"/>
    </row>
    <row r="26" spans="1:26" ht="15.75" hidden="1" customHeight="1" outlineLevel="1" x14ac:dyDescent="0.3">
      <c r="A26" s="3"/>
      <c r="B26" s="99" t="s">
        <v>447</v>
      </c>
      <c r="C26" s="53">
        <v>8</v>
      </c>
      <c r="D26" s="53" t="s">
        <v>95</v>
      </c>
      <c r="E26" s="11">
        <f t="shared" si="8"/>
        <v>390</v>
      </c>
      <c r="F26" s="92">
        <f t="shared" si="9"/>
        <v>390</v>
      </c>
      <c r="G26" s="142"/>
      <c r="H26" s="93" t="s">
        <v>37</v>
      </c>
      <c r="I26" s="54"/>
      <c r="J26" s="55"/>
      <c r="K26" s="11"/>
      <c r="L26" s="53" t="str">
        <f t="shared" si="4"/>
        <v/>
      </c>
      <c r="M26" s="11">
        <v>131.99</v>
      </c>
      <c r="N26" s="11">
        <v>24.57</v>
      </c>
      <c r="O26" s="11">
        <v>12</v>
      </c>
      <c r="P26" s="11">
        <v>1.44</v>
      </c>
      <c r="Q26" s="11">
        <v>5</v>
      </c>
      <c r="R26" s="11">
        <v>5</v>
      </c>
      <c r="S26" s="11">
        <v>10</v>
      </c>
      <c r="T26" s="11">
        <v>30</v>
      </c>
      <c r="U26" s="11">
        <v>170</v>
      </c>
      <c r="V26" s="56" t="s">
        <v>1690</v>
      </c>
      <c r="W26" s="35" t="str">
        <f t="shared" si="2"/>
        <v>OK</v>
      </c>
      <c r="X26" s="38" t="str">
        <f t="shared" si="5"/>
        <v/>
      </c>
      <c r="Y26" s="3"/>
      <c r="Z26" s="116"/>
    </row>
    <row r="27" spans="1:26" ht="15.75" hidden="1" customHeight="1" outlineLevel="1" x14ac:dyDescent="0.3">
      <c r="A27" s="3"/>
      <c r="B27" s="99" t="s">
        <v>1412</v>
      </c>
      <c r="C27" s="53">
        <v>10</v>
      </c>
      <c r="D27" s="53" t="s">
        <v>95</v>
      </c>
      <c r="E27" s="11">
        <f t="shared" si="8"/>
        <v>336.31</v>
      </c>
      <c r="F27" s="92">
        <f t="shared" si="9"/>
        <v>336.31</v>
      </c>
      <c r="G27" s="142"/>
      <c r="H27" s="93" t="s">
        <v>37</v>
      </c>
      <c r="I27" s="54"/>
      <c r="J27" s="55"/>
      <c r="K27" s="11"/>
      <c r="L27" s="53" t="str">
        <f t="shared" si="4"/>
        <v/>
      </c>
      <c r="M27" s="11">
        <v>116.68</v>
      </c>
      <c r="N27" s="11">
        <v>24.57</v>
      </c>
      <c r="O27" s="11">
        <v>12</v>
      </c>
      <c r="P27" s="11">
        <v>1.44</v>
      </c>
      <c r="Q27" s="11">
        <v>5</v>
      </c>
      <c r="R27" s="11">
        <v>10</v>
      </c>
      <c r="S27" s="11">
        <v>10</v>
      </c>
      <c r="T27" s="11">
        <v>30</v>
      </c>
      <c r="U27" s="11">
        <v>126.62</v>
      </c>
      <c r="V27" s="56" t="s">
        <v>1682</v>
      </c>
      <c r="W27" s="35" t="str">
        <f t="shared" si="2"/>
        <v>OK</v>
      </c>
      <c r="X27" s="38" t="str">
        <f t="shared" si="5"/>
        <v/>
      </c>
      <c r="Y27" s="3"/>
      <c r="Z27" s="116"/>
    </row>
    <row r="28" spans="1:26" ht="15.75" hidden="1" customHeight="1" outlineLevel="1" x14ac:dyDescent="0.3">
      <c r="A28" s="3"/>
      <c r="B28" s="99" t="s">
        <v>449</v>
      </c>
      <c r="C28" s="53">
        <v>10</v>
      </c>
      <c r="D28" s="53" t="s">
        <v>95</v>
      </c>
      <c r="E28" s="11">
        <f t="shared" si="8"/>
        <v>178.69</v>
      </c>
      <c r="F28" s="92">
        <f t="shared" si="9"/>
        <v>178.69</v>
      </c>
      <c r="G28" s="142"/>
      <c r="H28" s="93" t="s">
        <v>37</v>
      </c>
      <c r="I28" s="54"/>
      <c r="J28" s="55"/>
      <c r="K28" s="11"/>
      <c r="L28" s="53" t="str">
        <f t="shared" si="4"/>
        <v/>
      </c>
      <c r="M28" s="11">
        <v>70.680000000000007</v>
      </c>
      <c r="N28" s="11">
        <v>24.57</v>
      </c>
      <c r="O28" s="11">
        <v>12</v>
      </c>
      <c r="P28" s="11">
        <v>1.44</v>
      </c>
      <c r="Q28" s="11"/>
      <c r="R28" s="11">
        <v>10</v>
      </c>
      <c r="S28" s="11">
        <v>10</v>
      </c>
      <c r="T28" s="11">
        <v>30</v>
      </c>
      <c r="U28" s="11">
        <v>20</v>
      </c>
      <c r="V28" s="56" t="s">
        <v>1674</v>
      </c>
      <c r="W28" s="35" t="str">
        <f t="shared" si="2"/>
        <v>OK</v>
      </c>
      <c r="X28" s="38" t="str">
        <f t="shared" si="5"/>
        <v/>
      </c>
      <c r="Y28" s="3"/>
      <c r="Z28" s="116"/>
    </row>
    <row r="29" spans="1:26" ht="15.75" hidden="1" customHeight="1" outlineLevel="1" x14ac:dyDescent="0.3">
      <c r="A29" s="3"/>
      <c r="B29" s="99" t="s">
        <v>450</v>
      </c>
      <c r="C29" s="53"/>
      <c r="D29" s="53" t="s">
        <v>105</v>
      </c>
      <c r="E29" s="11">
        <f t="shared" si="8"/>
        <v>442.44</v>
      </c>
      <c r="F29" s="92"/>
      <c r="G29" s="142"/>
      <c r="H29" s="93"/>
      <c r="I29" s="54"/>
      <c r="J29" s="55"/>
      <c r="K29" s="11"/>
      <c r="L29" s="53" t="str">
        <f t="shared" si="4"/>
        <v/>
      </c>
      <c r="M29" s="11">
        <v>104.43</v>
      </c>
      <c r="N29" s="11">
        <v>24.57</v>
      </c>
      <c r="O29" s="11">
        <v>12</v>
      </c>
      <c r="P29" s="11">
        <v>1.44</v>
      </c>
      <c r="Q29" s="11">
        <v>5</v>
      </c>
      <c r="R29" s="11"/>
      <c r="S29" s="11">
        <v>10</v>
      </c>
      <c r="T29" s="11">
        <v>10</v>
      </c>
      <c r="U29" s="11">
        <v>275</v>
      </c>
      <c r="V29" s="56" t="s">
        <v>1691</v>
      </c>
      <c r="W29" s="35" t="str">
        <f t="shared" si="2"/>
        <v>Diferente</v>
      </c>
      <c r="X29" s="38">
        <f t="shared" si="5"/>
        <v>-442.44</v>
      </c>
      <c r="Y29" s="3"/>
      <c r="Z29" s="116"/>
    </row>
    <row r="30" spans="1:26" ht="15.75" hidden="1" customHeight="1" outlineLevel="1" x14ac:dyDescent="0.3">
      <c r="A30" s="3"/>
      <c r="B30" s="99" t="s">
        <v>451</v>
      </c>
      <c r="C30" s="53"/>
      <c r="D30" s="53" t="s">
        <v>105</v>
      </c>
      <c r="E30" s="11">
        <f t="shared" si="8"/>
        <v>187.44</v>
      </c>
      <c r="F30" s="92"/>
      <c r="G30" s="142"/>
      <c r="H30" s="93"/>
      <c r="I30" s="54"/>
      <c r="J30" s="55"/>
      <c r="K30" s="11"/>
      <c r="L30" s="53" t="str">
        <f t="shared" si="4"/>
        <v/>
      </c>
      <c r="M30" s="11">
        <v>104.43</v>
      </c>
      <c r="N30" s="11">
        <v>24.57</v>
      </c>
      <c r="O30" s="11">
        <v>12</v>
      </c>
      <c r="P30" s="11">
        <v>1.44</v>
      </c>
      <c r="Q30" s="11">
        <v>5</v>
      </c>
      <c r="R30" s="11"/>
      <c r="S30" s="11">
        <v>10</v>
      </c>
      <c r="T30" s="11">
        <v>10</v>
      </c>
      <c r="U30" s="11">
        <v>20</v>
      </c>
      <c r="V30" s="56" t="s">
        <v>1674</v>
      </c>
      <c r="W30" s="35" t="str">
        <f t="shared" si="2"/>
        <v>Diferente</v>
      </c>
      <c r="X30" s="38">
        <f t="shared" si="5"/>
        <v>-187.44</v>
      </c>
      <c r="Y30" s="3"/>
      <c r="Z30" s="116"/>
    </row>
    <row r="31" spans="1:26" ht="15.75" hidden="1" customHeight="1" outlineLevel="1" x14ac:dyDescent="0.3">
      <c r="A31" s="3"/>
      <c r="B31" s="99" t="s">
        <v>452</v>
      </c>
      <c r="C31" s="53">
        <v>10</v>
      </c>
      <c r="D31" s="53" t="s">
        <v>95</v>
      </c>
      <c r="E31" s="11">
        <f t="shared" si="8"/>
        <v>283.01</v>
      </c>
      <c r="F31" s="92">
        <f t="shared" ref="F31:F32" si="10">E31</f>
        <v>283.01</v>
      </c>
      <c r="G31" s="142"/>
      <c r="H31" s="93" t="s">
        <v>37</v>
      </c>
      <c r="I31" s="54"/>
      <c r="J31" s="55"/>
      <c r="K31" s="11"/>
      <c r="L31" s="53" t="str">
        <f t="shared" si="4"/>
        <v/>
      </c>
      <c r="M31" s="11">
        <v>156</v>
      </c>
      <c r="N31" s="11">
        <v>24.57</v>
      </c>
      <c r="O31" s="11">
        <v>12</v>
      </c>
      <c r="P31" s="11">
        <v>1.44</v>
      </c>
      <c r="Q31" s="11">
        <v>5</v>
      </c>
      <c r="R31" s="11"/>
      <c r="S31" s="11"/>
      <c r="T31" s="11"/>
      <c r="U31" s="11">
        <v>84</v>
      </c>
      <c r="V31" s="56" t="s">
        <v>1692</v>
      </c>
      <c r="W31" s="35" t="str">
        <f t="shared" si="2"/>
        <v>OK</v>
      </c>
      <c r="X31" s="38" t="str">
        <f t="shared" si="5"/>
        <v/>
      </c>
      <c r="Y31" s="3"/>
      <c r="Z31" s="116"/>
    </row>
    <row r="32" spans="1:26" ht="15.75" hidden="1" customHeight="1" outlineLevel="1" x14ac:dyDescent="0.3">
      <c r="A32" s="3"/>
      <c r="B32" s="99" t="s">
        <v>453</v>
      </c>
      <c r="C32" s="53">
        <v>10</v>
      </c>
      <c r="D32" s="53" t="s">
        <v>95</v>
      </c>
      <c r="E32" s="11">
        <f t="shared" si="8"/>
        <v>399.01</v>
      </c>
      <c r="F32" s="92">
        <f t="shared" si="10"/>
        <v>399.01</v>
      </c>
      <c r="G32" s="142"/>
      <c r="H32" s="93" t="s">
        <v>37</v>
      </c>
      <c r="I32" s="54"/>
      <c r="J32" s="55"/>
      <c r="K32" s="11"/>
      <c r="L32" s="53" t="str">
        <f t="shared" si="4"/>
        <v/>
      </c>
      <c r="M32" s="11">
        <v>156</v>
      </c>
      <c r="N32" s="11">
        <v>24.57</v>
      </c>
      <c r="O32" s="11">
        <v>12</v>
      </c>
      <c r="P32" s="11">
        <v>11.44</v>
      </c>
      <c r="Q32" s="11">
        <v>5</v>
      </c>
      <c r="R32" s="11">
        <v>10</v>
      </c>
      <c r="S32" s="11"/>
      <c r="T32" s="11"/>
      <c r="U32" s="11">
        <v>180</v>
      </c>
      <c r="V32" s="56" t="s">
        <v>1693</v>
      </c>
      <c r="W32" s="35" t="str">
        <f t="shared" si="2"/>
        <v>OK</v>
      </c>
      <c r="X32" s="38" t="str">
        <f t="shared" si="5"/>
        <v/>
      </c>
      <c r="Y32" s="3"/>
      <c r="Z32" s="116"/>
    </row>
    <row r="33" spans="1:26" ht="15.75" hidden="1" customHeight="1" outlineLevel="1" x14ac:dyDescent="0.3">
      <c r="A33" s="3"/>
      <c r="B33" s="99" t="s">
        <v>454</v>
      </c>
      <c r="C33" s="53"/>
      <c r="D33" s="53" t="s">
        <v>105</v>
      </c>
      <c r="E33" s="11">
        <f t="shared" si="8"/>
        <v>87</v>
      </c>
      <c r="F33" s="92"/>
      <c r="G33" s="142"/>
      <c r="H33" s="93"/>
      <c r="I33" s="54"/>
      <c r="J33" s="55"/>
      <c r="K33" s="11"/>
      <c r="L33" s="53" t="str">
        <f t="shared" si="4"/>
        <v/>
      </c>
      <c r="M33" s="11">
        <v>48.43</v>
      </c>
      <c r="N33" s="11">
        <v>24.57</v>
      </c>
      <c r="O33" s="11">
        <v>12</v>
      </c>
      <c r="P33" s="11">
        <v>2</v>
      </c>
      <c r="Q33" s="11">
        <v>0</v>
      </c>
      <c r="R33" s="11">
        <v>0</v>
      </c>
      <c r="S33" s="11"/>
      <c r="T33" s="11"/>
      <c r="U33" s="11"/>
      <c r="V33" s="56"/>
      <c r="W33" s="35" t="str">
        <f t="shared" si="2"/>
        <v>Diferente</v>
      </c>
      <c r="X33" s="38">
        <f t="shared" si="5"/>
        <v>-87</v>
      </c>
      <c r="Y33" s="3"/>
      <c r="Z33" s="116"/>
    </row>
    <row r="34" spans="1:26" ht="15.75" hidden="1" customHeight="1" outlineLevel="1" x14ac:dyDescent="0.3">
      <c r="A34" s="3"/>
      <c r="B34" s="99" t="s">
        <v>455</v>
      </c>
      <c r="C34" s="53">
        <v>5</v>
      </c>
      <c r="D34" s="53" t="s">
        <v>95</v>
      </c>
      <c r="E34" s="11">
        <f t="shared" si="8"/>
        <v>495.76</v>
      </c>
      <c r="F34" s="92">
        <f>E34</f>
        <v>495.76</v>
      </c>
      <c r="G34" s="142"/>
      <c r="H34" s="93" t="s">
        <v>37</v>
      </c>
      <c r="I34" s="54"/>
      <c r="J34" s="55"/>
      <c r="K34" s="11"/>
      <c r="L34" s="53" t="str">
        <f t="shared" si="4"/>
        <v/>
      </c>
      <c r="M34" s="11">
        <v>132.19</v>
      </c>
      <c r="N34" s="11">
        <v>24.57</v>
      </c>
      <c r="O34" s="11">
        <v>12</v>
      </c>
      <c r="P34" s="11">
        <v>5</v>
      </c>
      <c r="Q34" s="11">
        <v>5</v>
      </c>
      <c r="R34" s="11">
        <v>10</v>
      </c>
      <c r="S34" s="11">
        <v>10</v>
      </c>
      <c r="T34" s="11">
        <v>30</v>
      </c>
      <c r="U34" s="11">
        <v>267</v>
      </c>
      <c r="V34" s="56" t="s">
        <v>1694</v>
      </c>
      <c r="W34" s="35" t="str">
        <f t="shared" si="2"/>
        <v>OK</v>
      </c>
      <c r="X34" s="38" t="str">
        <f t="shared" si="5"/>
        <v/>
      </c>
      <c r="Y34" s="3"/>
      <c r="Z34" s="116"/>
    </row>
    <row r="35" spans="1:26" ht="15.75" hidden="1" customHeight="1" outlineLevel="1" x14ac:dyDescent="0.3">
      <c r="A35" s="3"/>
      <c r="B35" s="99" t="s">
        <v>456</v>
      </c>
      <c r="C35" s="53">
        <v>5</v>
      </c>
      <c r="D35" s="53" t="s">
        <v>130</v>
      </c>
      <c r="E35" s="11">
        <f t="shared" si="8"/>
        <v>324.43</v>
      </c>
      <c r="F35" s="92">
        <v>231.62</v>
      </c>
      <c r="G35" s="143" t="s">
        <v>1695</v>
      </c>
      <c r="H35" s="93" t="s">
        <v>37</v>
      </c>
      <c r="I35" s="54"/>
      <c r="J35" s="55"/>
      <c r="K35" s="11"/>
      <c r="L35" s="53" t="str">
        <f t="shared" si="4"/>
        <v/>
      </c>
      <c r="M35" s="11">
        <v>74.739999999999995</v>
      </c>
      <c r="N35" s="11">
        <v>24.57</v>
      </c>
      <c r="O35" s="11">
        <v>12</v>
      </c>
      <c r="P35" s="11">
        <v>1.5</v>
      </c>
      <c r="Q35" s="11"/>
      <c r="R35" s="11"/>
      <c r="S35" s="11"/>
      <c r="T35" s="11"/>
      <c r="U35" s="11">
        <v>211.62</v>
      </c>
      <c r="V35" s="56" t="s">
        <v>1696</v>
      </c>
      <c r="W35" s="35" t="str">
        <f t="shared" si="2"/>
        <v>Diferente</v>
      </c>
      <c r="X35" s="38">
        <f t="shared" si="5"/>
        <v>-92.81</v>
      </c>
      <c r="Y35" s="3"/>
      <c r="Z35" s="116"/>
    </row>
    <row r="36" spans="1:26" ht="15.75" hidden="1" customHeight="1" outlineLevel="1" x14ac:dyDescent="0.3">
      <c r="A36" s="3"/>
      <c r="B36" s="99" t="s">
        <v>457</v>
      </c>
      <c r="C36" s="53"/>
      <c r="D36" s="53" t="s">
        <v>105</v>
      </c>
      <c r="E36" s="11">
        <f t="shared" si="8"/>
        <v>132.81</v>
      </c>
      <c r="F36" s="92"/>
      <c r="G36" s="142"/>
      <c r="H36" s="93"/>
      <c r="I36" s="54"/>
      <c r="J36" s="55"/>
      <c r="K36" s="11"/>
      <c r="L36" s="53" t="str">
        <f t="shared" si="4"/>
        <v/>
      </c>
      <c r="M36" s="11">
        <v>74.739999999999995</v>
      </c>
      <c r="N36" s="11">
        <v>24.57</v>
      </c>
      <c r="O36" s="11">
        <v>12</v>
      </c>
      <c r="P36" s="11">
        <v>1.5</v>
      </c>
      <c r="Q36" s="11"/>
      <c r="R36" s="11"/>
      <c r="S36" s="11"/>
      <c r="T36" s="11"/>
      <c r="U36" s="11">
        <v>20</v>
      </c>
      <c r="V36" s="56" t="s">
        <v>1674</v>
      </c>
      <c r="W36" s="35" t="str">
        <f t="shared" si="2"/>
        <v>Diferente</v>
      </c>
      <c r="X36" s="38">
        <f t="shared" si="5"/>
        <v>-132.81</v>
      </c>
      <c r="Y36" s="3"/>
      <c r="Z36" s="116"/>
    </row>
    <row r="37" spans="1:26" ht="15.75" hidden="1" customHeight="1" outlineLevel="1" x14ac:dyDescent="0.3">
      <c r="A37" s="3"/>
      <c r="B37" s="99" t="s">
        <v>458</v>
      </c>
      <c r="C37" s="53">
        <v>10</v>
      </c>
      <c r="D37" s="53" t="s">
        <v>95</v>
      </c>
      <c r="E37" s="11">
        <f t="shared" si="8"/>
        <v>401.44</v>
      </c>
      <c r="F37" s="92">
        <f t="shared" ref="F37:F40" si="11">E37</f>
        <v>401.44</v>
      </c>
      <c r="G37" s="142"/>
      <c r="H37" s="93" t="s">
        <v>37</v>
      </c>
      <c r="I37" s="54"/>
      <c r="J37" s="55"/>
      <c r="K37" s="11"/>
      <c r="L37" s="53" t="str">
        <f t="shared" si="4"/>
        <v/>
      </c>
      <c r="M37" s="11">
        <v>103.43</v>
      </c>
      <c r="N37" s="11">
        <v>24.57</v>
      </c>
      <c r="O37" s="11">
        <v>12</v>
      </c>
      <c r="P37" s="11">
        <v>1.44</v>
      </c>
      <c r="Q37" s="11"/>
      <c r="R37" s="11">
        <v>5</v>
      </c>
      <c r="S37" s="11"/>
      <c r="T37" s="11"/>
      <c r="U37" s="11">
        <v>255</v>
      </c>
      <c r="V37" s="56" t="s">
        <v>1697</v>
      </c>
      <c r="W37" s="35" t="str">
        <f t="shared" si="2"/>
        <v>OK</v>
      </c>
      <c r="X37" s="38" t="str">
        <f t="shared" si="5"/>
        <v/>
      </c>
      <c r="Y37" s="3"/>
      <c r="Z37" s="116"/>
    </row>
    <row r="38" spans="1:26" ht="15.75" hidden="1" customHeight="1" outlineLevel="1" x14ac:dyDescent="0.3">
      <c r="A38" s="3"/>
      <c r="B38" s="99" t="s">
        <v>459</v>
      </c>
      <c r="C38" s="53">
        <v>10</v>
      </c>
      <c r="D38" s="53" t="s">
        <v>95</v>
      </c>
      <c r="E38" s="11">
        <f t="shared" si="8"/>
        <v>431.44</v>
      </c>
      <c r="F38" s="92">
        <f t="shared" si="11"/>
        <v>431.44</v>
      </c>
      <c r="G38" s="142"/>
      <c r="H38" s="93" t="s">
        <v>37</v>
      </c>
      <c r="I38" s="54"/>
      <c r="J38" s="55"/>
      <c r="K38" s="11"/>
      <c r="L38" s="53" t="str">
        <f t="shared" si="4"/>
        <v/>
      </c>
      <c r="M38" s="11">
        <v>103.43</v>
      </c>
      <c r="N38" s="11">
        <v>24.57</v>
      </c>
      <c r="O38" s="11">
        <v>12</v>
      </c>
      <c r="P38" s="11">
        <v>1.44</v>
      </c>
      <c r="Q38" s="11">
        <v>5</v>
      </c>
      <c r="R38" s="11">
        <v>5</v>
      </c>
      <c r="S38" s="11"/>
      <c r="T38" s="11"/>
      <c r="U38" s="11">
        <v>280</v>
      </c>
      <c r="V38" s="56" t="s">
        <v>1698</v>
      </c>
      <c r="W38" s="35" t="str">
        <f t="shared" si="2"/>
        <v>OK</v>
      </c>
      <c r="X38" s="38" t="str">
        <f t="shared" si="5"/>
        <v/>
      </c>
      <c r="Y38" s="3"/>
      <c r="Z38" s="116"/>
    </row>
    <row r="39" spans="1:26" ht="15.75" hidden="1" customHeight="1" outlineLevel="1" x14ac:dyDescent="0.3">
      <c r="A39" s="3"/>
      <c r="B39" s="99" t="s">
        <v>460</v>
      </c>
      <c r="C39" s="53">
        <v>10</v>
      </c>
      <c r="D39" s="53" t="s">
        <v>95</v>
      </c>
      <c r="E39" s="11">
        <f t="shared" si="8"/>
        <v>501.44</v>
      </c>
      <c r="F39" s="92">
        <f t="shared" si="11"/>
        <v>501.44</v>
      </c>
      <c r="G39" s="142"/>
      <c r="H39" s="54" t="s">
        <v>37</v>
      </c>
      <c r="I39" s="54"/>
      <c r="J39" s="55"/>
      <c r="K39" s="11"/>
      <c r="L39" s="53" t="str">
        <f t="shared" si="4"/>
        <v/>
      </c>
      <c r="M39" s="11">
        <v>103.43</v>
      </c>
      <c r="N39" s="11">
        <v>24.57</v>
      </c>
      <c r="O39" s="11">
        <v>12</v>
      </c>
      <c r="P39" s="11">
        <v>1.44</v>
      </c>
      <c r="Q39" s="11">
        <v>5</v>
      </c>
      <c r="R39" s="11">
        <v>5</v>
      </c>
      <c r="S39" s="11"/>
      <c r="T39" s="11"/>
      <c r="U39" s="11">
        <v>350</v>
      </c>
      <c r="V39" s="56" t="s">
        <v>1699</v>
      </c>
      <c r="W39" s="35" t="str">
        <f t="shared" si="2"/>
        <v>OK</v>
      </c>
      <c r="X39" s="38" t="str">
        <f t="shared" si="5"/>
        <v/>
      </c>
      <c r="Y39" s="3"/>
      <c r="Z39" s="116"/>
    </row>
    <row r="40" spans="1:26" ht="15.75" hidden="1" customHeight="1" outlineLevel="1" x14ac:dyDescent="0.3">
      <c r="A40" s="3"/>
      <c r="B40" s="99" t="s">
        <v>461</v>
      </c>
      <c r="C40" s="53">
        <v>10</v>
      </c>
      <c r="D40" s="53" t="s">
        <v>95</v>
      </c>
      <c r="E40" s="11">
        <f t="shared" si="8"/>
        <v>89.59</v>
      </c>
      <c r="F40" s="92">
        <f t="shared" si="11"/>
        <v>89.59</v>
      </c>
      <c r="G40" s="142"/>
      <c r="H40" s="54" t="s">
        <v>37</v>
      </c>
      <c r="I40" s="54"/>
      <c r="J40" s="55"/>
      <c r="K40" s="11"/>
      <c r="L40" s="53" t="str">
        <f t="shared" si="4"/>
        <v/>
      </c>
      <c r="M40" s="11">
        <v>31.58</v>
      </c>
      <c r="N40" s="11">
        <v>24.57</v>
      </c>
      <c r="O40" s="11">
        <v>12</v>
      </c>
      <c r="P40" s="11">
        <v>1.44</v>
      </c>
      <c r="Q40" s="11"/>
      <c r="R40" s="11"/>
      <c r="S40" s="11"/>
      <c r="T40" s="11"/>
      <c r="U40" s="11">
        <v>20</v>
      </c>
      <c r="V40" s="56" t="s">
        <v>1674</v>
      </c>
      <c r="W40" s="35" t="str">
        <f t="shared" si="2"/>
        <v>OK</v>
      </c>
      <c r="X40" s="38" t="str">
        <f t="shared" si="5"/>
        <v/>
      </c>
      <c r="Y40" s="3"/>
      <c r="Z40" s="116"/>
    </row>
    <row r="41" spans="1:26" ht="15.75" hidden="1" customHeight="1" outlineLevel="1" x14ac:dyDescent="0.3">
      <c r="A41" s="3"/>
      <c r="B41" s="99" t="s">
        <v>462</v>
      </c>
      <c r="C41" s="53">
        <v>18</v>
      </c>
      <c r="D41" s="53" t="s">
        <v>130</v>
      </c>
      <c r="E41" s="11">
        <v>356.62</v>
      </c>
      <c r="F41" s="92">
        <f>SUM(M41:U41)</f>
        <v>220</v>
      </c>
      <c r="G41" s="143" t="s">
        <v>1700</v>
      </c>
      <c r="H41" s="54" t="s">
        <v>37</v>
      </c>
      <c r="I41" s="54"/>
      <c r="J41" s="55"/>
      <c r="K41" s="11"/>
      <c r="L41" s="53">
        <f t="shared" si="4"/>
        <v>1</v>
      </c>
      <c r="M41" s="11">
        <v>151.99</v>
      </c>
      <c r="N41" s="11">
        <v>24.57</v>
      </c>
      <c r="O41" s="11">
        <v>12</v>
      </c>
      <c r="P41" s="11">
        <v>1.44</v>
      </c>
      <c r="Q41" s="11"/>
      <c r="R41" s="11">
        <v>5</v>
      </c>
      <c r="S41" s="11">
        <v>5</v>
      </c>
      <c r="T41" s="11"/>
      <c r="U41" s="11">
        <v>20</v>
      </c>
      <c r="V41" s="56" t="s">
        <v>1701</v>
      </c>
      <c r="W41" s="35" t="str">
        <f t="shared" si="2"/>
        <v>OK</v>
      </c>
      <c r="X41" s="38" t="str">
        <f t="shared" si="5"/>
        <v/>
      </c>
      <c r="Y41" s="3"/>
      <c r="Z41" s="116"/>
    </row>
    <row r="42" spans="1:26" ht="15.75" hidden="1" customHeight="1" outlineLevel="1" x14ac:dyDescent="0.3">
      <c r="A42" s="3"/>
      <c r="B42" s="99" t="s">
        <v>465</v>
      </c>
      <c r="C42" s="53"/>
      <c r="D42" s="53" t="s">
        <v>95</v>
      </c>
      <c r="E42" s="11">
        <f t="shared" ref="E42:E58" si="12">SUM(M42:U42)</f>
        <v>0</v>
      </c>
      <c r="F42" s="92"/>
      <c r="G42" s="142"/>
      <c r="H42" s="54"/>
      <c r="I42" s="54"/>
      <c r="J42" s="55"/>
      <c r="K42" s="11"/>
      <c r="L42" s="53" t="str">
        <f t="shared" si="4"/>
        <v/>
      </c>
      <c r="M42" s="11"/>
      <c r="N42" s="11"/>
      <c r="O42" s="11"/>
      <c r="P42" s="11"/>
      <c r="Q42" s="11"/>
      <c r="R42" s="11"/>
      <c r="S42" s="11"/>
      <c r="T42" s="11"/>
      <c r="U42" s="11"/>
      <c r="V42" s="56" t="s">
        <v>1682</v>
      </c>
      <c r="W42" s="35" t="str">
        <f t="shared" si="2"/>
        <v>OK</v>
      </c>
      <c r="X42" s="38" t="str">
        <f t="shared" si="5"/>
        <v/>
      </c>
      <c r="Y42" s="3"/>
      <c r="Z42" s="116"/>
    </row>
    <row r="43" spans="1:26" ht="15.75" hidden="1" customHeight="1" outlineLevel="1" x14ac:dyDescent="0.3">
      <c r="A43" s="3"/>
      <c r="B43" s="99" t="s">
        <v>466</v>
      </c>
      <c r="C43" s="53"/>
      <c r="D43" s="53" t="s">
        <v>95</v>
      </c>
      <c r="E43" s="11">
        <f t="shared" si="12"/>
        <v>0</v>
      </c>
      <c r="F43" s="92"/>
      <c r="G43" s="142"/>
      <c r="H43" s="54"/>
      <c r="I43" s="54"/>
      <c r="J43" s="55"/>
      <c r="K43" s="11"/>
      <c r="L43" s="53" t="str">
        <f t="shared" si="4"/>
        <v/>
      </c>
      <c r="M43" s="11"/>
      <c r="N43" s="11"/>
      <c r="O43" s="11"/>
      <c r="P43" s="11"/>
      <c r="Q43" s="11"/>
      <c r="R43" s="11"/>
      <c r="S43" s="11"/>
      <c r="T43" s="11"/>
      <c r="U43" s="11"/>
      <c r="V43" s="56" t="s">
        <v>1674</v>
      </c>
      <c r="W43" s="35" t="str">
        <f t="shared" si="2"/>
        <v>OK</v>
      </c>
      <c r="X43" s="38" t="str">
        <f t="shared" si="5"/>
        <v/>
      </c>
      <c r="Y43" s="3"/>
      <c r="Z43" s="116"/>
    </row>
    <row r="44" spans="1:26" ht="15.75" hidden="1" customHeight="1" outlineLevel="1" x14ac:dyDescent="0.3">
      <c r="A44" s="3"/>
      <c r="B44" s="99" t="s">
        <v>467</v>
      </c>
      <c r="C44" s="53">
        <v>9</v>
      </c>
      <c r="D44" s="53" t="s">
        <v>95</v>
      </c>
      <c r="E44" s="11">
        <f t="shared" si="12"/>
        <v>374.99</v>
      </c>
      <c r="F44" s="92">
        <f t="shared" ref="F44:F52" si="13">E44</f>
        <v>374.99</v>
      </c>
      <c r="G44" s="142"/>
      <c r="H44" s="54" t="s">
        <v>37</v>
      </c>
      <c r="I44" s="54"/>
      <c r="J44" s="55"/>
      <c r="K44" s="11"/>
      <c r="L44" s="53" t="str">
        <f t="shared" si="4"/>
        <v/>
      </c>
      <c r="M44" s="11">
        <v>118.98</v>
      </c>
      <c r="N44" s="11">
        <v>24.57</v>
      </c>
      <c r="O44" s="11">
        <v>12</v>
      </c>
      <c r="P44" s="11">
        <v>11.44</v>
      </c>
      <c r="Q44" s="11">
        <v>5</v>
      </c>
      <c r="R44" s="11">
        <v>10</v>
      </c>
      <c r="S44" s="11"/>
      <c r="T44" s="11"/>
      <c r="U44" s="11">
        <v>193</v>
      </c>
      <c r="V44" s="56" t="s">
        <v>1702</v>
      </c>
      <c r="W44" s="35" t="str">
        <f t="shared" si="2"/>
        <v>OK</v>
      </c>
      <c r="X44" s="38" t="str">
        <f t="shared" si="5"/>
        <v/>
      </c>
      <c r="Y44" s="3"/>
      <c r="Z44" s="116"/>
    </row>
    <row r="45" spans="1:26" ht="15.75" hidden="1" customHeight="1" outlineLevel="1" x14ac:dyDescent="0.3">
      <c r="A45" s="3"/>
      <c r="B45" s="99" t="s">
        <v>468</v>
      </c>
      <c r="C45" s="53">
        <v>9</v>
      </c>
      <c r="D45" s="53" t="s">
        <v>95</v>
      </c>
      <c r="E45" s="11">
        <f t="shared" si="12"/>
        <v>161.74</v>
      </c>
      <c r="F45" s="92">
        <f t="shared" si="13"/>
        <v>161.74</v>
      </c>
      <c r="G45" s="142"/>
      <c r="H45" s="54" t="s">
        <v>37</v>
      </c>
      <c r="I45" s="54"/>
      <c r="J45" s="55"/>
      <c r="K45" s="11"/>
      <c r="L45" s="53" t="str">
        <f t="shared" si="4"/>
        <v/>
      </c>
      <c r="M45" s="11">
        <v>55.73</v>
      </c>
      <c r="N45" s="11">
        <v>24.57</v>
      </c>
      <c r="O45" s="11">
        <v>12</v>
      </c>
      <c r="P45" s="11">
        <v>1.44</v>
      </c>
      <c r="Q45" s="11"/>
      <c r="R45" s="11"/>
      <c r="S45" s="11"/>
      <c r="T45" s="11"/>
      <c r="U45" s="11">
        <v>68</v>
      </c>
      <c r="V45" s="56" t="s">
        <v>1703</v>
      </c>
      <c r="W45" s="35" t="str">
        <f t="shared" si="2"/>
        <v>OK</v>
      </c>
      <c r="X45" s="38" t="str">
        <f t="shared" si="5"/>
        <v/>
      </c>
      <c r="Y45" s="3"/>
      <c r="Z45" s="116"/>
    </row>
    <row r="46" spans="1:26" ht="15.75" hidden="1" customHeight="1" outlineLevel="1" x14ac:dyDescent="0.3">
      <c r="A46" s="3"/>
      <c r="B46" s="99" t="s">
        <v>469</v>
      </c>
      <c r="C46" s="53">
        <v>15</v>
      </c>
      <c r="D46" s="53" t="s">
        <v>95</v>
      </c>
      <c r="E46" s="11">
        <f t="shared" si="12"/>
        <v>254.76</v>
      </c>
      <c r="F46" s="92">
        <f t="shared" si="13"/>
        <v>254.76</v>
      </c>
      <c r="G46" s="142"/>
      <c r="H46" s="54" t="s">
        <v>37</v>
      </c>
      <c r="I46" s="54"/>
      <c r="J46" s="55"/>
      <c r="K46" s="11"/>
      <c r="L46" s="53">
        <f t="shared" si="4"/>
        <v>1</v>
      </c>
      <c r="M46" s="11">
        <v>58.19</v>
      </c>
      <c r="N46" s="11">
        <v>24.57</v>
      </c>
      <c r="O46" s="11">
        <v>12</v>
      </c>
      <c r="P46" s="11" t="s">
        <v>44</v>
      </c>
      <c r="Q46" s="11" t="s">
        <v>44</v>
      </c>
      <c r="R46" s="11" t="s">
        <v>44</v>
      </c>
      <c r="S46" s="11" t="s">
        <v>44</v>
      </c>
      <c r="T46" s="11"/>
      <c r="U46" s="11">
        <v>160</v>
      </c>
      <c r="V46" s="56" t="s">
        <v>1704</v>
      </c>
      <c r="W46" s="35" t="str">
        <f t="shared" si="2"/>
        <v>OK</v>
      </c>
      <c r="X46" s="38" t="str">
        <f t="shared" si="5"/>
        <v/>
      </c>
      <c r="Y46" s="3"/>
      <c r="Z46" s="116"/>
    </row>
    <row r="47" spans="1:26" ht="15.75" hidden="1" customHeight="1" outlineLevel="1" x14ac:dyDescent="0.3">
      <c r="A47" s="3"/>
      <c r="B47" s="99" t="s">
        <v>470</v>
      </c>
      <c r="C47" s="53">
        <v>15</v>
      </c>
      <c r="D47" s="53" t="s">
        <v>95</v>
      </c>
      <c r="E47" s="11">
        <f t="shared" si="12"/>
        <v>90.45</v>
      </c>
      <c r="F47" s="92">
        <f t="shared" si="13"/>
        <v>90.45</v>
      </c>
      <c r="G47" s="142"/>
      <c r="H47" s="54" t="s">
        <v>37</v>
      </c>
      <c r="I47" s="54"/>
      <c r="J47" s="55"/>
      <c r="K47" s="11"/>
      <c r="L47" s="53">
        <f t="shared" si="4"/>
        <v>1</v>
      </c>
      <c r="M47" s="11">
        <v>33.880000000000003</v>
      </c>
      <c r="N47" s="11">
        <v>24.57</v>
      </c>
      <c r="O47" s="11">
        <v>12</v>
      </c>
      <c r="P47" s="11" t="s">
        <v>44</v>
      </c>
      <c r="Q47" s="11"/>
      <c r="R47" s="11" t="s">
        <v>44</v>
      </c>
      <c r="S47" s="11"/>
      <c r="T47" s="11"/>
      <c r="U47" s="11">
        <v>20</v>
      </c>
      <c r="V47" s="56" t="s">
        <v>1674</v>
      </c>
      <c r="W47" s="35" t="str">
        <f t="shared" si="2"/>
        <v>OK</v>
      </c>
      <c r="X47" s="38" t="str">
        <f t="shared" si="5"/>
        <v/>
      </c>
      <c r="Y47" s="3"/>
      <c r="Z47" s="116"/>
    </row>
    <row r="48" spans="1:26" ht="15.75" hidden="1" customHeight="1" outlineLevel="1" x14ac:dyDescent="0.3">
      <c r="A48" s="3"/>
      <c r="B48" s="99" t="s">
        <v>471</v>
      </c>
      <c r="C48" s="53">
        <v>24</v>
      </c>
      <c r="D48" s="53" t="s">
        <v>95</v>
      </c>
      <c r="E48" s="11">
        <f t="shared" si="12"/>
        <v>228.31</v>
      </c>
      <c r="F48" s="92">
        <f t="shared" si="13"/>
        <v>228.31</v>
      </c>
      <c r="G48" s="142"/>
      <c r="H48" s="54" t="s">
        <v>37</v>
      </c>
      <c r="I48" s="54"/>
      <c r="J48" s="55"/>
      <c r="K48" s="11"/>
      <c r="L48" s="53">
        <f t="shared" si="4"/>
        <v>1</v>
      </c>
      <c r="M48" s="11">
        <v>93.62</v>
      </c>
      <c r="N48" s="11">
        <v>24.57</v>
      </c>
      <c r="O48" s="11">
        <v>12</v>
      </c>
      <c r="P48" s="11">
        <v>1.5</v>
      </c>
      <c r="Q48" s="11"/>
      <c r="R48" s="11"/>
      <c r="S48" s="11">
        <v>10</v>
      </c>
      <c r="T48" s="11"/>
      <c r="U48" s="11">
        <v>86.62</v>
      </c>
      <c r="V48" s="56" t="s">
        <v>1705</v>
      </c>
      <c r="W48" s="35" t="str">
        <f t="shared" si="2"/>
        <v>OK</v>
      </c>
      <c r="X48" s="38" t="str">
        <f t="shared" si="5"/>
        <v/>
      </c>
      <c r="Y48" s="3"/>
      <c r="Z48" s="116"/>
    </row>
    <row r="49" spans="1:26" ht="15.75" hidden="1" customHeight="1" outlineLevel="1" x14ac:dyDescent="0.3">
      <c r="A49" s="3"/>
      <c r="B49" s="99" t="s">
        <v>473</v>
      </c>
      <c r="C49" s="53">
        <v>24</v>
      </c>
      <c r="D49" s="53" t="s">
        <v>95</v>
      </c>
      <c r="E49" s="11">
        <f t="shared" si="12"/>
        <v>151.69</v>
      </c>
      <c r="F49" s="92">
        <f t="shared" si="13"/>
        <v>151.69</v>
      </c>
      <c r="G49" s="142"/>
      <c r="H49" s="54" t="s">
        <v>37</v>
      </c>
      <c r="I49" s="54"/>
      <c r="J49" s="55"/>
      <c r="K49" s="11"/>
      <c r="L49" s="53">
        <f t="shared" si="4"/>
        <v>1</v>
      </c>
      <c r="M49" s="11">
        <v>93.62</v>
      </c>
      <c r="N49" s="11">
        <v>24.57</v>
      </c>
      <c r="O49" s="11">
        <v>12</v>
      </c>
      <c r="P49" s="11">
        <v>1.5</v>
      </c>
      <c r="Q49" s="11"/>
      <c r="R49" s="11"/>
      <c r="S49" s="11"/>
      <c r="T49" s="11"/>
      <c r="U49" s="11">
        <v>20</v>
      </c>
      <c r="V49" s="56" t="s">
        <v>1674</v>
      </c>
      <c r="W49" s="35" t="str">
        <f t="shared" si="2"/>
        <v>OK</v>
      </c>
      <c r="X49" s="38" t="str">
        <f t="shared" si="5"/>
        <v/>
      </c>
      <c r="Y49" s="3"/>
      <c r="Z49" s="116"/>
    </row>
    <row r="50" spans="1:26" ht="15.75" hidden="1" customHeight="1" outlineLevel="1" x14ac:dyDescent="0.3">
      <c r="A50" s="3"/>
      <c r="B50" s="99" t="s">
        <v>474</v>
      </c>
      <c r="C50" s="53">
        <v>10</v>
      </c>
      <c r="D50" s="53" t="s">
        <v>95</v>
      </c>
      <c r="E50" s="11">
        <f t="shared" si="12"/>
        <v>352.44</v>
      </c>
      <c r="F50" s="92">
        <f t="shared" si="13"/>
        <v>352.44</v>
      </c>
      <c r="G50" s="142"/>
      <c r="H50" s="54" t="s">
        <v>37</v>
      </c>
      <c r="I50" s="54"/>
      <c r="J50" s="55"/>
      <c r="K50" s="11"/>
      <c r="L50" s="53" t="str">
        <f t="shared" si="4"/>
        <v/>
      </c>
      <c r="M50" s="11">
        <v>139.43</v>
      </c>
      <c r="N50" s="11">
        <v>24.57</v>
      </c>
      <c r="O50" s="11">
        <v>12</v>
      </c>
      <c r="P50" s="11">
        <v>1.44</v>
      </c>
      <c r="Q50" s="11">
        <v>5</v>
      </c>
      <c r="R50" s="11"/>
      <c r="S50" s="11"/>
      <c r="T50" s="11"/>
      <c r="U50" s="11">
        <v>170</v>
      </c>
      <c r="V50" s="56" t="s">
        <v>1690</v>
      </c>
      <c r="W50" s="35" t="str">
        <f t="shared" si="2"/>
        <v>OK</v>
      </c>
      <c r="X50" s="38" t="str">
        <f t="shared" si="5"/>
        <v/>
      </c>
      <c r="Y50" s="3"/>
      <c r="Z50" s="116"/>
    </row>
    <row r="51" spans="1:26" ht="15.75" hidden="1" customHeight="1" outlineLevel="1" x14ac:dyDescent="0.3">
      <c r="A51" s="3"/>
      <c r="B51" s="99" t="s">
        <v>475</v>
      </c>
      <c r="C51" s="53">
        <v>9</v>
      </c>
      <c r="D51" s="53" t="s">
        <v>95</v>
      </c>
      <c r="E51" s="11">
        <f t="shared" si="12"/>
        <v>432.58</v>
      </c>
      <c r="F51" s="92">
        <f t="shared" si="13"/>
        <v>432.58</v>
      </c>
      <c r="G51" s="142"/>
      <c r="H51" s="54" t="s">
        <v>39</v>
      </c>
      <c r="I51" s="54"/>
      <c r="J51" s="55"/>
      <c r="K51" s="11"/>
      <c r="L51" s="53" t="str">
        <f t="shared" si="4"/>
        <v/>
      </c>
      <c r="M51" s="11">
        <f>98.28*2</f>
        <v>196.56</v>
      </c>
      <c r="N51" s="11">
        <f>24.57*2</f>
        <v>49.14</v>
      </c>
      <c r="O51" s="11">
        <v>24</v>
      </c>
      <c r="P51" s="11">
        <v>2.88</v>
      </c>
      <c r="Q51" s="11"/>
      <c r="R51" s="11">
        <v>20</v>
      </c>
      <c r="S51" s="11"/>
      <c r="T51" s="11">
        <v>100</v>
      </c>
      <c r="U51" s="11">
        <v>40</v>
      </c>
      <c r="V51" s="56" t="s">
        <v>1674</v>
      </c>
      <c r="W51" s="35" t="str">
        <f t="shared" si="2"/>
        <v>OK</v>
      </c>
      <c r="X51" s="38" t="str">
        <f t="shared" si="5"/>
        <v/>
      </c>
      <c r="Y51" s="3"/>
      <c r="Z51" s="116"/>
    </row>
    <row r="52" spans="1:26" ht="15.75" hidden="1" customHeight="1" outlineLevel="1" x14ac:dyDescent="0.3">
      <c r="A52" s="3"/>
      <c r="B52" s="99" t="s">
        <v>477</v>
      </c>
      <c r="C52" s="53">
        <v>22</v>
      </c>
      <c r="D52" s="53" t="s">
        <v>95</v>
      </c>
      <c r="E52" s="11">
        <f t="shared" si="12"/>
        <v>487.58</v>
      </c>
      <c r="F52" s="92">
        <f t="shared" si="13"/>
        <v>487.58</v>
      </c>
      <c r="G52" s="142"/>
      <c r="H52" s="54" t="s">
        <v>37</v>
      </c>
      <c r="I52" s="54"/>
      <c r="J52" s="55"/>
      <c r="K52" s="11"/>
      <c r="L52" s="53">
        <f t="shared" si="4"/>
        <v>1</v>
      </c>
      <c r="M52" s="11">
        <f t="shared" ref="M52:N52" si="14">M51</f>
        <v>196.56</v>
      </c>
      <c r="N52" s="11">
        <f t="shared" si="14"/>
        <v>49.14</v>
      </c>
      <c r="O52" s="11">
        <v>24</v>
      </c>
      <c r="P52" s="11">
        <v>2.88</v>
      </c>
      <c r="Q52" s="11"/>
      <c r="R52" s="11">
        <v>20</v>
      </c>
      <c r="S52" s="11"/>
      <c r="T52" s="11">
        <v>100</v>
      </c>
      <c r="U52" s="11">
        <v>95</v>
      </c>
      <c r="V52" s="80" t="s">
        <v>1674</v>
      </c>
      <c r="W52" s="35" t="str">
        <f t="shared" si="2"/>
        <v>OK</v>
      </c>
      <c r="X52" s="38" t="str">
        <f t="shared" si="5"/>
        <v/>
      </c>
      <c r="Y52" s="3"/>
      <c r="Z52" s="116"/>
    </row>
    <row r="53" spans="1:26" ht="15.75" hidden="1" customHeight="1" outlineLevel="1" x14ac:dyDescent="0.3">
      <c r="A53" s="3"/>
      <c r="B53" s="99" t="s">
        <v>478</v>
      </c>
      <c r="C53" s="53"/>
      <c r="D53" s="53" t="s">
        <v>105</v>
      </c>
      <c r="E53" s="11">
        <f t="shared" si="12"/>
        <v>109</v>
      </c>
      <c r="F53" s="92"/>
      <c r="G53" s="142"/>
      <c r="H53" s="54"/>
      <c r="I53" s="54"/>
      <c r="J53" s="55"/>
      <c r="K53" s="11"/>
      <c r="L53" s="53" t="str">
        <f t="shared" si="4"/>
        <v/>
      </c>
      <c r="M53" s="11">
        <v>13.93</v>
      </c>
      <c r="N53" s="11">
        <v>24.57</v>
      </c>
      <c r="O53" s="11">
        <v>12</v>
      </c>
      <c r="P53" s="11">
        <v>1.5</v>
      </c>
      <c r="Q53" s="11">
        <v>5</v>
      </c>
      <c r="R53" s="11"/>
      <c r="S53" s="11"/>
      <c r="T53" s="11"/>
      <c r="U53" s="11">
        <v>52</v>
      </c>
      <c r="V53" s="56" t="s">
        <v>1706</v>
      </c>
      <c r="W53" s="35" t="str">
        <f t="shared" si="2"/>
        <v>Diferente</v>
      </c>
      <c r="X53" s="38">
        <f t="shared" si="5"/>
        <v>-109</v>
      </c>
      <c r="Y53" s="3"/>
      <c r="Z53" s="116"/>
    </row>
    <row r="54" spans="1:26" ht="15.75" hidden="1" customHeight="1" outlineLevel="1" x14ac:dyDescent="0.3">
      <c r="A54" s="3"/>
      <c r="B54" s="99" t="s">
        <v>479</v>
      </c>
      <c r="C54" s="53">
        <v>5</v>
      </c>
      <c r="D54" s="53" t="s">
        <v>95</v>
      </c>
      <c r="E54" s="11">
        <f t="shared" si="12"/>
        <v>282.12</v>
      </c>
      <c r="F54" s="92">
        <f t="shared" ref="F54:F55" si="15">E54</f>
        <v>282.12</v>
      </c>
      <c r="G54" s="142"/>
      <c r="H54" s="54" t="s">
        <v>37</v>
      </c>
      <c r="I54" s="54"/>
      <c r="J54" s="55"/>
      <c r="K54" s="11"/>
      <c r="L54" s="53" t="str">
        <f t="shared" si="4"/>
        <v/>
      </c>
      <c r="M54" s="11">
        <v>93.43</v>
      </c>
      <c r="N54" s="11">
        <v>24.57</v>
      </c>
      <c r="O54" s="11">
        <v>12</v>
      </c>
      <c r="P54" s="11">
        <v>1.5</v>
      </c>
      <c r="Q54" s="11"/>
      <c r="R54" s="11">
        <v>0</v>
      </c>
      <c r="S54" s="11">
        <v>4</v>
      </c>
      <c r="T54" s="11">
        <v>5</v>
      </c>
      <c r="U54" s="11">
        <v>141.62</v>
      </c>
      <c r="V54" s="56" t="s">
        <v>1707</v>
      </c>
      <c r="W54" s="35" t="str">
        <f t="shared" si="2"/>
        <v>OK</v>
      </c>
      <c r="X54" s="38" t="str">
        <f t="shared" si="5"/>
        <v/>
      </c>
      <c r="Y54" s="3"/>
      <c r="Z54" s="116"/>
    </row>
    <row r="55" spans="1:26" ht="21" hidden="1" customHeight="1" outlineLevel="1" x14ac:dyDescent="0.3">
      <c r="A55" s="3"/>
      <c r="B55" s="99" t="s">
        <v>480</v>
      </c>
      <c r="C55" s="53">
        <v>5</v>
      </c>
      <c r="D55" s="53" t="s">
        <v>95</v>
      </c>
      <c r="E55" s="11">
        <f t="shared" si="12"/>
        <v>204.5</v>
      </c>
      <c r="F55" s="92">
        <f t="shared" si="15"/>
        <v>204.5</v>
      </c>
      <c r="G55" s="142"/>
      <c r="H55" s="54" t="s">
        <v>37</v>
      </c>
      <c r="I55" s="54"/>
      <c r="J55" s="55"/>
      <c r="K55" s="11"/>
      <c r="L55" s="53" t="str">
        <f t="shared" si="4"/>
        <v/>
      </c>
      <c r="M55" s="11">
        <v>93.43</v>
      </c>
      <c r="N55" s="11">
        <v>24.57</v>
      </c>
      <c r="O55" s="11">
        <v>12</v>
      </c>
      <c r="P55" s="11">
        <v>1.5</v>
      </c>
      <c r="Q55" s="11"/>
      <c r="R55" s="11">
        <v>0</v>
      </c>
      <c r="S55" s="11">
        <v>3</v>
      </c>
      <c r="T55" s="11">
        <v>5</v>
      </c>
      <c r="U55" s="11">
        <v>65</v>
      </c>
      <c r="V55" s="56" t="s">
        <v>1708</v>
      </c>
      <c r="W55" s="35" t="str">
        <f t="shared" si="2"/>
        <v>OK</v>
      </c>
      <c r="X55" s="38" t="str">
        <f t="shared" si="5"/>
        <v/>
      </c>
      <c r="Y55" s="3"/>
      <c r="Z55" s="116"/>
    </row>
    <row r="56" spans="1:26" ht="21" hidden="1" customHeight="1" outlineLevel="1" x14ac:dyDescent="0.3">
      <c r="A56" s="3"/>
      <c r="B56" s="99" t="s">
        <v>482</v>
      </c>
      <c r="C56" s="53"/>
      <c r="D56" s="53" t="s">
        <v>105</v>
      </c>
      <c r="E56" s="11">
        <f t="shared" si="12"/>
        <v>102.37</v>
      </c>
      <c r="F56" s="92"/>
      <c r="G56" s="142"/>
      <c r="H56" s="54"/>
      <c r="I56" s="54"/>
      <c r="J56" s="55"/>
      <c r="K56" s="11"/>
      <c r="L56" s="53" t="str">
        <f t="shared" si="4"/>
        <v/>
      </c>
      <c r="M56" s="11">
        <v>19.36</v>
      </c>
      <c r="N56" s="11">
        <v>24.57</v>
      </c>
      <c r="O56" s="11">
        <v>12</v>
      </c>
      <c r="P56" s="11">
        <v>1.44</v>
      </c>
      <c r="Q56" s="11">
        <v>5</v>
      </c>
      <c r="R56" s="11"/>
      <c r="S56" s="11"/>
      <c r="T56" s="11"/>
      <c r="U56" s="11">
        <v>40</v>
      </c>
      <c r="V56" s="56" t="s">
        <v>1688</v>
      </c>
      <c r="W56" s="35" t="str">
        <f t="shared" si="2"/>
        <v>Diferente</v>
      </c>
      <c r="X56" s="38">
        <f t="shared" si="5"/>
        <v>-102.37</v>
      </c>
      <c r="Y56" s="3"/>
      <c r="Z56" s="116"/>
    </row>
    <row r="57" spans="1:26" ht="15.75" hidden="1" customHeight="1" outlineLevel="1" x14ac:dyDescent="0.3">
      <c r="A57" s="3"/>
      <c r="B57" s="99" t="s">
        <v>483</v>
      </c>
      <c r="C57" s="53">
        <v>9</v>
      </c>
      <c r="D57" s="53" t="s">
        <v>95</v>
      </c>
      <c r="E57" s="11">
        <f t="shared" si="12"/>
        <v>218.47</v>
      </c>
      <c r="F57" s="92">
        <f t="shared" ref="F57:F58" si="16">E57</f>
        <v>218.47</v>
      </c>
      <c r="G57" s="142"/>
      <c r="H57" s="54" t="s">
        <v>37</v>
      </c>
      <c r="I57" s="54"/>
      <c r="J57" s="55"/>
      <c r="K57" s="11"/>
      <c r="L57" s="53" t="str">
        <f t="shared" si="4"/>
        <v/>
      </c>
      <c r="M57" s="11">
        <v>0</v>
      </c>
      <c r="N57" s="11">
        <v>24.57</v>
      </c>
      <c r="O57" s="11">
        <v>12</v>
      </c>
      <c r="P57" s="11">
        <v>0</v>
      </c>
      <c r="Q57" s="11">
        <v>0</v>
      </c>
      <c r="R57" s="11"/>
      <c r="S57" s="11"/>
      <c r="T57" s="11"/>
      <c r="U57" s="11">
        <v>181.9</v>
      </c>
      <c r="V57" s="56" t="s">
        <v>1709</v>
      </c>
      <c r="W57" s="35" t="str">
        <f t="shared" si="2"/>
        <v>OK</v>
      </c>
      <c r="X57" s="38" t="str">
        <f t="shared" si="5"/>
        <v/>
      </c>
      <c r="Y57" s="3"/>
      <c r="Z57" s="116"/>
    </row>
    <row r="58" spans="1:26" ht="15.75" hidden="1" customHeight="1" outlineLevel="1" x14ac:dyDescent="0.3">
      <c r="A58" s="3"/>
      <c r="B58" s="99" t="s">
        <v>484</v>
      </c>
      <c r="C58" s="53">
        <v>9</v>
      </c>
      <c r="D58" s="53" t="s">
        <v>95</v>
      </c>
      <c r="E58" s="11">
        <f t="shared" si="12"/>
        <v>56.57</v>
      </c>
      <c r="F58" s="92">
        <f t="shared" si="16"/>
        <v>56.57</v>
      </c>
      <c r="G58" s="142"/>
      <c r="H58" s="54" t="s">
        <v>37</v>
      </c>
      <c r="I58" s="54"/>
      <c r="J58" s="55"/>
      <c r="K58" s="11"/>
      <c r="L58" s="53" t="str">
        <f t="shared" si="4"/>
        <v/>
      </c>
      <c r="M58" s="11">
        <v>0</v>
      </c>
      <c r="N58" s="11">
        <v>24.57</v>
      </c>
      <c r="O58" s="11">
        <v>12</v>
      </c>
      <c r="P58" s="11">
        <v>0</v>
      </c>
      <c r="Q58" s="11">
        <v>0</v>
      </c>
      <c r="R58" s="11"/>
      <c r="S58" s="11"/>
      <c r="T58" s="11"/>
      <c r="U58" s="11">
        <v>20</v>
      </c>
      <c r="V58" s="56" t="s">
        <v>1674</v>
      </c>
      <c r="W58" s="35" t="str">
        <f t="shared" si="2"/>
        <v>OK</v>
      </c>
      <c r="X58" s="38" t="str">
        <f t="shared" si="5"/>
        <v/>
      </c>
      <c r="Y58" s="3"/>
      <c r="Z58" s="116"/>
    </row>
    <row r="59" spans="1:26" ht="15.75" hidden="1" customHeight="1" outlineLevel="1" x14ac:dyDescent="0.3">
      <c r="A59" s="3"/>
      <c r="B59" s="99" t="s">
        <v>485</v>
      </c>
      <c r="C59" s="53">
        <v>12</v>
      </c>
      <c r="D59" s="53" t="s">
        <v>95</v>
      </c>
      <c r="E59" s="11">
        <v>194</v>
      </c>
      <c r="F59" s="92">
        <f t="shared" ref="F59:F60" si="17">SUM(M59:U59)</f>
        <v>316</v>
      </c>
      <c r="G59" s="142" t="s">
        <v>1686</v>
      </c>
      <c r="H59" s="54" t="s">
        <v>37</v>
      </c>
      <c r="I59" s="54"/>
      <c r="J59" s="55"/>
      <c r="K59" s="11"/>
      <c r="L59" s="53" t="str">
        <f t="shared" si="4"/>
        <v/>
      </c>
      <c r="M59" s="11">
        <f>61.99+122</f>
        <v>183.99</v>
      </c>
      <c r="N59" s="11">
        <v>24.57</v>
      </c>
      <c r="O59" s="11">
        <v>12</v>
      </c>
      <c r="P59" s="11">
        <v>1.44</v>
      </c>
      <c r="Q59" s="11"/>
      <c r="R59" s="11"/>
      <c r="S59" s="11"/>
      <c r="T59" s="11"/>
      <c r="U59" s="11">
        <v>94</v>
      </c>
      <c r="V59" s="56" t="s">
        <v>1710</v>
      </c>
      <c r="W59" s="35" t="str">
        <f t="shared" si="2"/>
        <v>OK</v>
      </c>
      <c r="X59" s="38" t="str">
        <f t="shared" si="5"/>
        <v/>
      </c>
      <c r="Y59" s="3"/>
      <c r="Z59" s="116"/>
    </row>
    <row r="60" spans="1:26" ht="15.75" hidden="1" customHeight="1" outlineLevel="1" x14ac:dyDescent="0.3">
      <c r="A60" s="3"/>
      <c r="B60" s="99" t="s">
        <v>489</v>
      </c>
      <c r="C60" s="53">
        <v>18</v>
      </c>
      <c r="D60" s="53" t="s">
        <v>130</v>
      </c>
      <c r="E60" s="11">
        <v>228.07</v>
      </c>
      <c r="F60" s="92">
        <f t="shared" si="17"/>
        <v>138.07</v>
      </c>
      <c r="G60" s="143" t="s">
        <v>1700</v>
      </c>
      <c r="H60" s="54" t="s">
        <v>37</v>
      </c>
      <c r="I60" s="54"/>
      <c r="J60" s="55"/>
      <c r="K60" s="11"/>
      <c r="L60" s="53">
        <f t="shared" si="4"/>
        <v>1</v>
      </c>
      <c r="M60" s="11">
        <v>100</v>
      </c>
      <c r="N60" s="11">
        <v>24.57</v>
      </c>
      <c r="O60" s="11">
        <v>12</v>
      </c>
      <c r="P60" s="11">
        <v>1.5</v>
      </c>
      <c r="Q60" s="11"/>
      <c r="R60" s="11"/>
      <c r="S60" s="11"/>
      <c r="T60" s="11"/>
      <c r="U60" s="11"/>
      <c r="V60" s="56" t="s">
        <v>1711</v>
      </c>
      <c r="W60" s="35" t="str">
        <f t="shared" si="2"/>
        <v>OK</v>
      </c>
      <c r="X60" s="38" t="str">
        <f t="shared" si="5"/>
        <v/>
      </c>
      <c r="Y60" s="3"/>
      <c r="Z60" s="116"/>
    </row>
    <row r="61" spans="1:26" ht="15.75" hidden="1" customHeight="1" outlineLevel="1" x14ac:dyDescent="0.3">
      <c r="A61" s="3"/>
      <c r="B61" s="99" t="s">
        <v>1422</v>
      </c>
      <c r="C61" s="53">
        <v>9</v>
      </c>
      <c r="D61" s="53" t="s">
        <v>95</v>
      </c>
      <c r="E61" s="11">
        <f t="shared" ref="E61:E64" si="18">SUM(M61:U61)</f>
        <v>469.44</v>
      </c>
      <c r="F61" s="92">
        <f t="shared" ref="F61:F64" si="19">E61</f>
        <v>469.44</v>
      </c>
      <c r="G61" s="142"/>
      <c r="H61" s="54" t="s">
        <v>37</v>
      </c>
      <c r="I61" s="54"/>
      <c r="J61" s="55"/>
      <c r="K61" s="11"/>
      <c r="L61" s="53" t="str">
        <f t="shared" si="4"/>
        <v/>
      </c>
      <c r="M61" s="11">
        <v>122.25</v>
      </c>
      <c r="N61" s="11">
        <v>24.57</v>
      </c>
      <c r="O61" s="11">
        <v>12</v>
      </c>
      <c r="P61" s="11">
        <v>10</v>
      </c>
      <c r="Q61" s="11">
        <v>5</v>
      </c>
      <c r="R61" s="11">
        <v>5</v>
      </c>
      <c r="S61" s="11">
        <v>15</v>
      </c>
      <c r="T61" s="11">
        <v>25</v>
      </c>
      <c r="U61" s="11">
        <v>250.62</v>
      </c>
      <c r="V61" s="56" t="s">
        <v>1712</v>
      </c>
      <c r="W61" s="35" t="str">
        <f t="shared" si="2"/>
        <v>OK</v>
      </c>
      <c r="X61" s="38" t="str">
        <f t="shared" si="5"/>
        <v/>
      </c>
      <c r="Y61" s="3"/>
      <c r="Z61" s="116"/>
    </row>
    <row r="62" spans="1:26" ht="15.75" hidden="1" customHeight="1" outlineLevel="1" x14ac:dyDescent="0.3">
      <c r="A62" s="3"/>
      <c r="B62" s="99" t="s">
        <v>491</v>
      </c>
      <c r="C62" s="53">
        <v>9</v>
      </c>
      <c r="D62" s="53" t="s">
        <v>95</v>
      </c>
      <c r="E62" s="11">
        <f t="shared" si="18"/>
        <v>338.82</v>
      </c>
      <c r="F62" s="92">
        <f t="shared" si="19"/>
        <v>338.82</v>
      </c>
      <c r="G62" s="142"/>
      <c r="H62" s="54" t="s">
        <v>37</v>
      </c>
      <c r="I62" s="54"/>
      <c r="J62" s="55"/>
      <c r="K62" s="11"/>
      <c r="L62" s="53" t="str">
        <f t="shared" si="4"/>
        <v/>
      </c>
      <c r="M62" s="11">
        <v>122.25</v>
      </c>
      <c r="N62" s="11">
        <v>24.57</v>
      </c>
      <c r="O62" s="11">
        <v>12</v>
      </c>
      <c r="P62" s="11">
        <v>10</v>
      </c>
      <c r="Q62" s="11">
        <v>5</v>
      </c>
      <c r="R62" s="11">
        <v>5</v>
      </c>
      <c r="S62" s="11">
        <v>15</v>
      </c>
      <c r="T62" s="11">
        <v>25</v>
      </c>
      <c r="U62" s="11">
        <v>120</v>
      </c>
      <c r="V62" s="56" t="s">
        <v>1713</v>
      </c>
      <c r="W62" s="35" t="str">
        <f t="shared" si="2"/>
        <v>OK</v>
      </c>
      <c r="X62" s="38" t="str">
        <f t="shared" si="5"/>
        <v/>
      </c>
      <c r="Y62" s="3"/>
      <c r="Z62" s="116"/>
    </row>
    <row r="63" spans="1:26" ht="15.75" hidden="1" customHeight="1" outlineLevel="1" x14ac:dyDescent="0.3">
      <c r="A63" s="3"/>
      <c r="B63" s="99" t="s">
        <v>492</v>
      </c>
      <c r="C63" s="53">
        <v>5</v>
      </c>
      <c r="D63" s="53" t="s">
        <v>95</v>
      </c>
      <c r="E63" s="11">
        <f t="shared" si="18"/>
        <v>406.44</v>
      </c>
      <c r="F63" s="92">
        <f t="shared" si="19"/>
        <v>406.44</v>
      </c>
      <c r="G63" s="142"/>
      <c r="H63" s="54" t="s">
        <v>37</v>
      </c>
      <c r="I63" s="54"/>
      <c r="J63" s="55"/>
      <c r="K63" s="11"/>
      <c r="L63" s="53" t="str">
        <f t="shared" si="4"/>
        <v/>
      </c>
      <c r="M63" s="11">
        <v>113.43</v>
      </c>
      <c r="N63" s="11">
        <v>24.57</v>
      </c>
      <c r="O63" s="11">
        <v>12</v>
      </c>
      <c r="P63" s="11">
        <v>1.44</v>
      </c>
      <c r="Q63" s="11">
        <v>5</v>
      </c>
      <c r="R63" s="11">
        <v>20</v>
      </c>
      <c r="S63" s="11">
        <v>5</v>
      </c>
      <c r="T63" s="11"/>
      <c r="U63" s="11">
        <v>225</v>
      </c>
      <c r="V63" s="56" t="s">
        <v>1714</v>
      </c>
      <c r="W63" s="35" t="str">
        <f t="shared" si="2"/>
        <v>OK</v>
      </c>
      <c r="X63" s="38" t="str">
        <f t="shared" si="5"/>
        <v/>
      </c>
      <c r="Y63" s="3"/>
      <c r="Z63" s="116"/>
    </row>
    <row r="64" spans="1:26" ht="15.75" hidden="1" customHeight="1" outlineLevel="1" x14ac:dyDescent="0.3">
      <c r="A64" s="3"/>
      <c r="B64" s="99" t="s">
        <v>494</v>
      </c>
      <c r="C64" s="53">
        <v>10</v>
      </c>
      <c r="D64" s="53" t="s">
        <v>95</v>
      </c>
      <c r="E64" s="11">
        <f t="shared" si="18"/>
        <v>270</v>
      </c>
      <c r="F64" s="92">
        <f t="shared" si="19"/>
        <v>270</v>
      </c>
      <c r="G64" s="142"/>
      <c r="H64" s="54" t="s">
        <v>37</v>
      </c>
      <c r="I64" s="54"/>
      <c r="J64" s="55"/>
      <c r="K64" s="11"/>
      <c r="L64" s="53" t="str">
        <f t="shared" si="4"/>
        <v/>
      </c>
      <c r="M64" s="11">
        <v>81.93</v>
      </c>
      <c r="N64" s="11">
        <v>24.57</v>
      </c>
      <c r="O64" s="11">
        <v>12</v>
      </c>
      <c r="P64" s="11">
        <v>1.5</v>
      </c>
      <c r="Q64" s="11"/>
      <c r="R64" s="11"/>
      <c r="S64" s="11"/>
      <c r="T64" s="11"/>
      <c r="U64" s="11">
        <v>150</v>
      </c>
      <c r="V64" s="56" t="s">
        <v>1715</v>
      </c>
      <c r="W64" s="35" t="str">
        <f t="shared" si="2"/>
        <v>OK</v>
      </c>
      <c r="X64" s="38" t="str">
        <f t="shared" si="5"/>
        <v/>
      </c>
      <c r="Y64" s="3"/>
      <c r="Z64" s="116"/>
    </row>
    <row r="65" spans="1:26" ht="15.75" hidden="1" customHeight="1" outlineLevel="1" x14ac:dyDescent="0.3">
      <c r="A65" s="3"/>
      <c r="B65" s="99" t="s">
        <v>495</v>
      </c>
      <c r="C65" s="53">
        <v>16</v>
      </c>
      <c r="D65" s="53" t="s">
        <v>95</v>
      </c>
      <c r="E65" s="11">
        <v>132</v>
      </c>
      <c r="F65" s="92">
        <f t="shared" ref="F65:F66" si="20">SUM(M65:U65)</f>
        <v>206</v>
      </c>
      <c r="G65" s="142"/>
      <c r="H65" s="54" t="s">
        <v>37</v>
      </c>
      <c r="I65" s="54"/>
      <c r="J65" s="55"/>
      <c r="K65" s="11"/>
      <c r="L65" s="53">
        <f t="shared" si="4"/>
        <v>1</v>
      </c>
      <c r="M65" s="11">
        <f t="shared" ref="M65:M66" si="21">13.93+74</f>
        <v>87.93</v>
      </c>
      <c r="N65" s="11">
        <v>24.57</v>
      </c>
      <c r="O65" s="11">
        <v>12</v>
      </c>
      <c r="P65" s="11">
        <v>1.5</v>
      </c>
      <c r="Q65" s="11"/>
      <c r="R65" s="11"/>
      <c r="S65" s="11"/>
      <c r="T65" s="11"/>
      <c r="U65" s="11">
        <v>80</v>
      </c>
      <c r="V65" s="56" t="s">
        <v>1716</v>
      </c>
      <c r="W65" s="35" t="str">
        <f t="shared" si="2"/>
        <v>OK</v>
      </c>
      <c r="X65" s="38" t="str">
        <f t="shared" si="5"/>
        <v/>
      </c>
      <c r="Y65" s="3"/>
      <c r="Z65" s="116"/>
    </row>
    <row r="66" spans="1:26" ht="28.5" hidden="1" customHeight="1" outlineLevel="1" x14ac:dyDescent="0.3">
      <c r="A66" s="3"/>
      <c r="B66" s="99" t="s">
        <v>496</v>
      </c>
      <c r="C66" s="53">
        <v>16</v>
      </c>
      <c r="D66" s="53" t="s">
        <v>95</v>
      </c>
      <c r="E66" s="11">
        <v>72</v>
      </c>
      <c r="F66" s="92">
        <f t="shared" si="20"/>
        <v>146</v>
      </c>
      <c r="G66" s="142"/>
      <c r="H66" s="54" t="s">
        <v>37</v>
      </c>
      <c r="I66" s="54"/>
      <c r="J66" s="55"/>
      <c r="K66" s="11"/>
      <c r="L66" s="53">
        <f t="shared" si="4"/>
        <v>1</v>
      </c>
      <c r="M66" s="11">
        <f t="shared" si="21"/>
        <v>87.93</v>
      </c>
      <c r="N66" s="11">
        <v>24.57</v>
      </c>
      <c r="O66" s="11">
        <v>12</v>
      </c>
      <c r="P66" s="11">
        <v>1.5</v>
      </c>
      <c r="Q66" s="11"/>
      <c r="R66" s="11"/>
      <c r="S66" s="11"/>
      <c r="T66" s="11"/>
      <c r="U66" s="11">
        <v>20</v>
      </c>
      <c r="V66" s="56" t="s">
        <v>1674</v>
      </c>
      <c r="W66" s="35" t="str">
        <f t="shared" si="2"/>
        <v>OK</v>
      </c>
      <c r="X66" s="38" t="str">
        <f t="shared" si="5"/>
        <v/>
      </c>
      <c r="Y66" s="3"/>
      <c r="Z66" s="116"/>
    </row>
    <row r="67" spans="1:26" ht="15.75" hidden="1" customHeight="1" outlineLevel="1" x14ac:dyDescent="0.3">
      <c r="A67" s="3"/>
      <c r="B67" s="99" t="s">
        <v>497</v>
      </c>
      <c r="C67" s="53">
        <v>10</v>
      </c>
      <c r="D67" s="53" t="s">
        <v>95</v>
      </c>
      <c r="E67" s="11">
        <f t="shared" ref="E67:E68" si="22">SUM(M67:U67)</f>
        <v>190</v>
      </c>
      <c r="F67" s="92">
        <f t="shared" ref="F67:F68" si="23">E67</f>
        <v>190</v>
      </c>
      <c r="G67" s="142"/>
      <c r="H67" s="54" t="s">
        <v>37</v>
      </c>
      <c r="I67" s="54"/>
      <c r="J67" s="55"/>
      <c r="K67" s="11"/>
      <c r="L67" s="53" t="str">
        <f t="shared" si="4"/>
        <v/>
      </c>
      <c r="M67" s="11">
        <v>56.93</v>
      </c>
      <c r="N67" s="11">
        <v>24.57</v>
      </c>
      <c r="O67" s="11">
        <v>12</v>
      </c>
      <c r="P67" s="11">
        <v>1.5</v>
      </c>
      <c r="Q67" s="11">
        <v>5</v>
      </c>
      <c r="R67" s="11"/>
      <c r="S67" s="11"/>
      <c r="T67" s="11"/>
      <c r="U67" s="11">
        <v>90</v>
      </c>
      <c r="V67" s="56" t="s">
        <v>1711</v>
      </c>
      <c r="W67" s="35" t="str">
        <f t="shared" si="2"/>
        <v>OK</v>
      </c>
      <c r="X67" s="38" t="str">
        <f t="shared" si="5"/>
        <v/>
      </c>
      <c r="Y67" s="3"/>
      <c r="Z67" s="116"/>
    </row>
    <row r="68" spans="1:26" ht="15.75" hidden="1" customHeight="1" outlineLevel="1" x14ac:dyDescent="0.3">
      <c r="A68" s="3"/>
      <c r="B68" s="99" t="s">
        <v>498</v>
      </c>
      <c r="C68" s="53">
        <v>7</v>
      </c>
      <c r="D68" s="53" t="s">
        <v>95</v>
      </c>
      <c r="E68" s="11">
        <f t="shared" si="22"/>
        <v>450</v>
      </c>
      <c r="F68" s="92">
        <f t="shared" si="23"/>
        <v>450</v>
      </c>
      <c r="G68" s="142"/>
      <c r="H68" s="54" t="s">
        <v>37</v>
      </c>
      <c r="I68" s="54"/>
      <c r="J68" s="55"/>
      <c r="K68" s="11"/>
      <c r="L68" s="53" t="str">
        <f t="shared" si="4"/>
        <v/>
      </c>
      <c r="M68" s="11">
        <v>148.43</v>
      </c>
      <c r="N68" s="11">
        <v>24.57</v>
      </c>
      <c r="O68" s="11">
        <v>12</v>
      </c>
      <c r="P68" s="11">
        <v>5</v>
      </c>
      <c r="Q68" s="11">
        <v>10</v>
      </c>
      <c r="R68" s="11"/>
      <c r="S68" s="11"/>
      <c r="T68" s="11"/>
      <c r="U68" s="11">
        <v>250</v>
      </c>
      <c r="V68" s="56" t="s">
        <v>1717</v>
      </c>
      <c r="W68" s="35" t="str">
        <f t="shared" si="2"/>
        <v>OK</v>
      </c>
      <c r="X68" s="38" t="str">
        <f t="shared" si="5"/>
        <v/>
      </c>
      <c r="Y68" s="3"/>
      <c r="Z68" s="116"/>
    </row>
    <row r="69" spans="1:26" ht="15.75" hidden="1" customHeight="1" outlineLevel="1" x14ac:dyDescent="0.3">
      <c r="A69" s="3"/>
      <c r="B69" s="99" t="s">
        <v>499</v>
      </c>
      <c r="C69" s="53">
        <v>30</v>
      </c>
      <c r="D69" s="53" t="s">
        <v>95</v>
      </c>
      <c r="E69" s="11">
        <v>77.39</v>
      </c>
      <c r="F69" s="92">
        <f>SUM(M69:U69)</f>
        <v>286.55999999999995</v>
      </c>
      <c r="G69" s="142"/>
      <c r="H69" s="54" t="s">
        <v>37</v>
      </c>
      <c r="I69" s="54"/>
      <c r="J69" s="55"/>
      <c r="K69" s="11"/>
      <c r="L69" s="53">
        <f t="shared" si="4"/>
        <v>1</v>
      </c>
      <c r="M69" s="11">
        <f>19.32+209.17</f>
        <v>228.48999999999998</v>
      </c>
      <c r="N69" s="11">
        <v>24.57</v>
      </c>
      <c r="O69" s="11">
        <v>12</v>
      </c>
      <c r="P69" s="11">
        <v>1.5</v>
      </c>
      <c r="Q69" s="11"/>
      <c r="R69" s="11"/>
      <c r="S69" s="11"/>
      <c r="T69" s="11"/>
      <c r="U69" s="11">
        <v>20</v>
      </c>
      <c r="V69" s="56" t="s">
        <v>1674</v>
      </c>
      <c r="W69" s="35" t="str">
        <f t="shared" si="2"/>
        <v>OK</v>
      </c>
      <c r="X69" s="38" t="str">
        <f t="shared" si="5"/>
        <v/>
      </c>
      <c r="Y69" s="3"/>
      <c r="Z69" s="116"/>
    </row>
    <row r="70" spans="1:26" ht="15.75" hidden="1" customHeight="1" outlineLevel="1" x14ac:dyDescent="0.3">
      <c r="A70" s="3"/>
      <c r="B70" s="99" t="s">
        <v>500</v>
      </c>
      <c r="C70" s="53"/>
      <c r="D70" s="53" t="s">
        <v>105</v>
      </c>
      <c r="E70" s="11">
        <f>SUM(M70:U70)</f>
        <v>87.740000000000009</v>
      </c>
      <c r="F70" s="92"/>
      <c r="G70" s="142"/>
      <c r="H70" s="54"/>
      <c r="I70" s="54"/>
      <c r="J70" s="55"/>
      <c r="K70" s="11"/>
      <c r="L70" s="53" t="str">
        <f t="shared" si="4"/>
        <v/>
      </c>
      <c r="M70" s="11">
        <v>29.67</v>
      </c>
      <c r="N70" s="11">
        <v>24.57</v>
      </c>
      <c r="O70" s="11">
        <v>12</v>
      </c>
      <c r="P70" s="11">
        <v>1.5</v>
      </c>
      <c r="Q70" s="11"/>
      <c r="R70" s="11"/>
      <c r="S70" s="11"/>
      <c r="T70" s="11"/>
      <c r="U70" s="11">
        <v>20</v>
      </c>
      <c r="V70" s="56" t="s">
        <v>1674</v>
      </c>
      <c r="W70" s="35" t="str">
        <f t="shared" si="2"/>
        <v>Diferente</v>
      </c>
      <c r="X70" s="38">
        <f t="shared" si="5"/>
        <v>-87.740000000000009</v>
      </c>
      <c r="Y70" s="3"/>
      <c r="Z70" s="116"/>
    </row>
    <row r="71" spans="1:26" ht="15.75" hidden="1" customHeight="1" outlineLevel="1" x14ac:dyDescent="0.3">
      <c r="A71" s="3"/>
      <c r="B71" s="99" t="s">
        <v>501</v>
      </c>
      <c r="C71" s="53" t="s">
        <v>1718</v>
      </c>
      <c r="D71" s="53" t="s">
        <v>95</v>
      </c>
      <c r="E71" s="11">
        <v>216.05</v>
      </c>
      <c r="F71" s="92">
        <f t="shared" ref="F71:F72" si="24">SUM(M71:U71)</f>
        <v>165.43</v>
      </c>
      <c r="G71" s="142"/>
      <c r="H71" s="54" t="s">
        <v>37</v>
      </c>
      <c r="I71" s="54"/>
      <c r="J71" s="55"/>
      <c r="K71" s="11"/>
      <c r="L71" s="53">
        <f t="shared" si="4"/>
        <v>1</v>
      </c>
      <c r="M71" s="11">
        <v>50.86</v>
      </c>
      <c r="N71" s="11">
        <v>24.57</v>
      </c>
      <c r="O71" s="11">
        <v>12</v>
      </c>
      <c r="P71" s="11">
        <v>2</v>
      </c>
      <c r="Q71" s="11">
        <v>5</v>
      </c>
      <c r="R71" s="11"/>
      <c r="S71" s="11"/>
      <c r="T71" s="11"/>
      <c r="U71" s="11">
        <v>71</v>
      </c>
      <c r="V71" s="56" t="s">
        <v>1719</v>
      </c>
      <c r="W71" s="35" t="str">
        <f t="shared" si="2"/>
        <v>OK</v>
      </c>
      <c r="X71" s="38" t="str">
        <f t="shared" si="5"/>
        <v/>
      </c>
      <c r="Y71" s="3"/>
      <c r="Z71" s="116"/>
    </row>
    <row r="72" spans="1:26" ht="15.75" hidden="1" customHeight="1" outlineLevel="1" x14ac:dyDescent="0.3">
      <c r="A72" s="3"/>
      <c r="B72" s="99" t="s">
        <v>502</v>
      </c>
      <c r="C72" s="53" t="s">
        <v>1718</v>
      </c>
      <c r="D72" s="53" t="s">
        <v>95</v>
      </c>
      <c r="E72" s="11">
        <v>113.57</v>
      </c>
      <c r="F72" s="92">
        <f t="shared" si="24"/>
        <v>164.57</v>
      </c>
      <c r="G72" s="142"/>
      <c r="H72" s="54" t="s">
        <v>37</v>
      </c>
      <c r="I72" s="54"/>
      <c r="J72" s="55"/>
      <c r="K72" s="11"/>
      <c r="L72" s="53">
        <f t="shared" si="4"/>
        <v>1</v>
      </c>
      <c r="M72" s="11">
        <v>50</v>
      </c>
      <c r="N72" s="11">
        <v>24.57</v>
      </c>
      <c r="O72" s="11">
        <v>12</v>
      </c>
      <c r="P72" s="11">
        <v>2</v>
      </c>
      <c r="Q72" s="11">
        <v>5</v>
      </c>
      <c r="R72" s="11"/>
      <c r="S72" s="11"/>
      <c r="T72" s="11"/>
      <c r="U72" s="11">
        <v>71</v>
      </c>
      <c r="V72" s="56" t="s">
        <v>1674</v>
      </c>
      <c r="W72" s="35" t="str">
        <f t="shared" si="2"/>
        <v>OK</v>
      </c>
      <c r="X72" s="38" t="str">
        <f t="shared" si="5"/>
        <v/>
      </c>
      <c r="Y72" s="3"/>
      <c r="Z72" s="116"/>
    </row>
    <row r="73" spans="1:26" ht="15.75" hidden="1" customHeight="1" outlineLevel="1" x14ac:dyDescent="0.3">
      <c r="A73" s="3"/>
      <c r="B73" s="99" t="s">
        <v>503</v>
      </c>
      <c r="C73" s="53">
        <v>6</v>
      </c>
      <c r="D73" s="53" t="s">
        <v>95</v>
      </c>
      <c r="E73" s="11">
        <f t="shared" ref="E73:E76" si="25">SUM(M73:U73)</f>
        <v>151.69</v>
      </c>
      <c r="F73" s="92">
        <f t="shared" ref="F73:F76" si="26">E73</f>
        <v>151.69</v>
      </c>
      <c r="G73" s="142"/>
      <c r="H73" s="54" t="s">
        <v>37</v>
      </c>
      <c r="I73" s="54"/>
      <c r="J73" s="55"/>
      <c r="K73" s="11"/>
      <c r="L73" s="53" t="str">
        <f t="shared" si="4"/>
        <v/>
      </c>
      <c r="M73" s="11">
        <v>93.62</v>
      </c>
      <c r="N73" s="11">
        <v>24.57</v>
      </c>
      <c r="O73" s="11">
        <v>12</v>
      </c>
      <c r="P73" s="11">
        <v>1.5</v>
      </c>
      <c r="Q73" s="11"/>
      <c r="R73" s="11"/>
      <c r="S73" s="11"/>
      <c r="T73" s="11"/>
      <c r="U73" s="11">
        <v>20</v>
      </c>
      <c r="V73" s="56" t="s">
        <v>1674</v>
      </c>
      <c r="W73" s="35" t="str">
        <f t="shared" si="2"/>
        <v>OK</v>
      </c>
      <c r="X73" s="38" t="str">
        <f t="shared" si="5"/>
        <v/>
      </c>
      <c r="Y73" s="3"/>
      <c r="Z73" s="116"/>
    </row>
    <row r="74" spans="1:26" ht="15.75" hidden="1" customHeight="1" outlineLevel="1" x14ac:dyDescent="0.3">
      <c r="A74" s="3"/>
      <c r="B74" s="99" t="s">
        <v>504</v>
      </c>
      <c r="C74" s="53">
        <v>6</v>
      </c>
      <c r="D74" s="53" t="s">
        <v>95</v>
      </c>
      <c r="E74" s="11">
        <f t="shared" si="25"/>
        <v>191.69</v>
      </c>
      <c r="F74" s="92">
        <f t="shared" si="26"/>
        <v>191.69</v>
      </c>
      <c r="G74" s="142"/>
      <c r="H74" s="54" t="s">
        <v>37</v>
      </c>
      <c r="I74" s="54"/>
      <c r="J74" s="55"/>
      <c r="K74" s="11"/>
      <c r="L74" s="53" t="str">
        <f t="shared" si="4"/>
        <v/>
      </c>
      <c r="M74" s="11">
        <v>93.62</v>
      </c>
      <c r="N74" s="11">
        <v>24.57</v>
      </c>
      <c r="O74" s="11">
        <v>12</v>
      </c>
      <c r="P74" s="11">
        <v>1.5</v>
      </c>
      <c r="Q74" s="11"/>
      <c r="R74" s="11"/>
      <c r="S74" s="11"/>
      <c r="T74" s="11"/>
      <c r="U74" s="11">
        <v>60</v>
      </c>
      <c r="V74" s="56" t="s">
        <v>1683</v>
      </c>
      <c r="W74" s="35" t="str">
        <f t="shared" si="2"/>
        <v>OK</v>
      </c>
      <c r="X74" s="38" t="str">
        <f t="shared" si="5"/>
        <v/>
      </c>
      <c r="Y74" s="3"/>
      <c r="Z74" s="116"/>
    </row>
    <row r="75" spans="1:26" ht="15.75" hidden="1" customHeight="1" outlineLevel="1" x14ac:dyDescent="0.3">
      <c r="A75" s="3"/>
      <c r="B75" s="99" t="s">
        <v>505</v>
      </c>
      <c r="C75" s="53">
        <v>15</v>
      </c>
      <c r="D75" s="53" t="s">
        <v>95</v>
      </c>
      <c r="E75" s="11">
        <f t="shared" si="25"/>
        <v>178.57</v>
      </c>
      <c r="F75" s="92">
        <f t="shared" si="26"/>
        <v>178.57</v>
      </c>
      <c r="G75" s="142"/>
      <c r="H75" s="54" t="s">
        <v>37</v>
      </c>
      <c r="I75" s="54"/>
      <c r="J75" s="55"/>
      <c r="K75" s="11"/>
      <c r="L75" s="53">
        <f t="shared" si="4"/>
        <v>1</v>
      </c>
      <c r="M75" s="11">
        <v>100</v>
      </c>
      <c r="N75" s="11">
        <v>24.57</v>
      </c>
      <c r="O75" s="11">
        <v>12</v>
      </c>
      <c r="P75" s="11">
        <v>2</v>
      </c>
      <c r="Q75" s="11"/>
      <c r="R75" s="11"/>
      <c r="S75" s="11">
        <v>5</v>
      </c>
      <c r="T75" s="11"/>
      <c r="U75" s="11">
        <v>35</v>
      </c>
      <c r="V75" s="56" t="s">
        <v>1720</v>
      </c>
      <c r="W75" s="35" t="str">
        <f t="shared" si="2"/>
        <v>OK</v>
      </c>
      <c r="X75" s="38" t="str">
        <f t="shared" si="5"/>
        <v/>
      </c>
      <c r="Y75" s="3"/>
      <c r="Z75" s="116"/>
    </row>
    <row r="76" spans="1:26" ht="15.75" hidden="1" customHeight="1" outlineLevel="1" x14ac:dyDescent="0.3">
      <c r="A76" s="3"/>
      <c r="B76" s="99" t="s">
        <v>507</v>
      </c>
      <c r="C76" s="53">
        <v>15</v>
      </c>
      <c r="D76" s="53" t="s">
        <v>95</v>
      </c>
      <c r="E76" s="11">
        <f t="shared" si="25"/>
        <v>303.57</v>
      </c>
      <c r="F76" s="92">
        <f t="shared" si="26"/>
        <v>303.57</v>
      </c>
      <c r="G76" s="142"/>
      <c r="H76" s="54" t="s">
        <v>37</v>
      </c>
      <c r="I76" s="54"/>
      <c r="J76" s="55"/>
      <c r="K76" s="11"/>
      <c r="L76" s="53">
        <f t="shared" si="4"/>
        <v>1</v>
      </c>
      <c r="M76" s="11">
        <v>100</v>
      </c>
      <c r="N76" s="11">
        <v>24.57</v>
      </c>
      <c r="O76" s="11">
        <v>12</v>
      </c>
      <c r="P76" s="11">
        <v>2</v>
      </c>
      <c r="Q76" s="11"/>
      <c r="R76" s="11"/>
      <c r="S76" s="11">
        <v>5</v>
      </c>
      <c r="T76" s="11"/>
      <c r="U76" s="11">
        <v>160</v>
      </c>
      <c r="V76" s="56" t="s">
        <v>1721</v>
      </c>
      <c r="W76" s="35" t="str">
        <f t="shared" si="2"/>
        <v>OK</v>
      </c>
      <c r="X76" s="38" t="str">
        <f t="shared" si="5"/>
        <v/>
      </c>
      <c r="Y76" s="3"/>
      <c r="Z76" s="116"/>
    </row>
    <row r="77" spans="1:26" ht="15.75" hidden="1" customHeight="1" outlineLevel="1" x14ac:dyDescent="0.3">
      <c r="A77" s="3"/>
      <c r="B77" s="99" t="s">
        <v>493</v>
      </c>
      <c r="C77" s="53">
        <v>15</v>
      </c>
      <c r="D77" s="53" t="s">
        <v>95</v>
      </c>
      <c r="E77" s="11">
        <v>105.67</v>
      </c>
      <c r="F77" s="92">
        <f>SUM(M77:U77)</f>
        <v>206.34</v>
      </c>
      <c r="G77" s="142" t="s">
        <v>1686</v>
      </c>
      <c r="H77" s="54" t="s">
        <v>37</v>
      </c>
      <c r="I77" s="54"/>
      <c r="J77" s="55"/>
      <c r="K77" s="11"/>
      <c r="L77" s="53">
        <f t="shared" si="4"/>
        <v>1</v>
      </c>
      <c r="M77" s="11">
        <f>27.66+100.67</f>
        <v>128.33000000000001</v>
      </c>
      <c r="N77" s="11">
        <v>24.57</v>
      </c>
      <c r="O77" s="11">
        <v>12</v>
      </c>
      <c r="P77" s="11">
        <v>1.44</v>
      </c>
      <c r="Q77" s="11"/>
      <c r="R77" s="11"/>
      <c r="S77" s="11"/>
      <c r="T77" s="11"/>
      <c r="U77" s="11">
        <v>40</v>
      </c>
      <c r="V77" s="56" t="s">
        <v>1688</v>
      </c>
      <c r="W77" s="35" t="str">
        <f t="shared" si="2"/>
        <v>OK</v>
      </c>
      <c r="X77" s="38" t="str">
        <f t="shared" si="5"/>
        <v/>
      </c>
      <c r="Y77" s="3"/>
      <c r="Z77" s="116"/>
    </row>
    <row r="78" spans="1:26" ht="15.75" hidden="1" customHeight="1" outlineLevel="1" x14ac:dyDescent="0.3">
      <c r="A78" s="3"/>
      <c r="B78" s="99" t="s">
        <v>1424</v>
      </c>
      <c r="C78" s="53">
        <v>8</v>
      </c>
      <c r="D78" s="53" t="s">
        <v>95</v>
      </c>
      <c r="E78" s="11">
        <f t="shared" ref="E78:E106" si="27">SUM(M78:U78)</f>
        <v>425</v>
      </c>
      <c r="F78" s="92">
        <f t="shared" ref="F78:F90" si="28">E78</f>
        <v>425</v>
      </c>
      <c r="G78" s="142"/>
      <c r="H78" s="54" t="s">
        <v>37</v>
      </c>
      <c r="I78" s="54"/>
      <c r="J78" s="55"/>
      <c r="K78" s="11"/>
      <c r="L78" s="53" t="str">
        <f t="shared" si="4"/>
        <v/>
      </c>
      <c r="M78" s="11">
        <v>196.43</v>
      </c>
      <c r="N78" s="11">
        <v>24.57</v>
      </c>
      <c r="O78" s="11">
        <v>12</v>
      </c>
      <c r="P78" s="11">
        <v>2</v>
      </c>
      <c r="Q78" s="11"/>
      <c r="R78" s="11"/>
      <c r="S78" s="11">
        <v>5</v>
      </c>
      <c r="T78" s="11">
        <v>10</v>
      </c>
      <c r="U78" s="11">
        <v>175</v>
      </c>
      <c r="V78" s="56" t="s">
        <v>1722</v>
      </c>
      <c r="W78" s="35" t="str">
        <f t="shared" si="2"/>
        <v>OK</v>
      </c>
      <c r="X78" s="38" t="str">
        <f t="shared" si="5"/>
        <v/>
      </c>
      <c r="Y78" s="3"/>
      <c r="Z78" s="116"/>
    </row>
    <row r="79" spans="1:26" ht="15.75" hidden="1" customHeight="1" outlineLevel="1" x14ac:dyDescent="0.3">
      <c r="A79" s="3"/>
      <c r="B79" s="99" t="s">
        <v>1425</v>
      </c>
      <c r="C79" s="53">
        <v>8</v>
      </c>
      <c r="D79" s="53" t="s">
        <v>95</v>
      </c>
      <c r="E79" s="11">
        <f t="shared" si="27"/>
        <v>267.19</v>
      </c>
      <c r="F79" s="92">
        <f t="shared" si="28"/>
        <v>267.19</v>
      </c>
      <c r="G79" s="142"/>
      <c r="H79" s="54" t="s">
        <v>37</v>
      </c>
      <c r="I79" s="54"/>
      <c r="J79" s="55"/>
      <c r="K79" s="11"/>
      <c r="L79" s="53" t="str">
        <f t="shared" si="4"/>
        <v/>
      </c>
      <c r="M79" s="11">
        <v>93.62</v>
      </c>
      <c r="N79" s="11">
        <v>24.57</v>
      </c>
      <c r="O79" s="11">
        <v>12</v>
      </c>
      <c r="P79" s="11">
        <v>2</v>
      </c>
      <c r="Q79" s="11"/>
      <c r="R79" s="11"/>
      <c r="S79" s="11">
        <v>0</v>
      </c>
      <c r="T79" s="11">
        <v>0</v>
      </c>
      <c r="U79" s="11">
        <v>135</v>
      </c>
      <c r="V79" s="56" t="s">
        <v>1723</v>
      </c>
      <c r="W79" s="35" t="str">
        <f t="shared" si="2"/>
        <v>OK</v>
      </c>
      <c r="X79" s="38" t="str">
        <f t="shared" si="5"/>
        <v/>
      </c>
      <c r="Y79" s="3"/>
      <c r="Z79" s="116"/>
    </row>
    <row r="80" spans="1:26" ht="15.75" hidden="1" customHeight="1" outlineLevel="1" x14ac:dyDescent="0.3">
      <c r="A80" s="3"/>
      <c r="B80" s="99" t="s">
        <v>509</v>
      </c>
      <c r="C80" s="53">
        <v>11</v>
      </c>
      <c r="D80" s="53" t="s">
        <v>95</v>
      </c>
      <c r="E80" s="11">
        <f t="shared" si="27"/>
        <v>342</v>
      </c>
      <c r="F80" s="92">
        <f t="shared" si="28"/>
        <v>342</v>
      </c>
      <c r="G80" s="142"/>
      <c r="H80" s="54" t="s">
        <v>37</v>
      </c>
      <c r="I80" s="54"/>
      <c r="J80" s="55"/>
      <c r="K80" s="11"/>
      <c r="L80" s="53" t="str">
        <f t="shared" si="4"/>
        <v/>
      </c>
      <c r="M80" s="11">
        <v>138.43</v>
      </c>
      <c r="N80" s="11">
        <v>24.57</v>
      </c>
      <c r="O80" s="11">
        <v>12</v>
      </c>
      <c r="P80" s="11">
        <v>2</v>
      </c>
      <c r="Q80" s="11">
        <v>5</v>
      </c>
      <c r="R80" s="11">
        <v>5</v>
      </c>
      <c r="S80" s="11">
        <v>10</v>
      </c>
      <c r="T80" s="11"/>
      <c r="U80" s="11">
        <v>145</v>
      </c>
      <c r="V80" s="56" t="s">
        <v>1724</v>
      </c>
      <c r="W80" s="35" t="str">
        <f t="shared" si="2"/>
        <v>OK</v>
      </c>
      <c r="X80" s="38" t="str">
        <f t="shared" si="5"/>
        <v/>
      </c>
      <c r="Y80" s="3"/>
      <c r="Z80" s="116"/>
    </row>
    <row r="81" spans="1:26" ht="15.75" hidden="1" customHeight="1" outlineLevel="1" x14ac:dyDescent="0.3">
      <c r="A81" s="3"/>
      <c r="B81" s="99" t="s">
        <v>510</v>
      </c>
      <c r="C81" s="53">
        <v>11</v>
      </c>
      <c r="D81" s="53" t="s">
        <v>95</v>
      </c>
      <c r="E81" s="11">
        <f t="shared" si="27"/>
        <v>317</v>
      </c>
      <c r="F81" s="92">
        <f t="shared" si="28"/>
        <v>317</v>
      </c>
      <c r="G81" s="142"/>
      <c r="H81" s="54" t="s">
        <v>37</v>
      </c>
      <c r="I81" s="54"/>
      <c r="J81" s="55"/>
      <c r="K81" s="11"/>
      <c r="L81" s="53" t="str">
        <f t="shared" si="4"/>
        <v/>
      </c>
      <c r="M81" s="11">
        <v>138.43</v>
      </c>
      <c r="N81" s="11">
        <v>24.57</v>
      </c>
      <c r="O81" s="11">
        <v>12</v>
      </c>
      <c r="P81" s="11">
        <v>2</v>
      </c>
      <c r="Q81" s="11">
        <v>5</v>
      </c>
      <c r="R81" s="11">
        <v>5</v>
      </c>
      <c r="S81" s="11">
        <v>10</v>
      </c>
      <c r="T81" s="11"/>
      <c r="U81" s="11">
        <v>120</v>
      </c>
      <c r="V81" s="56" t="s">
        <v>1725</v>
      </c>
      <c r="W81" s="35" t="str">
        <f t="shared" si="2"/>
        <v>OK</v>
      </c>
      <c r="X81" s="38" t="str">
        <f t="shared" si="5"/>
        <v/>
      </c>
      <c r="Y81" s="3"/>
      <c r="Z81" s="116"/>
    </row>
    <row r="82" spans="1:26" ht="15.75" hidden="1" customHeight="1" outlineLevel="1" x14ac:dyDescent="0.3">
      <c r="A82" s="3"/>
      <c r="B82" s="99" t="s">
        <v>513</v>
      </c>
      <c r="C82" s="53">
        <v>5</v>
      </c>
      <c r="D82" s="53" t="s">
        <v>95</v>
      </c>
      <c r="E82" s="11">
        <f t="shared" si="27"/>
        <v>183.57</v>
      </c>
      <c r="F82" s="92">
        <f t="shared" si="28"/>
        <v>183.57</v>
      </c>
      <c r="G82" s="142"/>
      <c r="H82" s="54" t="s">
        <v>38</v>
      </c>
      <c r="I82" s="54"/>
      <c r="J82" s="55"/>
      <c r="K82" s="11"/>
      <c r="L82" s="53" t="str">
        <f t="shared" si="4"/>
        <v/>
      </c>
      <c r="M82" s="11">
        <v>120</v>
      </c>
      <c r="N82" s="11">
        <v>24.57</v>
      </c>
      <c r="O82" s="11">
        <v>12</v>
      </c>
      <c r="P82" s="11">
        <v>2</v>
      </c>
      <c r="Q82" s="11"/>
      <c r="R82" s="11"/>
      <c r="S82" s="11">
        <v>5</v>
      </c>
      <c r="T82" s="11"/>
      <c r="U82" s="11">
        <v>20</v>
      </c>
      <c r="V82" s="56" t="s">
        <v>1674</v>
      </c>
      <c r="W82" s="35" t="str">
        <f t="shared" si="2"/>
        <v>OK</v>
      </c>
      <c r="X82" s="38" t="str">
        <f t="shared" si="5"/>
        <v/>
      </c>
      <c r="Y82" s="3"/>
      <c r="Z82" s="116"/>
    </row>
    <row r="83" spans="1:26" ht="15.75" hidden="1" customHeight="1" outlineLevel="1" x14ac:dyDescent="0.3">
      <c r="A83" s="3"/>
      <c r="B83" s="99" t="s">
        <v>514</v>
      </c>
      <c r="C83" s="53">
        <v>5</v>
      </c>
      <c r="D83" s="53" t="s">
        <v>95</v>
      </c>
      <c r="E83" s="11">
        <f t="shared" si="27"/>
        <v>350.19</v>
      </c>
      <c r="F83" s="92">
        <f t="shared" si="28"/>
        <v>350.19</v>
      </c>
      <c r="G83" s="142"/>
      <c r="H83" s="54" t="s">
        <v>38</v>
      </c>
      <c r="I83" s="54"/>
      <c r="J83" s="55"/>
      <c r="K83" s="11"/>
      <c r="L83" s="53" t="str">
        <f t="shared" si="4"/>
        <v/>
      </c>
      <c r="M83" s="11">
        <v>120</v>
      </c>
      <c r="N83" s="11">
        <v>24.57</v>
      </c>
      <c r="O83" s="11">
        <v>12</v>
      </c>
      <c r="P83" s="11">
        <v>2</v>
      </c>
      <c r="Q83" s="11"/>
      <c r="R83" s="11"/>
      <c r="S83" s="11">
        <v>5</v>
      </c>
      <c r="T83" s="11"/>
      <c r="U83" s="11">
        <v>186.62</v>
      </c>
      <c r="V83" s="56" t="s">
        <v>1726</v>
      </c>
      <c r="W83" s="35" t="str">
        <f t="shared" si="2"/>
        <v>OK</v>
      </c>
      <c r="X83" s="38" t="str">
        <f t="shared" si="5"/>
        <v/>
      </c>
      <c r="Y83" s="3"/>
      <c r="Z83" s="116"/>
    </row>
    <row r="84" spans="1:26" ht="15.75" hidden="1" customHeight="1" outlineLevel="1" x14ac:dyDescent="0.3">
      <c r="A84" s="3"/>
      <c r="B84" s="99" t="s">
        <v>515</v>
      </c>
      <c r="C84" s="53">
        <v>9</v>
      </c>
      <c r="D84" s="53" t="s">
        <v>95</v>
      </c>
      <c r="E84" s="11">
        <f t="shared" si="27"/>
        <v>172</v>
      </c>
      <c r="F84" s="92">
        <f t="shared" si="28"/>
        <v>172</v>
      </c>
      <c r="G84" s="142"/>
      <c r="H84" s="54" t="s">
        <v>37</v>
      </c>
      <c r="I84" s="54"/>
      <c r="J84" s="55"/>
      <c r="K84" s="11"/>
      <c r="L84" s="53" t="str">
        <f t="shared" si="4"/>
        <v/>
      </c>
      <c r="M84" s="11">
        <v>108.43</v>
      </c>
      <c r="N84" s="11">
        <v>24.57</v>
      </c>
      <c r="O84" s="11">
        <v>12</v>
      </c>
      <c r="P84" s="11">
        <v>2</v>
      </c>
      <c r="Q84" s="11"/>
      <c r="R84" s="11"/>
      <c r="S84" s="11">
        <v>5</v>
      </c>
      <c r="T84" s="11"/>
      <c r="U84" s="11">
        <v>20</v>
      </c>
      <c r="V84" s="56" t="s">
        <v>1674</v>
      </c>
      <c r="W84" s="35" t="str">
        <f t="shared" si="2"/>
        <v>OK</v>
      </c>
      <c r="X84" s="38" t="str">
        <f t="shared" si="5"/>
        <v/>
      </c>
      <c r="Y84" s="3"/>
      <c r="Z84" s="116"/>
    </row>
    <row r="85" spans="1:26" ht="15.75" hidden="1" customHeight="1" outlineLevel="1" x14ac:dyDescent="0.3">
      <c r="A85" s="3"/>
      <c r="B85" s="99" t="s">
        <v>516</v>
      </c>
      <c r="C85" s="53">
        <v>5</v>
      </c>
      <c r="D85" s="53" t="s">
        <v>95</v>
      </c>
      <c r="E85" s="11">
        <f t="shared" si="27"/>
        <v>196.5</v>
      </c>
      <c r="F85" s="92">
        <f t="shared" si="28"/>
        <v>196.5</v>
      </c>
      <c r="G85" s="142"/>
      <c r="H85" s="54" t="s">
        <v>37</v>
      </c>
      <c r="I85" s="54"/>
      <c r="J85" s="55"/>
      <c r="K85" s="11"/>
      <c r="L85" s="53" t="str">
        <f t="shared" si="4"/>
        <v/>
      </c>
      <c r="M85" s="11">
        <v>88.43</v>
      </c>
      <c r="N85" s="11">
        <v>24.57</v>
      </c>
      <c r="O85" s="11">
        <v>12</v>
      </c>
      <c r="P85" s="11">
        <v>1.5</v>
      </c>
      <c r="Q85" s="11"/>
      <c r="R85" s="11"/>
      <c r="S85" s="11"/>
      <c r="T85" s="11"/>
      <c r="U85" s="11">
        <v>70</v>
      </c>
      <c r="V85" s="56" t="s">
        <v>1727</v>
      </c>
      <c r="W85" s="35" t="str">
        <f t="shared" si="2"/>
        <v>OK</v>
      </c>
      <c r="X85" s="38" t="str">
        <f t="shared" si="5"/>
        <v/>
      </c>
      <c r="Y85" s="3"/>
      <c r="Z85" s="116"/>
    </row>
    <row r="86" spans="1:26" ht="15.75" hidden="1" customHeight="1" outlineLevel="1" x14ac:dyDescent="0.3">
      <c r="A86" s="3"/>
      <c r="B86" s="99" t="s">
        <v>517</v>
      </c>
      <c r="C86" s="53">
        <v>5</v>
      </c>
      <c r="D86" s="53" t="s">
        <v>95</v>
      </c>
      <c r="E86" s="11">
        <f t="shared" si="27"/>
        <v>300.12</v>
      </c>
      <c r="F86" s="92">
        <f t="shared" si="28"/>
        <v>300.12</v>
      </c>
      <c r="G86" s="142"/>
      <c r="H86" s="54" t="s">
        <v>37</v>
      </c>
      <c r="I86" s="54"/>
      <c r="J86" s="55"/>
      <c r="K86" s="11"/>
      <c r="L86" s="53" t="str">
        <f t="shared" si="4"/>
        <v/>
      </c>
      <c r="M86" s="11">
        <v>88.43</v>
      </c>
      <c r="N86" s="11">
        <v>24.57</v>
      </c>
      <c r="O86" s="11">
        <v>12</v>
      </c>
      <c r="P86" s="11">
        <v>1.5</v>
      </c>
      <c r="Q86" s="11"/>
      <c r="R86" s="11"/>
      <c r="S86" s="11"/>
      <c r="T86" s="11"/>
      <c r="U86" s="11">
        <v>173.62</v>
      </c>
      <c r="V86" s="56" t="s">
        <v>1728</v>
      </c>
      <c r="W86" s="35" t="str">
        <f t="shared" si="2"/>
        <v>OK</v>
      </c>
      <c r="X86" s="38" t="str">
        <f t="shared" si="5"/>
        <v/>
      </c>
      <c r="Y86" s="3"/>
      <c r="Z86" s="116"/>
    </row>
    <row r="87" spans="1:26" ht="15.75" hidden="1" customHeight="1" outlineLevel="1" x14ac:dyDescent="0.3">
      <c r="A87" s="3"/>
      <c r="B87" s="99" t="s">
        <v>518</v>
      </c>
      <c r="C87" s="53">
        <v>8</v>
      </c>
      <c r="D87" s="53" t="s">
        <v>95</v>
      </c>
      <c r="E87" s="11">
        <f t="shared" si="27"/>
        <v>357.8</v>
      </c>
      <c r="F87" s="92">
        <f t="shared" si="28"/>
        <v>357.8</v>
      </c>
      <c r="G87" s="142"/>
      <c r="H87" s="54" t="s">
        <v>37</v>
      </c>
      <c r="I87" s="54"/>
      <c r="J87" s="55"/>
      <c r="K87" s="11"/>
      <c r="L87" s="53" t="str">
        <f t="shared" si="4"/>
        <v/>
      </c>
      <c r="M87" s="11">
        <v>93.93</v>
      </c>
      <c r="N87" s="11">
        <v>24.57</v>
      </c>
      <c r="O87" s="11">
        <v>12</v>
      </c>
      <c r="P87" s="11">
        <v>1.5</v>
      </c>
      <c r="Q87" s="11">
        <v>5</v>
      </c>
      <c r="R87" s="11"/>
      <c r="S87" s="11">
        <v>10</v>
      </c>
      <c r="T87" s="11"/>
      <c r="U87" s="11">
        <v>210.8</v>
      </c>
      <c r="V87" s="56" t="s">
        <v>1729</v>
      </c>
      <c r="W87" s="35" t="str">
        <f t="shared" si="2"/>
        <v>OK</v>
      </c>
      <c r="X87" s="38" t="str">
        <f t="shared" si="5"/>
        <v/>
      </c>
      <c r="Y87" s="3"/>
      <c r="Z87" s="116"/>
    </row>
    <row r="88" spans="1:26" ht="15.75" hidden="1" customHeight="1" outlineLevel="1" x14ac:dyDescent="0.3">
      <c r="A88" s="3"/>
      <c r="B88" s="99" t="s">
        <v>519</v>
      </c>
      <c r="C88" s="53">
        <v>20</v>
      </c>
      <c r="D88" s="53" t="s">
        <v>95</v>
      </c>
      <c r="E88" s="11">
        <f t="shared" si="27"/>
        <v>292</v>
      </c>
      <c r="F88" s="92">
        <f t="shared" si="28"/>
        <v>292</v>
      </c>
      <c r="G88" s="142"/>
      <c r="H88" s="54" t="s">
        <v>37</v>
      </c>
      <c r="I88" s="54"/>
      <c r="J88" s="55"/>
      <c r="K88" s="11"/>
      <c r="L88" s="53">
        <f t="shared" si="4"/>
        <v>1</v>
      </c>
      <c r="M88" s="11">
        <v>108.43</v>
      </c>
      <c r="N88" s="11">
        <v>24.57</v>
      </c>
      <c r="O88" s="11">
        <v>12</v>
      </c>
      <c r="P88" s="11">
        <v>2</v>
      </c>
      <c r="Q88" s="11"/>
      <c r="R88" s="11"/>
      <c r="S88" s="11">
        <v>5</v>
      </c>
      <c r="T88" s="11"/>
      <c r="U88" s="11">
        <v>140</v>
      </c>
      <c r="V88" s="56" t="s">
        <v>1730</v>
      </c>
      <c r="W88" s="35" t="str">
        <f t="shared" si="2"/>
        <v>OK</v>
      </c>
      <c r="X88" s="38" t="str">
        <f t="shared" si="5"/>
        <v/>
      </c>
      <c r="Y88" s="3"/>
      <c r="Z88" s="116"/>
    </row>
    <row r="89" spans="1:26" ht="15.75" hidden="1" customHeight="1" outlineLevel="1" x14ac:dyDescent="0.3">
      <c r="A89" s="3"/>
      <c r="B89" s="99" t="s">
        <v>524</v>
      </c>
      <c r="C89" s="53">
        <v>18</v>
      </c>
      <c r="D89" s="53" t="s">
        <v>95</v>
      </c>
      <c r="E89" s="11">
        <f t="shared" si="27"/>
        <v>90</v>
      </c>
      <c r="F89" s="92">
        <f t="shared" si="28"/>
        <v>90</v>
      </c>
      <c r="G89" s="142"/>
      <c r="H89" s="54" t="s">
        <v>37</v>
      </c>
      <c r="I89" s="54"/>
      <c r="J89" s="55"/>
      <c r="K89" s="11"/>
      <c r="L89" s="53">
        <f t="shared" si="4"/>
        <v>1</v>
      </c>
      <c r="M89" s="11">
        <v>13.43</v>
      </c>
      <c r="N89" s="11">
        <v>24.57</v>
      </c>
      <c r="O89" s="11">
        <v>12</v>
      </c>
      <c r="P89" s="11"/>
      <c r="Q89" s="11"/>
      <c r="R89" s="11"/>
      <c r="S89" s="11"/>
      <c r="T89" s="11"/>
      <c r="U89" s="11">
        <v>40</v>
      </c>
      <c r="V89" s="56" t="s">
        <v>1688</v>
      </c>
      <c r="W89" s="35" t="str">
        <f t="shared" si="2"/>
        <v>OK</v>
      </c>
      <c r="X89" s="38" t="str">
        <f t="shared" si="5"/>
        <v/>
      </c>
      <c r="Y89" s="3"/>
      <c r="Z89" s="116"/>
    </row>
    <row r="90" spans="1:26" ht="15.75" hidden="1" customHeight="1" outlineLevel="1" x14ac:dyDescent="0.3">
      <c r="A90" s="3"/>
      <c r="B90" s="99" t="s">
        <v>520</v>
      </c>
      <c r="C90" s="53">
        <v>10</v>
      </c>
      <c r="D90" s="53" t="s">
        <v>95</v>
      </c>
      <c r="E90" s="11">
        <f t="shared" si="27"/>
        <v>300</v>
      </c>
      <c r="F90" s="92">
        <f t="shared" si="28"/>
        <v>300</v>
      </c>
      <c r="G90" s="142"/>
      <c r="H90" s="54" t="s">
        <v>37</v>
      </c>
      <c r="I90" s="54"/>
      <c r="J90" s="55"/>
      <c r="K90" s="11"/>
      <c r="L90" s="53" t="str">
        <f t="shared" si="4"/>
        <v/>
      </c>
      <c r="M90" s="11">
        <v>113.43</v>
      </c>
      <c r="N90" s="11">
        <v>24.57</v>
      </c>
      <c r="O90" s="11">
        <v>12</v>
      </c>
      <c r="P90" s="11"/>
      <c r="Q90" s="11"/>
      <c r="R90" s="11"/>
      <c r="S90" s="11"/>
      <c r="T90" s="11"/>
      <c r="U90" s="11">
        <v>150</v>
      </c>
      <c r="V90" s="56" t="s">
        <v>1731</v>
      </c>
      <c r="W90" s="35" t="str">
        <f t="shared" si="2"/>
        <v>OK</v>
      </c>
      <c r="X90" s="38" t="str">
        <f t="shared" si="5"/>
        <v/>
      </c>
      <c r="Y90" s="3"/>
      <c r="Z90" s="116"/>
    </row>
    <row r="91" spans="1:26" ht="15.75" hidden="1" customHeight="1" outlineLevel="1" x14ac:dyDescent="0.3">
      <c r="A91" s="3"/>
      <c r="B91" s="99" t="s">
        <v>521</v>
      </c>
      <c r="C91" s="53"/>
      <c r="D91" s="53" t="s">
        <v>105</v>
      </c>
      <c r="E91" s="11">
        <f t="shared" si="27"/>
        <v>24</v>
      </c>
      <c r="F91" s="92"/>
      <c r="G91" s="142"/>
      <c r="H91" s="54"/>
      <c r="I91" s="54"/>
      <c r="J91" s="55"/>
      <c r="K91" s="11"/>
      <c r="L91" s="53" t="str">
        <f t="shared" si="4"/>
        <v/>
      </c>
      <c r="M91" s="11">
        <v>-12.57</v>
      </c>
      <c r="N91" s="11">
        <v>24.57</v>
      </c>
      <c r="O91" s="11">
        <v>12</v>
      </c>
      <c r="P91" s="11"/>
      <c r="Q91" s="11"/>
      <c r="R91" s="11"/>
      <c r="S91" s="11"/>
      <c r="T91" s="11"/>
      <c r="U91" s="11"/>
      <c r="V91" s="56"/>
      <c r="W91" s="35" t="str">
        <f t="shared" si="2"/>
        <v>Diferente</v>
      </c>
      <c r="X91" s="38">
        <f t="shared" si="5"/>
        <v>-24</v>
      </c>
      <c r="Y91" s="3"/>
      <c r="Z91" s="116"/>
    </row>
    <row r="92" spans="1:26" ht="15.75" hidden="1" customHeight="1" outlineLevel="1" x14ac:dyDescent="0.3">
      <c r="A92" s="3"/>
      <c r="B92" s="99" t="s">
        <v>523</v>
      </c>
      <c r="C92" s="53">
        <v>13</v>
      </c>
      <c r="D92" s="53" t="s">
        <v>95</v>
      </c>
      <c r="E92" s="11">
        <f t="shared" si="27"/>
        <v>237</v>
      </c>
      <c r="F92" s="92">
        <f>E92</f>
        <v>237</v>
      </c>
      <c r="G92" s="142"/>
      <c r="H92" s="54" t="s">
        <v>37</v>
      </c>
      <c r="I92" s="54"/>
      <c r="J92" s="55"/>
      <c r="K92" s="11"/>
      <c r="L92" s="53">
        <f t="shared" si="4"/>
        <v>1</v>
      </c>
      <c r="M92" s="11">
        <v>88.43</v>
      </c>
      <c r="N92" s="11">
        <v>24.57</v>
      </c>
      <c r="O92" s="11">
        <v>12</v>
      </c>
      <c r="P92" s="11"/>
      <c r="Q92" s="11"/>
      <c r="R92" s="11"/>
      <c r="S92" s="11"/>
      <c r="T92" s="11"/>
      <c r="U92" s="11">
        <v>112</v>
      </c>
      <c r="V92" s="56" t="s">
        <v>1732</v>
      </c>
      <c r="W92" s="35" t="str">
        <f t="shared" si="2"/>
        <v>OK</v>
      </c>
      <c r="X92" s="38" t="str">
        <f t="shared" si="5"/>
        <v/>
      </c>
      <c r="Y92" s="3"/>
      <c r="Z92" s="116"/>
    </row>
    <row r="93" spans="1:26" ht="15.75" hidden="1" customHeight="1" outlineLevel="1" x14ac:dyDescent="0.3">
      <c r="A93" s="3"/>
      <c r="B93" s="99" t="s">
        <v>527</v>
      </c>
      <c r="C93" s="53"/>
      <c r="D93" s="53" t="s">
        <v>105</v>
      </c>
      <c r="E93" s="11">
        <f t="shared" si="27"/>
        <v>105</v>
      </c>
      <c r="F93" s="92"/>
      <c r="G93" s="142"/>
      <c r="H93" s="54"/>
      <c r="I93" s="54"/>
      <c r="J93" s="55"/>
      <c r="K93" s="11"/>
      <c r="L93" s="53" t="str">
        <f t="shared" si="4"/>
        <v/>
      </c>
      <c r="M93" s="11">
        <v>26.43</v>
      </c>
      <c r="N93" s="11">
        <v>24.57</v>
      </c>
      <c r="O93" s="11">
        <v>12</v>
      </c>
      <c r="P93" s="11">
        <v>2</v>
      </c>
      <c r="Q93" s="11"/>
      <c r="R93" s="11"/>
      <c r="S93" s="11"/>
      <c r="T93" s="11"/>
      <c r="U93" s="11">
        <v>40</v>
      </c>
      <c r="V93" s="56" t="s">
        <v>1688</v>
      </c>
      <c r="W93" s="35" t="str">
        <f t="shared" si="2"/>
        <v>Diferente</v>
      </c>
      <c r="X93" s="38">
        <f t="shared" si="5"/>
        <v>-105</v>
      </c>
      <c r="Y93" s="3"/>
      <c r="Z93" s="116"/>
    </row>
    <row r="94" spans="1:26" ht="15.75" hidden="1" customHeight="1" outlineLevel="1" x14ac:dyDescent="0.3">
      <c r="A94" s="3"/>
      <c r="B94" s="99" t="s">
        <v>528</v>
      </c>
      <c r="C94" s="53">
        <v>11</v>
      </c>
      <c r="D94" s="53" t="s">
        <v>95</v>
      </c>
      <c r="E94" s="11">
        <f t="shared" si="27"/>
        <v>214</v>
      </c>
      <c r="F94" s="92">
        <f t="shared" ref="F94:F106" si="29">E94</f>
        <v>214</v>
      </c>
      <c r="G94" s="142"/>
      <c r="H94" s="54" t="s">
        <v>37</v>
      </c>
      <c r="I94" s="54"/>
      <c r="J94" s="55"/>
      <c r="K94" s="11"/>
      <c r="L94" s="53" t="str">
        <f t="shared" si="4"/>
        <v/>
      </c>
      <c r="M94" s="11">
        <v>100.43</v>
      </c>
      <c r="N94" s="11">
        <v>24.57</v>
      </c>
      <c r="O94" s="11">
        <v>12</v>
      </c>
      <c r="P94" s="11">
        <v>2</v>
      </c>
      <c r="Q94" s="11"/>
      <c r="R94" s="11"/>
      <c r="S94" s="11"/>
      <c r="T94" s="11"/>
      <c r="U94" s="11">
        <v>75</v>
      </c>
      <c r="V94" s="56" t="s">
        <v>1733</v>
      </c>
      <c r="W94" s="35" t="str">
        <f t="shared" si="2"/>
        <v>OK</v>
      </c>
      <c r="X94" s="38" t="str">
        <f t="shared" si="5"/>
        <v/>
      </c>
      <c r="Y94" s="3"/>
      <c r="Z94" s="116"/>
    </row>
    <row r="95" spans="1:26" ht="15.75" hidden="1" customHeight="1" outlineLevel="1" x14ac:dyDescent="0.3">
      <c r="A95" s="3"/>
      <c r="B95" s="99" t="s">
        <v>713</v>
      </c>
      <c r="C95" s="53">
        <v>9</v>
      </c>
      <c r="D95" s="53" t="s">
        <v>95</v>
      </c>
      <c r="E95" s="11">
        <f t="shared" si="27"/>
        <v>140</v>
      </c>
      <c r="F95" s="92">
        <f t="shared" si="29"/>
        <v>140</v>
      </c>
      <c r="G95" s="142"/>
      <c r="H95" s="54" t="s">
        <v>37</v>
      </c>
      <c r="I95" s="54"/>
      <c r="J95" s="55"/>
      <c r="K95" s="11"/>
      <c r="L95" s="53" t="str">
        <f t="shared" si="4"/>
        <v/>
      </c>
      <c r="M95" s="11">
        <v>31.43</v>
      </c>
      <c r="N95" s="11">
        <v>24.57</v>
      </c>
      <c r="O95" s="11">
        <v>12</v>
      </c>
      <c r="P95" s="11">
        <v>2</v>
      </c>
      <c r="Q95" s="11"/>
      <c r="R95" s="11"/>
      <c r="S95" s="11"/>
      <c r="T95" s="11"/>
      <c r="U95" s="11">
        <v>70</v>
      </c>
      <c r="V95" s="56" t="s">
        <v>1685</v>
      </c>
      <c r="W95" s="35" t="str">
        <f t="shared" si="2"/>
        <v>OK</v>
      </c>
      <c r="X95" s="38" t="str">
        <f t="shared" si="5"/>
        <v/>
      </c>
      <c r="Y95" s="3"/>
      <c r="Z95" s="116"/>
    </row>
    <row r="96" spans="1:26" ht="15.75" hidden="1" customHeight="1" outlineLevel="1" x14ac:dyDescent="0.3">
      <c r="A96" s="3"/>
      <c r="B96" s="99" t="s">
        <v>896</v>
      </c>
      <c r="C96" s="71">
        <v>10</v>
      </c>
      <c r="D96" s="53" t="s">
        <v>95</v>
      </c>
      <c r="E96" s="11">
        <f t="shared" si="27"/>
        <v>351.19</v>
      </c>
      <c r="F96" s="92">
        <f t="shared" si="29"/>
        <v>351.19</v>
      </c>
      <c r="G96" s="142"/>
      <c r="H96" s="54" t="s">
        <v>37</v>
      </c>
      <c r="I96" s="54"/>
      <c r="J96" s="55"/>
      <c r="K96" s="11"/>
      <c r="L96" s="53" t="str">
        <f t="shared" si="4"/>
        <v/>
      </c>
      <c r="M96" s="11">
        <v>94</v>
      </c>
      <c r="N96" s="11">
        <v>24.57</v>
      </c>
      <c r="O96" s="11">
        <v>12</v>
      </c>
      <c r="P96" s="11">
        <v>0</v>
      </c>
      <c r="Q96" s="11"/>
      <c r="R96" s="11"/>
      <c r="S96" s="11"/>
      <c r="T96" s="11"/>
      <c r="U96" s="11">
        <v>220.62</v>
      </c>
      <c r="V96" s="56" t="s">
        <v>1734</v>
      </c>
      <c r="W96" s="35" t="str">
        <f t="shared" si="2"/>
        <v>OK</v>
      </c>
      <c r="X96" s="38" t="str">
        <f t="shared" si="5"/>
        <v/>
      </c>
      <c r="Y96" s="3"/>
      <c r="Z96" s="116"/>
    </row>
    <row r="97" spans="1:26" ht="15.75" hidden="1" customHeight="1" outlineLevel="1" x14ac:dyDescent="0.3">
      <c r="A97" s="3"/>
      <c r="B97" s="99" t="s">
        <v>897</v>
      </c>
      <c r="C97" s="53">
        <v>10</v>
      </c>
      <c r="D97" s="53" t="s">
        <v>95</v>
      </c>
      <c r="E97" s="11">
        <f t="shared" si="27"/>
        <v>150.57</v>
      </c>
      <c r="F97" s="92">
        <f t="shared" si="29"/>
        <v>150.57</v>
      </c>
      <c r="G97" s="142"/>
      <c r="H97" s="54" t="s">
        <v>37</v>
      </c>
      <c r="I97" s="54"/>
      <c r="J97" s="55"/>
      <c r="K97" s="11"/>
      <c r="L97" s="53" t="str">
        <f t="shared" si="4"/>
        <v/>
      </c>
      <c r="M97" s="11">
        <v>94</v>
      </c>
      <c r="N97" s="11">
        <v>24.57</v>
      </c>
      <c r="O97" s="11">
        <v>12</v>
      </c>
      <c r="P97" s="11">
        <v>0</v>
      </c>
      <c r="Q97" s="11"/>
      <c r="R97" s="11"/>
      <c r="S97" s="11"/>
      <c r="T97" s="11"/>
      <c r="U97" s="11">
        <v>20</v>
      </c>
      <c r="V97" s="56" t="s">
        <v>1674</v>
      </c>
      <c r="W97" s="35" t="str">
        <f t="shared" si="2"/>
        <v>OK</v>
      </c>
      <c r="X97" s="38" t="str">
        <f t="shared" si="5"/>
        <v/>
      </c>
      <c r="Y97" s="3"/>
      <c r="Z97" s="116"/>
    </row>
    <row r="98" spans="1:26" ht="15.75" hidden="1" customHeight="1" outlineLevel="1" x14ac:dyDescent="0.3">
      <c r="A98" s="3"/>
      <c r="B98" s="99" t="s">
        <v>1317</v>
      </c>
      <c r="C98" s="53">
        <v>4</v>
      </c>
      <c r="D98" s="53" t="s">
        <v>95</v>
      </c>
      <c r="E98" s="11">
        <f t="shared" si="27"/>
        <v>214.8</v>
      </c>
      <c r="F98" s="92">
        <f t="shared" si="29"/>
        <v>214.8</v>
      </c>
      <c r="G98" s="142"/>
      <c r="H98" s="54" t="s">
        <v>37</v>
      </c>
      <c r="I98" s="54"/>
      <c r="J98" s="55"/>
      <c r="K98" s="11"/>
      <c r="L98" s="53" t="str">
        <f t="shared" si="4"/>
        <v/>
      </c>
      <c r="M98" s="11">
        <v>68.23</v>
      </c>
      <c r="N98" s="11">
        <v>24.57</v>
      </c>
      <c r="O98" s="11">
        <v>12</v>
      </c>
      <c r="P98" s="11">
        <v>2</v>
      </c>
      <c r="Q98" s="11"/>
      <c r="R98" s="11"/>
      <c r="S98" s="11"/>
      <c r="T98" s="11"/>
      <c r="U98" s="11">
        <v>108</v>
      </c>
      <c r="V98" s="56" t="s">
        <v>1735</v>
      </c>
      <c r="W98" s="35" t="str">
        <f t="shared" si="2"/>
        <v>OK</v>
      </c>
      <c r="X98" s="38" t="str">
        <f t="shared" si="5"/>
        <v/>
      </c>
      <c r="Y98" s="3"/>
      <c r="Z98" s="116"/>
    </row>
    <row r="99" spans="1:26" ht="15.75" hidden="1" customHeight="1" outlineLevel="1" x14ac:dyDescent="0.3">
      <c r="A99" s="3"/>
      <c r="B99" s="99" t="s">
        <v>1319</v>
      </c>
      <c r="C99" s="53">
        <v>10</v>
      </c>
      <c r="D99" s="53" t="s">
        <v>95</v>
      </c>
      <c r="E99" s="11">
        <f t="shared" si="27"/>
        <v>200</v>
      </c>
      <c r="F99" s="92">
        <f t="shared" si="29"/>
        <v>200</v>
      </c>
      <c r="G99" s="142"/>
      <c r="H99" s="54" t="s">
        <v>37</v>
      </c>
      <c r="I99" s="54"/>
      <c r="J99" s="55"/>
      <c r="K99" s="11"/>
      <c r="L99" s="53" t="str">
        <f t="shared" si="4"/>
        <v/>
      </c>
      <c r="M99" s="11">
        <v>93.43</v>
      </c>
      <c r="N99" s="11">
        <v>24.57</v>
      </c>
      <c r="O99" s="11">
        <v>12</v>
      </c>
      <c r="P99" s="11">
        <v>0</v>
      </c>
      <c r="Q99" s="11"/>
      <c r="R99" s="11"/>
      <c r="S99" s="11"/>
      <c r="T99" s="11"/>
      <c r="U99" s="11">
        <v>70</v>
      </c>
      <c r="V99" s="56" t="s">
        <v>1736</v>
      </c>
      <c r="W99" s="35" t="str">
        <f t="shared" si="2"/>
        <v>OK</v>
      </c>
      <c r="X99" s="38" t="str">
        <f t="shared" si="5"/>
        <v/>
      </c>
      <c r="Y99" s="3"/>
      <c r="Z99" s="3"/>
    </row>
    <row r="100" spans="1:26" ht="15.75" hidden="1" customHeight="1" outlineLevel="1" x14ac:dyDescent="0.3">
      <c r="A100" s="3"/>
      <c r="B100" s="99" t="s">
        <v>487</v>
      </c>
      <c r="C100" s="53">
        <v>4</v>
      </c>
      <c r="D100" s="53" t="s">
        <v>95</v>
      </c>
      <c r="E100" s="11">
        <f t="shared" si="27"/>
        <v>90</v>
      </c>
      <c r="F100" s="92">
        <f t="shared" si="29"/>
        <v>90</v>
      </c>
      <c r="G100" s="142"/>
      <c r="H100" s="54" t="s">
        <v>37</v>
      </c>
      <c r="I100" s="54"/>
      <c r="J100" s="55"/>
      <c r="K100" s="53"/>
      <c r="L100" s="53" t="str">
        <f t="shared" si="4"/>
        <v/>
      </c>
      <c r="M100" s="11">
        <v>33.43</v>
      </c>
      <c r="N100" s="11">
        <v>24.57</v>
      </c>
      <c r="O100" s="11">
        <v>12</v>
      </c>
      <c r="P100" s="11">
        <v>0</v>
      </c>
      <c r="Q100" s="11"/>
      <c r="R100" s="11"/>
      <c r="S100" s="11"/>
      <c r="T100" s="11"/>
      <c r="U100" s="11">
        <v>20</v>
      </c>
      <c r="V100" s="56" t="s">
        <v>1674</v>
      </c>
      <c r="W100" s="35" t="str">
        <f t="shared" si="2"/>
        <v>OK</v>
      </c>
      <c r="X100" s="38" t="str">
        <f t="shared" si="5"/>
        <v/>
      </c>
      <c r="Y100" s="3"/>
      <c r="Z100" s="3"/>
    </row>
    <row r="101" spans="1:26" ht="15.75" hidden="1" customHeight="1" outlineLevel="1" x14ac:dyDescent="0.3">
      <c r="A101" s="3"/>
      <c r="B101" s="99" t="s">
        <v>1428</v>
      </c>
      <c r="C101" s="53">
        <v>5</v>
      </c>
      <c r="D101" s="53" t="s">
        <v>95</v>
      </c>
      <c r="E101" s="11">
        <f t="shared" si="27"/>
        <v>329.62</v>
      </c>
      <c r="F101" s="92">
        <f t="shared" si="29"/>
        <v>329.62</v>
      </c>
      <c r="G101" s="142"/>
      <c r="H101" s="54" t="s">
        <v>37</v>
      </c>
      <c r="I101" s="54"/>
      <c r="J101" s="55"/>
      <c r="K101" s="53"/>
      <c r="L101" s="53" t="str">
        <f t="shared" si="4"/>
        <v/>
      </c>
      <c r="M101" s="11">
        <v>88.43</v>
      </c>
      <c r="N101" s="11">
        <v>24.57</v>
      </c>
      <c r="O101" s="11">
        <v>12</v>
      </c>
      <c r="P101" s="11">
        <v>0</v>
      </c>
      <c r="Q101" s="11"/>
      <c r="R101" s="11"/>
      <c r="S101" s="11"/>
      <c r="T101" s="11"/>
      <c r="U101" s="11">
        <v>204.62</v>
      </c>
      <c r="V101" s="56" t="s">
        <v>1737</v>
      </c>
      <c r="W101" s="35" t="str">
        <f t="shared" si="2"/>
        <v>OK</v>
      </c>
      <c r="X101" s="38" t="str">
        <f t="shared" si="5"/>
        <v/>
      </c>
      <c r="Y101" s="3"/>
      <c r="Z101" s="3"/>
    </row>
    <row r="102" spans="1:26" ht="15.75" hidden="1" customHeight="1" outlineLevel="1" x14ac:dyDescent="0.3">
      <c r="A102" s="3"/>
      <c r="B102" s="99" t="s">
        <v>1429</v>
      </c>
      <c r="C102" s="53">
        <v>5</v>
      </c>
      <c r="D102" s="53" t="s">
        <v>95</v>
      </c>
      <c r="E102" s="11">
        <f t="shared" si="27"/>
        <v>217</v>
      </c>
      <c r="F102" s="92">
        <f t="shared" si="29"/>
        <v>217</v>
      </c>
      <c r="G102" s="142"/>
      <c r="H102" s="54" t="s">
        <v>37</v>
      </c>
      <c r="I102" s="54"/>
      <c r="J102" s="55"/>
      <c r="K102" s="53"/>
      <c r="L102" s="53" t="str">
        <f t="shared" si="4"/>
        <v/>
      </c>
      <c r="M102" s="11">
        <v>88.43</v>
      </c>
      <c r="N102" s="11">
        <v>24.57</v>
      </c>
      <c r="O102" s="11">
        <v>12</v>
      </c>
      <c r="P102" s="11">
        <v>0</v>
      </c>
      <c r="Q102" s="11"/>
      <c r="R102" s="11"/>
      <c r="S102" s="11"/>
      <c r="T102" s="11"/>
      <c r="U102" s="11">
        <v>92</v>
      </c>
      <c r="V102" s="56" t="s">
        <v>1738</v>
      </c>
      <c r="W102" s="35" t="str">
        <f t="shared" si="2"/>
        <v>OK</v>
      </c>
      <c r="X102" s="38" t="str">
        <f t="shared" si="5"/>
        <v/>
      </c>
      <c r="Y102" s="3"/>
      <c r="Z102" s="3"/>
    </row>
    <row r="103" spans="1:26" ht="15.75" hidden="1" customHeight="1" outlineLevel="1" x14ac:dyDescent="0.3">
      <c r="A103" s="3"/>
      <c r="B103" s="99" t="s">
        <v>1430</v>
      </c>
      <c r="C103" s="53">
        <v>4</v>
      </c>
      <c r="D103" s="53" t="s">
        <v>95</v>
      </c>
      <c r="E103" s="11">
        <f t="shared" si="27"/>
        <v>100</v>
      </c>
      <c r="F103" s="11">
        <f t="shared" si="29"/>
        <v>100</v>
      </c>
      <c r="G103" s="142"/>
      <c r="H103" s="54" t="s">
        <v>37</v>
      </c>
      <c r="I103" s="54"/>
      <c r="J103" s="55"/>
      <c r="K103" s="53"/>
      <c r="L103" s="53" t="str">
        <f t="shared" si="4"/>
        <v/>
      </c>
      <c r="M103" s="11">
        <v>33.43</v>
      </c>
      <c r="N103" s="11">
        <v>24.57</v>
      </c>
      <c r="O103" s="11">
        <v>12</v>
      </c>
      <c r="P103" s="11">
        <v>0</v>
      </c>
      <c r="Q103" s="11"/>
      <c r="R103" s="11"/>
      <c r="S103" s="11"/>
      <c r="T103" s="11"/>
      <c r="U103" s="11">
        <v>30</v>
      </c>
      <c r="V103" s="56" t="s">
        <v>1739</v>
      </c>
      <c r="W103" s="35" t="str">
        <f t="shared" si="2"/>
        <v>OK</v>
      </c>
      <c r="X103" s="38" t="str">
        <f t="shared" si="5"/>
        <v/>
      </c>
      <c r="Y103" s="3"/>
      <c r="Z103" s="3"/>
    </row>
    <row r="104" spans="1:26" ht="15.75" hidden="1" customHeight="1" outlineLevel="1" x14ac:dyDescent="0.3">
      <c r="A104" s="3"/>
      <c r="B104" s="99" t="s">
        <v>1740</v>
      </c>
      <c r="C104" s="53">
        <v>9</v>
      </c>
      <c r="D104" s="53" t="s">
        <v>95</v>
      </c>
      <c r="E104" s="11">
        <f t="shared" si="27"/>
        <v>150</v>
      </c>
      <c r="F104" s="11">
        <f t="shared" si="29"/>
        <v>150</v>
      </c>
      <c r="G104" s="142"/>
      <c r="H104" s="54" t="s">
        <v>37</v>
      </c>
      <c r="I104" s="54"/>
      <c r="J104" s="55"/>
      <c r="K104" s="53"/>
      <c r="L104" s="53" t="str">
        <f t="shared" si="4"/>
        <v/>
      </c>
      <c r="M104" s="11">
        <v>113.43</v>
      </c>
      <c r="N104" s="11">
        <v>24.57</v>
      </c>
      <c r="O104" s="11">
        <v>12</v>
      </c>
      <c r="P104" s="11">
        <v>0</v>
      </c>
      <c r="Q104" s="11"/>
      <c r="R104" s="11"/>
      <c r="S104" s="11"/>
      <c r="T104" s="11"/>
      <c r="U104" s="11"/>
      <c r="V104" s="53"/>
      <c r="W104" s="35" t="str">
        <f t="shared" si="2"/>
        <v>OK</v>
      </c>
      <c r="X104" s="38" t="str">
        <f t="shared" si="5"/>
        <v/>
      </c>
      <c r="Y104" s="3"/>
      <c r="Z104" s="3"/>
    </row>
    <row r="105" spans="1:26" ht="15.75" hidden="1" customHeight="1" outlineLevel="1" x14ac:dyDescent="0.3">
      <c r="A105" s="3"/>
      <c r="B105" s="99" t="s">
        <v>1741</v>
      </c>
      <c r="C105" s="53">
        <v>9</v>
      </c>
      <c r="D105" s="53" t="s">
        <v>95</v>
      </c>
      <c r="E105" s="11">
        <f t="shared" si="27"/>
        <v>150</v>
      </c>
      <c r="F105" s="11">
        <f t="shared" si="29"/>
        <v>150</v>
      </c>
      <c r="G105" s="142"/>
      <c r="H105" s="54" t="s">
        <v>37</v>
      </c>
      <c r="I105" s="54"/>
      <c r="J105" s="55"/>
      <c r="K105" s="53"/>
      <c r="L105" s="53" t="str">
        <f t="shared" si="4"/>
        <v/>
      </c>
      <c r="M105" s="11">
        <v>113.43</v>
      </c>
      <c r="N105" s="11">
        <v>24.57</v>
      </c>
      <c r="O105" s="11">
        <v>12</v>
      </c>
      <c r="P105" s="11">
        <v>0</v>
      </c>
      <c r="Q105" s="11"/>
      <c r="R105" s="11"/>
      <c r="S105" s="11"/>
      <c r="T105" s="11"/>
      <c r="U105" s="11"/>
      <c r="V105" s="53"/>
      <c r="W105" s="35" t="str">
        <f t="shared" si="2"/>
        <v>OK</v>
      </c>
      <c r="X105" s="38" t="str">
        <f t="shared" si="5"/>
        <v/>
      </c>
      <c r="Y105" s="3"/>
      <c r="Z105" s="3"/>
    </row>
    <row r="106" spans="1:26" ht="15.75" hidden="1" customHeight="1" outlineLevel="1" x14ac:dyDescent="0.3">
      <c r="A106" s="3"/>
      <c r="B106" s="99" t="s">
        <v>1742</v>
      </c>
      <c r="C106" s="53">
        <v>9</v>
      </c>
      <c r="D106" s="53" t="s">
        <v>95</v>
      </c>
      <c r="E106" s="11">
        <f t="shared" si="27"/>
        <v>150</v>
      </c>
      <c r="F106" s="11">
        <f t="shared" si="29"/>
        <v>150</v>
      </c>
      <c r="G106" s="142"/>
      <c r="H106" s="54" t="s">
        <v>37</v>
      </c>
      <c r="I106" s="54"/>
      <c r="J106" s="55"/>
      <c r="K106" s="53"/>
      <c r="L106" s="53" t="str">
        <f t="shared" si="4"/>
        <v/>
      </c>
      <c r="M106" s="11">
        <v>113.43</v>
      </c>
      <c r="N106" s="11">
        <v>24.57</v>
      </c>
      <c r="O106" s="11">
        <v>12</v>
      </c>
      <c r="P106" s="11">
        <v>0</v>
      </c>
      <c r="Q106" s="11"/>
      <c r="R106" s="11"/>
      <c r="S106" s="11"/>
      <c r="T106" s="11"/>
      <c r="U106" s="11"/>
      <c r="V106" s="53"/>
      <c r="W106" s="35" t="str">
        <f t="shared" si="2"/>
        <v>OK</v>
      </c>
      <c r="X106" s="38" t="str">
        <f t="shared" si="5"/>
        <v/>
      </c>
      <c r="Y106" s="3"/>
      <c r="Z106" s="3"/>
    </row>
    <row r="107" spans="1:26" ht="15.75" hidden="1" customHeight="1" outlineLevel="1" x14ac:dyDescent="0.3">
      <c r="A107" s="3"/>
      <c r="B107" s="9"/>
      <c r="C107" s="53"/>
      <c r="D107" s="53"/>
      <c r="E107" s="11"/>
      <c r="F107" s="11"/>
      <c r="G107" s="142"/>
      <c r="H107" s="54"/>
      <c r="I107" s="54"/>
      <c r="J107" s="55" t="s">
        <v>97</v>
      </c>
      <c r="K107" s="53"/>
      <c r="L107" s="53" t="str">
        <f t="shared" si="4"/>
        <v/>
      </c>
      <c r="M107" s="11"/>
      <c r="N107" s="11"/>
      <c r="O107" s="11"/>
      <c r="P107" s="11"/>
      <c r="Q107" s="11"/>
      <c r="R107" s="11"/>
      <c r="S107" s="11"/>
      <c r="T107" s="11"/>
      <c r="U107" s="11"/>
      <c r="V107" s="53"/>
      <c r="W107" s="35" t="str">
        <f t="shared" si="2"/>
        <v>OK</v>
      </c>
      <c r="X107" s="38" t="str">
        <f t="shared" si="5"/>
        <v/>
      </c>
      <c r="Y107" s="3"/>
      <c r="Z107" s="3"/>
    </row>
    <row r="108" spans="1:26" ht="15.75" hidden="1" customHeight="1" outlineLevel="1" x14ac:dyDescent="0.3">
      <c r="A108" s="3"/>
      <c r="B108" s="9"/>
      <c r="C108" s="53"/>
      <c r="D108" s="53"/>
      <c r="E108" s="11"/>
      <c r="F108" s="11"/>
      <c r="G108" s="142"/>
      <c r="H108" s="54"/>
      <c r="I108" s="54"/>
      <c r="J108" s="55" t="s">
        <v>97</v>
      </c>
      <c r="K108" s="53"/>
      <c r="L108" s="53" t="str">
        <f t="shared" si="4"/>
        <v/>
      </c>
      <c r="M108" s="11"/>
      <c r="N108" s="11"/>
      <c r="O108" s="11"/>
      <c r="P108" s="11"/>
      <c r="Q108" s="11"/>
      <c r="R108" s="11"/>
      <c r="S108" s="11"/>
      <c r="T108" s="11"/>
      <c r="U108" s="11"/>
      <c r="V108" s="53"/>
      <c r="W108" s="35" t="str">
        <f t="shared" si="2"/>
        <v>OK</v>
      </c>
      <c r="X108" s="38" t="str">
        <f t="shared" si="5"/>
        <v/>
      </c>
      <c r="Y108" s="3"/>
      <c r="Z108" s="3"/>
    </row>
    <row r="109" spans="1:26" ht="15.75" hidden="1" customHeight="1" outlineLevel="1" x14ac:dyDescent="0.3">
      <c r="A109" s="3"/>
      <c r="B109" s="9"/>
      <c r="C109" s="53"/>
      <c r="D109" s="53"/>
      <c r="E109" s="11"/>
      <c r="F109" s="11"/>
      <c r="G109" s="58"/>
      <c r="H109" s="54"/>
      <c r="I109" s="54"/>
      <c r="J109" s="55" t="s">
        <v>97</v>
      </c>
      <c r="K109" s="53"/>
      <c r="L109" s="53" t="str">
        <f t="shared" si="4"/>
        <v/>
      </c>
      <c r="M109" s="11"/>
      <c r="N109" s="11"/>
      <c r="O109" s="11"/>
      <c r="P109" s="11"/>
      <c r="Q109" s="11"/>
      <c r="R109" s="11"/>
      <c r="S109" s="11"/>
      <c r="T109" s="11"/>
      <c r="U109" s="11"/>
      <c r="V109" s="53"/>
      <c r="W109" s="35" t="str">
        <f t="shared" si="2"/>
        <v>OK</v>
      </c>
      <c r="X109" s="38" t="str">
        <f t="shared" si="5"/>
        <v/>
      </c>
      <c r="Y109" s="3"/>
      <c r="Z109" s="3"/>
    </row>
    <row r="110" spans="1:26" ht="15.75" hidden="1" customHeight="1" outlineLevel="1" x14ac:dyDescent="0.3">
      <c r="A110" s="3"/>
      <c r="B110" s="9"/>
      <c r="C110" s="53"/>
      <c r="D110" s="53"/>
      <c r="E110" s="11"/>
      <c r="F110" s="11"/>
      <c r="G110" s="58"/>
      <c r="H110" s="54"/>
      <c r="I110" s="54"/>
      <c r="J110" s="55" t="s">
        <v>97</v>
      </c>
      <c r="K110" s="53"/>
      <c r="L110" s="53" t="str">
        <f t="shared" si="4"/>
        <v/>
      </c>
      <c r="M110" s="11"/>
      <c r="N110" s="11"/>
      <c r="O110" s="11"/>
      <c r="P110" s="11"/>
      <c r="Q110" s="11"/>
      <c r="R110" s="11"/>
      <c r="S110" s="11"/>
      <c r="T110" s="11"/>
      <c r="U110" s="11"/>
      <c r="V110" s="53"/>
      <c r="W110" s="35" t="str">
        <f t="shared" si="2"/>
        <v>OK</v>
      </c>
      <c r="X110" s="38" t="str">
        <f t="shared" si="5"/>
        <v/>
      </c>
      <c r="Y110" s="3"/>
      <c r="Z110" s="3"/>
    </row>
    <row r="111" spans="1:26" ht="15.75" hidden="1" customHeight="1" outlineLevel="1" x14ac:dyDescent="0.3">
      <c r="A111" s="3"/>
      <c r="B111" s="9"/>
      <c r="C111" s="53"/>
      <c r="D111" s="53"/>
      <c r="E111" s="11"/>
      <c r="F111" s="11"/>
      <c r="G111" s="58"/>
      <c r="H111" s="54"/>
      <c r="I111" s="54"/>
      <c r="J111" s="55" t="s">
        <v>97</v>
      </c>
      <c r="K111" s="53"/>
      <c r="L111" s="53" t="str">
        <f t="shared" si="4"/>
        <v/>
      </c>
      <c r="M111" s="11"/>
      <c r="N111" s="11"/>
      <c r="O111" s="11"/>
      <c r="P111" s="11"/>
      <c r="Q111" s="11"/>
      <c r="R111" s="11"/>
      <c r="S111" s="11"/>
      <c r="T111" s="11"/>
      <c r="U111" s="11"/>
      <c r="V111" s="53"/>
      <c r="W111" s="35" t="str">
        <f t="shared" si="2"/>
        <v>OK</v>
      </c>
      <c r="X111" s="38" t="str">
        <f t="shared" si="5"/>
        <v/>
      </c>
      <c r="Y111" s="3"/>
      <c r="Z111" s="3"/>
    </row>
    <row r="112" spans="1:26" ht="15.75" hidden="1" customHeight="1" outlineLevel="1" x14ac:dyDescent="0.3">
      <c r="A112" s="3"/>
      <c r="B112" s="9"/>
      <c r="C112" s="53"/>
      <c r="D112" s="53"/>
      <c r="E112" s="11"/>
      <c r="F112" s="11"/>
      <c r="G112" s="58"/>
      <c r="H112" s="54"/>
      <c r="I112" s="54"/>
      <c r="J112" s="55" t="s">
        <v>97</v>
      </c>
      <c r="K112" s="53"/>
      <c r="L112" s="53" t="str">
        <f t="shared" si="4"/>
        <v/>
      </c>
      <c r="M112" s="11"/>
      <c r="N112" s="11"/>
      <c r="O112" s="11"/>
      <c r="P112" s="11"/>
      <c r="Q112" s="11"/>
      <c r="R112" s="11"/>
      <c r="S112" s="11"/>
      <c r="T112" s="11"/>
      <c r="U112" s="11"/>
      <c r="V112" s="53"/>
      <c r="W112" s="35" t="str">
        <f t="shared" si="2"/>
        <v>OK</v>
      </c>
      <c r="X112" s="38" t="str">
        <f t="shared" si="5"/>
        <v/>
      </c>
      <c r="Y112" s="3"/>
      <c r="Z112" s="3"/>
    </row>
    <row r="113" spans="1:26" ht="15.75" hidden="1" customHeight="1" outlineLevel="1" x14ac:dyDescent="0.3">
      <c r="A113" s="3"/>
      <c r="B113" s="9"/>
      <c r="C113" s="53"/>
      <c r="D113" s="53"/>
      <c r="E113" s="11"/>
      <c r="F113" s="11"/>
      <c r="G113" s="58"/>
      <c r="H113" s="54"/>
      <c r="I113" s="54"/>
      <c r="J113" s="55" t="s">
        <v>97</v>
      </c>
      <c r="K113" s="53"/>
      <c r="L113" s="53" t="str">
        <f t="shared" si="4"/>
        <v/>
      </c>
      <c r="M113" s="11"/>
      <c r="N113" s="11"/>
      <c r="O113" s="11"/>
      <c r="P113" s="11"/>
      <c r="Q113" s="11"/>
      <c r="R113" s="11"/>
      <c r="S113" s="11"/>
      <c r="T113" s="11"/>
      <c r="U113" s="11"/>
      <c r="V113" s="53"/>
      <c r="W113" s="35" t="str">
        <f t="shared" si="2"/>
        <v>OK</v>
      </c>
      <c r="X113" s="38" t="str">
        <f t="shared" si="5"/>
        <v/>
      </c>
      <c r="Y113" s="3"/>
      <c r="Z113" s="3"/>
    </row>
    <row r="114" spans="1:26" ht="15.75" hidden="1" customHeight="1" outlineLevel="1" x14ac:dyDescent="0.3">
      <c r="A114" s="3"/>
      <c r="B114" s="9"/>
      <c r="C114" s="53"/>
      <c r="D114" s="53"/>
      <c r="E114" s="11"/>
      <c r="F114" s="11"/>
      <c r="G114" s="58"/>
      <c r="H114" s="54"/>
      <c r="I114" s="54"/>
      <c r="J114" s="55" t="s">
        <v>97</v>
      </c>
      <c r="K114" s="53"/>
      <c r="L114" s="53" t="str">
        <f t="shared" si="4"/>
        <v/>
      </c>
      <c r="M114" s="11"/>
      <c r="N114" s="11"/>
      <c r="O114" s="11"/>
      <c r="P114" s="11"/>
      <c r="Q114" s="11"/>
      <c r="R114" s="11"/>
      <c r="S114" s="11"/>
      <c r="T114" s="11"/>
      <c r="U114" s="11"/>
      <c r="V114" s="53"/>
      <c r="W114" s="35" t="str">
        <f t="shared" si="2"/>
        <v>OK</v>
      </c>
      <c r="X114" s="38" t="str">
        <f t="shared" si="5"/>
        <v/>
      </c>
      <c r="Y114" s="3"/>
      <c r="Z114" s="3"/>
    </row>
    <row r="115" spans="1:26" ht="15.75" hidden="1" customHeight="1" outlineLevel="1" x14ac:dyDescent="0.3">
      <c r="A115" s="3"/>
      <c r="B115" s="9"/>
      <c r="C115" s="53"/>
      <c r="D115" s="53"/>
      <c r="E115" s="11"/>
      <c r="F115" s="11"/>
      <c r="G115" s="58"/>
      <c r="H115" s="54"/>
      <c r="I115" s="54"/>
      <c r="J115" s="55" t="s">
        <v>97</v>
      </c>
      <c r="K115" s="53"/>
      <c r="L115" s="53" t="str">
        <f t="shared" si="4"/>
        <v/>
      </c>
      <c r="M115" s="11"/>
      <c r="N115" s="11"/>
      <c r="O115" s="11"/>
      <c r="P115" s="11"/>
      <c r="Q115" s="11"/>
      <c r="R115" s="11"/>
      <c r="S115" s="11"/>
      <c r="T115" s="11"/>
      <c r="U115" s="11"/>
      <c r="V115" s="53"/>
      <c r="W115" s="35" t="str">
        <f t="shared" si="2"/>
        <v>OK</v>
      </c>
      <c r="X115" s="38" t="str">
        <f t="shared" si="5"/>
        <v/>
      </c>
      <c r="Y115" s="3"/>
      <c r="Z115" s="3"/>
    </row>
    <row r="116" spans="1:26" ht="15.75" hidden="1" customHeight="1" outlineLevel="1" x14ac:dyDescent="0.3">
      <c r="A116" s="3"/>
      <c r="B116" s="9"/>
      <c r="C116" s="53"/>
      <c r="D116" s="53"/>
      <c r="E116" s="11"/>
      <c r="F116" s="11"/>
      <c r="G116" s="58"/>
      <c r="H116" s="54"/>
      <c r="I116" s="54"/>
      <c r="J116" s="55" t="s">
        <v>97</v>
      </c>
      <c r="K116" s="53"/>
      <c r="L116" s="53" t="str">
        <f t="shared" si="4"/>
        <v/>
      </c>
      <c r="M116" s="11"/>
      <c r="N116" s="11"/>
      <c r="O116" s="11"/>
      <c r="P116" s="11"/>
      <c r="Q116" s="11"/>
      <c r="R116" s="11"/>
      <c r="S116" s="11"/>
      <c r="T116" s="11"/>
      <c r="U116" s="11"/>
      <c r="V116" s="53"/>
      <c r="W116" s="35" t="str">
        <f t="shared" si="2"/>
        <v>OK</v>
      </c>
      <c r="X116" s="38" t="str">
        <f t="shared" si="5"/>
        <v/>
      </c>
      <c r="Y116" s="3"/>
      <c r="Z116" s="3"/>
    </row>
    <row r="117" spans="1:26" ht="15.75" hidden="1" customHeight="1" outlineLevel="1" x14ac:dyDescent="0.3">
      <c r="A117" s="3"/>
      <c r="B117" s="9"/>
      <c r="C117" s="53"/>
      <c r="D117" s="53"/>
      <c r="E117" s="11"/>
      <c r="F117" s="11"/>
      <c r="G117" s="58"/>
      <c r="H117" s="54"/>
      <c r="I117" s="54"/>
      <c r="J117" s="55" t="s">
        <v>97</v>
      </c>
      <c r="K117" s="53"/>
      <c r="L117" s="53" t="str">
        <f t="shared" si="4"/>
        <v/>
      </c>
      <c r="M117" s="11"/>
      <c r="N117" s="11"/>
      <c r="O117" s="11"/>
      <c r="P117" s="11"/>
      <c r="Q117" s="11"/>
      <c r="R117" s="11"/>
      <c r="S117" s="11"/>
      <c r="T117" s="11"/>
      <c r="U117" s="11"/>
      <c r="V117" s="53"/>
      <c r="W117" s="35" t="str">
        <f t="shared" si="2"/>
        <v>OK</v>
      </c>
      <c r="X117" s="38" t="str">
        <f t="shared" si="5"/>
        <v/>
      </c>
      <c r="Y117" s="3"/>
      <c r="Z117" s="3"/>
    </row>
    <row r="118" spans="1:26" ht="15.75" hidden="1" customHeight="1" outlineLevel="1" x14ac:dyDescent="0.3">
      <c r="A118" s="3"/>
      <c r="B118" s="9"/>
      <c r="C118" s="53"/>
      <c r="D118" s="53"/>
      <c r="E118" s="11"/>
      <c r="F118" s="11"/>
      <c r="G118" s="58"/>
      <c r="H118" s="54"/>
      <c r="I118" s="54"/>
      <c r="J118" s="55" t="s">
        <v>97</v>
      </c>
      <c r="K118" s="53"/>
      <c r="L118" s="53" t="str">
        <f t="shared" si="4"/>
        <v/>
      </c>
      <c r="M118" s="11"/>
      <c r="N118" s="11"/>
      <c r="O118" s="11"/>
      <c r="P118" s="11"/>
      <c r="Q118" s="11"/>
      <c r="R118" s="11"/>
      <c r="S118" s="11"/>
      <c r="T118" s="11"/>
      <c r="U118" s="11"/>
      <c r="V118" s="53"/>
      <c r="W118" s="35" t="str">
        <f t="shared" si="2"/>
        <v>OK</v>
      </c>
      <c r="X118" s="38" t="str">
        <f t="shared" si="5"/>
        <v/>
      </c>
      <c r="Y118" s="3"/>
      <c r="Z118" s="3"/>
    </row>
    <row r="119" spans="1:26" ht="15.75" hidden="1" customHeight="1" outlineLevel="1" x14ac:dyDescent="0.3">
      <c r="A119" s="3"/>
      <c r="B119" s="9"/>
      <c r="C119" s="53"/>
      <c r="D119" s="53"/>
      <c r="E119" s="11"/>
      <c r="F119" s="11"/>
      <c r="G119" s="58"/>
      <c r="H119" s="54"/>
      <c r="I119" s="54"/>
      <c r="J119" s="55"/>
      <c r="K119" s="53"/>
      <c r="L119" s="53" t="str">
        <f t="shared" si="4"/>
        <v/>
      </c>
      <c r="M119" s="11"/>
      <c r="N119" s="11"/>
      <c r="O119" s="11"/>
      <c r="P119" s="11"/>
      <c r="Q119" s="11"/>
      <c r="R119" s="11"/>
      <c r="S119" s="11"/>
      <c r="T119" s="11"/>
      <c r="U119" s="11"/>
      <c r="V119" s="53"/>
      <c r="W119" s="35" t="str">
        <f t="shared" si="2"/>
        <v>OK</v>
      </c>
      <c r="X119" s="38" t="str">
        <f t="shared" si="5"/>
        <v/>
      </c>
      <c r="Y119" s="3"/>
      <c r="Z119" s="3"/>
    </row>
    <row r="120" spans="1:26" ht="15.75" hidden="1" customHeight="1" outlineLevel="1" x14ac:dyDescent="0.3">
      <c r="A120" s="3"/>
      <c r="B120" s="9"/>
      <c r="C120" s="53"/>
      <c r="D120" s="53"/>
      <c r="E120" s="11"/>
      <c r="F120" s="11"/>
      <c r="G120" s="58"/>
      <c r="H120" s="54"/>
      <c r="I120" s="54"/>
      <c r="J120" s="55"/>
      <c r="K120" s="53"/>
      <c r="L120" s="53" t="str">
        <f t="shared" si="4"/>
        <v/>
      </c>
      <c r="M120" s="11"/>
      <c r="N120" s="11"/>
      <c r="O120" s="11"/>
      <c r="P120" s="11"/>
      <c r="Q120" s="11"/>
      <c r="R120" s="11"/>
      <c r="S120" s="11"/>
      <c r="T120" s="11"/>
      <c r="U120" s="11"/>
      <c r="V120" s="53"/>
      <c r="W120" s="35" t="str">
        <f t="shared" si="2"/>
        <v>OK</v>
      </c>
      <c r="X120" s="38" t="str">
        <f t="shared" si="5"/>
        <v/>
      </c>
      <c r="Y120" s="3"/>
      <c r="Z120" s="3"/>
    </row>
    <row r="121" spans="1:26" ht="15.75" hidden="1" customHeight="1" outlineLevel="1" x14ac:dyDescent="0.3">
      <c r="A121" s="3"/>
      <c r="B121" s="9"/>
      <c r="C121" s="53"/>
      <c r="D121" s="53"/>
      <c r="E121" s="11"/>
      <c r="F121" s="11"/>
      <c r="G121" s="58"/>
      <c r="H121" s="54"/>
      <c r="I121" s="54"/>
      <c r="J121" s="55"/>
      <c r="K121" s="53"/>
      <c r="L121" s="53" t="str">
        <f t="shared" si="4"/>
        <v/>
      </c>
      <c r="M121" s="11"/>
      <c r="N121" s="11"/>
      <c r="O121" s="11"/>
      <c r="P121" s="11"/>
      <c r="Q121" s="11"/>
      <c r="R121" s="11"/>
      <c r="S121" s="11"/>
      <c r="T121" s="11"/>
      <c r="U121" s="11"/>
      <c r="V121" s="53"/>
      <c r="W121" s="35" t="str">
        <f t="shared" si="2"/>
        <v>OK</v>
      </c>
      <c r="X121" s="38" t="str">
        <f t="shared" si="5"/>
        <v/>
      </c>
      <c r="Y121" s="3"/>
      <c r="Z121" s="3"/>
    </row>
    <row r="122" spans="1:26" ht="15.75" hidden="1" customHeight="1" outlineLevel="1" x14ac:dyDescent="0.3">
      <c r="A122" s="3"/>
      <c r="B122" s="9"/>
      <c r="C122" s="53"/>
      <c r="D122" s="53"/>
      <c r="E122" s="11"/>
      <c r="F122" s="11"/>
      <c r="G122" s="58"/>
      <c r="H122" s="54"/>
      <c r="I122" s="54"/>
      <c r="J122" s="55"/>
      <c r="K122" s="53"/>
      <c r="L122" s="53" t="str">
        <f t="shared" si="4"/>
        <v/>
      </c>
      <c r="M122" s="11"/>
      <c r="N122" s="11"/>
      <c r="O122" s="11"/>
      <c r="P122" s="11"/>
      <c r="Q122" s="11"/>
      <c r="R122" s="11"/>
      <c r="S122" s="11"/>
      <c r="T122" s="11"/>
      <c r="U122" s="11"/>
      <c r="V122" s="53"/>
      <c r="W122" s="35" t="str">
        <f t="shared" si="2"/>
        <v>OK</v>
      </c>
      <c r="X122" s="38" t="str">
        <f t="shared" si="5"/>
        <v/>
      </c>
      <c r="Y122" s="3"/>
      <c r="Z122" s="3"/>
    </row>
    <row r="123" spans="1:26" ht="15.75" hidden="1" customHeight="1" outlineLevel="1" x14ac:dyDescent="0.3">
      <c r="A123" s="3"/>
      <c r="B123" s="9"/>
      <c r="C123" s="53"/>
      <c r="D123" s="53"/>
      <c r="E123" s="11"/>
      <c r="F123" s="11"/>
      <c r="G123" s="58"/>
      <c r="H123" s="54"/>
      <c r="I123" s="54"/>
      <c r="J123" s="55"/>
      <c r="K123" s="53"/>
      <c r="L123" s="53" t="str">
        <f t="shared" si="4"/>
        <v/>
      </c>
      <c r="M123" s="11"/>
      <c r="N123" s="11"/>
      <c r="O123" s="11"/>
      <c r="P123" s="11"/>
      <c r="Q123" s="11"/>
      <c r="R123" s="11"/>
      <c r="S123" s="11"/>
      <c r="T123" s="11"/>
      <c r="U123" s="11"/>
      <c r="V123" s="53"/>
      <c r="W123" s="35" t="str">
        <f t="shared" si="2"/>
        <v>OK</v>
      </c>
      <c r="X123" s="38" t="str">
        <f t="shared" si="5"/>
        <v/>
      </c>
      <c r="Y123" s="3"/>
      <c r="Z123" s="3"/>
    </row>
    <row r="124" spans="1:26" ht="15.75" hidden="1" customHeight="1" outlineLevel="1" x14ac:dyDescent="0.3">
      <c r="A124" s="3"/>
      <c r="B124" s="9"/>
      <c r="C124" s="53"/>
      <c r="D124" s="53"/>
      <c r="E124" s="11"/>
      <c r="F124" s="11"/>
      <c r="G124" s="58"/>
      <c r="H124" s="54"/>
      <c r="I124" s="54"/>
      <c r="J124" s="55"/>
      <c r="K124" s="53"/>
      <c r="L124" s="53" t="str">
        <f t="shared" si="4"/>
        <v/>
      </c>
      <c r="M124" s="11"/>
      <c r="N124" s="11"/>
      <c r="O124" s="11"/>
      <c r="P124" s="11"/>
      <c r="Q124" s="11"/>
      <c r="R124" s="11"/>
      <c r="S124" s="11"/>
      <c r="T124" s="11"/>
      <c r="U124" s="11"/>
      <c r="V124" s="53"/>
      <c r="W124" s="35" t="str">
        <f t="shared" si="2"/>
        <v>OK</v>
      </c>
      <c r="X124" s="38" t="str">
        <f t="shared" si="5"/>
        <v/>
      </c>
      <c r="Y124" s="3"/>
      <c r="Z124" s="3"/>
    </row>
    <row r="125" spans="1:26" ht="15.75" hidden="1" customHeight="1" outlineLevel="1" x14ac:dyDescent="0.3">
      <c r="A125" s="3"/>
      <c r="B125" s="9"/>
      <c r="C125" s="53"/>
      <c r="D125" s="53"/>
      <c r="E125" s="11"/>
      <c r="F125" s="11"/>
      <c r="G125" s="58"/>
      <c r="H125" s="54"/>
      <c r="I125" s="54"/>
      <c r="J125" s="55"/>
      <c r="K125" s="53"/>
      <c r="L125" s="53" t="str">
        <f t="shared" si="4"/>
        <v/>
      </c>
      <c r="M125" s="11"/>
      <c r="N125" s="11"/>
      <c r="O125" s="11"/>
      <c r="P125" s="11"/>
      <c r="Q125" s="11"/>
      <c r="R125" s="11"/>
      <c r="S125" s="11"/>
      <c r="T125" s="11"/>
      <c r="U125" s="11"/>
      <c r="V125" s="53"/>
      <c r="W125" s="35" t="str">
        <f t="shared" si="2"/>
        <v>OK</v>
      </c>
      <c r="X125" s="38" t="str">
        <f t="shared" si="5"/>
        <v/>
      </c>
      <c r="Y125" s="3"/>
      <c r="Z125" s="3"/>
    </row>
    <row r="126" spans="1:26" ht="19.5" customHeight="1" collapsed="1" x14ac:dyDescent="0.3">
      <c r="A126" s="3"/>
      <c r="B126" s="64" t="s">
        <v>63</v>
      </c>
      <c r="C126" s="47" t="s">
        <v>44</v>
      </c>
      <c r="D126" s="47" t="s">
        <v>44</v>
      </c>
      <c r="E126" s="48">
        <f t="shared" ref="E126:F126" si="30">SUM(E127,E130,,E134,E139,E146)</f>
        <v>0</v>
      </c>
      <c r="F126" s="48">
        <f t="shared" si="30"/>
        <v>35677.760000000002</v>
      </c>
      <c r="G126" s="49" t="s">
        <v>44</v>
      </c>
      <c r="H126" s="65"/>
      <c r="I126" s="65"/>
      <c r="J126" s="3"/>
      <c r="K126" s="3"/>
      <c r="L126" s="3"/>
      <c r="M126" s="3"/>
      <c r="N126" s="3"/>
      <c r="O126" s="3"/>
      <c r="P126" s="3"/>
      <c r="Q126" s="3"/>
      <c r="R126" s="3"/>
      <c r="S126" s="3"/>
      <c r="T126" s="3"/>
      <c r="U126" s="3"/>
      <c r="V126" s="3"/>
      <c r="W126" s="35"/>
      <c r="X126" s="32"/>
      <c r="Y126" s="3"/>
      <c r="Z126" s="3"/>
    </row>
    <row r="127" spans="1:26" ht="15.75" hidden="1" customHeight="1" outlineLevel="1" x14ac:dyDescent="0.3">
      <c r="A127" s="3"/>
      <c r="B127" s="66" t="s">
        <v>231</v>
      </c>
      <c r="C127" s="67" t="s">
        <v>44</v>
      </c>
      <c r="D127" s="67" t="s">
        <v>44</v>
      </c>
      <c r="E127" s="68">
        <f>SUM(E128:E129)</f>
        <v>0</v>
      </c>
      <c r="F127" s="68">
        <f>SUMIF(D128:D129,"OK",F128:F129)</f>
        <v>1360.2</v>
      </c>
      <c r="G127" s="69" t="s">
        <v>44</v>
      </c>
      <c r="H127" s="70"/>
      <c r="I127" s="70"/>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9" t="s">
        <v>232</v>
      </c>
      <c r="C128" s="53">
        <v>9</v>
      </c>
      <c r="D128" s="53" t="s">
        <v>95</v>
      </c>
      <c r="E128" s="11">
        <v>0</v>
      </c>
      <c r="F128" s="11">
        <v>360.2</v>
      </c>
      <c r="G128" s="61"/>
      <c r="H128" s="54" t="s">
        <v>37</v>
      </c>
      <c r="I128" s="54"/>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9" t="s">
        <v>1743</v>
      </c>
      <c r="C129" s="53">
        <v>9</v>
      </c>
      <c r="D129" s="53" t="s">
        <v>95</v>
      </c>
      <c r="E129" s="11">
        <v>0</v>
      </c>
      <c r="F129" s="11">
        <v>1000</v>
      </c>
      <c r="G129" s="58"/>
      <c r="H129" s="54" t="s">
        <v>37</v>
      </c>
      <c r="I129" s="54"/>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66" t="s">
        <v>233</v>
      </c>
      <c r="C130" s="67" t="s">
        <v>44</v>
      </c>
      <c r="D130" s="67" t="s">
        <v>44</v>
      </c>
      <c r="E130" s="68">
        <f>SUM(E131:E133)</f>
        <v>0</v>
      </c>
      <c r="F130" s="68">
        <f>SUMIF(D131:D133,"OK",F131:F133)</f>
        <v>2884.31</v>
      </c>
      <c r="G130" s="69" t="s">
        <v>44</v>
      </c>
      <c r="H130" s="70"/>
      <c r="I130" s="70"/>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9" t="s">
        <v>1744</v>
      </c>
      <c r="C131" s="53">
        <v>24</v>
      </c>
      <c r="D131" s="53" t="s">
        <v>95</v>
      </c>
      <c r="E131" s="11">
        <v>0</v>
      </c>
      <c r="F131" s="11">
        <f>100+100</f>
        <v>200</v>
      </c>
      <c r="G131" s="60"/>
      <c r="H131" s="54" t="s">
        <v>37</v>
      </c>
      <c r="I131" s="54"/>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9" t="s">
        <v>530</v>
      </c>
      <c r="C132" s="53" t="s">
        <v>714</v>
      </c>
      <c r="D132" s="53" t="s">
        <v>95</v>
      </c>
      <c r="E132" s="11">
        <v>0</v>
      </c>
      <c r="F132" s="11">
        <f>1770.66-432.58+100+100+100+100+100+50+100+4.5+81</f>
        <v>2073.58</v>
      </c>
      <c r="G132" s="61"/>
      <c r="H132" s="54" t="s">
        <v>39</v>
      </c>
      <c r="I132" s="54"/>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9" t="s">
        <v>533</v>
      </c>
      <c r="C133" s="53">
        <v>6</v>
      </c>
      <c r="D133" s="53" t="s">
        <v>95</v>
      </c>
      <c r="E133" s="11">
        <v>0</v>
      </c>
      <c r="F133" s="11">
        <f>105.39+9.58+11.5+63.86+255.45+11.5+5.89+62.28+11.5+62.28+11.5</f>
        <v>610.7299999999999</v>
      </c>
      <c r="G133" s="60"/>
      <c r="H133" s="54" t="s">
        <v>38</v>
      </c>
      <c r="I133" s="54"/>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66" t="s">
        <v>652</v>
      </c>
      <c r="C134" s="67" t="s">
        <v>44</v>
      </c>
      <c r="D134" s="67" t="s">
        <v>44</v>
      </c>
      <c r="E134" s="68">
        <f>SUM(E135:E138)</f>
        <v>0</v>
      </c>
      <c r="F134" s="68">
        <f>SUMIF(D135:D138,"OK",F135:F138)</f>
        <v>0</v>
      </c>
      <c r="G134" s="69" t="s">
        <v>44</v>
      </c>
      <c r="H134" s="70"/>
      <c r="I134" s="70"/>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9" t="s">
        <v>716</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532</v>
      </c>
      <c r="C136" s="53"/>
      <c r="D136" s="53"/>
      <c r="E136" s="11">
        <v>0</v>
      </c>
      <c r="F136" s="11">
        <v>0</v>
      </c>
      <c r="G136" s="61"/>
      <c r="H136" s="54"/>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9" t="s">
        <v>533</v>
      </c>
      <c r="C137" s="53"/>
      <c r="D137" s="53"/>
      <c r="E137" s="11">
        <v>0</v>
      </c>
      <c r="F137" s="11">
        <v>0</v>
      </c>
      <c r="G137" s="60"/>
      <c r="H137" s="54"/>
      <c r="I137" s="54"/>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9" t="s">
        <v>530</v>
      </c>
      <c r="C138" s="53"/>
      <c r="D138" s="53"/>
      <c r="E138" s="11">
        <v>0</v>
      </c>
      <c r="F138" s="11">
        <v>0</v>
      </c>
      <c r="G138" s="60"/>
      <c r="H138" s="54"/>
      <c r="I138" s="54"/>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66" t="s">
        <v>1745</v>
      </c>
      <c r="C139" s="67" t="s">
        <v>44</v>
      </c>
      <c r="D139" s="67" t="s">
        <v>44</v>
      </c>
      <c r="E139" s="68">
        <f>SUM(E140:E145)</f>
        <v>0</v>
      </c>
      <c r="F139" s="68">
        <f>SUMIF(D140:D145,"OK",F140:F145)</f>
        <v>21373.25</v>
      </c>
      <c r="G139" s="69" t="s">
        <v>44</v>
      </c>
      <c r="H139" s="70"/>
      <c r="I139" s="70"/>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9" t="s">
        <v>1746</v>
      </c>
      <c r="C140" s="53" t="s">
        <v>1747</v>
      </c>
      <c r="D140" s="53" t="s">
        <v>95</v>
      </c>
      <c r="E140" s="11">
        <v>0</v>
      </c>
      <c r="F140" s="11">
        <f>15516.3+10+392+155+80+213+59+639+609+175+124+120+43-247.05</f>
        <v>17888.25</v>
      </c>
      <c r="G140" s="58"/>
      <c r="H140" s="54" t="s">
        <v>38</v>
      </c>
      <c r="I140" s="54"/>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1748</v>
      </c>
      <c r="C141" s="53">
        <v>28</v>
      </c>
      <c r="D141" s="53" t="s">
        <v>95</v>
      </c>
      <c r="E141" s="11">
        <v>0</v>
      </c>
      <c r="F141" s="11">
        <f>1383-124</f>
        <v>1259</v>
      </c>
      <c r="G141" s="58"/>
      <c r="H141" s="54" t="s">
        <v>39</v>
      </c>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716</v>
      </c>
      <c r="C142" s="53">
        <v>28</v>
      </c>
      <c r="D142" s="53" t="s">
        <v>95</v>
      </c>
      <c r="E142" s="11">
        <v>0</v>
      </c>
      <c r="F142" s="11">
        <v>2226</v>
      </c>
      <c r="G142" s="58"/>
      <c r="H142" s="54" t="s">
        <v>36</v>
      </c>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43</v>
      </c>
      <c r="C143" s="53"/>
      <c r="D143" s="53"/>
      <c r="E143" s="11">
        <v>0</v>
      </c>
      <c r="F143" s="11">
        <v>0</v>
      </c>
      <c r="G143" s="61" t="s">
        <v>1749</v>
      </c>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9" t="s">
        <v>43</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9" t="s">
        <v>43</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t="15.75" hidden="1" customHeight="1" outlineLevel="1" x14ac:dyDescent="0.3">
      <c r="A146" s="3"/>
      <c r="B146" s="66" t="s">
        <v>690</v>
      </c>
      <c r="C146" s="67" t="s">
        <v>44</v>
      </c>
      <c r="D146" s="67" t="s">
        <v>44</v>
      </c>
      <c r="E146" s="68">
        <f>SUM(E147:E152)</f>
        <v>0</v>
      </c>
      <c r="F146" s="68">
        <f>SUMIF(D147:D153,"OK",F147:F153)</f>
        <v>10060</v>
      </c>
      <c r="G146" s="69" t="s">
        <v>44</v>
      </c>
      <c r="H146" s="70"/>
      <c r="I146" s="70"/>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1750</v>
      </c>
      <c r="C147" s="53" t="s">
        <v>1751</v>
      </c>
      <c r="D147" s="53" t="s">
        <v>95</v>
      </c>
      <c r="E147" s="11">
        <v>0</v>
      </c>
      <c r="F147" s="11">
        <f>130+65+180</f>
        <v>375</v>
      </c>
      <c r="G147" s="60" t="s">
        <v>1752</v>
      </c>
      <c r="H147" s="54" t="s">
        <v>37</v>
      </c>
      <c r="I147" s="54"/>
      <c r="J147" s="3"/>
      <c r="K147" s="3"/>
      <c r="L147" s="3"/>
      <c r="M147" s="3"/>
      <c r="N147" s="3"/>
      <c r="O147" s="3"/>
      <c r="P147" s="3"/>
      <c r="Q147" s="3"/>
      <c r="R147" s="3"/>
      <c r="S147" s="3"/>
      <c r="T147" s="3"/>
      <c r="U147" s="3"/>
      <c r="V147" s="3"/>
      <c r="W147" s="35"/>
      <c r="X147" s="32"/>
      <c r="Y147" s="3"/>
      <c r="Z147" s="3"/>
    </row>
    <row r="148" spans="1:26" ht="15.75" hidden="1" customHeight="1" outlineLevel="1" x14ac:dyDescent="0.3">
      <c r="A148" s="3"/>
      <c r="B148" s="9" t="s">
        <v>1753</v>
      </c>
      <c r="C148" s="53" t="s">
        <v>1754</v>
      </c>
      <c r="D148" s="53" t="s">
        <v>95</v>
      </c>
      <c r="E148" s="11">
        <v>0</v>
      </c>
      <c r="F148" s="11">
        <f>65+130+185+130+130+65+65+130+115+195+65+130+130+65+130+130+280+65+65+195+260+65+130+130+130+65+65+65+65+325+130+295+130+130+230+150+130+65+280+130+65+130+65+65+65+165+130+180+65+180+180+65+130+65+130+130+65+115+130+65+65+65+130+130+130+65+65+65+130+65+115+65+65+130+65+65+65+130+130+195+65+65</f>
        <v>9685</v>
      </c>
      <c r="G148" s="60"/>
      <c r="H148" s="54" t="s">
        <v>38</v>
      </c>
      <c r="I148" s="54"/>
      <c r="J148" s="3"/>
      <c r="K148" s="3"/>
      <c r="L148" s="3"/>
      <c r="M148" s="3"/>
      <c r="N148" s="3"/>
      <c r="O148" s="3"/>
      <c r="P148" s="3"/>
      <c r="Q148" s="3"/>
      <c r="R148" s="3"/>
      <c r="S148" s="3"/>
      <c r="T148" s="3"/>
      <c r="U148" s="3"/>
      <c r="V148" s="3"/>
      <c r="W148" s="35"/>
      <c r="X148" s="32"/>
      <c r="Y148" s="3"/>
      <c r="Z148" s="3"/>
    </row>
    <row r="149" spans="1:26" ht="15.75" hidden="1" customHeight="1" outlineLevel="1" x14ac:dyDescent="0.3">
      <c r="A149" s="3"/>
      <c r="B149" s="9" t="s">
        <v>43</v>
      </c>
      <c r="C149" s="53"/>
      <c r="D149" s="53"/>
      <c r="E149" s="11">
        <v>0</v>
      </c>
      <c r="F149" s="11">
        <v>0</v>
      </c>
      <c r="G149" s="60"/>
      <c r="H149" s="54"/>
      <c r="I149" s="54"/>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9" t="s">
        <v>43</v>
      </c>
      <c r="C150" s="53"/>
      <c r="D150" s="53"/>
      <c r="E150" s="11">
        <v>0</v>
      </c>
      <c r="F150" s="11">
        <v>0</v>
      </c>
      <c r="G150" s="60"/>
      <c r="H150" s="54"/>
      <c r="I150" s="54"/>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43</v>
      </c>
      <c r="C151" s="53"/>
      <c r="D151" s="53"/>
      <c r="E151" s="11">
        <v>0</v>
      </c>
      <c r="F151" s="11">
        <v>0</v>
      </c>
      <c r="G151" s="60"/>
      <c r="H151" s="54"/>
      <c r="I151" s="54"/>
      <c r="J151" s="3"/>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43</v>
      </c>
      <c r="C152" s="53"/>
      <c r="D152" s="53"/>
      <c r="E152" s="11">
        <v>0</v>
      </c>
      <c r="F152" s="11">
        <v>0</v>
      </c>
      <c r="G152" s="60"/>
      <c r="H152" s="54"/>
      <c r="I152" s="54"/>
      <c r="J152" s="116"/>
      <c r="K152" s="3"/>
      <c r="L152" s="3"/>
      <c r="M152" s="3"/>
      <c r="N152" s="3"/>
      <c r="O152" s="3"/>
      <c r="P152" s="3"/>
      <c r="Q152" s="3"/>
      <c r="R152" s="3"/>
      <c r="S152" s="3"/>
      <c r="T152" s="3"/>
      <c r="U152" s="3"/>
      <c r="V152" s="3"/>
      <c r="W152" s="35"/>
      <c r="X152" s="32"/>
      <c r="Y152" s="3"/>
      <c r="Z152" s="3"/>
    </row>
    <row r="153" spans="1:26" ht="15.75" hidden="1" customHeight="1" outlineLevel="1" x14ac:dyDescent="0.3">
      <c r="A153" s="3"/>
      <c r="B153" s="9" t="s">
        <v>43</v>
      </c>
      <c r="C153" s="53"/>
      <c r="D153" s="53"/>
      <c r="E153" s="11">
        <v>0</v>
      </c>
      <c r="F153" s="11">
        <v>0</v>
      </c>
      <c r="G153" s="60"/>
      <c r="H153" s="54"/>
      <c r="I153" s="54"/>
      <c r="J153" s="3"/>
      <c r="K153" s="3"/>
      <c r="L153" s="3"/>
      <c r="M153" s="3"/>
      <c r="N153" s="3"/>
      <c r="O153" s="3"/>
      <c r="P153" s="3"/>
      <c r="Q153" s="3"/>
      <c r="R153" s="3"/>
      <c r="S153" s="3"/>
      <c r="T153" s="3"/>
      <c r="U153" s="3"/>
      <c r="V153" s="3"/>
      <c r="W153" s="35"/>
      <c r="X153" s="32"/>
      <c r="Y153" s="3"/>
      <c r="Z153" s="3"/>
    </row>
    <row r="154" spans="1:26" ht="19.5" customHeight="1" collapsed="1" x14ac:dyDescent="0.3">
      <c r="A154" s="3"/>
      <c r="B154" s="64" t="s">
        <v>240</v>
      </c>
      <c r="C154" s="47" t="s">
        <v>44</v>
      </c>
      <c r="D154" s="47" t="s">
        <v>44</v>
      </c>
      <c r="E154" s="48">
        <f t="shared" ref="E154:F154" si="31">SUM(E155,E160,E165,E169)</f>
        <v>0</v>
      </c>
      <c r="F154" s="48">
        <f t="shared" si="31"/>
        <v>39638.5</v>
      </c>
      <c r="G154" s="49" t="s">
        <v>44</v>
      </c>
      <c r="H154" s="65"/>
      <c r="I154" s="65"/>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66" t="s">
        <v>241</v>
      </c>
      <c r="C155" s="67" t="s">
        <v>44</v>
      </c>
      <c r="D155" s="67" t="s">
        <v>44</v>
      </c>
      <c r="E155" s="68">
        <f>SUM(E156:E159)</f>
        <v>0</v>
      </c>
      <c r="F155" s="68">
        <f>SUMIF(D156:D159,"OK",F156:F159)</f>
        <v>998</v>
      </c>
      <c r="G155" s="69" t="s">
        <v>44</v>
      </c>
      <c r="H155" s="70"/>
      <c r="I155" s="70"/>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242</v>
      </c>
      <c r="C156" s="53">
        <v>6</v>
      </c>
      <c r="D156" s="53" t="s">
        <v>95</v>
      </c>
      <c r="E156" s="11">
        <v>0</v>
      </c>
      <c r="F156" s="11">
        <f>10+30+10+10+100+10+50+42+5+15+20+10+10+10+30+30+100+10+5+30</f>
        <v>537</v>
      </c>
      <c r="G156" s="61"/>
      <c r="H156" s="54" t="s">
        <v>37</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243</v>
      </c>
      <c r="C157" s="53"/>
      <c r="D157" s="53"/>
      <c r="E157" s="11">
        <v>0</v>
      </c>
      <c r="F157" s="11">
        <v>0</v>
      </c>
      <c r="G157" s="58"/>
      <c r="H157" s="54" t="s">
        <v>36</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244</v>
      </c>
      <c r="C158" s="53">
        <v>20</v>
      </c>
      <c r="D158" s="53" t="s">
        <v>95</v>
      </c>
      <c r="E158" s="11">
        <v>0</v>
      </c>
      <c r="F158" s="11">
        <f>5+20+30+10+10+20+10+10+30+12+10+10+50+10+15+30+10+169</f>
        <v>461</v>
      </c>
      <c r="G158" s="58"/>
      <c r="H158" s="54" t="s">
        <v>37</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9" t="s">
        <v>245</v>
      </c>
      <c r="C159" s="53"/>
      <c r="D159" s="53"/>
      <c r="E159" s="11">
        <v>0</v>
      </c>
      <c r="F159" s="11">
        <v>0</v>
      </c>
      <c r="G159" s="120"/>
      <c r="H159" s="54" t="s">
        <v>36</v>
      </c>
      <c r="I159" s="54"/>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66" t="s">
        <v>246</v>
      </c>
      <c r="C160" s="67" t="s">
        <v>44</v>
      </c>
      <c r="D160" s="67" t="s">
        <v>44</v>
      </c>
      <c r="E160" s="68">
        <f>SUM(E161:E164)</f>
        <v>0</v>
      </c>
      <c r="F160" s="68">
        <f>SUMIF(D161:D164,"OK",F161:F164)</f>
        <v>820</v>
      </c>
      <c r="G160" s="69" t="s">
        <v>44</v>
      </c>
      <c r="H160" s="70"/>
      <c r="I160" s="70"/>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242</v>
      </c>
      <c r="C161" s="53" t="s">
        <v>1755</v>
      </c>
      <c r="D161" s="53" t="s">
        <v>95</v>
      </c>
      <c r="E161" s="11">
        <v>0</v>
      </c>
      <c r="F161" s="11">
        <f>10+10+10+20+20+10+10+20+30+20+30+20+10+10+10+10+30+10+10+20+10+30+10</f>
        <v>370</v>
      </c>
      <c r="G161" s="60"/>
      <c r="H161" s="54" t="s">
        <v>37</v>
      </c>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243</v>
      </c>
      <c r="C162" s="53"/>
      <c r="D162" s="53"/>
      <c r="E162" s="11">
        <v>0</v>
      </c>
      <c r="F162" s="11">
        <v>0</v>
      </c>
      <c r="G162" s="58"/>
      <c r="H162" s="54" t="s">
        <v>36</v>
      </c>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9" t="s">
        <v>244</v>
      </c>
      <c r="C163" s="53">
        <v>20</v>
      </c>
      <c r="D163" s="53" t="s">
        <v>95</v>
      </c>
      <c r="E163" s="11">
        <v>0</v>
      </c>
      <c r="F163" s="11">
        <f>10+20+30+10+20+10+20+10+30+10+30+50+20+10+10+20+10+10+10+20+10+10+10+10+30+20</f>
        <v>450</v>
      </c>
      <c r="G163" s="58"/>
      <c r="H163" s="54" t="s">
        <v>37</v>
      </c>
      <c r="I163" s="54"/>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9" t="s">
        <v>245</v>
      </c>
      <c r="C164" s="53"/>
      <c r="D164" s="53"/>
      <c r="E164" s="11">
        <v>0</v>
      </c>
      <c r="F164" s="11">
        <v>0</v>
      </c>
      <c r="G164" s="58"/>
      <c r="H164" s="54" t="s">
        <v>36</v>
      </c>
      <c r="I164" s="54"/>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66" t="s">
        <v>247</v>
      </c>
      <c r="C165" s="67" t="s">
        <v>44</v>
      </c>
      <c r="D165" s="67" t="s">
        <v>44</v>
      </c>
      <c r="E165" s="68">
        <f>SUM(E166:E168)</f>
        <v>0</v>
      </c>
      <c r="F165" s="68">
        <f>SUMIF(D166:D168,"OK",F166:F168)</f>
        <v>0</v>
      </c>
      <c r="G165" s="69" t="s">
        <v>44</v>
      </c>
      <c r="H165" s="70"/>
      <c r="I165" s="70"/>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43</v>
      </c>
      <c r="C166" s="71"/>
      <c r="D166" s="53"/>
      <c r="E166" s="11">
        <v>0</v>
      </c>
      <c r="F166" s="11">
        <v>0</v>
      </c>
      <c r="G166" s="60"/>
      <c r="H166" s="54"/>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43</v>
      </c>
      <c r="C167" s="71"/>
      <c r="D167" s="53"/>
      <c r="E167" s="11">
        <v>0</v>
      </c>
      <c r="F167" s="11">
        <v>0</v>
      </c>
      <c r="G167" s="60"/>
      <c r="H167" s="54"/>
      <c r="I167" s="54"/>
      <c r="J167" s="3"/>
      <c r="K167" s="3"/>
      <c r="L167" s="3"/>
      <c r="M167" s="3"/>
      <c r="N167" s="3"/>
      <c r="O167" s="3"/>
      <c r="P167" s="3"/>
      <c r="Q167" s="3"/>
      <c r="R167" s="3"/>
      <c r="S167" s="3"/>
      <c r="T167" s="3"/>
      <c r="U167" s="3"/>
      <c r="V167" s="3"/>
      <c r="W167" s="35"/>
      <c r="X167" s="32"/>
      <c r="Y167" s="3"/>
      <c r="Z167" s="3"/>
    </row>
    <row r="168" spans="1:26" ht="15.75" hidden="1" customHeight="1" outlineLevel="1" x14ac:dyDescent="0.3">
      <c r="A168" s="3"/>
      <c r="B168" s="9" t="s">
        <v>43</v>
      </c>
      <c r="C168" s="53"/>
      <c r="D168" s="53"/>
      <c r="E168" s="11">
        <v>0</v>
      </c>
      <c r="F168" s="11">
        <v>0</v>
      </c>
      <c r="G168" s="60"/>
      <c r="H168" s="54"/>
      <c r="I168" s="54"/>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66" t="s">
        <v>62</v>
      </c>
      <c r="C169" s="67" t="s">
        <v>44</v>
      </c>
      <c r="D169" s="67" t="s">
        <v>44</v>
      </c>
      <c r="E169" s="68">
        <f>SUM(E170:E183)</f>
        <v>0</v>
      </c>
      <c r="F169" s="68">
        <f>SUMIF(D170:D183,"OK",F170:F183)</f>
        <v>37820.5</v>
      </c>
      <c r="G169" s="69"/>
      <c r="H169" s="70"/>
      <c r="I169" s="70"/>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1574</v>
      </c>
      <c r="C170" s="71">
        <v>1</v>
      </c>
      <c r="D170" s="53" t="s">
        <v>95</v>
      </c>
      <c r="E170" s="11">
        <v>0</v>
      </c>
      <c r="F170" s="11">
        <f>95+95+95+95+95+95+(2*95)</f>
        <v>760</v>
      </c>
      <c r="G170" s="61" t="s">
        <v>1756</v>
      </c>
      <c r="H170" s="54" t="s">
        <v>37</v>
      </c>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1757</v>
      </c>
      <c r="C171" s="71">
        <v>1</v>
      </c>
      <c r="D171" s="53" t="s">
        <v>95</v>
      </c>
      <c r="E171" s="11">
        <v>0</v>
      </c>
      <c r="F171" s="11">
        <f>4.1+4.1+5+(4.1*3)</f>
        <v>25.5</v>
      </c>
      <c r="G171" s="61" t="s">
        <v>1758</v>
      </c>
      <c r="H171" s="54" t="s">
        <v>37</v>
      </c>
      <c r="I171" s="54"/>
      <c r="J171" s="3"/>
      <c r="K171" s="3"/>
      <c r="L171" s="3"/>
      <c r="M171" s="3"/>
      <c r="N171" s="3"/>
      <c r="O171" s="3"/>
      <c r="P171" s="3"/>
      <c r="Q171" s="3"/>
      <c r="R171" s="3"/>
      <c r="S171" s="3"/>
      <c r="T171" s="3"/>
      <c r="U171" s="3"/>
      <c r="V171" s="3"/>
      <c r="W171" s="35"/>
      <c r="X171" s="32"/>
      <c r="Y171" s="3"/>
      <c r="Z171" s="3"/>
    </row>
    <row r="172" spans="1:26" ht="15.75" hidden="1" customHeight="1" outlineLevel="1" x14ac:dyDescent="0.3">
      <c r="A172" s="3"/>
      <c r="B172" s="9" t="s">
        <v>1759</v>
      </c>
      <c r="C172" s="53">
        <v>1</v>
      </c>
      <c r="D172" s="53" t="s">
        <v>95</v>
      </c>
      <c r="E172" s="11">
        <v>0</v>
      </c>
      <c r="F172" s="11">
        <f>15</f>
        <v>15</v>
      </c>
      <c r="G172" s="60" t="s">
        <v>1760</v>
      </c>
      <c r="H172" s="54" t="s">
        <v>37</v>
      </c>
      <c r="I172" s="54"/>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1759</v>
      </c>
      <c r="C173" s="53">
        <v>5</v>
      </c>
      <c r="D173" s="53" t="s">
        <v>95</v>
      </c>
      <c r="E173" s="11">
        <v>0</v>
      </c>
      <c r="F173" s="11">
        <f>20</f>
        <v>20</v>
      </c>
      <c r="G173" s="60" t="s">
        <v>1761</v>
      </c>
      <c r="H173" s="54" t="s">
        <v>38</v>
      </c>
      <c r="I173" s="54"/>
      <c r="J173" s="3"/>
      <c r="K173" s="3"/>
      <c r="L173" s="3"/>
      <c r="M173" s="3"/>
      <c r="N173" s="3"/>
      <c r="O173" s="3"/>
      <c r="P173" s="3"/>
      <c r="Q173" s="3"/>
      <c r="R173" s="3"/>
      <c r="S173" s="3"/>
      <c r="T173" s="3"/>
      <c r="U173" s="3"/>
      <c r="V173" s="3"/>
      <c r="W173" s="35"/>
      <c r="X173" s="32"/>
      <c r="Y173" s="3"/>
      <c r="Z173" s="3"/>
    </row>
    <row r="174" spans="1:26" ht="24" hidden="1" outlineLevel="1" x14ac:dyDescent="0.3">
      <c r="A174" s="3"/>
      <c r="B174" s="9" t="s">
        <v>1762</v>
      </c>
      <c r="C174" s="53" t="s">
        <v>1763</v>
      </c>
      <c r="D174" s="53" t="s">
        <v>95</v>
      </c>
      <c r="E174" s="11">
        <v>0</v>
      </c>
      <c r="F174" s="11">
        <f>3500+5000+2000+1500+5000+10000+5000</f>
        <v>32000</v>
      </c>
      <c r="G174" s="60" t="s">
        <v>1764</v>
      </c>
      <c r="H174" s="54" t="s">
        <v>37</v>
      </c>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1762</v>
      </c>
      <c r="C175" s="53">
        <v>20</v>
      </c>
      <c r="D175" s="53" t="s">
        <v>95</v>
      </c>
      <c r="E175" s="11">
        <v>0</v>
      </c>
      <c r="F175" s="11">
        <v>5000</v>
      </c>
      <c r="G175" s="60" t="s">
        <v>1765</v>
      </c>
      <c r="H175" s="54" t="s">
        <v>38</v>
      </c>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62</v>
      </c>
      <c r="C180" s="53"/>
      <c r="D180" s="53"/>
      <c r="E180" s="11">
        <v>0</v>
      </c>
      <c r="F180" s="11">
        <v>0</v>
      </c>
      <c r="G180" s="60"/>
      <c r="H180" s="54"/>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62</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62</v>
      </c>
      <c r="C182" s="53"/>
      <c r="D182" s="53"/>
      <c r="E182" s="11">
        <v>0</v>
      </c>
      <c r="F182" s="11">
        <v>0</v>
      </c>
      <c r="G182" s="60"/>
      <c r="H182" s="54"/>
      <c r="I182" s="54"/>
      <c r="J182" s="3"/>
      <c r="K182" s="3"/>
      <c r="L182" s="3"/>
      <c r="M182" s="3"/>
      <c r="N182" s="3"/>
      <c r="O182" s="3"/>
      <c r="P182" s="3"/>
      <c r="Q182" s="3"/>
      <c r="R182" s="3"/>
      <c r="S182" s="3"/>
      <c r="T182" s="3"/>
      <c r="U182" s="3"/>
      <c r="V182" s="3"/>
      <c r="W182" s="35"/>
      <c r="X182" s="32"/>
      <c r="Y182" s="3"/>
      <c r="Z182" s="3"/>
    </row>
    <row r="183" spans="1:26" ht="15.75" hidden="1" customHeight="1" outlineLevel="1" x14ac:dyDescent="0.3">
      <c r="A183" s="3"/>
      <c r="B183" s="9" t="s">
        <v>62</v>
      </c>
      <c r="C183" s="53"/>
      <c r="D183" s="53"/>
      <c r="E183" s="11">
        <v>0</v>
      </c>
      <c r="F183" s="11">
        <v>0</v>
      </c>
      <c r="G183" s="60"/>
      <c r="H183" s="54"/>
      <c r="I183" s="54"/>
      <c r="J183" s="3"/>
      <c r="K183" s="3"/>
      <c r="L183" s="3"/>
      <c r="M183" s="3"/>
      <c r="N183" s="3"/>
      <c r="O183" s="3"/>
      <c r="P183" s="3"/>
      <c r="Q183" s="3"/>
      <c r="R183" s="3"/>
      <c r="S183" s="3"/>
      <c r="T183" s="3"/>
      <c r="U183" s="3"/>
      <c r="V183" s="3"/>
      <c r="W183" s="35"/>
      <c r="X183" s="32"/>
      <c r="Y183" s="3"/>
      <c r="Z183" s="3"/>
    </row>
    <row r="184" spans="1:26" ht="19.5" customHeight="1" collapsed="1" x14ac:dyDescent="0.3">
      <c r="A184" s="3"/>
      <c r="B184" s="64" t="s">
        <v>64</v>
      </c>
      <c r="C184" s="47" t="s">
        <v>44</v>
      </c>
      <c r="D184" s="47" t="s">
        <v>44</v>
      </c>
      <c r="E184" s="48">
        <f>SUM(E185:E187)</f>
        <v>0</v>
      </c>
      <c r="F184" s="48">
        <f>SUMIF(D185:D187,"OK",F185:F187)</f>
        <v>8150</v>
      </c>
      <c r="G184" s="49" t="s">
        <v>44</v>
      </c>
      <c r="H184" s="65"/>
      <c r="I184" s="65"/>
      <c r="J184" s="116"/>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1766</v>
      </c>
      <c r="C185" s="53" t="s">
        <v>1767</v>
      </c>
      <c r="D185" s="53" t="s">
        <v>95</v>
      </c>
      <c r="E185" s="11">
        <v>0</v>
      </c>
      <c r="F185" s="11">
        <f>1000+1000+1000+250+500+500+250+500</f>
        <v>5000</v>
      </c>
      <c r="G185" s="60" t="s">
        <v>1768</v>
      </c>
      <c r="H185" s="54" t="s">
        <v>37</v>
      </c>
      <c r="I185" s="54"/>
      <c r="J185" s="3"/>
      <c r="K185" s="3"/>
      <c r="L185" s="3"/>
      <c r="M185" s="3"/>
      <c r="N185" s="3"/>
      <c r="O185" s="3"/>
      <c r="P185" s="3"/>
      <c r="Q185" s="3"/>
      <c r="R185" s="3"/>
      <c r="S185" s="3"/>
      <c r="T185" s="3"/>
      <c r="U185" s="3"/>
      <c r="V185" s="3"/>
      <c r="W185" s="35"/>
      <c r="X185" s="32"/>
      <c r="Y185" s="3"/>
      <c r="Z185" s="3"/>
    </row>
    <row r="186" spans="1:26" ht="24" hidden="1" outlineLevel="1" x14ac:dyDescent="0.3">
      <c r="A186" s="3"/>
      <c r="B186" s="9" t="s">
        <v>1766</v>
      </c>
      <c r="C186" s="53" t="s">
        <v>1769</v>
      </c>
      <c r="D186" s="53" t="s">
        <v>95</v>
      </c>
      <c r="E186" s="11">
        <v>0</v>
      </c>
      <c r="F186" s="11">
        <f>250+400+1000+250+250+1000</f>
        <v>3150</v>
      </c>
      <c r="G186" s="60" t="s">
        <v>1770</v>
      </c>
      <c r="H186" s="54" t="s">
        <v>38</v>
      </c>
      <c r="I186" s="54"/>
      <c r="J186" s="3"/>
      <c r="K186" s="3"/>
      <c r="L186" s="3"/>
      <c r="M186" s="3"/>
      <c r="N186" s="3"/>
      <c r="O186" s="3"/>
      <c r="P186" s="3"/>
      <c r="Q186" s="3"/>
      <c r="R186" s="3"/>
      <c r="S186" s="3"/>
      <c r="T186" s="3"/>
      <c r="U186" s="3"/>
      <c r="V186" s="3"/>
      <c r="W186" s="35"/>
      <c r="X186" s="32"/>
      <c r="Y186" s="3"/>
      <c r="Z186" s="3"/>
    </row>
    <row r="187" spans="1:26" ht="15.75" hidden="1" customHeight="1" outlineLevel="1" x14ac:dyDescent="0.3">
      <c r="A187" s="3"/>
      <c r="B187" s="9" t="s">
        <v>64</v>
      </c>
      <c r="C187" s="53"/>
      <c r="D187" s="53"/>
      <c r="E187" s="11">
        <v>0</v>
      </c>
      <c r="F187" s="11">
        <v>0</v>
      </c>
      <c r="G187" s="58"/>
      <c r="H187" s="54"/>
      <c r="I187" s="54"/>
      <c r="J187" s="3"/>
      <c r="K187" s="3"/>
      <c r="L187" s="3"/>
      <c r="M187" s="3"/>
      <c r="N187" s="3"/>
      <c r="O187" s="3"/>
      <c r="P187" s="3"/>
      <c r="Q187" s="3"/>
      <c r="R187" s="3"/>
      <c r="S187" s="3"/>
      <c r="T187" s="3"/>
      <c r="U187" s="3"/>
      <c r="V187" s="3"/>
      <c r="W187" s="35"/>
      <c r="X187" s="32"/>
      <c r="Y187" s="3"/>
      <c r="Z187" s="3"/>
    </row>
    <row r="188" spans="1:26" ht="19.5" customHeight="1" collapsed="1" x14ac:dyDescent="0.3">
      <c r="A188" s="3"/>
      <c r="B188" s="64" t="s">
        <v>260</v>
      </c>
      <c r="C188" s="47" t="s">
        <v>44</v>
      </c>
      <c r="D188" s="47" t="s">
        <v>44</v>
      </c>
      <c r="E188" s="48">
        <f>SUM(E189:E195)</f>
        <v>0</v>
      </c>
      <c r="F188" s="48">
        <f>SUMIF(D189:D195,"OK",F189:F195)</f>
        <v>1.84</v>
      </c>
      <c r="G188" s="49" t="s">
        <v>44</v>
      </c>
      <c r="H188" s="65"/>
      <c r="I188" s="65"/>
      <c r="J188" s="3"/>
      <c r="K188" s="3"/>
      <c r="L188" s="3"/>
      <c r="M188" s="3"/>
      <c r="N188" s="3"/>
      <c r="O188" s="3"/>
      <c r="P188" s="3"/>
      <c r="Q188" s="3"/>
      <c r="R188" s="3"/>
      <c r="S188" s="3"/>
      <c r="T188" s="3"/>
      <c r="U188" s="3"/>
      <c r="V188" s="3"/>
      <c r="W188" s="35"/>
      <c r="X188" s="32"/>
      <c r="Y188" s="3"/>
      <c r="Z188" s="3"/>
    </row>
    <row r="189" spans="1:26" ht="15.75" hidden="1" customHeight="1" outlineLevel="1" x14ac:dyDescent="0.3">
      <c r="A189" s="3"/>
      <c r="B189" s="9" t="s">
        <v>261</v>
      </c>
      <c r="C189" s="53"/>
      <c r="D189" s="53"/>
      <c r="E189" s="11">
        <v>0</v>
      </c>
      <c r="F189" s="11">
        <v>0</v>
      </c>
      <c r="G189" s="58"/>
      <c r="H189" s="54" t="s">
        <v>37</v>
      </c>
      <c r="I189" s="54"/>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262</v>
      </c>
      <c r="C190" s="53" t="s">
        <v>714</v>
      </c>
      <c r="D190" s="53" t="s">
        <v>95</v>
      </c>
      <c r="E190" s="11">
        <v>0</v>
      </c>
      <c r="F190" s="11">
        <f>0.02+0.12+0.03+0.12+1.55</f>
        <v>1.84</v>
      </c>
      <c r="G190" s="60"/>
      <c r="H190" s="54" t="s">
        <v>38</v>
      </c>
      <c r="I190" s="54"/>
      <c r="J190" s="3"/>
      <c r="K190" s="3"/>
      <c r="L190" s="3"/>
      <c r="M190" s="3"/>
      <c r="N190" s="3"/>
      <c r="O190" s="3"/>
      <c r="P190" s="3"/>
      <c r="Q190" s="3"/>
      <c r="R190" s="3"/>
      <c r="S190" s="3"/>
      <c r="T190" s="3"/>
      <c r="U190" s="3"/>
      <c r="V190" s="3"/>
      <c r="W190" s="35"/>
      <c r="X190" s="32"/>
      <c r="Y190" s="3"/>
      <c r="Z190" s="3"/>
    </row>
    <row r="191" spans="1:26" ht="15.75" hidden="1" customHeight="1" outlineLevel="1" x14ac:dyDescent="0.3">
      <c r="A191" s="3"/>
      <c r="B191" s="9" t="s">
        <v>264</v>
      </c>
      <c r="C191" s="53"/>
      <c r="D191" s="53"/>
      <c r="E191" s="11">
        <v>0</v>
      </c>
      <c r="F191" s="11">
        <v>0</v>
      </c>
      <c r="G191" s="58"/>
      <c r="H191" s="54" t="s">
        <v>235</v>
      </c>
      <c r="I191" s="54"/>
      <c r="J191" s="3"/>
      <c r="K191" s="3"/>
      <c r="L191" s="3"/>
      <c r="M191" s="3"/>
      <c r="N191" s="3"/>
      <c r="O191" s="3"/>
      <c r="P191" s="3"/>
      <c r="Q191" s="3"/>
      <c r="R191" s="3"/>
      <c r="S191" s="3"/>
      <c r="T191" s="3"/>
      <c r="U191" s="3"/>
      <c r="V191" s="3"/>
      <c r="W191" s="35"/>
      <c r="X191" s="32"/>
      <c r="Y191" s="3"/>
      <c r="Z191" s="3"/>
    </row>
    <row r="192" spans="1:26" ht="15.75" hidden="1" customHeight="1" outlineLevel="1" x14ac:dyDescent="0.3">
      <c r="A192" s="3"/>
      <c r="B192" s="9" t="s">
        <v>265</v>
      </c>
      <c r="C192" s="53"/>
      <c r="D192" s="53"/>
      <c r="E192" s="11">
        <v>0</v>
      </c>
      <c r="F192" s="11">
        <v>0</v>
      </c>
      <c r="G192" s="58"/>
      <c r="H192" s="54" t="s">
        <v>266</v>
      </c>
      <c r="I192" s="54"/>
      <c r="J192" s="3"/>
      <c r="K192" s="3"/>
      <c r="L192" s="3"/>
      <c r="M192" s="3"/>
      <c r="N192" s="3"/>
      <c r="O192" s="3"/>
      <c r="P192" s="3"/>
      <c r="Q192" s="3"/>
      <c r="R192" s="3"/>
      <c r="S192" s="3"/>
      <c r="T192" s="3"/>
      <c r="U192" s="3"/>
      <c r="V192" s="3"/>
      <c r="W192" s="35"/>
      <c r="X192" s="32"/>
      <c r="Y192" s="3"/>
      <c r="Z192" s="3"/>
    </row>
    <row r="193" spans="1:26" ht="15.75" hidden="1" customHeight="1" outlineLevel="1" x14ac:dyDescent="0.3">
      <c r="A193" s="3"/>
      <c r="B193" s="9" t="s">
        <v>552</v>
      </c>
      <c r="C193" s="53"/>
      <c r="D193" s="53"/>
      <c r="E193" s="11">
        <v>0</v>
      </c>
      <c r="F193" s="11">
        <v>0</v>
      </c>
      <c r="G193" s="58"/>
      <c r="H193" s="54" t="s">
        <v>39</v>
      </c>
      <c r="I193" s="54"/>
      <c r="J193" s="3"/>
      <c r="K193" s="3"/>
      <c r="L193" s="3"/>
      <c r="M193" s="3"/>
      <c r="N193" s="3"/>
      <c r="O193" s="3"/>
      <c r="P193" s="3"/>
      <c r="Q193" s="3"/>
      <c r="R193" s="3"/>
      <c r="S193" s="3"/>
      <c r="T193" s="3"/>
      <c r="U193" s="3"/>
      <c r="V193" s="3"/>
      <c r="W193" s="35"/>
      <c r="X193" s="32"/>
      <c r="Y193" s="3"/>
      <c r="Z193" s="3"/>
    </row>
    <row r="194" spans="1:26" ht="15.75" hidden="1" customHeight="1" outlineLevel="1" x14ac:dyDescent="0.3">
      <c r="A194" s="3"/>
      <c r="B194" s="9" t="s">
        <v>1581</v>
      </c>
      <c r="C194" s="53"/>
      <c r="D194" s="53"/>
      <c r="E194" s="11">
        <v>0</v>
      </c>
      <c r="F194" s="11">
        <v>0</v>
      </c>
      <c r="G194" s="58"/>
      <c r="H194" s="54" t="s">
        <v>38</v>
      </c>
      <c r="I194" s="54"/>
      <c r="J194" s="3"/>
      <c r="K194" s="3"/>
      <c r="L194" s="3"/>
      <c r="M194" s="3"/>
      <c r="N194" s="3"/>
      <c r="O194" s="3"/>
      <c r="P194" s="3"/>
      <c r="Q194" s="3"/>
      <c r="R194" s="3"/>
      <c r="S194" s="3"/>
      <c r="T194" s="3"/>
      <c r="U194" s="3"/>
      <c r="V194" s="3"/>
      <c r="W194" s="35"/>
      <c r="X194" s="32"/>
      <c r="Y194" s="3"/>
      <c r="Z194" s="3"/>
    </row>
    <row r="195" spans="1:26" ht="15.75" hidden="1" customHeight="1" outlineLevel="1" x14ac:dyDescent="0.3">
      <c r="A195" s="3"/>
      <c r="B195" s="9" t="s">
        <v>917</v>
      </c>
      <c r="C195" s="53"/>
      <c r="D195" s="53"/>
      <c r="E195" s="11">
        <v>0</v>
      </c>
      <c r="F195" s="11">
        <v>0</v>
      </c>
      <c r="G195" s="58"/>
      <c r="H195" s="54"/>
      <c r="I195" s="54"/>
      <c r="J195" s="3"/>
      <c r="K195" s="3"/>
      <c r="L195" s="3"/>
      <c r="M195" s="3"/>
      <c r="N195" s="3"/>
      <c r="O195" s="3"/>
      <c r="P195" s="3"/>
      <c r="Q195" s="3"/>
      <c r="R195" s="3"/>
      <c r="S195" s="3"/>
      <c r="T195" s="3"/>
      <c r="U195" s="3"/>
      <c r="V195" s="3"/>
      <c r="W195" s="35"/>
      <c r="X195" s="32"/>
      <c r="Y195" s="3"/>
      <c r="Z195" s="3"/>
    </row>
    <row r="196" spans="1:26" ht="15.75" customHeight="1" collapsed="1" x14ac:dyDescent="0.3">
      <c r="A196" s="3"/>
      <c r="B196" s="3"/>
      <c r="C196" s="28"/>
      <c r="D196" s="28"/>
      <c r="E196" s="28"/>
      <c r="F196" s="28"/>
      <c r="G196" s="112"/>
      <c r="H196" s="28"/>
      <c r="I196" s="28"/>
      <c r="J196" s="28"/>
      <c r="K196" s="28"/>
      <c r="L196" s="28"/>
      <c r="M196" s="28"/>
      <c r="N196" s="28"/>
      <c r="O196" s="28"/>
      <c r="P196" s="28"/>
      <c r="Q196" s="28"/>
      <c r="R196" s="28"/>
      <c r="S196" s="28"/>
      <c r="T196" s="28"/>
      <c r="U196" s="28"/>
      <c r="V196" s="28"/>
      <c r="W196" s="35"/>
      <c r="X196" s="32"/>
    </row>
    <row r="197" spans="1:26" ht="15.75" customHeight="1" x14ac:dyDescent="0.3">
      <c r="A197" s="3"/>
      <c r="B197" s="3"/>
      <c r="C197" s="28"/>
      <c r="D197" s="28"/>
      <c r="E197" s="28"/>
      <c r="F197" s="101"/>
      <c r="G197" s="112"/>
      <c r="H197" s="28"/>
      <c r="I197" s="28"/>
      <c r="J197" s="28"/>
      <c r="K197" s="28"/>
      <c r="L197" s="28"/>
      <c r="M197" s="28"/>
      <c r="N197" s="28"/>
      <c r="O197" s="28"/>
      <c r="P197" s="28"/>
      <c r="Q197" s="28"/>
      <c r="R197" s="28"/>
      <c r="S197" s="28"/>
      <c r="T197" s="28"/>
      <c r="U197" s="28"/>
      <c r="V197" s="28"/>
      <c r="W197" s="35"/>
      <c r="X197" s="32"/>
    </row>
    <row r="198" spans="1:26"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6"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6"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6"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6"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6"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6"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6"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6"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6"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6"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c r="A392" s="3"/>
      <c r="B392" s="3"/>
      <c r="C392" s="28"/>
      <c r="D392" s="28"/>
      <c r="E392" s="28"/>
      <c r="F392" s="28"/>
      <c r="G392" s="112"/>
      <c r="H392" s="28"/>
      <c r="I392" s="28"/>
      <c r="J392" s="28"/>
      <c r="K392" s="28"/>
      <c r="L392" s="28"/>
      <c r="M392" s="28"/>
      <c r="N392" s="28"/>
      <c r="O392" s="28"/>
      <c r="P392" s="28"/>
      <c r="Q392" s="28"/>
      <c r="R392" s="28"/>
      <c r="S392" s="28"/>
      <c r="T392" s="28"/>
      <c r="U392" s="28"/>
      <c r="V392" s="28"/>
      <c r="W392" s="35"/>
      <c r="X392" s="32"/>
    </row>
    <row r="393" spans="1:24" ht="15.75" customHeight="1" x14ac:dyDescent="0.3">
      <c r="A393" s="3"/>
      <c r="B393" s="3"/>
      <c r="C393" s="28"/>
      <c r="D393" s="28"/>
      <c r="E393" s="28"/>
      <c r="F393" s="28"/>
      <c r="G393" s="112"/>
      <c r="H393" s="28"/>
      <c r="I393" s="28"/>
      <c r="J393" s="28"/>
      <c r="K393" s="28"/>
      <c r="L393" s="28"/>
      <c r="M393" s="28"/>
      <c r="N393" s="28"/>
      <c r="O393" s="28"/>
      <c r="P393" s="28"/>
      <c r="Q393" s="28"/>
      <c r="R393" s="28"/>
      <c r="S393" s="28"/>
      <c r="T393" s="28"/>
      <c r="U393" s="28"/>
      <c r="V393" s="28"/>
      <c r="W393" s="35"/>
      <c r="X393" s="32"/>
    </row>
    <row r="394" spans="1:24" ht="15.75" customHeight="1" x14ac:dyDescent="0.3">
      <c r="A394" s="3"/>
      <c r="B394" s="3"/>
      <c r="C394" s="28"/>
      <c r="D394" s="28"/>
      <c r="E394" s="28"/>
      <c r="F394" s="28"/>
      <c r="G394" s="112"/>
      <c r="H394" s="28"/>
      <c r="I394" s="28"/>
      <c r="J394" s="28"/>
      <c r="K394" s="28"/>
      <c r="L394" s="28"/>
      <c r="M394" s="28"/>
      <c r="N394" s="28"/>
      <c r="O394" s="28"/>
      <c r="P394" s="28"/>
      <c r="Q394" s="28"/>
      <c r="R394" s="28"/>
      <c r="S394" s="28"/>
      <c r="T394" s="28"/>
      <c r="U394" s="28"/>
      <c r="V394" s="28"/>
      <c r="W394" s="35"/>
      <c r="X394" s="32"/>
    </row>
    <row r="395" spans="1:24" ht="15.75" customHeight="1" x14ac:dyDescent="0.3">
      <c r="A395" s="3"/>
      <c r="B395" s="3"/>
      <c r="C395" s="28"/>
      <c r="D395" s="28"/>
      <c r="E395" s="28"/>
      <c r="F395" s="28"/>
      <c r="G395" s="112"/>
      <c r="H395" s="28"/>
      <c r="I395" s="28"/>
      <c r="J395" s="28"/>
      <c r="K395" s="28"/>
      <c r="L395" s="28"/>
      <c r="M395" s="28"/>
      <c r="N395" s="28"/>
      <c r="O395" s="28"/>
      <c r="P395" s="28"/>
      <c r="Q395" s="28"/>
      <c r="R395" s="28"/>
      <c r="S395" s="28"/>
      <c r="T395" s="28"/>
      <c r="U395" s="28"/>
      <c r="V395" s="28"/>
      <c r="W395" s="35"/>
      <c r="X395" s="32"/>
    </row>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5" xr:uid="{00000000-0009-0000-0000-000018000000}"/>
  <mergeCells count="4">
    <mergeCell ref="B2:B3"/>
    <mergeCell ref="B4:B5"/>
    <mergeCell ref="H4:H5"/>
    <mergeCell ref="I4:I5"/>
  </mergeCells>
  <conditionalFormatting sqref="W6:W125">
    <cfRule type="cellIs" dxfId="11" priority="1" operator="equal">
      <formula>"Diferente"</formula>
    </cfRule>
    <cfRule type="cellIs" dxfId="10" priority="2" operator="equal">
      <formula>"OK"</formula>
    </cfRule>
  </conditionalFormatting>
  <dataValidations count="1">
    <dataValidation type="list" allowBlank="1" showErrorMessage="1" sqref="D7:D125 D128:D129 D131:D133 D135:D138 D140:D145 D147:D153 D156:D159 D161:D164 D166:D168 D170:D183 D185:D187 D189:D195" xr:uid="{00000000-0002-0000-18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800-000000000000}">
          <x14:formula1>
            <xm:f>'Plano de contas DG'!$C$5:$C$38</xm:f>
          </x14:formula1>
          <xm:sqref>I6:I195</xm:sqref>
        </x14:dataValidation>
        <x14:dataValidation type="list" allowBlank="1" showErrorMessage="1" xr:uid="{00000000-0002-0000-1800-000001000000}">
          <x14:formula1>
            <xm:f>Caixa!$B$5:$B$8</xm:f>
          </x14:formula1>
          <xm:sqref>H7:H125 H128:H129 H131:H133 H135:H138 H140:H145 H147:H153 H156:H159 H161:H164 H166:H168 H170:H183 H185:H187 H189:H195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filterMode="1">
    <tabColor theme="5"/>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3.109375" customWidth="1"/>
    <col min="8" max="8" width="18.88671875" customWidth="1"/>
    <col min="9" max="9" width="86.33203125" customWidth="1"/>
    <col min="10" max="10" width="20.6640625"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25" customHeight="1" x14ac:dyDescent="0.3">
      <c r="A2" s="3"/>
      <c r="B2" s="231" t="s">
        <v>270</v>
      </c>
      <c r="C2" s="232"/>
      <c r="D2" s="206"/>
      <c r="E2" s="206"/>
      <c r="F2" s="207"/>
      <c r="G2" s="73"/>
      <c r="H2" s="73"/>
      <c r="I2" s="74"/>
      <c r="J2" s="73"/>
      <c r="K2" s="28"/>
      <c r="L2" s="28"/>
      <c r="M2" s="28"/>
      <c r="N2" s="28"/>
      <c r="O2" s="28"/>
      <c r="P2" s="28"/>
      <c r="Q2" s="28"/>
      <c r="R2" s="28"/>
      <c r="S2" s="28"/>
      <c r="T2" s="28"/>
      <c r="U2" s="3"/>
    </row>
    <row r="3" spans="1:26" ht="14.25" customHeight="1" x14ac:dyDescent="0.3">
      <c r="A3" s="3"/>
      <c r="B3" s="202"/>
      <c r="C3" s="233"/>
      <c r="D3" s="234"/>
      <c r="E3" s="234"/>
      <c r="F3" s="235"/>
      <c r="G3" s="73"/>
      <c r="H3" s="73"/>
      <c r="I3" s="74"/>
      <c r="J3" s="73"/>
      <c r="K3" s="28"/>
      <c r="L3" s="28"/>
      <c r="M3" s="28"/>
      <c r="N3" s="28"/>
      <c r="O3" s="28"/>
      <c r="P3" s="28"/>
      <c r="Q3" s="28"/>
      <c r="R3" s="28"/>
      <c r="S3" s="28"/>
      <c r="T3" s="28"/>
      <c r="U3" s="3"/>
    </row>
    <row r="4" spans="1:26" ht="14.25" customHeight="1" x14ac:dyDescent="0.3">
      <c r="A4" s="3"/>
      <c r="B4" s="220" t="s">
        <v>74</v>
      </c>
      <c r="C4" s="39" t="s">
        <v>44</v>
      </c>
      <c r="D4" s="39" t="s">
        <v>44</v>
      </c>
      <c r="E4" s="18">
        <f>SUBTOTAL(9,E16,E63,E38,E152,E177,E183,E90,E6,E34,E262,E325,E212,E222,E232,E242,E252,E116)</f>
        <v>0</v>
      </c>
      <c r="F4" s="18">
        <f>SUBTOTAL(9,F16,F63,F38,F142,F152,F177,F183,F90,F6,F34,F262,F325,F212,F222,F232,F242,F252,F116)</f>
        <v>94223.700000000012</v>
      </c>
      <c r="G4" s="39" t="s">
        <v>44</v>
      </c>
      <c r="H4" s="230" t="s">
        <v>1</v>
      </c>
      <c r="I4" s="236" t="s">
        <v>271</v>
      </c>
      <c r="J4" s="230" t="s">
        <v>75</v>
      </c>
      <c r="K4" s="28"/>
      <c r="L4" s="28"/>
      <c r="M4" s="28"/>
      <c r="N4" s="28"/>
      <c r="O4" s="28"/>
      <c r="P4" s="28"/>
      <c r="Q4" s="28"/>
      <c r="R4" s="28"/>
      <c r="S4" s="28"/>
      <c r="T4" s="28"/>
      <c r="U4" s="3"/>
      <c r="W4" s="3"/>
      <c r="X4" s="3"/>
      <c r="Y4" s="3"/>
      <c r="Z4" s="3"/>
    </row>
    <row r="5" spans="1:26" ht="14.25" customHeight="1"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1178</v>
      </c>
      <c r="G6" s="78"/>
      <c r="H6" s="78"/>
      <c r="I6" s="79"/>
      <c r="J6" s="78"/>
      <c r="K6" s="28"/>
      <c r="L6" s="28"/>
      <c r="M6" s="28"/>
      <c r="N6" s="28"/>
      <c r="O6" s="28"/>
      <c r="P6" s="28"/>
      <c r="Q6" s="28"/>
      <c r="R6" s="28"/>
      <c r="S6" s="28"/>
      <c r="T6" s="28"/>
      <c r="U6" s="3"/>
      <c r="W6" s="3"/>
      <c r="X6" s="3"/>
      <c r="Y6" s="3"/>
      <c r="Z6" s="3"/>
    </row>
    <row r="7" spans="1:26" ht="14.4" outlineLevel="1" x14ac:dyDescent="0.3">
      <c r="A7" s="3"/>
      <c r="B7" s="9" t="s">
        <v>274</v>
      </c>
      <c r="C7" s="53">
        <v>4</v>
      </c>
      <c r="D7" s="53" t="s">
        <v>95</v>
      </c>
      <c r="E7" s="11">
        <v>0</v>
      </c>
      <c r="F7" s="11">
        <v>753.64</v>
      </c>
      <c r="G7" s="80"/>
      <c r="H7" s="56" t="s">
        <v>37</v>
      </c>
      <c r="I7" s="102" t="s">
        <v>1771</v>
      </c>
      <c r="J7" s="56"/>
      <c r="K7" s="28"/>
      <c r="L7" s="28"/>
      <c r="M7" s="28"/>
      <c r="N7" s="28"/>
      <c r="O7" s="28"/>
      <c r="P7" s="28"/>
      <c r="Q7" s="28"/>
      <c r="R7" s="28"/>
      <c r="S7" s="28"/>
      <c r="T7" s="28"/>
      <c r="U7" s="3"/>
      <c r="W7" s="3"/>
      <c r="X7" s="3"/>
      <c r="Y7" s="3"/>
      <c r="Z7" s="3"/>
    </row>
    <row r="8" spans="1:26" ht="14.4" hidden="1" outlineLevel="1" x14ac:dyDescent="0.3">
      <c r="A8" s="3"/>
      <c r="B8" s="9" t="s">
        <v>274</v>
      </c>
      <c r="C8" s="53"/>
      <c r="D8" s="53"/>
      <c r="E8" s="11">
        <v>0</v>
      </c>
      <c r="F8" s="11">
        <v>0</v>
      </c>
      <c r="G8" s="80"/>
      <c r="H8" s="56"/>
      <c r="I8" s="144"/>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80"/>
      <c r="H9" s="56"/>
      <c r="I9" s="144"/>
      <c r="J9" s="56"/>
      <c r="K9" s="28"/>
      <c r="L9" s="28"/>
      <c r="M9" s="28"/>
      <c r="N9" s="28"/>
      <c r="O9" s="28"/>
      <c r="P9" s="28"/>
      <c r="Q9" s="28"/>
      <c r="R9" s="28"/>
      <c r="S9" s="28"/>
      <c r="T9" s="28"/>
      <c r="U9" s="3"/>
      <c r="W9" s="3"/>
      <c r="X9" s="3"/>
      <c r="Y9" s="3"/>
      <c r="Z9" s="3"/>
    </row>
    <row r="10" spans="1:26" ht="14.4" outlineLevel="1" x14ac:dyDescent="0.3">
      <c r="A10" s="3"/>
      <c r="B10" s="9" t="s">
        <v>282</v>
      </c>
      <c r="C10" s="53">
        <v>12</v>
      </c>
      <c r="D10" s="53" t="s">
        <v>95</v>
      </c>
      <c r="E10" s="11">
        <v>0</v>
      </c>
      <c r="F10" s="11">
        <v>48.79</v>
      </c>
      <c r="G10" s="80"/>
      <c r="H10" s="56" t="s">
        <v>37</v>
      </c>
      <c r="I10" s="102" t="s">
        <v>1772</v>
      </c>
      <c r="J10" s="80"/>
      <c r="K10" s="28"/>
      <c r="L10" s="28"/>
      <c r="M10" s="28"/>
      <c r="N10" s="28"/>
      <c r="O10" s="28"/>
      <c r="P10" s="28"/>
      <c r="Q10" s="28"/>
      <c r="R10" s="28"/>
      <c r="S10" s="28"/>
      <c r="T10" s="28"/>
      <c r="U10" s="3"/>
      <c r="W10" s="3"/>
      <c r="X10" s="3"/>
      <c r="Y10" s="3"/>
      <c r="Z10" s="3"/>
    </row>
    <row r="11" spans="1:26" ht="14.4" outlineLevel="1" x14ac:dyDescent="0.3">
      <c r="A11" s="3"/>
      <c r="B11" s="9" t="s">
        <v>282</v>
      </c>
      <c r="C11" s="53">
        <v>12</v>
      </c>
      <c r="D11" s="53" t="s">
        <v>95</v>
      </c>
      <c r="E11" s="11">
        <v>0</v>
      </c>
      <c r="F11" s="11">
        <v>69.39</v>
      </c>
      <c r="G11" s="80"/>
      <c r="H11" s="56" t="s">
        <v>37</v>
      </c>
      <c r="I11" s="102" t="s">
        <v>1773</v>
      </c>
      <c r="J11" s="80"/>
      <c r="K11" s="28"/>
      <c r="L11" s="28"/>
      <c r="M11" s="28"/>
      <c r="N11" s="28"/>
      <c r="O11" s="28"/>
      <c r="P11" s="28"/>
      <c r="Q11" s="28"/>
      <c r="R11" s="28"/>
      <c r="S11" s="28"/>
      <c r="T11" s="28"/>
      <c r="U11" s="3"/>
      <c r="W11" s="3"/>
      <c r="X11" s="3"/>
      <c r="Y11" s="3"/>
      <c r="Z11" s="3"/>
    </row>
    <row r="12" spans="1:26" ht="14.4" outlineLevel="1" x14ac:dyDescent="0.3">
      <c r="A12" s="3"/>
      <c r="B12" s="9" t="s">
        <v>282</v>
      </c>
      <c r="C12" s="53">
        <v>12</v>
      </c>
      <c r="D12" s="53" t="s">
        <v>95</v>
      </c>
      <c r="E12" s="11">
        <v>0</v>
      </c>
      <c r="F12" s="11">
        <v>306.18</v>
      </c>
      <c r="G12" s="80"/>
      <c r="H12" s="56" t="s">
        <v>37</v>
      </c>
      <c r="I12" s="102" t="s">
        <v>1774</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44"/>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c r="D14" s="53"/>
      <c r="E14" s="11">
        <v>0</v>
      </c>
      <c r="F14" s="11">
        <v>0</v>
      </c>
      <c r="G14" s="80"/>
      <c r="H14" s="56"/>
      <c r="I14" s="145"/>
      <c r="J14" s="80"/>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80"/>
      <c r="H15" s="56"/>
      <c r="I15" s="144"/>
      <c r="J15" s="56"/>
      <c r="K15" s="28"/>
      <c r="L15" s="28"/>
      <c r="M15" s="28"/>
      <c r="N15" s="28"/>
      <c r="O15" s="28"/>
      <c r="P15" s="28"/>
      <c r="Q15" s="28"/>
      <c r="R15" s="28"/>
      <c r="S15" s="28"/>
      <c r="T15" s="28"/>
      <c r="U15" s="3"/>
      <c r="W15" s="3"/>
      <c r="X15" s="3"/>
      <c r="Y15" s="3"/>
      <c r="Z15" s="3"/>
    </row>
    <row r="16" spans="1:26" ht="20.399999999999999" x14ac:dyDescent="0.3">
      <c r="A16" s="3"/>
      <c r="B16" s="75" t="s">
        <v>288</v>
      </c>
      <c r="C16" s="76" t="s">
        <v>44</v>
      </c>
      <c r="D16" s="76" t="s">
        <v>44</v>
      </c>
      <c r="E16" s="77">
        <f>SUM(E17:E33)</f>
        <v>0</v>
      </c>
      <c r="F16" s="77">
        <f>SUMIF(D17:D33,"OK",F17:F33)</f>
        <v>7235.6299999999992</v>
      </c>
      <c r="G16" s="78"/>
      <c r="H16" s="78"/>
      <c r="I16" s="79"/>
      <c r="J16" s="78"/>
      <c r="K16" s="28"/>
      <c r="L16" s="28"/>
      <c r="M16" s="28"/>
      <c r="N16" s="28"/>
      <c r="O16" s="28"/>
      <c r="P16" s="28"/>
      <c r="Q16" s="28"/>
      <c r="R16" s="28"/>
      <c r="S16" s="28"/>
      <c r="T16" s="28"/>
      <c r="U16" s="3"/>
    </row>
    <row r="17" spans="1:22" ht="14.4" outlineLevel="1" x14ac:dyDescent="0.3">
      <c r="A17" s="3"/>
      <c r="B17" s="9" t="s">
        <v>562</v>
      </c>
      <c r="C17" s="53">
        <v>24</v>
      </c>
      <c r="D17" s="53" t="s">
        <v>95</v>
      </c>
      <c r="E17" s="11">
        <v>0</v>
      </c>
      <c r="F17" s="11">
        <v>1423.62</v>
      </c>
      <c r="G17" s="242" t="s">
        <v>1775</v>
      </c>
      <c r="H17" s="56" t="s">
        <v>37</v>
      </c>
      <c r="I17" s="239" t="s">
        <v>1776</v>
      </c>
      <c r="J17" s="56"/>
      <c r="K17" s="28"/>
      <c r="L17" s="28"/>
      <c r="M17" s="28"/>
      <c r="N17" s="28"/>
      <c r="O17" s="28"/>
      <c r="P17" s="28"/>
      <c r="Q17" s="28"/>
      <c r="R17" s="28"/>
      <c r="S17" s="28"/>
      <c r="T17" s="28"/>
      <c r="U17" s="3"/>
    </row>
    <row r="18" spans="1:22" ht="14.4" outlineLevel="1" x14ac:dyDescent="0.3">
      <c r="A18" s="3"/>
      <c r="B18" s="9" t="s">
        <v>564</v>
      </c>
      <c r="C18" s="53">
        <v>24</v>
      </c>
      <c r="D18" s="53" t="s">
        <v>95</v>
      </c>
      <c r="E18" s="11">
        <v>0</v>
      </c>
      <c r="F18" s="11">
        <v>810.81</v>
      </c>
      <c r="G18" s="213"/>
      <c r="H18" s="56" t="s">
        <v>37</v>
      </c>
      <c r="I18" s="213"/>
      <c r="J18" s="56"/>
      <c r="K18" s="28"/>
      <c r="L18" s="28"/>
      <c r="M18" s="28"/>
      <c r="N18" s="28"/>
      <c r="O18" s="28"/>
      <c r="P18" s="28"/>
      <c r="Q18" s="28"/>
      <c r="R18" s="28"/>
      <c r="S18" s="28"/>
      <c r="T18" s="28"/>
      <c r="U18" s="3"/>
    </row>
    <row r="19" spans="1:22" ht="14.4" outlineLevel="1" x14ac:dyDescent="0.3">
      <c r="A19" s="3"/>
      <c r="B19" s="9" t="s">
        <v>565</v>
      </c>
      <c r="C19" s="53">
        <v>24</v>
      </c>
      <c r="D19" s="53" t="s">
        <v>95</v>
      </c>
      <c r="E19" s="11">
        <v>0</v>
      </c>
      <c r="F19" s="11">
        <v>99</v>
      </c>
      <c r="G19" s="213"/>
      <c r="H19" s="56" t="s">
        <v>37</v>
      </c>
      <c r="I19" s="213"/>
      <c r="J19" s="56"/>
      <c r="K19" s="28"/>
      <c r="L19" s="28"/>
      <c r="M19" s="28"/>
      <c r="N19" s="28"/>
      <c r="O19" s="28"/>
      <c r="P19" s="28"/>
      <c r="Q19" s="28"/>
      <c r="R19" s="28"/>
      <c r="S19" s="28"/>
      <c r="T19" s="28"/>
      <c r="U19" s="3"/>
    </row>
    <row r="20" spans="1:22" ht="14.4" outlineLevel="1" x14ac:dyDescent="0.3">
      <c r="A20" s="3"/>
      <c r="B20" s="9" t="s">
        <v>566</v>
      </c>
      <c r="C20" s="53">
        <v>24</v>
      </c>
      <c r="D20" s="53" t="s">
        <v>95</v>
      </c>
      <c r="E20" s="11">
        <v>0</v>
      </c>
      <c r="F20" s="11">
        <v>99</v>
      </c>
      <c r="G20" s="213"/>
      <c r="H20" s="56" t="s">
        <v>37</v>
      </c>
      <c r="I20" s="213"/>
      <c r="J20" s="56"/>
      <c r="K20" s="28"/>
      <c r="L20" s="28"/>
      <c r="M20" s="28"/>
      <c r="N20" s="28"/>
      <c r="O20" s="28"/>
      <c r="P20" s="28"/>
      <c r="Q20" s="28"/>
      <c r="R20" s="28"/>
      <c r="S20" s="28"/>
      <c r="T20" s="28"/>
      <c r="U20" s="3"/>
    </row>
    <row r="21" spans="1:22" ht="14.4" outlineLevel="1" x14ac:dyDescent="0.3">
      <c r="A21" s="3"/>
      <c r="B21" s="9" t="s">
        <v>567</v>
      </c>
      <c r="C21" s="53">
        <v>24</v>
      </c>
      <c r="D21" s="53" t="s">
        <v>95</v>
      </c>
      <c r="E21" s="11">
        <v>0</v>
      </c>
      <c r="F21" s="11">
        <v>396</v>
      </c>
      <c r="G21" s="214"/>
      <c r="H21" s="56" t="s">
        <v>37</v>
      </c>
      <c r="I21" s="214"/>
      <c r="J21" s="56"/>
      <c r="K21" s="28"/>
      <c r="L21" s="28"/>
      <c r="M21" s="28"/>
      <c r="N21" s="28"/>
      <c r="O21" s="28"/>
      <c r="P21" s="28"/>
      <c r="Q21" s="28"/>
      <c r="R21" s="28"/>
      <c r="S21" s="28"/>
      <c r="T21" s="28"/>
      <c r="U21" s="3"/>
    </row>
    <row r="22" spans="1:22" ht="14.4" outlineLevel="1" x14ac:dyDescent="0.3">
      <c r="A22" s="3"/>
      <c r="B22" s="9" t="s">
        <v>568</v>
      </c>
      <c r="C22" s="53">
        <v>18</v>
      </c>
      <c r="D22" s="53" t="s">
        <v>95</v>
      </c>
      <c r="E22" s="11">
        <v>0</v>
      </c>
      <c r="F22" s="11">
        <v>158.4</v>
      </c>
      <c r="G22" s="237" t="s">
        <v>1777</v>
      </c>
      <c r="H22" s="56" t="s">
        <v>37</v>
      </c>
      <c r="I22" s="239" t="s">
        <v>1778</v>
      </c>
      <c r="J22" s="56"/>
      <c r="K22" s="28"/>
      <c r="L22" s="28"/>
      <c r="M22" s="28"/>
      <c r="N22" s="28"/>
      <c r="O22" s="28"/>
      <c r="P22" s="28"/>
      <c r="Q22" s="28"/>
      <c r="R22" s="28"/>
      <c r="S22" s="28"/>
      <c r="T22" s="28"/>
      <c r="U22" s="3"/>
      <c r="V22" s="14"/>
    </row>
    <row r="23" spans="1:22" ht="14.4" outlineLevel="1" x14ac:dyDescent="0.3">
      <c r="A23" s="3"/>
      <c r="B23" s="9" t="s">
        <v>571</v>
      </c>
      <c r="C23" s="53">
        <v>18</v>
      </c>
      <c r="D23" s="53" t="s">
        <v>95</v>
      </c>
      <c r="E23" s="11">
        <v>0</v>
      </c>
      <c r="F23" s="11">
        <v>475.2</v>
      </c>
      <c r="G23" s="213"/>
      <c r="H23" s="56" t="s">
        <v>37</v>
      </c>
      <c r="I23" s="213"/>
      <c r="J23" s="56"/>
      <c r="K23" s="28"/>
      <c r="L23" s="28"/>
      <c r="M23" s="28"/>
      <c r="N23" s="28"/>
      <c r="O23" s="28"/>
      <c r="P23" s="28"/>
      <c r="Q23" s="28"/>
      <c r="R23" s="28"/>
      <c r="S23" s="28"/>
      <c r="T23" s="28"/>
      <c r="U23" s="3"/>
      <c r="V23" s="14"/>
    </row>
    <row r="24" spans="1:22" ht="14.4" outlineLevel="1" x14ac:dyDescent="0.3">
      <c r="A24" s="3"/>
      <c r="B24" s="9" t="s">
        <v>572</v>
      </c>
      <c r="C24" s="53">
        <v>18</v>
      </c>
      <c r="D24" s="53" t="s">
        <v>95</v>
      </c>
      <c r="E24" s="11">
        <v>0</v>
      </c>
      <c r="F24" s="11">
        <v>524.70000000000005</v>
      </c>
      <c r="G24" s="213"/>
      <c r="H24" s="56" t="s">
        <v>37</v>
      </c>
      <c r="I24" s="213"/>
      <c r="J24" s="56"/>
      <c r="K24" s="28"/>
      <c r="L24" s="28"/>
      <c r="M24" s="28"/>
      <c r="N24" s="28"/>
      <c r="O24" s="28"/>
      <c r="P24" s="28"/>
      <c r="Q24" s="28"/>
      <c r="R24" s="28"/>
      <c r="S24" s="28"/>
      <c r="T24" s="28"/>
      <c r="U24" s="3"/>
      <c r="V24" s="14"/>
    </row>
    <row r="25" spans="1:22" ht="14.4" outlineLevel="1" x14ac:dyDescent="0.3">
      <c r="A25" s="3"/>
      <c r="B25" s="9" t="s">
        <v>573</v>
      </c>
      <c r="C25" s="53">
        <v>18</v>
      </c>
      <c r="D25" s="53" t="s">
        <v>95</v>
      </c>
      <c r="E25" s="11">
        <v>0</v>
      </c>
      <c r="F25" s="11">
        <v>29.7</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27.6" outlineLevel="1" x14ac:dyDescent="0.3">
      <c r="A28" s="3"/>
      <c r="B28" s="146" t="s">
        <v>1779</v>
      </c>
      <c r="C28" s="53">
        <v>18</v>
      </c>
      <c r="D28" s="53" t="s">
        <v>95</v>
      </c>
      <c r="E28" s="11">
        <v>0</v>
      </c>
      <c r="F28" s="11">
        <v>1430</v>
      </c>
      <c r="G28" s="214"/>
      <c r="H28" s="56" t="s">
        <v>37</v>
      </c>
      <c r="I28" s="214"/>
      <c r="J28" s="56"/>
      <c r="K28" s="28"/>
      <c r="L28" s="28"/>
      <c r="M28" s="28"/>
      <c r="N28" s="28"/>
      <c r="O28" s="28"/>
      <c r="P28" s="28"/>
      <c r="Q28" s="28"/>
      <c r="R28" s="28"/>
      <c r="S28" s="28"/>
      <c r="T28" s="28"/>
      <c r="U28" s="3"/>
      <c r="V28" s="14"/>
    </row>
    <row r="29" spans="1:22" ht="14.4" outlineLevel="1" x14ac:dyDescent="0.3">
      <c r="A29" s="3"/>
      <c r="B29" s="9" t="s">
        <v>293</v>
      </c>
      <c r="C29" s="53">
        <v>16</v>
      </c>
      <c r="D29" s="53" t="s">
        <v>95</v>
      </c>
      <c r="E29" s="11">
        <v>0</v>
      </c>
      <c r="F29" s="11">
        <v>117</v>
      </c>
      <c r="G29" s="56"/>
      <c r="H29" s="56" t="s">
        <v>37</v>
      </c>
      <c r="I29" s="102" t="s">
        <v>1780</v>
      </c>
      <c r="J29" s="56"/>
      <c r="K29" s="28"/>
      <c r="L29" s="28"/>
      <c r="M29" s="28"/>
      <c r="N29" s="28"/>
      <c r="O29" s="28"/>
      <c r="P29" s="28"/>
      <c r="Q29" s="28"/>
      <c r="R29" s="28"/>
      <c r="S29" s="28"/>
      <c r="T29" s="28"/>
      <c r="U29" s="3"/>
      <c r="V29" s="14"/>
    </row>
    <row r="30" spans="1:22" ht="14.4" outlineLevel="1" x14ac:dyDescent="0.3">
      <c r="A30" s="3"/>
      <c r="B30" s="9" t="s">
        <v>295</v>
      </c>
      <c r="C30" s="53">
        <v>17</v>
      </c>
      <c r="D30" s="53" t="s">
        <v>95</v>
      </c>
      <c r="E30" s="11">
        <v>0</v>
      </c>
      <c r="F30" s="11">
        <f>1452.2-80</f>
        <v>1372.2</v>
      </c>
      <c r="G30" s="80" t="s">
        <v>1781</v>
      </c>
      <c r="H30" s="56" t="s">
        <v>37</v>
      </c>
      <c r="I30" s="102" t="s">
        <v>1782</v>
      </c>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44"/>
      <c r="J31" s="56"/>
      <c r="K31" s="28"/>
      <c r="L31" s="28"/>
      <c r="M31" s="28"/>
      <c r="N31" s="28"/>
      <c r="O31" s="28"/>
      <c r="P31" s="28"/>
      <c r="Q31" s="28"/>
      <c r="R31" s="28"/>
      <c r="S31" s="28"/>
      <c r="T31" s="28"/>
      <c r="U31" s="3"/>
    </row>
    <row r="32" spans="1:22" ht="14.4" hidden="1" outlineLevel="1" x14ac:dyDescent="0.3">
      <c r="A32" s="3"/>
      <c r="B32" s="9" t="s">
        <v>295</v>
      </c>
      <c r="C32" s="53"/>
      <c r="D32" s="53"/>
      <c r="E32" s="11">
        <v>0</v>
      </c>
      <c r="F32" s="11">
        <v>0</v>
      </c>
      <c r="G32" s="80"/>
      <c r="H32" s="56"/>
      <c r="I32" s="144"/>
      <c r="J32" s="56"/>
      <c r="K32" s="28"/>
      <c r="L32" s="28"/>
      <c r="M32" s="28"/>
      <c r="N32" s="28"/>
      <c r="O32" s="28"/>
      <c r="P32" s="28"/>
      <c r="Q32" s="28"/>
      <c r="R32" s="28"/>
      <c r="S32" s="28"/>
      <c r="T32" s="28"/>
      <c r="U32" s="3"/>
    </row>
    <row r="33" spans="1:26" ht="14.4" outlineLevel="1" x14ac:dyDescent="0.3">
      <c r="A33" s="3"/>
      <c r="B33" s="9" t="s">
        <v>583</v>
      </c>
      <c r="C33" s="53">
        <v>26</v>
      </c>
      <c r="D33" s="53" t="s">
        <v>95</v>
      </c>
      <c r="E33" s="11">
        <v>0</v>
      </c>
      <c r="F33" s="11">
        <v>300</v>
      </c>
      <c r="G33" s="56" t="s">
        <v>1783</v>
      </c>
      <c r="H33" s="56" t="s">
        <v>37</v>
      </c>
      <c r="I33" s="102" t="s">
        <v>1784</v>
      </c>
      <c r="J33" s="56"/>
      <c r="K33" s="28"/>
      <c r="L33" s="28"/>
      <c r="M33" s="28"/>
      <c r="N33" s="28"/>
      <c r="O33" s="28"/>
      <c r="P33" s="28"/>
      <c r="Q33" s="28"/>
      <c r="R33" s="28"/>
      <c r="S33" s="28"/>
      <c r="T33" s="28"/>
      <c r="U33" s="3"/>
    </row>
    <row r="34" spans="1:26" ht="20.399999999999999" x14ac:dyDescent="0.3">
      <c r="A34" s="3"/>
      <c r="B34" s="75" t="s">
        <v>301</v>
      </c>
      <c r="C34" s="76" t="s">
        <v>44</v>
      </c>
      <c r="D34" s="76" t="s">
        <v>44</v>
      </c>
      <c r="E34" s="77">
        <f>SUM(E35:E37)</f>
        <v>0</v>
      </c>
      <c r="F34" s="77">
        <f>SUMIF(D35:D37,"OK",F35:F37)</f>
        <v>0.42</v>
      </c>
      <c r="G34" s="78"/>
      <c r="H34" s="78"/>
      <c r="I34" s="79"/>
      <c r="J34" s="78"/>
      <c r="K34" s="28"/>
      <c r="L34" s="28"/>
      <c r="M34" s="28"/>
      <c r="N34" s="28"/>
      <c r="O34" s="28"/>
      <c r="P34" s="28"/>
      <c r="Q34" s="28"/>
      <c r="R34" s="28"/>
      <c r="S34" s="28"/>
      <c r="T34" s="28"/>
      <c r="U34" s="3"/>
      <c r="W34" s="3"/>
      <c r="X34" s="3"/>
      <c r="Y34" s="3"/>
      <c r="Z34" s="3"/>
    </row>
    <row r="35" spans="1:26" ht="14.4" outlineLevel="1" x14ac:dyDescent="0.3">
      <c r="A35" s="3"/>
      <c r="B35" s="9" t="s">
        <v>584</v>
      </c>
      <c r="C35" s="53" t="s">
        <v>714</v>
      </c>
      <c r="D35" s="53" t="s">
        <v>95</v>
      </c>
      <c r="E35" s="11">
        <v>0</v>
      </c>
      <c r="F35" s="11">
        <f>0.07+0.35</f>
        <v>0.42</v>
      </c>
      <c r="G35" s="60"/>
      <c r="H35" s="56" t="s">
        <v>38</v>
      </c>
      <c r="I35" s="102" t="s">
        <v>1785</v>
      </c>
      <c r="J35" s="56"/>
      <c r="K35" s="28"/>
      <c r="L35" s="28"/>
      <c r="M35" s="28"/>
      <c r="N35" s="28"/>
      <c r="O35" s="28"/>
      <c r="P35" s="28"/>
      <c r="Q35" s="28"/>
      <c r="R35" s="28"/>
      <c r="S35" s="28"/>
      <c r="T35" s="28"/>
      <c r="U35" s="3"/>
      <c r="W35" s="3"/>
      <c r="X35" s="3"/>
      <c r="Y35" s="3"/>
      <c r="Z35" s="3"/>
    </row>
    <row r="36" spans="1:26" ht="14.4" hidden="1" outlineLevel="1" x14ac:dyDescent="0.3">
      <c r="A36" s="3"/>
      <c r="B36" s="9" t="s">
        <v>1786</v>
      </c>
      <c r="C36" s="53"/>
      <c r="D36" s="53"/>
      <c r="E36" s="11">
        <v>0</v>
      </c>
      <c r="F36" s="11">
        <v>0</v>
      </c>
      <c r="G36" s="58"/>
      <c r="H36" s="56"/>
      <c r="I36" s="144"/>
      <c r="J36" s="56"/>
      <c r="K36" s="28"/>
      <c r="L36" s="28"/>
      <c r="M36" s="28"/>
      <c r="N36" s="28"/>
      <c r="O36" s="28"/>
      <c r="P36" s="28"/>
      <c r="Q36" s="28"/>
      <c r="R36" s="28"/>
      <c r="S36" s="28"/>
      <c r="T36" s="28"/>
      <c r="U36" s="3"/>
      <c r="W36" s="3"/>
      <c r="X36" s="3"/>
      <c r="Y36" s="3"/>
      <c r="Z36" s="3"/>
    </row>
    <row r="37" spans="1:26" ht="14.4" hidden="1" outlineLevel="1" x14ac:dyDescent="0.3">
      <c r="A37" s="3"/>
      <c r="B37" s="9" t="s">
        <v>1786</v>
      </c>
      <c r="C37" s="53"/>
      <c r="D37" s="53"/>
      <c r="E37" s="11">
        <v>0</v>
      </c>
      <c r="F37" s="11">
        <v>0</v>
      </c>
      <c r="G37" s="56"/>
      <c r="H37" s="56"/>
      <c r="I37" s="144"/>
      <c r="J37" s="56"/>
      <c r="K37" s="28"/>
      <c r="L37" s="28"/>
      <c r="M37" s="28"/>
      <c r="N37" s="28"/>
      <c r="O37" s="28"/>
      <c r="P37" s="28"/>
      <c r="Q37" s="28"/>
      <c r="R37" s="28"/>
      <c r="S37" s="28"/>
      <c r="T37" s="28"/>
      <c r="U37" s="3"/>
      <c r="W37" s="3"/>
      <c r="X37" s="3"/>
      <c r="Y37" s="3"/>
      <c r="Z37" s="3"/>
    </row>
    <row r="38" spans="1:26" ht="20.399999999999999" x14ac:dyDescent="0.3">
      <c r="A38" s="3"/>
      <c r="B38" s="75" t="s">
        <v>307</v>
      </c>
      <c r="C38" s="76" t="s">
        <v>44</v>
      </c>
      <c r="D38" s="76" t="s">
        <v>44</v>
      </c>
      <c r="E38" s="77">
        <f>SUM(E39:E62)</f>
        <v>0</v>
      </c>
      <c r="F38" s="77">
        <f>SUMIF(D39:D62,"OK",F39:F62)</f>
        <v>4923.8600000000006</v>
      </c>
      <c r="G38" s="78"/>
      <c r="H38" s="78"/>
      <c r="I38" s="79"/>
      <c r="J38" s="78"/>
      <c r="K38" s="28"/>
      <c r="L38" s="28"/>
      <c r="M38" s="28"/>
      <c r="N38" s="28"/>
      <c r="O38" s="28"/>
      <c r="P38" s="28"/>
      <c r="Q38" s="28"/>
      <c r="R38" s="28"/>
      <c r="S38" s="28"/>
      <c r="T38" s="28"/>
      <c r="U38" s="3"/>
      <c r="W38" s="3"/>
      <c r="X38" s="3"/>
      <c r="Y38" s="3"/>
      <c r="Z38" s="3"/>
    </row>
    <row r="39" spans="1:26" ht="14.4" outlineLevel="1" x14ac:dyDescent="0.3">
      <c r="A39" s="3"/>
      <c r="B39" s="9" t="s">
        <v>308</v>
      </c>
      <c r="C39" s="53">
        <v>24</v>
      </c>
      <c r="D39" s="53" t="s">
        <v>95</v>
      </c>
      <c r="E39" s="11">
        <v>0</v>
      </c>
      <c r="F39" s="11">
        <v>1098.6600000000001</v>
      </c>
      <c r="G39" s="56"/>
      <c r="H39" s="56" t="s">
        <v>37</v>
      </c>
      <c r="I39" s="102" t="s">
        <v>1787</v>
      </c>
      <c r="J39" s="56"/>
      <c r="K39" s="28"/>
      <c r="L39" s="28"/>
      <c r="M39" s="28"/>
      <c r="N39" s="28"/>
      <c r="O39" s="28"/>
      <c r="P39" s="28"/>
      <c r="Q39" s="28"/>
      <c r="R39" s="28"/>
      <c r="S39" s="28"/>
      <c r="T39" s="28"/>
      <c r="U39" s="3"/>
      <c r="W39" s="3"/>
      <c r="X39" s="3"/>
      <c r="Y39" s="3"/>
      <c r="Z39" s="3"/>
    </row>
    <row r="40" spans="1:26" ht="14.4" outlineLevel="1" x14ac:dyDescent="0.3">
      <c r="A40" s="3"/>
      <c r="B40" s="9" t="s">
        <v>590</v>
      </c>
      <c r="C40" s="53">
        <v>21</v>
      </c>
      <c r="D40" s="53" t="s">
        <v>95</v>
      </c>
      <c r="E40" s="11">
        <v>0</v>
      </c>
      <c r="F40" s="11">
        <v>650</v>
      </c>
      <c r="G40" s="56"/>
      <c r="H40" s="56" t="s">
        <v>37</v>
      </c>
      <c r="I40" s="102" t="s">
        <v>1788</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44"/>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45"/>
      <c r="J42" s="56"/>
      <c r="K42" s="28"/>
      <c r="L42" s="28"/>
      <c r="M42" s="28"/>
      <c r="N42" s="28"/>
      <c r="O42" s="28"/>
      <c r="P42" s="28"/>
      <c r="Q42" s="28"/>
      <c r="R42" s="28"/>
      <c r="S42" s="28"/>
      <c r="T42" s="28"/>
      <c r="U42" s="3"/>
      <c r="W42" s="3"/>
      <c r="X42" s="3"/>
      <c r="Y42" s="3"/>
      <c r="Z42" s="3"/>
    </row>
    <row r="43" spans="1:26" ht="14.4" outlineLevel="1" x14ac:dyDescent="0.3">
      <c r="A43" s="3"/>
      <c r="B43" s="9" t="s">
        <v>315</v>
      </c>
      <c r="C43" s="53">
        <v>12</v>
      </c>
      <c r="D43" s="53" t="s">
        <v>95</v>
      </c>
      <c r="E43" s="11">
        <v>0</v>
      </c>
      <c r="F43" s="11">
        <v>84.9</v>
      </c>
      <c r="G43" s="56"/>
      <c r="H43" s="56" t="s">
        <v>37</v>
      </c>
      <c r="I43" s="102" t="s">
        <v>1789</v>
      </c>
      <c r="J43" s="56"/>
      <c r="K43" s="28"/>
      <c r="L43" s="28"/>
      <c r="M43" s="28"/>
      <c r="N43" s="28"/>
      <c r="O43" s="28"/>
      <c r="P43" s="28"/>
      <c r="Q43" s="28"/>
      <c r="R43" s="28"/>
      <c r="S43" s="28"/>
      <c r="T43" s="28"/>
      <c r="U43" s="3"/>
      <c r="W43" s="3"/>
      <c r="X43" s="3"/>
      <c r="Y43" s="3"/>
      <c r="Z43" s="3"/>
    </row>
    <row r="44" spans="1:26" ht="14.4" hidden="1" outlineLevel="1" x14ac:dyDescent="0.3">
      <c r="A44" s="3"/>
      <c r="B44" s="9" t="s">
        <v>317</v>
      </c>
      <c r="C44" s="53"/>
      <c r="D44" s="53"/>
      <c r="E44" s="11">
        <v>0</v>
      </c>
      <c r="F44" s="11">
        <v>0</v>
      </c>
      <c r="G44" s="80"/>
      <c r="H44" s="56"/>
      <c r="I44" s="144"/>
      <c r="J44" s="56"/>
      <c r="K44" s="28"/>
      <c r="L44" s="28"/>
      <c r="M44" s="28"/>
      <c r="N44" s="28"/>
      <c r="O44" s="28"/>
      <c r="P44" s="28"/>
      <c r="Q44" s="28"/>
      <c r="R44" s="28"/>
      <c r="S44" s="28"/>
      <c r="T44" s="28"/>
      <c r="U44" s="3"/>
      <c r="W44" s="3"/>
      <c r="X44" s="3"/>
      <c r="Y44" s="3"/>
      <c r="Z44" s="3"/>
    </row>
    <row r="45" spans="1:26" ht="14.4" hidden="1" outlineLevel="1" x14ac:dyDescent="0.3">
      <c r="A45" s="3"/>
      <c r="B45" s="9" t="s">
        <v>317</v>
      </c>
      <c r="C45" s="53"/>
      <c r="D45" s="53"/>
      <c r="E45" s="11">
        <v>0</v>
      </c>
      <c r="F45" s="11">
        <v>0</v>
      </c>
      <c r="G45" s="56"/>
      <c r="H45" s="56"/>
      <c r="I45" s="144"/>
      <c r="J45" s="56"/>
      <c r="K45" s="28"/>
      <c r="L45" s="28"/>
      <c r="M45" s="28"/>
      <c r="N45" s="28"/>
      <c r="O45" s="28"/>
      <c r="P45" s="28"/>
      <c r="Q45" s="28"/>
      <c r="R45" s="28"/>
      <c r="S45" s="28"/>
      <c r="T45" s="28"/>
      <c r="U45" s="3"/>
      <c r="W45" s="3"/>
      <c r="X45" s="3"/>
      <c r="Y45" s="3"/>
      <c r="Z45" s="3"/>
    </row>
    <row r="46" spans="1:26" ht="14.4" outlineLevel="1" x14ac:dyDescent="0.3">
      <c r="A46" s="3"/>
      <c r="B46" s="9" t="s">
        <v>1790</v>
      </c>
      <c r="C46" s="53">
        <v>1</v>
      </c>
      <c r="D46" s="53" t="s">
        <v>95</v>
      </c>
      <c r="E46" s="11">
        <v>0</v>
      </c>
      <c r="F46" s="11">
        <v>78.900000000000006</v>
      </c>
      <c r="G46" s="56"/>
      <c r="H46" s="56" t="s">
        <v>37</v>
      </c>
      <c r="I46" s="102" t="s">
        <v>1791</v>
      </c>
      <c r="J46" s="56"/>
      <c r="K46" s="28"/>
      <c r="L46" s="28"/>
      <c r="M46" s="28"/>
      <c r="N46" s="28"/>
      <c r="O46" s="28"/>
      <c r="P46" s="28"/>
      <c r="Q46" s="28"/>
      <c r="R46" s="28"/>
      <c r="S46" s="28"/>
      <c r="T46" s="28"/>
      <c r="U46" s="3"/>
      <c r="W46" s="3"/>
      <c r="X46" s="3"/>
      <c r="Y46" s="3"/>
      <c r="Z46" s="3"/>
    </row>
    <row r="47" spans="1:26" ht="14.4" outlineLevel="1" x14ac:dyDescent="0.3">
      <c r="A47" s="3"/>
      <c r="B47" s="9" t="s">
        <v>1792</v>
      </c>
      <c r="C47" s="53">
        <v>1</v>
      </c>
      <c r="D47" s="53" t="s">
        <v>95</v>
      </c>
      <c r="E47" s="11">
        <v>0</v>
      </c>
      <c r="F47" s="11">
        <v>73.73</v>
      </c>
      <c r="G47" s="56"/>
      <c r="H47" s="56" t="s">
        <v>37</v>
      </c>
      <c r="I47" s="102" t="s">
        <v>1791</v>
      </c>
      <c r="J47" s="56"/>
      <c r="K47" s="28"/>
      <c r="L47" s="28"/>
      <c r="M47" s="28"/>
      <c r="N47" s="28"/>
      <c r="O47" s="28"/>
      <c r="P47" s="28"/>
      <c r="Q47" s="28"/>
      <c r="R47" s="28"/>
      <c r="S47" s="28"/>
      <c r="T47" s="28"/>
      <c r="U47" s="3"/>
      <c r="W47" s="3"/>
      <c r="X47" s="3"/>
      <c r="Y47" s="3"/>
      <c r="Z47" s="3"/>
    </row>
    <row r="48" spans="1:26" ht="14.4" outlineLevel="1" x14ac:dyDescent="0.3">
      <c r="A48" s="3"/>
      <c r="B48" s="9" t="s">
        <v>1793</v>
      </c>
      <c r="C48" s="53">
        <v>1</v>
      </c>
      <c r="D48" s="53" t="s">
        <v>95</v>
      </c>
      <c r="E48" s="11">
        <v>0</v>
      </c>
      <c r="F48" s="11">
        <v>1633.97</v>
      </c>
      <c r="G48" s="56"/>
      <c r="H48" s="56" t="s">
        <v>37</v>
      </c>
      <c r="I48" s="102" t="s">
        <v>1794</v>
      </c>
      <c r="J48" s="56"/>
      <c r="K48" s="28"/>
      <c r="L48" s="28"/>
      <c r="M48" s="28"/>
      <c r="N48" s="28"/>
      <c r="O48" s="28"/>
      <c r="P48" s="28"/>
      <c r="Q48" s="28"/>
      <c r="R48" s="28"/>
      <c r="S48" s="28"/>
      <c r="T48" s="28"/>
      <c r="U48" s="3"/>
      <c r="W48" s="3"/>
      <c r="X48" s="3"/>
      <c r="Y48" s="3"/>
      <c r="Z48" s="3"/>
    </row>
    <row r="49" spans="1:26" ht="14.4" outlineLevel="1" x14ac:dyDescent="0.3">
      <c r="A49" s="3"/>
      <c r="B49" s="9" t="s">
        <v>1194</v>
      </c>
      <c r="C49" s="53">
        <v>5</v>
      </c>
      <c r="D49" s="53" t="s">
        <v>95</v>
      </c>
      <c r="E49" s="11">
        <v>0</v>
      </c>
      <c r="F49" s="11">
        <v>264.02</v>
      </c>
      <c r="G49" s="56" t="s">
        <v>1795</v>
      </c>
      <c r="H49" s="56" t="s">
        <v>37</v>
      </c>
      <c r="I49" s="102" t="s">
        <v>1796</v>
      </c>
      <c r="J49" s="56"/>
      <c r="K49" s="28"/>
      <c r="L49" s="28"/>
      <c r="M49" s="28"/>
      <c r="N49" s="28"/>
      <c r="O49" s="28"/>
      <c r="P49" s="28"/>
      <c r="Q49" s="28"/>
      <c r="R49" s="28"/>
      <c r="S49" s="28"/>
      <c r="T49" s="28"/>
      <c r="U49" s="3"/>
      <c r="W49" s="3"/>
      <c r="X49" s="3"/>
      <c r="Y49" s="3"/>
      <c r="Z49" s="3"/>
    </row>
    <row r="50" spans="1:26" ht="14.4" outlineLevel="1" x14ac:dyDescent="0.3">
      <c r="A50" s="3"/>
      <c r="B50" s="9" t="s">
        <v>1197</v>
      </c>
      <c r="C50" s="53">
        <v>5</v>
      </c>
      <c r="D50" s="53" t="s">
        <v>95</v>
      </c>
      <c r="E50" s="11">
        <v>0</v>
      </c>
      <c r="F50" s="11">
        <v>448.33</v>
      </c>
      <c r="G50" s="80" t="s">
        <v>1797</v>
      </c>
      <c r="H50" s="56" t="s">
        <v>37</v>
      </c>
      <c r="I50" s="102" t="s">
        <v>1798</v>
      </c>
      <c r="J50" s="56"/>
      <c r="K50" s="28"/>
      <c r="L50" s="28"/>
      <c r="M50" s="28"/>
      <c r="N50" s="28"/>
      <c r="O50" s="28"/>
      <c r="P50" s="28"/>
      <c r="Q50" s="28"/>
      <c r="R50" s="28"/>
      <c r="S50" s="28"/>
      <c r="T50" s="28"/>
      <c r="U50" s="3"/>
      <c r="W50" s="3"/>
      <c r="X50" s="3"/>
      <c r="Y50" s="3"/>
      <c r="Z50" s="3"/>
    </row>
    <row r="51" spans="1:26" ht="14.4" outlineLevel="1" x14ac:dyDescent="0.3">
      <c r="A51" s="3"/>
      <c r="B51" s="9" t="s">
        <v>1799</v>
      </c>
      <c r="C51" s="53">
        <v>5</v>
      </c>
      <c r="D51" s="53" t="s">
        <v>95</v>
      </c>
      <c r="E51" s="11">
        <v>0</v>
      </c>
      <c r="F51" s="11">
        <v>365.42</v>
      </c>
      <c r="G51" s="56" t="s">
        <v>1195</v>
      </c>
      <c r="H51" s="56" t="s">
        <v>37</v>
      </c>
      <c r="I51" s="102" t="s">
        <v>1800</v>
      </c>
      <c r="J51" s="56"/>
      <c r="K51" s="28"/>
      <c r="L51" s="28"/>
      <c r="M51" s="28"/>
      <c r="N51" s="28"/>
      <c r="O51" s="28"/>
      <c r="P51" s="28"/>
      <c r="Q51" s="28"/>
      <c r="R51" s="28"/>
      <c r="S51" s="28"/>
      <c r="T51" s="28"/>
      <c r="U51" s="3"/>
      <c r="W51" s="3"/>
      <c r="X51" s="3"/>
      <c r="Y51" s="3"/>
      <c r="Z51" s="3"/>
    </row>
    <row r="52" spans="1:26" ht="14.4" outlineLevel="1" x14ac:dyDescent="0.3">
      <c r="A52" s="3"/>
      <c r="B52" s="9" t="s">
        <v>1801</v>
      </c>
      <c r="C52" s="71">
        <v>5</v>
      </c>
      <c r="D52" s="53" t="s">
        <v>95</v>
      </c>
      <c r="E52" s="11">
        <v>0</v>
      </c>
      <c r="F52" s="11">
        <v>225.93</v>
      </c>
      <c r="G52" s="56" t="s">
        <v>1802</v>
      </c>
      <c r="H52" s="56" t="s">
        <v>37</v>
      </c>
      <c r="I52" s="102" t="s">
        <v>1803</v>
      </c>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17"/>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44"/>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44"/>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44"/>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44"/>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44"/>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44"/>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44"/>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44"/>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44"/>
      <c r="J62" s="56"/>
      <c r="K62" s="28"/>
      <c r="L62" s="28"/>
      <c r="M62" s="28"/>
      <c r="N62" s="28"/>
      <c r="O62" s="28"/>
      <c r="P62" s="28"/>
      <c r="Q62" s="28"/>
      <c r="R62" s="28"/>
      <c r="S62" s="28"/>
      <c r="T62" s="28"/>
      <c r="U62" s="3"/>
      <c r="W62" s="3"/>
      <c r="X62" s="3"/>
      <c r="Y62" s="3"/>
      <c r="Z62" s="3"/>
    </row>
    <row r="63" spans="1:26" ht="20.399999999999999" x14ac:dyDescent="0.3">
      <c r="A63" s="3"/>
      <c r="B63" s="75" t="s">
        <v>330</v>
      </c>
      <c r="C63" s="76" t="s">
        <v>44</v>
      </c>
      <c r="D63" s="76" t="s">
        <v>44</v>
      </c>
      <c r="E63" s="77">
        <f>SUM(E64:E89)</f>
        <v>0</v>
      </c>
      <c r="F63" s="77">
        <f>SUMIF(D64:D89,"OK",F64:F89)</f>
        <v>1639.01</v>
      </c>
      <c r="G63" s="78"/>
      <c r="H63" s="78"/>
      <c r="I63" s="79"/>
      <c r="J63" s="78"/>
      <c r="K63" s="28"/>
      <c r="L63" s="28"/>
      <c r="M63" s="28"/>
      <c r="N63" s="28"/>
      <c r="O63" s="28"/>
      <c r="P63" s="28"/>
      <c r="Q63" s="28"/>
      <c r="R63" s="28"/>
      <c r="S63" s="28"/>
      <c r="T63" s="28"/>
      <c r="U63" s="3"/>
    </row>
    <row r="64" spans="1:26" ht="14.4" outlineLevel="1" x14ac:dyDescent="0.3">
      <c r="A64" s="3"/>
      <c r="B64" s="9" t="s">
        <v>1200</v>
      </c>
      <c r="C64" s="71">
        <v>6</v>
      </c>
      <c r="D64" s="53" t="s">
        <v>95</v>
      </c>
      <c r="E64" s="11">
        <v>0</v>
      </c>
      <c r="F64" s="11">
        <v>60</v>
      </c>
      <c r="G64" s="56" t="s">
        <v>614</v>
      </c>
      <c r="H64" s="56" t="s">
        <v>37</v>
      </c>
      <c r="I64" s="102" t="s">
        <v>1804</v>
      </c>
      <c r="J64" s="80"/>
      <c r="K64" s="28"/>
      <c r="L64" s="28"/>
      <c r="M64" s="28"/>
      <c r="N64" s="28"/>
      <c r="O64" s="28"/>
      <c r="P64" s="28"/>
      <c r="Q64" s="28"/>
      <c r="R64" s="28"/>
      <c r="S64" s="28"/>
      <c r="T64" s="28"/>
      <c r="U64" s="3"/>
      <c r="V64" s="14"/>
    </row>
    <row r="65" spans="1:22" ht="14.4" outlineLevel="1" x14ac:dyDescent="0.3">
      <c r="A65" s="3"/>
      <c r="B65" s="9" t="s">
        <v>1200</v>
      </c>
      <c r="C65" s="71">
        <v>7</v>
      </c>
      <c r="D65" s="53" t="s">
        <v>95</v>
      </c>
      <c r="E65" s="11">
        <v>0</v>
      </c>
      <c r="F65" s="11">
        <v>251.32</v>
      </c>
      <c r="G65" s="56"/>
      <c r="H65" s="56" t="s">
        <v>37</v>
      </c>
      <c r="I65" s="102" t="s">
        <v>1805</v>
      </c>
      <c r="J65" s="80"/>
      <c r="K65" s="28"/>
      <c r="L65" s="28"/>
      <c r="M65" s="28"/>
      <c r="N65" s="28"/>
      <c r="O65" s="28"/>
      <c r="P65" s="28"/>
      <c r="Q65" s="28"/>
      <c r="R65" s="28"/>
      <c r="S65" s="28"/>
      <c r="T65" s="28"/>
      <c r="U65" s="3"/>
      <c r="V65" s="14"/>
    </row>
    <row r="66" spans="1:22" ht="14.4" outlineLevel="1" x14ac:dyDescent="0.3">
      <c r="A66" s="3"/>
      <c r="B66" s="9" t="s">
        <v>1200</v>
      </c>
      <c r="C66" s="71">
        <v>12</v>
      </c>
      <c r="D66" s="53" t="s">
        <v>95</v>
      </c>
      <c r="E66" s="11">
        <v>0</v>
      </c>
      <c r="F66" s="11">
        <v>56.9</v>
      </c>
      <c r="G66" s="56"/>
      <c r="H66" s="56" t="s">
        <v>37</v>
      </c>
      <c r="I66" s="102" t="s">
        <v>1806</v>
      </c>
      <c r="J66" s="80"/>
      <c r="K66" s="28"/>
      <c r="L66" s="28"/>
      <c r="M66" s="28"/>
      <c r="N66" s="28"/>
      <c r="O66" s="28"/>
      <c r="P66" s="28"/>
      <c r="Q66" s="28"/>
      <c r="R66" s="28"/>
      <c r="S66" s="28"/>
      <c r="T66" s="28"/>
      <c r="U66" s="3"/>
      <c r="V66" s="14"/>
    </row>
    <row r="67" spans="1:22" ht="14.4" hidden="1" outlineLevel="1" x14ac:dyDescent="0.3">
      <c r="A67" s="3"/>
      <c r="B67" s="9" t="s">
        <v>1200</v>
      </c>
      <c r="C67" s="71"/>
      <c r="D67" s="53"/>
      <c r="E67" s="11">
        <v>0</v>
      </c>
      <c r="F67" s="11">
        <v>0</v>
      </c>
      <c r="G67" s="56"/>
      <c r="H67" s="56"/>
      <c r="I67" s="145"/>
      <c r="J67" s="80"/>
      <c r="K67" s="28"/>
      <c r="L67" s="28"/>
      <c r="M67" s="28"/>
      <c r="N67" s="28"/>
      <c r="O67" s="28"/>
      <c r="P67" s="28"/>
      <c r="Q67" s="28"/>
      <c r="R67" s="28"/>
      <c r="S67" s="28"/>
      <c r="T67" s="28"/>
      <c r="U67" s="3"/>
      <c r="V67" s="14"/>
    </row>
    <row r="68" spans="1:22" ht="14.4" hidden="1" outlineLevel="1" x14ac:dyDescent="0.3">
      <c r="A68" s="3"/>
      <c r="B68" s="9" t="s">
        <v>1200</v>
      </c>
      <c r="C68" s="71"/>
      <c r="D68" s="53"/>
      <c r="E68" s="11">
        <v>0</v>
      </c>
      <c r="F68" s="11">
        <v>0</v>
      </c>
      <c r="G68" s="56"/>
      <c r="H68" s="56"/>
      <c r="I68" s="145"/>
      <c r="J68" s="80"/>
      <c r="K68" s="28"/>
      <c r="L68" s="28"/>
      <c r="M68" s="28"/>
      <c r="N68" s="28"/>
      <c r="O68" s="28"/>
      <c r="P68" s="28"/>
      <c r="Q68" s="28"/>
      <c r="R68" s="28"/>
      <c r="S68" s="28"/>
      <c r="T68" s="28"/>
      <c r="U68" s="3"/>
      <c r="V68" s="14"/>
    </row>
    <row r="69" spans="1:22" ht="14.4" hidden="1" outlineLevel="1" x14ac:dyDescent="0.3">
      <c r="A69" s="3"/>
      <c r="B69" s="9" t="s">
        <v>1200</v>
      </c>
      <c r="C69" s="71"/>
      <c r="D69" s="53"/>
      <c r="E69" s="11">
        <v>0</v>
      </c>
      <c r="F69" s="11">
        <v>0</v>
      </c>
      <c r="G69" s="56"/>
      <c r="H69" s="56"/>
      <c r="I69" s="145"/>
      <c r="J69" s="80"/>
      <c r="K69" s="28"/>
      <c r="L69" s="28"/>
      <c r="M69" s="28"/>
      <c r="N69" s="28"/>
      <c r="O69" s="28"/>
      <c r="P69" s="28"/>
      <c r="Q69" s="28"/>
      <c r="R69" s="28"/>
      <c r="S69" s="28"/>
      <c r="T69" s="28"/>
      <c r="U69" s="3"/>
      <c r="V69" s="14"/>
    </row>
    <row r="70" spans="1:22" ht="14.4" outlineLevel="1" x14ac:dyDescent="0.3">
      <c r="A70" s="3"/>
      <c r="B70" s="9" t="s">
        <v>1203</v>
      </c>
      <c r="C70" s="71">
        <v>19</v>
      </c>
      <c r="D70" s="53" t="s">
        <v>95</v>
      </c>
      <c r="E70" s="11">
        <v>0</v>
      </c>
      <c r="F70" s="11">
        <v>53</v>
      </c>
      <c r="G70" s="56" t="s">
        <v>614</v>
      </c>
      <c r="H70" s="56" t="s">
        <v>37</v>
      </c>
      <c r="I70" s="102" t="s">
        <v>1807</v>
      </c>
      <c r="J70" s="80"/>
      <c r="K70" s="28"/>
      <c r="L70" s="28"/>
      <c r="M70" s="28"/>
      <c r="N70" s="28"/>
      <c r="O70" s="28"/>
      <c r="P70" s="28"/>
      <c r="Q70" s="28"/>
      <c r="R70" s="28"/>
      <c r="S70" s="28"/>
      <c r="T70" s="28"/>
      <c r="U70" s="3"/>
      <c r="V70" s="14"/>
    </row>
    <row r="71" spans="1:22" ht="14.4" outlineLevel="1" x14ac:dyDescent="0.3">
      <c r="A71" s="3"/>
      <c r="B71" s="9" t="s">
        <v>1203</v>
      </c>
      <c r="C71" s="71">
        <v>20</v>
      </c>
      <c r="D71" s="53" t="s">
        <v>95</v>
      </c>
      <c r="E71" s="11">
        <v>0</v>
      </c>
      <c r="F71" s="11">
        <v>241.98</v>
      </c>
      <c r="G71" s="56"/>
      <c r="H71" s="56" t="s">
        <v>37</v>
      </c>
      <c r="I71" s="117" t="s">
        <v>1808</v>
      </c>
      <c r="J71" s="80"/>
      <c r="K71" s="28"/>
      <c r="L71" s="28"/>
      <c r="M71" s="28"/>
      <c r="N71" s="28"/>
      <c r="O71" s="28"/>
      <c r="P71" s="28"/>
      <c r="Q71" s="28"/>
      <c r="R71" s="28"/>
      <c r="S71" s="28"/>
      <c r="T71" s="28"/>
      <c r="U71" s="3"/>
      <c r="V71" s="14"/>
    </row>
    <row r="72" spans="1:22" ht="14.4" outlineLevel="1" x14ac:dyDescent="0.3">
      <c r="A72" s="3"/>
      <c r="B72" s="9" t="s">
        <v>1203</v>
      </c>
      <c r="C72" s="71">
        <v>20</v>
      </c>
      <c r="D72" s="53" t="s">
        <v>95</v>
      </c>
      <c r="E72" s="11">
        <v>0</v>
      </c>
      <c r="F72" s="11">
        <v>48</v>
      </c>
      <c r="G72" s="56"/>
      <c r="H72" s="56" t="s">
        <v>37</v>
      </c>
      <c r="I72" s="102" t="s">
        <v>1809</v>
      </c>
      <c r="J72" s="80"/>
      <c r="K72" s="28"/>
      <c r="L72" s="28"/>
      <c r="M72" s="28"/>
      <c r="N72" s="28"/>
      <c r="O72" s="28"/>
      <c r="P72" s="28"/>
      <c r="Q72" s="28"/>
      <c r="R72" s="28"/>
      <c r="S72" s="28"/>
      <c r="T72" s="28"/>
      <c r="U72" s="3"/>
      <c r="V72" s="14"/>
    </row>
    <row r="73" spans="1:22" ht="14.4" outlineLevel="1" x14ac:dyDescent="0.3">
      <c r="A73" s="3"/>
      <c r="B73" s="9" t="s">
        <v>1203</v>
      </c>
      <c r="C73" s="71">
        <v>23</v>
      </c>
      <c r="D73" s="53" t="s">
        <v>95</v>
      </c>
      <c r="E73" s="11">
        <v>0</v>
      </c>
      <c r="F73" s="11">
        <f>50</f>
        <v>50</v>
      </c>
      <c r="G73" s="56" t="s">
        <v>1810</v>
      </c>
      <c r="H73" s="56" t="s">
        <v>37</v>
      </c>
      <c r="I73" s="102" t="s">
        <v>1811</v>
      </c>
      <c r="J73" s="80"/>
      <c r="K73" s="28"/>
      <c r="L73" s="28"/>
      <c r="M73" s="28"/>
      <c r="N73" s="28"/>
      <c r="O73" s="28"/>
      <c r="P73" s="28"/>
      <c r="Q73" s="28"/>
      <c r="R73" s="28"/>
      <c r="S73" s="28"/>
      <c r="T73" s="28"/>
      <c r="U73" s="3"/>
      <c r="V73" s="14"/>
    </row>
    <row r="74" spans="1:22" ht="14.4" outlineLevel="1" x14ac:dyDescent="0.3">
      <c r="A74" s="3"/>
      <c r="B74" s="9" t="s">
        <v>1203</v>
      </c>
      <c r="C74" s="71">
        <v>23</v>
      </c>
      <c r="D74" s="53" t="s">
        <v>95</v>
      </c>
      <c r="E74" s="11">
        <v>0</v>
      </c>
      <c r="F74" s="11">
        <v>65</v>
      </c>
      <c r="G74" s="56" t="s">
        <v>788</v>
      </c>
      <c r="H74" s="56" t="s">
        <v>37</v>
      </c>
      <c r="I74" s="102" t="s">
        <v>1812</v>
      </c>
      <c r="J74" s="80"/>
      <c r="K74" s="28"/>
      <c r="L74" s="28"/>
      <c r="M74" s="28"/>
      <c r="N74" s="28"/>
      <c r="O74" s="28"/>
      <c r="P74" s="28"/>
      <c r="Q74" s="28"/>
      <c r="R74" s="28"/>
      <c r="S74" s="28"/>
      <c r="T74" s="28"/>
      <c r="U74" s="3"/>
      <c r="V74" s="14"/>
    </row>
    <row r="75" spans="1:22" ht="14.4" hidden="1" outlineLevel="1" x14ac:dyDescent="0.3">
      <c r="A75" s="3"/>
      <c r="B75" s="9" t="s">
        <v>1203</v>
      </c>
      <c r="C75" s="71"/>
      <c r="D75" s="53"/>
      <c r="E75" s="11">
        <v>0</v>
      </c>
      <c r="F75" s="11">
        <v>0</v>
      </c>
      <c r="G75" s="56"/>
      <c r="H75" s="56"/>
      <c r="I75" s="144"/>
      <c r="J75" s="80"/>
      <c r="K75" s="28"/>
      <c r="L75" s="28"/>
      <c r="M75" s="28"/>
      <c r="N75" s="28"/>
      <c r="O75" s="28"/>
      <c r="P75" s="28"/>
      <c r="Q75" s="28"/>
      <c r="R75" s="28"/>
      <c r="S75" s="28"/>
      <c r="T75" s="28"/>
      <c r="U75" s="3"/>
      <c r="V75" s="14"/>
    </row>
    <row r="76" spans="1:22" ht="14.4" hidden="1" outlineLevel="1" x14ac:dyDescent="0.3">
      <c r="A76" s="3"/>
      <c r="B76" s="9" t="s">
        <v>1203</v>
      </c>
      <c r="C76" s="71"/>
      <c r="D76" s="53"/>
      <c r="E76" s="11">
        <v>0</v>
      </c>
      <c r="F76" s="11">
        <v>0</v>
      </c>
      <c r="G76" s="56"/>
      <c r="H76" s="56"/>
      <c r="I76" s="144"/>
      <c r="J76" s="80"/>
      <c r="K76" s="28"/>
      <c r="L76" s="28"/>
      <c r="M76" s="28"/>
      <c r="N76" s="28"/>
      <c r="O76" s="28"/>
      <c r="P76" s="28"/>
      <c r="Q76" s="28"/>
      <c r="R76" s="28"/>
      <c r="S76" s="28"/>
      <c r="T76" s="28"/>
      <c r="U76" s="3"/>
      <c r="V76" s="14"/>
    </row>
    <row r="77" spans="1:22" ht="14.4" outlineLevel="1" x14ac:dyDescent="0.3">
      <c r="A77" s="3"/>
      <c r="B77" s="9" t="s">
        <v>331</v>
      </c>
      <c r="C77" s="71">
        <v>20</v>
      </c>
      <c r="D77" s="53" t="s">
        <v>95</v>
      </c>
      <c r="E77" s="11">
        <v>0</v>
      </c>
      <c r="F77" s="11">
        <v>45.8</v>
      </c>
      <c r="G77" s="56"/>
      <c r="H77" s="56" t="s">
        <v>37</v>
      </c>
      <c r="I77" s="117" t="s">
        <v>1808</v>
      </c>
      <c r="J77" s="80"/>
      <c r="K77" s="28"/>
      <c r="L77" s="28"/>
      <c r="M77" s="28"/>
      <c r="N77" s="28"/>
      <c r="O77" s="28"/>
      <c r="P77" s="28"/>
      <c r="Q77" s="28"/>
      <c r="R77" s="28"/>
      <c r="S77" s="28"/>
      <c r="T77" s="28"/>
      <c r="U77" s="3"/>
      <c r="V77" s="14"/>
    </row>
    <row r="78" spans="1:22" ht="14.4" hidden="1" outlineLevel="1" x14ac:dyDescent="0.3">
      <c r="A78" s="3"/>
      <c r="B78" s="9" t="s">
        <v>331</v>
      </c>
      <c r="C78" s="71"/>
      <c r="D78" s="53"/>
      <c r="E78" s="11">
        <v>0</v>
      </c>
      <c r="F78" s="11">
        <v>0</v>
      </c>
      <c r="G78" s="56"/>
      <c r="H78" s="56"/>
      <c r="I78" s="144"/>
      <c r="J78" s="80"/>
      <c r="K78" s="28"/>
      <c r="L78" s="28"/>
      <c r="M78" s="28"/>
      <c r="N78" s="28"/>
      <c r="O78" s="28"/>
      <c r="P78" s="28"/>
      <c r="Q78" s="28"/>
      <c r="R78" s="28"/>
      <c r="S78" s="28"/>
      <c r="T78" s="28"/>
      <c r="U78" s="3"/>
      <c r="V78" s="14"/>
    </row>
    <row r="79" spans="1:22" ht="14.4" hidden="1" outlineLevel="1" x14ac:dyDescent="0.3">
      <c r="A79" s="3"/>
      <c r="B79" s="9" t="s">
        <v>331</v>
      </c>
      <c r="C79" s="71"/>
      <c r="D79" s="53"/>
      <c r="E79" s="11">
        <v>0</v>
      </c>
      <c r="F79" s="11">
        <v>0</v>
      </c>
      <c r="G79" s="56"/>
      <c r="H79" s="56"/>
      <c r="I79" s="144"/>
      <c r="J79" s="80"/>
      <c r="K79" s="28"/>
      <c r="L79" s="28"/>
      <c r="M79" s="28"/>
      <c r="N79" s="28"/>
      <c r="O79" s="28"/>
      <c r="P79" s="28"/>
      <c r="Q79" s="28"/>
      <c r="R79" s="28"/>
      <c r="S79" s="28"/>
      <c r="T79" s="28"/>
      <c r="U79" s="3"/>
      <c r="V79" s="14"/>
    </row>
    <row r="80" spans="1:22" ht="14.4" outlineLevel="1" x14ac:dyDescent="0.3">
      <c r="A80" s="3"/>
      <c r="B80" s="9" t="s">
        <v>335</v>
      </c>
      <c r="C80" s="53">
        <v>10</v>
      </c>
      <c r="D80" s="53" t="s">
        <v>95</v>
      </c>
      <c r="E80" s="11">
        <v>0</v>
      </c>
      <c r="F80" s="11">
        <v>200</v>
      </c>
      <c r="G80" s="56"/>
      <c r="H80" s="56" t="s">
        <v>37</v>
      </c>
      <c r="I80" s="102" t="s">
        <v>1813</v>
      </c>
      <c r="J80" s="56"/>
      <c r="K80" s="28"/>
      <c r="L80" s="28"/>
      <c r="M80" s="28"/>
      <c r="N80" s="28"/>
      <c r="O80" s="28"/>
      <c r="P80" s="28"/>
      <c r="Q80" s="28"/>
      <c r="R80" s="28"/>
      <c r="S80" s="28"/>
      <c r="T80" s="28"/>
      <c r="U80" s="3"/>
    </row>
    <row r="81" spans="1:26" ht="14.4" outlineLevel="1" x14ac:dyDescent="0.3">
      <c r="A81" s="3"/>
      <c r="B81" s="9" t="s">
        <v>335</v>
      </c>
      <c r="C81" s="53">
        <v>24</v>
      </c>
      <c r="D81" s="53" t="s">
        <v>95</v>
      </c>
      <c r="E81" s="11">
        <v>0</v>
      </c>
      <c r="F81" s="11">
        <v>184</v>
      </c>
      <c r="G81" s="56"/>
      <c r="H81" s="56" t="s">
        <v>37</v>
      </c>
      <c r="I81" s="102" t="s">
        <v>1814</v>
      </c>
      <c r="J81" s="56"/>
      <c r="K81" s="28"/>
      <c r="L81" s="28"/>
      <c r="M81" s="28"/>
      <c r="N81" s="28"/>
      <c r="O81" s="28"/>
      <c r="P81" s="28"/>
      <c r="Q81" s="28"/>
      <c r="R81" s="28"/>
      <c r="S81" s="28"/>
      <c r="T81" s="28"/>
      <c r="U81" s="3"/>
    </row>
    <row r="82" spans="1:26" ht="14.4" outlineLevel="1" x14ac:dyDescent="0.3">
      <c r="A82" s="3"/>
      <c r="B82" s="9" t="s">
        <v>628</v>
      </c>
      <c r="C82" s="71">
        <v>6</v>
      </c>
      <c r="D82" s="53" t="s">
        <v>95</v>
      </c>
      <c r="E82" s="11">
        <v>0</v>
      </c>
      <c r="F82" s="11">
        <v>383.01</v>
      </c>
      <c r="G82" s="56"/>
      <c r="H82" s="56" t="s">
        <v>37</v>
      </c>
      <c r="I82" s="102" t="s">
        <v>1815</v>
      </c>
      <c r="J82" s="80"/>
      <c r="K82" s="28"/>
      <c r="L82" s="28"/>
      <c r="M82" s="28"/>
      <c r="N82" s="28"/>
      <c r="O82" s="28"/>
      <c r="P82" s="28"/>
      <c r="Q82" s="28"/>
      <c r="R82" s="28"/>
      <c r="S82" s="28"/>
      <c r="T82" s="28"/>
      <c r="U82" s="3"/>
    </row>
    <row r="83" spans="1:26" ht="14.4" hidden="1" outlineLevel="1" x14ac:dyDescent="0.3">
      <c r="A83" s="3"/>
      <c r="B83" s="9" t="s">
        <v>628</v>
      </c>
      <c r="C83" s="71"/>
      <c r="D83" s="53"/>
      <c r="E83" s="11">
        <v>0</v>
      </c>
      <c r="F83" s="11">
        <v>0</v>
      </c>
      <c r="G83" s="56"/>
      <c r="H83" s="56"/>
      <c r="I83" s="145"/>
      <c r="J83" s="80"/>
      <c r="K83" s="28"/>
      <c r="L83" s="28"/>
      <c r="M83" s="28"/>
      <c r="N83" s="28"/>
      <c r="O83" s="28"/>
      <c r="P83" s="28"/>
      <c r="Q83" s="28"/>
      <c r="R83" s="28"/>
      <c r="S83" s="28"/>
      <c r="T83" s="28"/>
      <c r="U83" s="3"/>
    </row>
    <row r="84" spans="1:26" ht="14.4" hidden="1" outlineLevel="1" x14ac:dyDescent="0.3">
      <c r="A84" s="3"/>
      <c r="B84" s="9" t="s">
        <v>630</v>
      </c>
      <c r="C84" s="71"/>
      <c r="D84" s="53"/>
      <c r="E84" s="11">
        <v>0</v>
      </c>
      <c r="F84" s="11">
        <v>0</v>
      </c>
      <c r="G84" s="56"/>
      <c r="H84" s="56"/>
      <c r="I84" s="145"/>
      <c r="J84" s="80"/>
      <c r="K84" s="28"/>
      <c r="L84" s="28"/>
      <c r="M84" s="28"/>
      <c r="N84" s="28"/>
      <c r="O84" s="28"/>
      <c r="P84" s="28"/>
      <c r="Q84" s="28"/>
      <c r="R84" s="28"/>
      <c r="S84" s="28"/>
      <c r="T84" s="28"/>
      <c r="U84" s="3"/>
    </row>
    <row r="85" spans="1:26" ht="14.4" hidden="1" outlineLevel="1" x14ac:dyDescent="0.3">
      <c r="A85" s="3"/>
      <c r="B85" s="9" t="s">
        <v>630</v>
      </c>
      <c r="C85" s="71"/>
      <c r="D85" s="53"/>
      <c r="E85" s="11">
        <v>0</v>
      </c>
      <c r="F85" s="11">
        <v>0</v>
      </c>
      <c r="G85" s="56"/>
      <c r="H85" s="56"/>
      <c r="I85" s="144"/>
      <c r="J85" s="80"/>
      <c r="K85" s="28"/>
      <c r="L85" s="28"/>
      <c r="M85" s="28"/>
      <c r="N85" s="28"/>
      <c r="O85" s="28"/>
      <c r="P85" s="28"/>
      <c r="Q85" s="28"/>
      <c r="R85" s="28"/>
      <c r="S85" s="28"/>
      <c r="T85" s="28"/>
      <c r="U85" s="3"/>
    </row>
    <row r="86" spans="1:26" ht="14.4" hidden="1" outlineLevel="1" x14ac:dyDescent="0.3">
      <c r="A86" s="3"/>
      <c r="B86" s="9" t="s">
        <v>630</v>
      </c>
      <c r="C86" s="71"/>
      <c r="D86" s="53"/>
      <c r="E86" s="11">
        <v>0</v>
      </c>
      <c r="F86" s="11">
        <v>0</v>
      </c>
      <c r="G86" s="56"/>
      <c r="H86" s="56"/>
      <c r="I86" s="144"/>
      <c r="J86" s="80"/>
      <c r="K86" s="28"/>
      <c r="L86" s="28"/>
      <c r="M86" s="28"/>
      <c r="N86" s="28"/>
      <c r="O86" s="28"/>
      <c r="P86" s="28"/>
      <c r="Q86" s="28"/>
      <c r="R86" s="28"/>
      <c r="S86" s="28"/>
      <c r="T86" s="28"/>
      <c r="U86" s="3"/>
    </row>
    <row r="87" spans="1:26" ht="14.4" hidden="1" outlineLevel="1" x14ac:dyDescent="0.3">
      <c r="A87" s="3"/>
      <c r="B87" s="9" t="s">
        <v>1612</v>
      </c>
      <c r="C87" s="71"/>
      <c r="D87" s="53"/>
      <c r="E87" s="11">
        <v>0</v>
      </c>
      <c r="F87" s="11">
        <v>0</v>
      </c>
      <c r="G87" s="56"/>
      <c r="H87" s="56"/>
      <c r="I87" s="144"/>
      <c r="J87" s="56"/>
      <c r="K87" s="28"/>
      <c r="L87" s="28"/>
      <c r="M87" s="28"/>
      <c r="N87" s="28"/>
      <c r="O87" s="28"/>
      <c r="P87" s="28"/>
      <c r="Q87" s="28"/>
      <c r="R87" s="28"/>
      <c r="S87" s="28"/>
      <c r="T87" s="28"/>
      <c r="U87" s="3"/>
      <c r="W87" s="3"/>
      <c r="X87" s="3"/>
      <c r="Y87" s="3"/>
      <c r="Z87" s="3"/>
    </row>
    <row r="88" spans="1:26" ht="14.4" hidden="1" outlineLevel="1" x14ac:dyDescent="0.3">
      <c r="A88" s="3"/>
      <c r="B88" s="9" t="s">
        <v>66</v>
      </c>
      <c r="C88" s="53"/>
      <c r="D88" s="53"/>
      <c r="E88" s="11">
        <v>0</v>
      </c>
      <c r="F88" s="11">
        <v>0</v>
      </c>
      <c r="G88" s="56"/>
      <c r="H88" s="56"/>
      <c r="I88" s="144"/>
      <c r="J88" s="56"/>
      <c r="K88" s="28"/>
      <c r="L88" s="28"/>
      <c r="M88" s="28"/>
      <c r="N88" s="28"/>
      <c r="O88" s="28"/>
      <c r="P88" s="28"/>
      <c r="Q88" s="28"/>
      <c r="R88" s="28"/>
      <c r="S88" s="28"/>
      <c r="T88" s="28"/>
      <c r="U88" s="3"/>
      <c r="W88" s="3"/>
      <c r="X88" s="3"/>
      <c r="Y88" s="3"/>
      <c r="Z88" s="3"/>
    </row>
    <row r="89" spans="1:26" ht="14.4" hidden="1" outlineLevel="1" x14ac:dyDescent="0.3">
      <c r="A89" s="3"/>
      <c r="B89" s="9" t="s">
        <v>812</v>
      </c>
      <c r="C89" s="53"/>
      <c r="D89" s="53"/>
      <c r="E89" s="11">
        <v>0</v>
      </c>
      <c r="F89" s="11">
        <v>0</v>
      </c>
      <c r="G89" s="80"/>
      <c r="H89" s="56"/>
      <c r="I89" s="144"/>
      <c r="J89" s="56"/>
      <c r="K89" s="28"/>
      <c r="L89" s="28"/>
      <c r="M89" s="28"/>
      <c r="N89" s="28"/>
      <c r="O89" s="28"/>
      <c r="P89" s="28"/>
      <c r="Q89" s="28"/>
      <c r="R89" s="28"/>
      <c r="S89" s="28"/>
      <c r="T89" s="28"/>
      <c r="U89" s="3"/>
      <c r="W89" s="3"/>
      <c r="X89" s="3"/>
      <c r="Y89" s="3"/>
      <c r="Z89" s="3"/>
    </row>
    <row r="90" spans="1:26" ht="20.399999999999999" x14ac:dyDescent="0.3">
      <c r="A90" s="3"/>
      <c r="B90" s="75" t="s">
        <v>349</v>
      </c>
      <c r="C90" s="76" t="s">
        <v>44</v>
      </c>
      <c r="D90" s="76" t="s">
        <v>44</v>
      </c>
      <c r="E90" s="77">
        <f t="shared" ref="E90:F90" si="0">SUM(E91,E107,E112)</f>
        <v>0</v>
      </c>
      <c r="F90" s="77">
        <f t="shared" si="0"/>
        <v>2206.6</v>
      </c>
      <c r="G90" s="78"/>
      <c r="H90" s="78"/>
      <c r="I90" s="79"/>
      <c r="J90" s="78"/>
      <c r="K90" s="28"/>
      <c r="L90" s="28"/>
      <c r="M90" s="28"/>
      <c r="N90" s="28"/>
      <c r="O90" s="28"/>
      <c r="P90" s="28"/>
      <c r="Q90" s="28"/>
      <c r="R90" s="28"/>
      <c r="S90" s="28"/>
      <c r="T90" s="28"/>
      <c r="U90" s="3"/>
      <c r="W90" s="3"/>
      <c r="X90" s="3"/>
      <c r="Y90" s="3"/>
      <c r="Z90" s="3"/>
    </row>
    <row r="91" spans="1:26" outlineLevel="1" x14ac:dyDescent="0.3">
      <c r="A91" s="3"/>
      <c r="B91" s="82" t="s">
        <v>350</v>
      </c>
      <c r="C91" s="83"/>
      <c r="D91" s="83"/>
      <c r="E91" s="84">
        <f>SUM(E92:E106)</f>
        <v>0</v>
      </c>
      <c r="F91" s="84">
        <f>SUMIF(D92:D106,"OK",F92:F106)</f>
        <v>454.6</v>
      </c>
      <c r="G91" s="85"/>
      <c r="H91" s="85"/>
      <c r="I91" s="86"/>
      <c r="J91" s="85"/>
      <c r="K91" s="28"/>
      <c r="L91" s="28"/>
      <c r="M91" s="28"/>
      <c r="N91" s="28"/>
      <c r="O91" s="28"/>
      <c r="P91" s="28"/>
      <c r="Q91" s="28"/>
      <c r="R91" s="28"/>
      <c r="S91" s="28"/>
      <c r="T91" s="28"/>
      <c r="U91" s="3"/>
      <c r="W91" s="3"/>
      <c r="X91" s="3"/>
      <c r="Y91" s="3"/>
      <c r="Z91" s="3"/>
    </row>
    <row r="92" spans="1:26" ht="14.4" outlineLevel="1" x14ac:dyDescent="0.3">
      <c r="A92" s="3"/>
      <c r="B92" s="9" t="s">
        <v>342</v>
      </c>
      <c r="C92" s="53">
        <v>28</v>
      </c>
      <c r="D92" s="53" t="s">
        <v>95</v>
      </c>
      <c r="E92" s="11">
        <v>0</v>
      </c>
      <c r="F92" s="11">
        <v>41.1</v>
      </c>
      <c r="G92" s="56"/>
      <c r="H92" s="56" t="s">
        <v>37</v>
      </c>
      <c r="I92" s="102" t="s">
        <v>1816</v>
      </c>
      <c r="J92" s="56"/>
      <c r="K92" s="28"/>
      <c r="L92" s="28"/>
      <c r="M92" s="28"/>
      <c r="N92" s="28"/>
      <c r="O92" s="28"/>
      <c r="P92" s="28"/>
      <c r="Q92" s="28"/>
      <c r="R92" s="28"/>
      <c r="S92" s="28"/>
      <c r="T92" s="28"/>
      <c r="U92" s="3"/>
      <c r="W92" s="3"/>
      <c r="X92" s="3"/>
      <c r="Y92" s="3"/>
      <c r="Z92" s="3"/>
    </row>
    <row r="93" spans="1:26" ht="14.4" outlineLevel="1" x14ac:dyDescent="0.3">
      <c r="A93" s="3"/>
      <c r="B93" s="9" t="s">
        <v>342</v>
      </c>
      <c r="C93" s="53">
        <v>28</v>
      </c>
      <c r="D93" s="53" t="s">
        <v>95</v>
      </c>
      <c r="E93" s="11">
        <v>0</v>
      </c>
      <c r="F93" s="11">
        <v>413.5</v>
      </c>
      <c r="G93" s="56"/>
      <c r="H93" s="56" t="s">
        <v>37</v>
      </c>
      <c r="I93" s="102" t="s">
        <v>1817</v>
      </c>
      <c r="J93" s="56"/>
      <c r="K93" s="28"/>
      <c r="L93" s="28"/>
      <c r="M93" s="28"/>
      <c r="N93" s="28"/>
      <c r="O93" s="28"/>
      <c r="P93" s="28"/>
      <c r="Q93" s="28"/>
      <c r="R93" s="28"/>
      <c r="S93" s="28"/>
      <c r="T93" s="28"/>
      <c r="U93" s="3"/>
      <c r="W93" s="3"/>
      <c r="X93" s="3"/>
      <c r="Y93" s="3"/>
      <c r="Z93" s="3"/>
    </row>
    <row r="94" spans="1:26" ht="14.4" hidden="1" outlineLevel="1" x14ac:dyDescent="0.3">
      <c r="A94" s="3"/>
      <c r="B94" s="9" t="s">
        <v>51</v>
      </c>
      <c r="C94" s="53"/>
      <c r="D94" s="53"/>
      <c r="E94" s="11">
        <v>0</v>
      </c>
      <c r="F94" s="11">
        <v>0</v>
      </c>
      <c r="G94" s="56"/>
      <c r="H94" s="56"/>
      <c r="I94" s="144"/>
      <c r="J94" s="56"/>
      <c r="K94" s="28"/>
      <c r="L94" s="28"/>
      <c r="M94" s="28"/>
      <c r="N94" s="28"/>
      <c r="O94" s="28"/>
      <c r="P94" s="28"/>
      <c r="Q94" s="28"/>
      <c r="R94" s="28"/>
      <c r="S94" s="28"/>
      <c r="T94" s="28"/>
      <c r="U94" s="3"/>
      <c r="W94" s="3"/>
      <c r="X94" s="3"/>
      <c r="Y94" s="3"/>
      <c r="Z94" s="3"/>
    </row>
    <row r="95" spans="1:26" ht="14.4" hidden="1" outlineLevel="1" x14ac:dyDescent="0.3">
      <c r="A95" s="3"/>
      <c r="B95" s="9" t="s">
        <v>51</v>
      </c>
      <c r="C95" s="53"/>
      <c r="D95" s="53"/>
      <c r="E95" s="11">
        <v>0</v>
      </c>
      <c r="F95" s="11">
        <v>0</v>
      </c>
      <c r="G95" s="56"/>
      <c r="H95" s="56"/>
      <c r="I95" s="144"/>
      <c r="J95" s="56"/>
      <c r="K95" s="28"/>
      <c r="L95" s="28"/>
      <c r="M95" s="28"/>
      <c r="N95" s="28"/>
      <c r="O95" s="28"/>
      <c r="P95" s="28"/>
      <c r="Q95" s="28"/>
      <c r="R95" s="28"/>
      <c r="S95" s="28"/>
      <c r="T95" s="28"/>
      <c r="U95" s="3"/>
      <c r="W95" s="3"/>
      <c r="X95" s="3"/>
      <c r="Y95" s="3"/>
      <c r="Z95" s="3"/>
    </row>
    <row r="96" spans="1:26" ht="14.4" hidden="1" outlineLevel="1" x14ac:dyDescent="0.3">
      <c r="A96" s="3"/>
      <c r="B96" s="9" t="s">
        <v>51</v>
      </c>
      <c r="C96" s="53"/>
      <c r="D96" s="53"/>
      <c r="E96" s="11">
        <v>0</v>
      </c>
      <c r="F96" s="11">
        <v>0</v>
      </c>
      <c r="G96" s="56"/>
      <c r="H96" s="56"/>
      <c r="I96" s="144"/>
      <c r="J96" s="56"/>
      <c r="K96" s="28"/>
      <c r="L96" s="28"/>
      <c r="M96" s="28"/>
      <c r="N96" s="28"/>
      <c r="O96" s="28"/>
      <c r="P96" s="28"/>
      <c r="Q96" s="28"/>
      <c r="R96" s="28"/>
      <c r="S96" s="28"/>
      <c r="T96" s="28"/>
      <c r="U96" s="3"/>
      <c r="W96" s="3"/>
      <c r="X96" s="3"/>
      <c r="Y96" s="3"/>
      <c r="Z96" s="3"/>
    </row>
    <row r="97" spans="1:26" ht="14.4" hidden="1" outlineLevel="1" x14ac:dyDescent="0.3">
      <c r="A97" s="3"/>
      <c r="B97" s="9" t="s">
        <v>51</v>
      </c>
      <c r="C97" s="53"/>
      <c r="D97" s="53"/>
      <c r="E97" s="11">
        <v>0</v>
      </c>
      <c r="F97" s="11">
        <v>0</v>
      </c>
      <c r="G97" s="56"/>
      <c r="H97" s="56"/>
      <c r="I97" s="144"/>
      <c r="J97" s="56"/>
      <c r="K97" s="28"/>
      <c r="L97" s="28"/>
      <c r="M97" s="28"/>
      <c r="N97" s="28"/>
      <c r="O97" s="28"/>
      <c r="P97" s="28"/>
      <c r="Q97" s="28"/>
      <c r="R97" s="28"/>
      <c r="S97" s="28"/>
      <c r="T97" s="28"/>
      <c r="U97" s="3"/>
      <c r="W97" s="3"/>
      <c r="X97" s="3"/>
      <c r="Y97" s="3"/>
      <c r="Z97" s="3"/>
    </row>
    <row r="98" spans="1:26" ht="14.4" hidden="1" outlineLevel="1" x14ac:dyDescent="0.3">
      <c r="A98" s="3"/>
      <c r="B98" s="9" t="s">
        <v>51</v>
      </c>
      <c r="C98" s="53"/>
      <c r="D98" s="53"/>
      <c r="E98" s="11">
        <v>0</v>
      </c>
      <c r="F98" s="11">
        <v>0</v>
      </c>
      <c r="G98" s="56"/>
      <c r="H98" s="56"/>
      <c r="I98" s="144"/>
      <c r="J98" s="56"/>
      <c r="K98" s="28"/>
      <c r="L98" s="28"/>
      <c r="M98" s="28"/>
      <c r="N98" s="28"/>
      <c r="O98" s="28"/>
      <c r="P98" s="28"/>
      <c r="Q98" s="28"/>
      <c r="R98" s="28"/>
      <c r="S98" s="28"/>
      <c r="T98" s="28"/>
      <c r="U98" s="3"/>
      <c r="W98" s="3"/>
      <c r="X98" s="3"/>
      <c r="Y98" s="3"/>
      <c r="Z98" s="3"/>
    </row>
    <row r="99" spans="1:26" ht="14.4" hidden="1" outlineLevel="1" x14ac:dyDescent="0.3">
      <c r="A99" s="3"/>
      <c r="B99" s="9" t="s">
        <v>51</v>
      </c>
      <c r="C99" s="53"/>
      <c r="D99" s="53"/>
      <c r="E99" s="11">
        <v>0</v>
      </c>
      <c r="F99" s="11">
        <v>0</v>
      </c>
      <c r="G99" s="56"/>
      <c r="H99" s="56"/>
      <c r="I99" s="144"/>
      <c r="J99" s="56"/>
      <c r="K99" s="28"/>
      <c r="L99" s="28"/>
      <c r="M99" s="28"/>
      <c r="N99" s="28"/>
      <c r="O99" s="28"/>
      <c r="P99" s="28"/>
      <c r="Q99" s="28"/>
      <c r="R99" s="28"/>
      <c r="S99" s="28"/>
      <c r="T99" s="28"/>
      <c r="U99" s="3"/>
      <c r="W99" s="3"/>
      <c r="X99" s="3"/>
      <c r="Y99" s="3"/>
      <c r="Z99" s="3"/>
    </row>
    <row r="100" spans="1:26" ht="14.4" hidden="1" outlineLevel="1" x14ac:dyDescent="0.3">
      <c r="A100" s="3"/>
      <c r="B100" s="9" t="s">
        <v>51</v>
      </c>
      <c r="C100" s="53"/>
      <c r="D100" s="53"/>
      <c r="E100" s="11">
        <v>0</v>
      </c>
      <c r="F100" s="11">
        <v>0</v>
      </c>
      <c r="G100" s="56"/>
      <c r="H100" s="56"/>
      <c r="I100" s="144"/>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51</v>
      </c>
      <c r="C101" s="53"/>
      <c r="D101" s="53"/>
      <c r="E101" s="11">
        <v>0</v>
      </c>
      <c r="F101" s="11">
        <v>0</v>
      </c>
      <c r="G101" s="56"/>
      <c r="H101" s="56"/>
      <c r="I101" s="144"/>
      <c r="J101" s="56"/>
      <c r="K101" s="28"/>
      <c r="L101" s="28"/>
      <c r="M101" s="28"/>
      <c r="N101" s="28"/>
      <c r="O101" s="28"/>
      <c r="P101" s="28"/>
      <c r="Q101" s="28"/>
      <c r="R101" s="28"/>
      <c r="S101" s="28"/>
      <c r="T101" s="28"/>
      <c r="U101" s="3"/>
      <c r="W101" s="3"/>
      <c r="X101" s="3"/>
      <c r="Y101" s="3"/>
      <c r="Z101" s="3"/>
    </row>
    <row r="102" spans="1:26" ht="14.4" hidden="1" outlineLevel="1" x14ac:dyDescent="0.3">
      <c r="A102" s="3"/>
      <c r="B102" s="9" t="s">
        <v>51</v>
      </c>
      <c r="C102" s="53"/>
      <c r="D102" s="53"/>
      <c r="E102" s="11">
        <v>0</v>
      </c>
      <c r="F102" s="11">
        <v>0</v>
      </c>
      <c r="G102" s="56"/>
      <c r="H102" s="56"/>
      <c r="I102" s="144"/>
      <c r="J102" s="56"/>
      <c r="K102" s="28"/>
      <c r="L102" s="28"/>
      <c r="M102" s="28"/>
      <c r="N102" s="28"/>
      <c r="O102" s="28"/>
      <c r="P102" s="28"/>
      <c r="Q102" s="28"/>
      <c r="R102" s="28"/>
      <c r="S102" s="28"/>
      <c r="T102" s="28"/>
      <c r="U102" s="3"/>
      <c r="W102" s="3"/>
      <c r="X102" s="3"/>
      <c r="Y102" s="3"/>
      <c r="Z102" s="3"/>
    </row>
    <row r="103" spans="1:26" ht="14.4" hidden="1" outlineLevel="1" x14ac:dyDescent="0.3">
      <c r="A103" s="3"/>
      <c r="B103" s="9" t="s">
        <v>51</v>
      </c>
      <c r="C103" s="53"/>
      <c r="D103" s="53"/>
      <c r="E103" s="11">
        <v>0</v>
      </c>
      <c r="F103" s="11">
        <v>0</v>
      </c>
      <c r="G103" s="56"/>
      <c r="H103" s="56"/>
      <c r="I103" s="117"/>
      <c r="J103" s="56"/>
      <c r="K103" s="28"/>
      <c r="L103" s="28"/>
      <c r="M103" s="28"/>
      <c r="N103" s="28"/>
      <c r="O103" s="28"/>
      <c r="P103" s="28"/>
      <c r="Q103" s="28"/>
      <c r="R103" s="28"/>
      <c r="S103" s="28"/>
      <c r="T103" s="28"/>
      <c r="U103" s="3"/>
      <c r="W103" s="3"/>
      <c r="X103" s="3"/>
      <c r="Y103" s="3"/>
      <c r="Z103" s="3"/>
    </row>
    <row r="104" spans="1:26" ht="14.4" hidden="1" outlineLevel="1" x14ac:dyDescent="0.3">
      <c r="A104" s="3"/>
      <c r="B104" s="9" t="s">
        <v>51</v>
      </c>
      <c r="C104" s="53"/>
      <c r="D104" s="53"/>
      <c r="E104" s="11">
        <v>0</v>
      </c>
      <c r="F104" s="11">
        <v>0</v>
      </c>
      <c r="G104" s="56"/>
      <c r="H104" s="56"/>
      <c r="I104" s="144"/>
      <c r="J104" s="56"/>
      <c r="K104" s="28"/>
      <c r="L104" s="28"/>
      <c r="M104" s="28"/>
      <c r="N104" s="28"/>
      <c r="O104" s="28"/>
      <c r="P104" s="28"/>
      <c r="Q104" s="28"/>
      <c r="R104" s="28"/>
      <c r="S104" s="28"/>
      <c r="T104" s="28"/>
      <c r="U104" s="3"/>
      <c r="W104" s="3"/>
      <c r="X104" s="3"/>
      <c r="Y104" s="3"/>
      <c r="Z104" s="3"/>
    </row>
    <row r="105" spans="1:26" ht="14.4" hidden="1" outlineLevel="1" x14ac:dyDescent="0.3">
      <c r="A105" s="3"/>
      <c r="B105" s="9" t="s">
        <v>51</v>
      </c>
      <c r="C105" s="53"/>
      <c r="D105" s="53"/>
      <c r="E105" s="11">
        <v>0</v>
      </c>
      <c r="F105" s="11">
        <v>0</v>
      </c>
      <c r="G105" s="56"/>
      <c r="H105" s="56"/>
      <c r="I105" s="117"/>
      <c r="J105" s="56"/>
      <c r="K105" s="28"/>
      <c r="L105" s="28"/>
      <c r="M105" s="28"/>
      <c r="N105" s="28"/>
      <c r="O105" s="28"/>
      <c r="P105" s="28"/>
      <c r="Q105" s="28"/>
      <c r="R105" s="28"/>
      <c r="S105" s="28"/>
      <c r="T105" s="28"/>
      <c r="U105" s="3"/>
      <c r="W105" s="3"/>
      <c r="X105" s="3"/>
      <c r="Y105" s="3"/>
      <c r="Z105" s="3"/>
    </row>
    <row r="106" spans="1:26" ht="14.4" hidden="1" outlineLevel="1" x14ac:dyDescent="0.3">
      <c r="A106" s="3"/>
      <c r="B106" s="9" t="s">
        <v>51</v>
      </c>
      <c r="C106" s="53"/>
      <c r="D106" s="53"/>
      <c r="E106" s="11">
        <v>0</v>
      </c>
      <c r="F106" s="11">
        <v>0</v>
      </c>
      <c r="G106" s="56"/>
      <c r="H106" s="56"/>
      <c r="I106" s="117"/>
      <c r="J106" s="56"/>
      <c r="K106" s="28"/>
      <c r="L106" s="28"/>
      <c r="M106" s="28"/>
      <c r="N106" s="28"/>
      <c r="O106" s="28"/>
      <c r="P106" s="28"/>
      <c r="Q106" s="28"/>
      <c r="R106" s="28"/>
      <c r="S106" s="28"/>
      <c r="T106" s="28"/>
      <c r="U106" s="3"/>
      <c r="W106" s="3"/>
      <c r="X106" s="3"/>
      <c r="Y106" s="3"/>
      <c r="Z106" s="3"/>
    </row>
    <row r="107" spans="1:26" outlineLevel="1" x14ac:dyDescent="0.3">
      <c r="A107" s="3"/>
      <c r="B107" s="82" t="s">
        <v>353</v>
      </c>
      <c r="C107" s="83"/>
      <c r="D107" s="83"/>
      <c r="E107" s="84">
        <f>SUM(E108:E111)</f>
        <v>0</v>
      </c>
      <c r="F107" s="84">
        <f>SUMIF(D108:D111,"OK",F108:F111)</f>
        <v>1752</v>
      </c>
      <c r="G107" s="85"/>
      <c r="H107" s="85"/>
      <c r="I107" s="86"/>
      <c r="J107" s="85"/>
      <c r="K107" s="28"/>
      <c r="L107" s="28"/>
      <c r="M107" s="28"/>
      <c r="N107" s="28"/>
      <c r="O107" s="28"/>
      <c r="P107" s="28"/>
      <c r="Q107" s="28"/>
      <c r="R107" s="28"/>
      <c r="S107" s="28"/>
      <c r="T107" s="28"/>
      <c r="U107" s="3"/>
      <c r="W107" s="3"/>
      <c r="X107" s="3"/>
      <c r="Y107" s="3"/>
      <c r="Z107" s="3"/>
    </row>
    <row r="108" spans="1:26" ht="14.4" outlineLevel="1" x14ac:dyDescent="0.3">
      <c r="A108" s="3"/>
      <c r="B108" s="9" t="s">
        <v>1818</v>
      </c>
      <c r="C108" s="53">
        <v>19</v>
      </c>
      <c r="D108" s="53" t="s">
        <v>95</v>
      </c>
      <c r="E108" s="11">
        <v>0</v>
      </c>
      <c r="F108" s="11">
        <v>300</v>
      </c>
      <c r="G108" s="56" t="s">
        <v>1819</v>
      </c>
      <c r="H108" s="56" t="s">
        <v>37</v>
      </c>
      <c r="I108" s="117" t="s">
        <v>1457</v>
      </c>
      <c r="J108" s="56"/>
      <c r="K108" s="28"/>
      <c r="L108" s="28"/>
      <c r="M108" s="28"/>
      <c r="N108" s="28"/>
      <c r="O108" s="28"/>
      <c r="P108" s="28"/>
      <c r="Q108" s="28"/>
      <c r="R108" s="28"/>
      <c r="S108" s="28"/>
      <c r="T108" s="28"/>
      <c r="U108" s="3"/>
      <c r="W108" s="3"/>
      <c r="X108" s="3"/>
      <c r="Y108" s="3"/>
      <c r="Z108" s="3"/>
    </row>
    <row r="109" spans="1:26" ht="14.4" outlineLevel="1" x14ac:dyDescent="0.3">
      <c r="A109" s="3"/>
      <c r="B109" s="9" t="s">
        <v>1820</v>
      </c>
      <c r="C109" s="53">
        <v>27</v>
      </c>
      <c r="D109" s="53" t="s">
        <v>95</v>
      </c>
      <c r="E109" s="11">
        <v>0</v>
      </c>
      <c r="F109" s="11">
        <v>700</v>
      </c>
      <c r="G109" s="56"/>
      <c r="H109" s="56" t="s">
        <v>37</v>
      </c>
      <c r="I109" s="117" t="s">
        <v>1457</v>
      </c>
      <c r="J109" s="56"/>
      <c r="K109" s="28"/>
      <c r="L109" s="28"/>
      <c r="M109" s="28"/>
      <c r="N109" s="28"/>
      <c r="O109" s="28"/>
      <c r="P109" s="28"/>
      <c r="Q109" s="28"/>
      <c r="R109" s="28"/>
      <c r="S109" s="28"/>
      <c r="T109" s="28"/>
      <c r="U109" s="3"/>
      <c r="W109" s="3"/>
      <c r="X109" s="3"/>
      <c r="Y109" s="3"/>
      <c r="Z109" s="3"/>
    </row>
    <row r="110" spans="1:26" ht="14.4" outlineLevel="1" x14ac:dyDescent="0.3">
      <c r="A110" s="3"/>
      <c r="B110" s="9" t="s">
        <v>1821</v>
      </c>
      <c r="C110" s="53">
        <v>30</v>
      </c>
      <c r="D110" s="53" t="s">
        <v>95</v>
      </c>
      <c r="E110" s="11">
        <v>0</v>
      </c>
      <c r="F110" s="11">
        <v>752</v>
      </c>
      <c r="G110" s="56"/>
      <c r="H110" s="56" t="s">
        <v>37</v>
      </c>
      <c r="I110" s="117" t="s">
        <v>1822</v>
      </c>
      <c r="J110" s="56"/>
      <c r="K110" s="28"/>
      <c r="L110" s="28"/>
      <c r="M110" s="28"/>
      <c r="N110" s="28"/>
      <c r="O110" s="28"/>
      <c r="P110" s="28"/>
      <c r="Q110" s="28"/>
      <c r="R110" s="28"/>
      <c r="S110" s="28"/>
      <c r="T110" s="28"/>
      <c r="U110" s="3"/>
      <c r="W110" s="3"/>
      <c r="X110" s="3"/>
      <c r="Y110" s="3"/>
      <c r="Z110" s="3"/>
    </row>
    <row r="111" spans="1:26" ht="14.4" hidden="1" outlineLevel="1" x14ac:dyDescent="0.3">
      <c r="A111" s="3"/>
      <c r="B111" s="9" t="s">
        <v>51</v>
      </c>
      <c r="C111" s="53"/>
      <c r="D111" s="53"/>
      <c r="E111" s="11">
        <v>0</v>
      </c>
      <c r="F111" s="11">
        <v>0</v>
      </c>
      <c r="G111" s="80"/>
      <c r="H111" s="56"/>
      <c r="I111" s="144"/>
      <c r="J111" s="56"/>
      <c r="K111" s="28"/>
      <c r="L111" s="28"/>
      <c r="M111" s="28"/>
      <c r="N111" s="28"/>
      <c r="O111" s="28"/>
      <c r="P111" s="28"/>
      <c r="Q111" s="28"/>
      <c r="R111" s="28"/>
      <c r="S111" s="28"/>
      <c r="T111" s="28"/>
      <c r="U111" s="3"/>
      <c r="W111" s="3"/>
      <c r="X111" s="3"/>
      <c r="Y111" s="3"/>
      <c r="Z111" s="3"/>
    </row>
    <row r="112" spans="1:26" hidden="1" outlineLevel="1" x14ac:dyDescent="0.3">
      <c r="A112" s="3"/>
      <c r="B112" s="82" t="s">
        <v>357</v>
      </c>
      <c r="C112" s="83"/>
      <c r="D112" s="83"/>
      <c r="E112" s="84">
        <f>SUM(E113:E115)</f>
        <v>0</v>
      </c>
      <c r="F112" s="84">
        <f>SUMIF(D113:D115,"OK",F113:F115)</f>
        <v>0</v>
      </c>
      <c r="G112" s="85"/>
      <c r="H112" s="85"/>
      <c r="I112" s="86"/>
      <c r="J112" s="85"/>
      <c r="K112" s="28"/>
      <c r="L112" s="28"/>
      <c r="M112" s="28"/>
      <c r="N112" s="28"/>
      <c r="O112" s="28"/>
      <c r="P112" s="28"/>
      <c r="Q112" s="28"/>
      <c r="R112" s="28"/>
      <c r="S112" s="28"/>
      <c r="T112" s="28"/>
      <c r="U112" s="3"/>
      <c r="W112" s="3"/>
      <c r="X112" s="3"/>
      <c r="Y112" s="3"/>
      <c r="Z112" s="3"/>
    </row>
    <row r="113" spans="1:26" ht="14.4" hidden="1" outlineLevel="1" x14ac:dyDescent="0.3">
      <c r="A113" s="3"/>
      <c r="B113" s="9" t="s">
        <v>51</v>
      </c>
      <c r="C113" s="53"/>
      <c r="D113" s="53"/>
      <c r="E113" s="11">
        <v>0</v>
      </c>
      <c r="F113" s="11">
        <v>0</v>
      </c>
      <c r="G113" s="56"/>
      <c r="H113" s="56"/>
      <c r="I113" s="144"/>
      <c r="J113" s="56"/>
      <c r="K113" s="28"/>
      <c r="L113" s="28"/>
      <c r="M113" s="28"/>
      <c r="N113" s="28"/>
      <c r="O113" s="28"/>
      <c r="P113" s="28"/>
      <c r="Q113" s="28"/>
      <c r="R113" s="28"/>
      <c r="S113" s="28"/>
      <c r="T113" s="28"/>
      <c r="U113" s="3"/>
      <c r="W113" s="3"/>
      <c r="X113" s="3"/>
      <c r="Y113" s="3"/>
      <c r="Z113" s="3"/>
    </row>
    <row r="114" spans="1:26" ht="14.4" hidden="1" outlineLevel="1" x14ac:dyDescent="0.3">
      <c r="A114" s="3"/>
      <c r="B114" s="9" t="s">
        <v>51</v>
      </c>
      <c r="C114" s="53"/>
      <c r="D114" s="53"/>
      <c r="E114" s="11">
        <v>0</v>
      </c>
      <c r="F114" s="11">
        <v>0</v>
      </c>
      <c r="G114" s="56"/>
      <c r="H114" s="56"/>
      <c r="I114" s="144"/>
      <c r="J114" s="56"/>
      <c r="K114" s="28"/>
      <c r="L114" s="28"/>
      <c r="M114" s="28"/>
      <c r="N114" s="28"/>
      <c r="O114" s="28"/>
      <c r="P114" s="28"/>
      <c r="Q114" s="28"/>
      <c r="R114" s="28"/>
      <c r="S114" s="28"/>
      <c r="T114" s="28"/>
      <c r="U114" s="3"/>
      <c r="W114" s="3"/>
      <c r="X114" s="3"/>
      <c r="Y114" s="3"/>
      <c r="Z114" s="3"/>
    </row>
    <row r="115" spans="1:26" ht="14.4" hidden="1" outlineLevel="1" x14ac:dyDescent="0.3">
      <c r="A115" s="3"/>
      <c r="B115" s="9" t="s">
        <v>51</v>
      </c>
      <c r="C115" s="53"/>
      <c r="D115" s="53"/>
      <c r="E115" s="11">
        <v>0</v>
      </c>
      <c r="F115" s="11">
        <v>0</v>
      </c>
      <c r="G115" s="56"/>
      <c r="H115" s="56"/>
      <c r="I115" s="117"/>
      <c r="J115" s="56"/>
      <c r="K115" s="28"/>
      <c r="L115" s="28"/>
      <c r="M115" s="28"/>
      <c r="N115" s="28"/>
      <c r="O115" s="28"/>
      <c r="P115" s="28"/>
      <c r="Q115" s="28"/>
      <c r="R115" s="28"/>
      <c r="S115" s="28"/>
      <c r="T115" s="28"/>
      <c r="U115" s="3"/>
      <c r="W115" s="3"/>
      <c r="X115" s="3"/>
      <c r="Y115" s="3"/>
      <c r="Z115" s="3"/>
    </row>
    <row r="116" spans="1:26" ht="20.399999999999999" x14ac:dyDescent="0.3">
      <c r="A116" s="3"/>
      <c r="B116" s="75" t="s">
        <v>358</v>
      </c>
      <c r="C116" s="76" t="s">
        <v>44</v>
      </c>
      <c r="D116" s="76" t="s">
        <v>44</v>
      </c>
      <c r="E116" s="77">
        <f t="shared" ref="E116:F116" si="1">SUM(E117,E123)</f>
        <v>0</v>
      </c>
      <c r="F116" s="77">
        <f t="shared" si="1"/>
        <v>536.74</v>
      </c>
      <c r="G116" s="78"/>
      <c r="H116" s="78"/>
      <c r="I116" s="79"/>
      <c r="J116" s="78"/>
      <c r="K116" s="28"/>
      <c r="L116" s="28"/>
      <c r="M116" s="28"/>
      <c r="N116" s="28"/>
      <c r="O116" s="28"/>
      <c r="P116" s="28"/>
      <c r="Q116" s="28"/>
      <c r="R116" s="28"/>
      <c r="S116" s="28"/>
      <c r="T116" s="28"/>
      <c r="U116" s="3"/>
      <c r="W116" s="3"/>
      <c r="X116" s="3"/>
      <c r="Y116" s="3"/>
      <c r="Z116" s="3"/>
    </row>
    <row r="117" spans="1:26" hidden="1" outlineLevel="1" x14ac:dyDescent="0.3">
      <c r="A117" s="3"/>
      <c r="B117" s="82" t="s">
        <v>359</v>
      </c>
      <c r="C117" s="83"/>
      <c r="D117" s="83"/>
      <c r="E117" s="84">
        <f>SUM(E118:E122)</f>
        <v>0</v>
      </c>
      <c r="F117" s="84">
        <f>SUMIF(D118:D122,"OK",F118:F122)</f>
        <v>0</v>
      </c>
      <c r="G117" s="85"/>
      <c r="H117" s="85"/>
      <c r="I117" s="86"/>
      <c r="J117" s="85"/>
      <c r="K117" s="28"/>
      <c r="L117" s="28"/>
      <c r="M117" s="28"/>
      <c r="N117" s="28"/>
      <c r="O117" s="28"/>
      <c r="P117" s="28"/>
      <c r="Q117" s="28"/>
      <c r="R117" s="28"/>
      <c r="S117" s="28"/>
      <c r="T117" s="28"/>
      <c r="U117" s="3"/>
      <c r="W117" s="3"/>
      <c r="X117" s="3"/>
      <c r="Y117" s="3"/>
      <c r="Z117" s="3"/>
    </row>
    <row r="118" spans="1:26" ht="14.4" hidden="1" outlineLevel="1" x14ac:dyDescent="0.3">
      <c r="A118" s="3"/>
      <c r="B118" s="9" t="s">
        <v>1823</v>
      </c>
      <c r="C118" s="53"/>
      <c r="D118" s="53"/>
      <c r="E118" s="11">
        <v>0</v>
      </c>
      <c r="F118" s="11">
        <v>0</v>
      </c>
      <c r="G118" s="56"/>
      <c r="H118" s="56"/>
      <c r="I118" s="145"/>
      <c r="J118" s="56"/>
      <c r="K118" s="28"/>
      <c r="L118" s="28"/>
      <c r="M118" s="28"/>
      <c r="N118" s="28"/>
      <c r="O118" s="28"/>
      <c r="P118" s="28"/>
      <c r="Q118" s="28"/>
      <c r="R118" s="28"/>
      <c r="S118" s="28"/>
      <c r="T118" s="28"/>
      <c r="U118" s="3"/>
      <c r="W118" s="3"/>
      <c r="X118" s="3"/>
      <c r="Y118" s="3"/>
      <c r="Z118" s="3"/>
    </row>
    <row r="119" spans="1:26" ht="14.4" hidden="1" outlineLevel="1" x14ac:dyDescent="0.3">
      <c r="A119" s="3"/>
      <c r="B119" s="9" t="s">
        <v>1823</v>
      </c>
      <c r="C119" s="53"/>
      <c r="D119" s="53"/>
      <c r="E119" s="11">
        <v>0</v>
      </c>
      <c r="F119" s="11">
        <v>0</v>
      </c>
      <c r="G119" s="80"/>
      <c r="H119" s="56"/>
      <c r="I119" s="145"/>
      <c r="J119" s="56"/>
      <c r="K119" s="28"/>
      <c r="L119" s="28"/>
      <c r="M119" s="28"/>
      <c r="N119" s="28"/>
      <c r="O119" s="28"/>
      <c r="P119" s="28"/>
      <c r="Q119" s="28"/>
      <c r="R119" s="28"/>
      <c r="S119" s="28"/>
      <c r="T119" s="28"/>
      <c r="U119" s="3"/>
      <c r="W119" s="3"/>
      <c r="X119" s="3"/>
      <c r="Y119" s="3"/>
      <c r="Z119" s="3"/>
    </row>
    <row r="120" spans="1:26" ht="14.4" hidden="1" outlineLevel="1" x14ac:dyDescent="0.3">
      <c r="A120" s="3"/>
      <c r="B120" s="9" t="s">
        <v>1823</v>
      </c>
      <c r="C120" s="53"/>
      <c r="D120" s="53"/>
      <c r="E120" s="11">
        <v>0</v>
      </c>
      <c r="F120" s="11">
        <v>0</v>
      </c>
      <c r="G120" s="80"/>
      <c r="H120" s="56"/>
      <c r="I120" s="145"/>
      <c r="J120" s="56"/>
      <c r="K120" s="28"/>
      <c r="L120" s="28"/>
      <c r="M120" s="28"/>
      <c r="N120" s="28"/>
      <c r="O120" s="28"/>
      <c r="P120" s="28"/>
      <c r="Q120" s="28"/>
      <c r="R120" s="28"/>
      <c r="S120" s="28"/>
      <c r="T120" s="28"/>
      <c r="U120" s="3"/>
      <c r="W120" s="3"/>
      <c r="X120" s="3"/>
      <c r="Y120" s="3"/>
      <c r="Z120" s="3"/>
    </row>
    <row r="121" spans="1:26" ht="14.4" hidden="1" outlineLevel="1" x14ac:dyDescent="0.3">
      <c r="A121" s="3"/>
      <c r="B121" s="9" t="s">
        <v>1823</v>
      </c>
      <c r="C121" s="53"/>
      <c r="D121" s="53"/>
      <c r="E121" s="11">
        <v>0</v>
      </c>
      <c r="F121" s="11">
        <v>0</v>
      </c>
      <c r="G121" s="56"/>
      <c r="H121" s="56"/>
      <c r="I121" s="145"/>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1823</v>
      </c>
      <c r="C122" s="53"/>
      <c r="D122" s="53"/>
      <c r="E122" s="11">
        <v>0</v>
      </c>
      <c r="F122" s="11">
        <v>0</v>
      </c>
      <c r="G122" s="56"/>
      <c r="H122" s="56"/>
      <c r="I122" s="145"/>
      <c r="J122" s="56"/>
      <c r="K122" s="28"/>
      <c r="L122" s="28"/>
      <c r="M122" s="28"/>
      <c r="N122" s="28"/>
      <c r="O122" s="28"/>
      <c r="P122" s="28"/>
      <c r="Q122" s="28"/>
      <c r="R122" s="28"/>
      <c r="S122" s="28"/>
      <c r="T122" s="28"/>
      <c r="U122" s="3"/>
      <c r="W122" s="3"/>
      <c r="X122" s="3"/>
      <c r="Y122" s="3"/>
      <c r="Z122" s="3"/>
    </row>
    <row r="123" spans="1:26" outlineLevel="1" x14ac:dyDescent="0.3">
      <c r="A123" s="3"/>
      <c r="B123" s="82" t="s">
        <v>633</v>
      </c>
      <c r="C123" s="83"/>
      <c r="D123" s="83"/>
      <c r="E123" s="84">
        <f>SUM(E124:E141)</f>
        <v>0</v>
      </c>
      <c r="F123" s="84">
        <f>SUMIF(D124:D141,"OK",F124:F141)</f>
        <v>536.74</v>
      </c>
      <c r="G123" s="85"/>
      <c r="H123" s="85"/>
      <c r="I123" s="86"/>
      <c r="J123" s="85"/>
      <c r="K123" s="28"/>
      <c r="L123" s="28"/>
      <c r="M123" s="28"/>
      <c r="N123" s="28"/>
      <c r="O123" s="28"/>
      <c r="P123" s="28"/>
      <c r="Q123" s="28"/>
      <c r="R123" s="28"/>
      <c r="S123" s="28"/>
      <c r="T123" s="28"/>
      <c r="U123" s="3"/>
      <c r="W123" s="3"/>
      <c r="X123" s="3"/>
      <c r="Y123" s="3"/>
      <c r="Z123" s="3"/>
    </row>
    <row r="124" spans="1:26" ht="14.4" outlineLevel="1" x14ac:dyDescent="0.3">
      <c r="A124" s="3"/>
      <c r="B124" s="9" t="s">
        <v>1824</v>
      </c>
      <c r="C124" s="53">
        <v>28</v>
      </c>
      <c r="D124" s="53" t="s">
        <v>95</v>
      </c>
      <c r="E124" s="11">
        <v>0</v>
      </c>
      <c r="F124" s="11">
        <v>36</v>
      </c>
      <c r="G124" s="56"/>
      <c r="H124" s="56" t="s">
        <v>37</v>
      </c>
      <c r="I124" s="102" t="s">
        <v>1825</v>
      </c>
      <c r="J124" s="56"/>
      <c r="K124" s="28"/>
      <c r="L124" s="28"/>
      <c r="M124" s="28"/>
      <c r="N124" s="28"/>
      <c r="O124" s="28"/>
      <c r="P124" s="28"/>
      <c r="Q124" s="28"/>
      <c r="R124" s="28"/>
      <c r="S124" s="28"/>
      <c r="T124" s="28"/>
      <c r="U124" s="3"/>
      <c r="W124" s="3"/>
      <c r="X124" s="3"/>
      <c r="Y124" s="3"/>
      <c r="Z124" s="3"/>
    </row>
    <row r="125" spans="1:26" ht="14.4" outlineLevel="1" x14ac:dyDescent="0.3">
      <c r="A125" s="3"/>
      <c r="B125" s="9" t="s">
        <v>1824</v>
      </c>
      <c r="C125" s="53">
        <v>28</v>
      </c>
      <c r="D125" s="53" t="s">
        <v>95</v>
      </c>
      <c r="E125" s="11">
        <v>0</v>
      </c>
      <c r="F125" s="11">
        <v>11.86</v>
      </c>
      <c r="G125" s="80"/>
      <c r="H125" s="56" t="s">
        <v>37</v>
      </c>
      <c r="I125" s="102" t="s">
        <v>1826</v>
      </c>
      <c r="J125" s="56"/>
      <c r="K125" s="28"/>
      <c r="L125" s="28"/>
      <c r="M125" s="28"/>
      <c r="N125" s="28"/>
      <c r="O125" s="28"/>
      <c r="P125" s="28"/>
      <c r="Q125" s="28"/>
      <c r="R125" s="28"/>
      <c r="S125" s="28"/>
      <c r="T125" s="28"/>
      <c r="U125" s="3"/>
      <c r="W125" s="3"/>
      <c r="X125" s="3"/>
      <c r="Y125" s="3"/>
      <c r="Z125" s="3"/>
    </row>
    <row r="126" spans="1:26" ht="14.4" outlineLevel="1" x14ac:dyDescent="0.3">
      <c r="A126" s="3"/>
      <c r="B126" s="9" t="s">
        <v>1824</v>
      </c>
      <c r="C126" s="53">
        <v>28</v>
      </c>
      <c r="D126" s="53" t="s">
        <v>95</v>
      </c>
      <c r="E126" s="11">
        <v>0</v>
      </c>
      <c r="F126" s="11">
        <v>47.03</v>
      </c>
      <c r="G126" s="80"/>
      <c r="H126" s="56" t="s">
        <v>37</v>
      </c>
      <c r="I126" s="102" t="s">
        <v>1827</v>
      </c>
      <c r="J126" s="56"/>
      <c r="K126" s="28"/>
      <c r="L126" s="28"/>
      <c r="M126" s="28"/>
      <c r="N126" s="28"/>
      <c r="O126" s="28"/>
      <c r="P126" s="28"/>
      <c r="Q126" s="28"/>
      <c r="R126" s="28"/>
      <c r="S126" s="28"/>
      <c r="T126" s="28"/>
      <c r="U126" s="3"/>
      <c r="W126" s="3"/>
      <c r="X126" s="3"/>
      <c r="Y126" s="3"/>
      <c r="Z126" s="3"/>
    </row>
    <row r="127" spans="1:26" ht="14.4" outlineLevel="1" x14ac:dyDescent="0.3">
      <c r="A127" s="3"/>
      <c r="B127" s="9" t="s">
        <v>1824</v>
      </c>
      <c r="C127" s="53">
        <v>28</v>
      </c>
      <c r="D127" s="53" t="s">
        <v>95</v>
      </c>
      <c r="E127" s="11">
        <v>0</v>
      </c>
      <c r="F127" s="11">
        <v>423.85</v>
      </c>
      <c r="G127" s="56"/>
      <c r="H127" s="56" t="s">
        <v>37</v>
      </c>
      <c r="I127" s="102" t="s">
        <v>1828</v>
      </c>
      <c r="J127" s="56"/>
      <c r="K127" s="28"/>
      <c r="L127" s="28"/>
      <c r="M127" s="28"/>
      <c r="N127" s="28"/>
      <c r="O127" s="28"/>
      <c r="P127" s="28"/>
      <c r="Q127" s="28"/>
      <c r="R127" s="28"/>
      <c r="S127" s="28"/>
      <c r="T127" s="28"/>
      <c r="U127" s="3"/>
      <c r="W127" s="3"/>
      <c r="X127" s="3"/>
      <c r="Y127" s="3"/>
      <c r="Z127" s="3"/>
    </row>
    <row r="128" spans="1:26" ht="14.4" outlineLevel="1" x14ac:dyDescent="0.3">
      <c r="A128" s="3"/>
      <c r="B128" s="9" t="s">
        <v>1824</v>
      </c>
      <c r="C128" s="53">
        <v>28</v>
      </c>
      <c r="D128" s="53" t="s">
        <v>95</v>
      </c>
      <c r="E128" s="11">
        <v>0</v>
      </c>
      <c r="F128" s="11">
        <v>18</v>
      </c>
      <c r="G128" s="56"/>
      <c r="H128" s="56" t="s">
        <v>37</v>
      </c>
      <c r="I128" s="102" t="s">
        <v>1829</v>
      </c>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51</v>
      </c>
      <c r="C129" s="53"/>
      <c r="D129" s="53"/>
      <c r="E129" s="11">
        <v>0</v>
      </c>
      <c r="F129" s="11">
        <v>0</v>
      </c>
      <c r="G129" s="56"/>
      <c r="H129" s="56"/>
      <c r="I129" s="145"/>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51</v>
      </c>
      <c r="C130" s="53"/>
      <c r="D130" s="53"/>
      <c r="E130" s="11">
        <v>0</v>
      </c>
      <c r="F130" s="11">
        <v>0</v>
      </c>
      <c r="G130" s="56"/>
      <c r="H130" s="56"/>
      <c r="I130" s="145"/>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51</v>
      </c>
      <c r="C131" s="53"/>
      <c r="D131" s="53"/>
      <c r="E131" s="11">
        <v>0</v>
      </c>
      <c r="F131" s="11">
        <v>0</v>
      </c>
      <c r="G131" s="56"/>
      <c r="H131" s="56"/>
      <c r="I131" s="144"/>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51</v>
      </c>
      <c r="C132" s="53"/>
      <c r="D132" s="53"/>
      <c r="E132" s="11">
        <v>0</v>
      </c>
      <c r="F132" s="11">
        <v>0</v>
      </c>
      <c r="G132" s="56"/>
      <c r="H132" s="56"/>
      <c r="I132" s="144"/>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51</v>
      </c>
      <c r="C133" s="53"/>
      <c r="D133" s="53"/>
      <c r="E133" s="11">
        <v>0</v>
      </c>
      <c r="F133" s="11">
        <v>0</v>
      </c>
      <c r="G133" s="56"/>
      <c r="H133" s="56"/>
      <c r="I133" s="144"/>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51</v>
      </c>
      <c r="C134" s="53"/>
      <c r="D134" s="53"/>
      <c r="E134" s="11">
        <v>0</v>
      </c>
      <c r="F134" s="11">
        <v>0</v>
      </c>
      <c r="G134" s="56"/>
      <c r="H134" s="56"/>
      <c r="I134" s="147"/>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51</v>
      </c>
      <c r="C135" s="53"/>
      <c r="D135" s="53"/>
      <c r="E135" s="11">
        <v>0</v>
      </c>
      <c r="F135" s="11">
        <v>0</v>
      </c>
      <c r="G135" s="56"/>
      <c r="H135" s="56"/>
      <c r="I135" s="144"/>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51</v>
      </c>
      <c r="C136" s="53"/>
      <c r="D136" s="53"/>
      <c r="E136" s="11">
        <v>0</v>
      </c>
      <c r="F136" s="11">
        <v>0</v>
      </c>
      <c r="G136" s="56"/>
      <c r="H136" s="56"/>
      <c r="I136" s="144"/>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51</v>
      </c>
      <c r="C137" s="53"/>
      <c r="D137" s="53"/>
      <c r="E137" s="11">
        <v>0</v>
      </c>
      <c r="F137" s="11">
        <v>0</v>
      </c>
      <c r="G137" s="56"/>
      <c r="H137" s="56"/>
      <c r="I137" s="144"/>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51</v>
      </c>
      <c r="C138" s="53"/>
      <c r="D138" s="53"/>
      <c r="E138" s="11">
        <v>0</v>
      </c>
      <c r="F138" s="11">
        <v>0</v>
      </c>
      <c r="G138" s="56"/>
      <c r="H138" s="56"/>
      <c r="I138" s="144"/>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51</v>
      </c>
      <c r="C139" s="53"/>
      <c r="D139" s="53"/>
      <c r="E139" s="11">
        <v>0</v>
      </c>
      <c r="F139" s="11">
        <v>0</v>
      </c>
      <c r="G139" s="56"/>
      <c r="H139" s="56"/>
      <c r="I139" s="144"/>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51</v>
      </c>
      <c r="C140" s="53"/>
      <c r="D140" s="53"/>
      <c r="E140" s="11">
        <v>0</v>
      </c>
      <c r="F140" s="11">
        <v>0</v>
      </c>
      <c r="G140" s="56"/>
      <c r="H140" s="56"/>
      <c r="I140" s="144"/>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51</v>
      </c>
      <c r="C141" s="53"/>
      <c r="D141" s="53"/>
      <c r="E141" s="11">
        <v>0</v>
      </c>
      <c r="F141" s="11">
        <v>0</v>
      </c>
      <c r="G141" s="56"/>
      <c r="H141" s="56"/>
      <c r="I141" s="144"/>
      <c r="J141" s="56"/>
      <c r="K141" s="28"/>
      <c r="L141" s="28"/>
      <c r="M141" s="28"/>
      <c r="N141" s="28"/>
      <c r="O141" s="28"/>
      <c r="P141" s="28"/>
      <c r="Q141" s="28"/>
      <c r="R141" s="28"/>
      <c r="S141" s="28"/>
      <c r="T141" s="28"/>
      <c r="U141" s="3"/>
      <c r="W141" s="3"/>
      <c r="X141" s="3"/>
      <c r="Y141" s="3"/>
      <c r="Z141" s="3"/>
    </row>
    <row r="142" spans="1:26" ht="20.399999999999999" hidden="1" x14ac:dyDescent="0.3">
      <c r="A142" s="3"/>
      <c r="B142" s="75" t="s">
        <v>88</v>
      </c>
      <c r="C142" s="76" t="s">
        <v>44</v>
      </c>
      <c r="D142" s="76" t="s">
        <v>44</v>
      </c>
      <c r="E142" s="77">
        <f>SUM(E143:E151)</f>
        <v>0</v>
      </c>
      <c r="F142" s="77">
        <f>SUMIF(D143:D151,"OK",F143:F151)</f>
        <v>0</v>
      </c>
      <c r="G142" s="78"/>
      <c r="H142" s="78"/>
      <c r="I142" s="79"/>
      <c r="J142" s="78"/>
      <c r="K142" s="28"/>
      <c r="L142" s="28"/>
      <c r="M142" s="28"/>
      <c r="N142" s="28"/>
      <c r="O142" s="28"/>
      <c r="P142" s="28"/>
      <c r="Q142" s="28"/>
      <c r="R142" s="28"/>
      <c r="S142" s="28"/>
      <c r="T142" s="28"/>
      <c r="U142" s="3"/>
      <c r="W142" s="3"/>
      <c r="X142" s="3"/>
      <c r="Y142" s="3"/>
      <c r="Z142" s="3"/>
    </row>
    <row r="143" spans="1:26" ht="14.4" hidden="1" outlineLevel="1" x14ac:dyDescent="0.3">
      <c r="A143" s="3"/>
      <c r="B143" s="9" t="s">
        <v>354</v>
      </c>
      <c r="C143" s="71"/>
      <c r="D143" s="53"/>
      <c r="E143" s="11">
        <v>0</v>
      </c>
      <c r="F143" s="11">
        <v>0</v>
      </c>
      <c r="G143" s="80"/>
      <c r="H143" s="56"/>
      <c r="I143" s="144"/>
      <c r="J143" s="80"/>
      <c r="K143" s="28"/>
      <c r="L143" s="28"/>
      <c r="M143" s="28"/>
      <c r="N143" s="28"/>
      <c r="O143" s="28"/>
      <c r="P143" s="28"/>
      <c r="Q143" s="28"/>
      <c r="R143" s="28"/>
      <c r="S143" s="28"/>
      <c r="T143" s="28"/>
      <c r="U143" s="3"/>
      <c r="W143" s="3"/>
      <c r="X143" s="3"/>
      <c r="Y143" s="3"/>
      <c r="Z143" s="3"/>
    </row>
    <row r="144" spans="1:26" ht="14.4" hidden="1" outlineLevel="1" x14ac:dyDescent="0.3">
      <c r="A144" s="3"/>
      <c r="B144" s="9" t="s">
        <v>355</v>
      </c>
      <c r="C144" s="53"/>
      <c r="D144" s="53"/>
      <c r="E144" s="11">
        <v>0</v>
      </c>
      <c r="F144" s="11">
        <v>0</v>
      </c>
      <c r="G144" s="80"/>
      <c r="H144" s="56"/>
      <c r="I144" s="144"/>
      <c r="J144" s="56"/>
      <c r="K144" s="28"/>
      <c r="L144" s="28"/>
      <c r="M144" s="28"/>
      <c r="N144" s="28"/>
      <c r="O144" s="28"/>
      <c r="P144" s="28"/>
      <c r="Q144" s="28"/>
      <c r="R144" s="28"/>
      <c r="S144" s="28"/>
      <c r="T144" s="28"/>
      <c r="U144" s="3"/>
      <c r="W144" s="3"/>
      <c r="X144" s="3"/>
      <c r="Y144" s="3"/>
      <c r="Z144" s="3"/>
    </row>
    <row r="145" spans="1:26" ht="14.4" hidden="1" outlineLevel="1" x14ac:dyDescent="0.3">
      <c r="A145" s="3"/>
      <c r="B145" s="9" t="s">
        <v>356</v>
      </c>
      <c r="C145" s="53"/>
      <c r="D145" s="53"/>
      <c r="E145" s="11">
        <v>0</v>
      </c>
      <c r="F145" s="11">
        <v>0</v>
      </c>
      <c r="G145" s="56"/>
      <c r="H145" s="56"/>
      <c r="I145" s="80"/>
      <c r="J145" s="56"/>
      <c r="K145" s="28"/>
      <c r="L145" s="28"/>
      <c r="M145" s="28"/>
      <c r="N145" s="28"/>
      <c r="O145" s="28"/>
      <c r="P145" s="28"/>
      <c r="Q145" s="28"/>
      <c r="R145" s="28"/>
      <c r="S145" s="28"/>
      <c r="T145" s="28"/>
      <c r="U145" s="3"/>
      <c r="W145" s="3"/>
      <c r="X145" s="3"/>
      <c r="Y145" s="3"/>
      <c r="Z145" s="3"/>
    </row>
    <row r="146" spans="1:26" ht="14.4" hidden="1" outlineLevel="1" x14ac:dyDescent="0.3">
      <c r="A146" s="3"/>
      <c r="B146" s="9" t="s">
        <v>370</v>
      </c>
      <c r="C146" s="53"/>
      <c r="D146" s="53"/>
      <c r="E146" s="11">
        <v>0</v>
      </c>
      <c r="F146" s="11">
        <v>0</v>
      </c>
      <c r="G146" s="56"/>
      <c r="H146" s="56"/>
      <c r="I146" s="80"/>
      <c r="J146" s="56"/>
      <c r="K146" s="28"/>
      <c r="L146" s="28"/>
      <c r="M146" s="28"/>
      <c r="N146" s="28"/>
      <c r="O146" s="28"/>
      <c r="P146" s="28"/>
      <c r="Q146" s="28"/>
      <c r="R146" s="28"/>
      <c r="S146" s="28"/>
      <c r="T146" s="28"/>
      <c r="U146" s="3"/>
      <c r="W146" s="3"/>
      <c r="X146" s="3"/>
      <c r="Y146" s="3"/>
      <c r="Z146" s="3"/>
    </row>
    <row r="147" spans="1:26" ht="14.4" hidden="1" outlineLevel="1" x14ac:dyDescent="0.3">
      <c r="A147" s="3"/>
      <c r="B147" s="9" t="s">
        <v>328</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4.4" hidden="1" outlineLevel="1" x14ac:dyDescent="0.3">
      <c r="A148" s="3"/>
      <c r="B148" s="9" t="s">
        <v>329</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14.4" hidden="1" outlineLevel="1" x14ac:dyDescent="0.3">
      <c r="A149" s="3"/>
      <c r="B149" s="9" t="s">
        <v>371</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14.4" hidden="1" outlineLevel="1" x14ac:dyDescent="0.3">
      <c r="A150" s="3"/>
      <c r="B150" s="9" t="s">
        <v>372</v>
      </c>
      <c r="C150" s="53"/>
      <c r="D150" s="53"/>
      <c r="E150" s="11">
        <v>0</v>
      </c>
      <c r="F150" s="11">
        <v>0</v>
      </c>
      <c r="G150" s="56"/>
      <c r="H150" s="56"/>
      <c r="I150" s="80"/>
      <c r="J150" s="56"/>
      <c r="K150" s="28"/>
      <c r="L150" s="28"/>
      <c r="M150" s="28"/>
      <c r="N150" s="28"/>
      <c r="O150" s="28"/>
      <c r="P150" s="28"/>
      <c r="Q150" s="28"/>
      <c r="R150" s="28"/>
      <c r="S150" s="28"/>
      <c r="T150" s="28"/>
      <c r="U150" s="3"/>
      <c r="W150" s="3"/>
      <c r="X150" s="3"/>
      <c r="Y150" s="3"/>
      <c r="Z150" s="3"/>
    </row>
    <row r="151" spans="1:26" ht="14.4" hidden="1" outlineLevel="1" x14ac:dyDescent="0.3">
      <c r="A151" s="3"/>
      <c r="B151" s="9" t="s">
        <v>373</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20.399999999999999" collapsed="1" x14ac:dyDescent="0.3">
      <c r="A152" s="3"/>
      <c r="B152" s="75" t="s">
        <v>89</v>
      </c>
      <c r="C152" s="76" t="s">
        <v>44</v>
      </c>
      <c r="D152" s="76" t="s">
        <v>44</v>
      </c>
      <c r="E152" s="77">
        <f t="shared" ref="E152:F152" si="2">SUM(E153,E159,E165,E171)</f>
        <v>0</v>
      </c>
      <c r="F152" s="77">
        <f t="shared" si="2"/>
        <v>72635.39</v>
      </c>
      <c r="G152" s="78"/>
      <c r="H152" s="78"/>
      <c r="I152" s="79"/>
      <c r="J152" s="78"/>
      <c r="K152" s="28"/>
      <c r="L152" s="28"/>
      <c r="M152" s="28"/>
      <c r="N152" s="28"/>
      <c r="O152" s="28"/>
      <c r="P152" s="28"/>
      <c r="Q152" s="28"/>
      <c r="R152" s="28"/>
      <c r="S152" s="28"/>
      <c r="T152" s="28"/>
      <c r="U152" s="3"/>
      <c r="W152" s="3"/>
      <c r="X152" s="3"/>
      <c r="Y152" s="3"/>
      <c r="Z152" s="3"/>
    </row>
    <row r="153" spans="1:26" outlineLevel="1" x14ac:dyDescent="0.3">
      <c r="A153" s="3"/>
      <c r="B153" s="82" t="s">
        <v>381</v>
      </c>
      <c r="C153" s="83"/>
      <c r="D153" s="83"/>
      <c r="E153" s="84">
        <f>SUM(E154:E158)</f>
        <v>0</v>
      </c>
      <c r="F153" s="84">
        <f>SUMIF(D154:D158,"OK",F154:F158)</f>
        <v>7037</v>
      </c>
      <c r="G153" s="85"/>
      <c r="H153" s="85"/>
      <c r="I153" s="86"/>
      <c r="J153" s="85"/>
      <c r="K153" s="28"/>
      <c r="L153" s="28"/>
      <c r="M153" s="28"/>
      <c r="N153" s="28"/>
      <c r="O153" s="28"/>
      <c r="P153" s="28"/>
      <c r="Q153" s="28"/>
      <c r="R153" s="28"/>
      <c r="S153" s="28"/>
      <c r="T153" s="28"/>
      <c r="U153" s="3"/>
      <c r="W153" s="3"/>
      <c r="X153" s="3"/>
      <c r="Y153" s="3"/>
      <c r="Z153" s="3"/>
    </row>
    <row r="154" spans="1:26" ht="14.4" outlineLevel="1" x14ac:dyDescent="0.3">
      <c r="A154" s="3"/>
      <c r="B154" s="9" t="s">
        <v>1830</v>
      </c>
      <c r="C154" s="53">
        <v>5</v>
      </c>
      <c r="D154" s="53" t="s">
        <v>95</v>
      </c>
      <c r="E154" s="11">
        <v>0</v>
      </c>
      <c r="F154" s="11">
        <v>537</v>
      </c>
      <c r="G154" s="56" t="s">
        <v>759</v>
      </c>
      <c r="H154" s="56" t="s">
        <v>37</v>
      </c>
      <c r="I154" s="102" t="s">
        <v>1831</v>
      </c>
      <c r="J154" s="56"/>
      <c r="K154" s="28"/>
      <c r="L154" s="28"/>
      <c r="M154" s="28"/>
      <c r="N154" s="28"/>
      <c r="O154" s="28"/>
      <c r="P154" s="28"/>
      <c r="Q154" s="28"/>
      <c r="R154" s="28"/>
      <c r="S154" s="28"/>
      <c r="T154" s="28"/>
      <c r="U154" s="3"/>
      <c r="W154" s="3"/>
      <c r="X154" s="3"/>
      <c r="Y154" s="3"/>
      <c r="Z154" s="3"/>
    </row>
    <row r="155" spans="1:26" ht="14.4" outlineLevel="1" x14ac:dyDescent="0.3">
      <c r="A155" s="3"/>
      <c r="B155" s="9" t="s">
        <v>1118</v>
      </c>
      <c r="C155" s="53">
        <v>21</v>
      </c>
      <c r="D155" s="53" t="s">
        <v>95</v>
      </c>
      <c r="E155" s="11">
        <v>0</v>
      </c>
      <c r="F155" s="11">
        <v>6500</v>
      </c>
      <c r="G155" s="56"/>
      <c r="H155" s="56" t="s">
        <v>37</v>
      </c>
      <c r="I155" s="117" t="s">
        <v>1832</v>
      </c>
      <c r="J155" s="56"/>
      <c r="K155" s="28"/>
      <c r="L155" s="28"/>
      <c r="M155" s="28"/>
      <c r="N155" s="28"/>
      <c r="O155" s="28"/>
      <c r="P155" s="28"/>
      <c r="Q155" s="28"/>
      <c r="R155" s="28"/>
      <c r="S155" s="28"/>
      <c r="T155" s="28"/>
      <c r="U155" s="3"/>
      <c r="W155" s="3"/>
      <c r="X155" s="3"/>
      <c r="Y155" s="3"/>
      <c r="Z155" s="3"/>
    </row>
    <row r="156" spans="1:26" ht="14.4" hidden="1" outlineLevel="1" x14ac:dyDescent="0.3">
      <c r="A156" s="3"/>
      <c r="B156" s="9" t="s">
        <v>51</v>
      </c>
      <c r="C156" s="53"/>
      <c r="D156" s="53"/>
      <c r="E156" s="11">
        <v>0</v>
      </c>
      <c r="F156" s="11">
        <v>0</v>
      </c>
      <c r="G156" s="56"/>
      <c r="H156" s="56"/>
      <c r="I156" s="144"/>
      <c r="J156" s="56"/>
      <c r="K156" s="28"/>
      <c r="L156" s="28"/>
      <c r="M156" s="28"/>
      <c r="N156" s="28"/>
      <c r="O156" s="28"/>
      <c r="P156" s="28"/>
      <c r="Q156" s="28"/>
      <c r="R156" s="28"/>
      <c r="S156" s="28"/>
      <c r="T156" s="28"/>
      <c r="U156" s="3"/>
      <c r="W156" s="3"/>
      <c r="X156" s="3"/>
      <c r="Y156" s="3"/>
      <c r="Z156" s="3"/>
    </row>
    <row r="157" spans="1:26" ht="14.4" hidden="1" outlineLevel="1" x14ac:dyDescent="0.3">
      <c r="A157" s="3"/>
      <c r="B157" s="9" t="s">
        <v>51</v>
      </c>
      <c r="C157" s="53"/>
      <c r="D157" s="53"/>
      <c r="E157" s="11">
        <v>0</v>
      </c>
      <c r="F157" s="11">
        <v>0</v>
      </c>
      <c r="G157" s="80"/>
      <c r="H157" s="56"/>
      <c r="I157" s="144"/>
      <c r="J157" s="56"/>
      <c r="K157" s="28"/>
      <c r="L157" s="28"/>
      <c r="M157" s="28"/>
      <c r="N157" s="28"/>
      <c r="O157" s="28"/>
      <c r="P157" s="28"/>
      <c r="Q157" s="28"/>
      <c r="R157" s="28"/>
      <c r="S157" s="28"/>
      <c r="T157" s="28"/>
      <c r="U157" s="3"/>
      <c r="W157" s="3"/>
      <c r="X157" s="3"/>
      <c r="Y157" s="3"/>
      <c r="Z157" s="3"/>
    </row>
    <row r="158" spans="1:26" ht="14.4" hidden="1" outlineLevel="1" x14ac:dyDescent="0.3">
      <c r="A158" s="3"/>
      <c r="B158" s="9" t="s">
        <v>51</v>
      </c>
      <c r="C158" s="53"/>
      <c r="D158" s="53"/>
      <c r="E158" s="11">
        <v>0</v>
      </c>
      <c r="F158" s="11">
        <v>0</v>
      </c>
      <c r="G158" s="56"/>
      <c r="H158" s="56"/>
      <c r="I158" s="80"/>
      <c r="J158" s="56"/>
      <c r="K158" s="28"/>
      <c r="L158" s="28"/>
      <c r="M158" s="28"/>
      <c r="N158" s="28"/>
      <c r="O158" s="28"/>
      <c r="P158" s="28"/>
      <c r="Q158" s="28"/>
      <c r="R158" s="28"/>
      <c r="S158" s="28"/>
      <c r="T158" s="28"/>
      <c r="U158" s="3"/>
      <c r="W158" s="3"/>
      <c r="X158" s="3"/>
      <c r="Y158" s="3"/>
      <c r="Z158" s="3"/>
    </row>
    <row r="159" spans="1:26" outlineLevel="1" x14ac:dyDescent="0.3">
      <c r="A159" s="3"/>
      <c r="B159" s="82" t="s">
        <v>644</v>
      </c>
      <c r="C159" s="83"/>
      <c r="D159" s="83"/>
      <c r="E159" s="84">
        <f>SUM(E160:E164)</f>
        <v>0</v>
      </c>
      <c r="F159" s="84">
        <f>SUMIF(D160:D164,"OK",F160:F164)</f>
        <v>65598.39</v>
      </c>
      <c r="G159" s="85"/>
      <c r="H159" s="85"/>
      <c r="I159" s="86"/>
      <c r="J159" s="85"/>
      <c r="K159" s="28"/>
      <c r="L159" s="28"/>
      <c r="M159" s="28"/>
      <c r="N159" s="28"/>
      <c r="O159" s="28"/>
      <c r="P159" s="28"/>
      <c r="Q159" s="28"/>
      <c r="R159" s="28"/>
      <c r="S159" s="28"/>
      <c r="T159" s="28"/>
      <c r="U159" s="3"/>
      <c r="W159" s="3"/>
      <c r="X159" s="3"/>
      <c r="Y159" s="3"/>
      <c r="Z159" s="3"/>
    </row>
    <row r="160" spans="1:26" ht="14.4" outlineLevel="1" x14ac:dyDescent="0.3">
      <c r="A160" s="3"/>
      <c r="B160" s="9" t="s">
        <v>1833</v>
      </c>
      <c r="C160" s="53" t="s">
        <v>714</v>
      </c>
      <c r="D160" s="53" t="s">
        <v>95</v>
      </c>
      <c r="E160" s="11">
        <v>0</v>
      </c>
      <c r="F160" s="11">
        <f>512.29+180+616+400+1150+900+100+560+1250+600+600</f>
        <v>6868.29</v>
      </c>
      <c r="G160" s="56"/>
      <c r="H160" s="56" t="s">
        <v>37</v>
      </c>
      <c r="I160" s="117" t="s">
        <v>1834</v>
      </c>
      <c r="J160" s="56"/>
      <c r="K160" s="28"/>
      <c r="L160" s="28"/>
      <c r="M160" s="28"/>
      <c r="N160" s="28"/>
      <c r="O160" s="28"/>
      <c r="P160" s="28"/>
      <c r="Q160" s="28"/>
      <c r="R160" s="28"/>
      <c r="S160" s="28"/>
      <c r="T160" s="28"/>
      <c r="U160" s="3"/>
      <c r="W160" s="3"/>
      <c r="X160" s="3"/>
      <c r="Y160" s="3"/>
      <c r="Z160" s="3"/>
    </row>
    <row r="161" spans="1:26" ht="14.4" outlineLevel="1" x14ac:dyDescent="0.3">
      <c r="A161" s="3"/>
      <c r="B161" s="9" t="s">
        <v>1835</v>
      </c>
      <c r="C161" s="53" t="s">
        <v>714</v>
      </c>
      <c r="D161" s="53" t="s">
        <v>95</v>
      </c>
      <c r="E161" s="11">
        <v>0</v>
      </c>
      <c r="F161" s="11">
        <f>65598.39-F160</f>
        <v>58730.1</v>
      </c>
      <c r="G161" s="56"/>
      <c r="H161" s="56" t="s">
        <v>38</v>
      </c>
      <c r="I161" s="117" t="s">
        <v>1834</v>
      </c>
      <c r="J161" s="56"/>
      <c r="K161" s="28"/>
      <c r="L161" s="28"/>
      <c r="M161" s="28"/>
      <c r="N161" s="28"/>
      <c r="O161" s="28"/>
      <c r="P161" s="28"/>
      <c r="Q161" s="28"/>
      <c r="R161" s="28"/>
      <c r="S161" s="28"/>
      <c r="T161" s="28"/>
      <c r="U161" s="3"/>
      <c r="W161" s="3"/>
      <c r="X161" s="3"/>
      <c r="Y161" s="3"/>
      <c r="Z161" s="3"/>
    </row>
    <row r="162" spans="1:26" ht="14.4" hidden="1" outlineLevel="1" x14ac:dyDescent="0.3">
      <c r="A162" s="3"/>
      <c r="B162" s="9" t="s">
        <v>356</v>
      </c>
      <c r="C162" s="53"/>
      <c r="D162" s="53"/>
      <c r="E162" s="11">
        <v>0</v>
      </c>
      <c r="F162" s="11">
        <v>0</v>
      </c>
      <c r="G162" s="56"/>
      <c r="H162" s="56"/>
      <c r="I162" s="80"/>
      <c r="J162" s="56"/>
      <c r="K162" s="28"/>
      <c r="L162" s="28"/>
      <c r="M162" s="28"/>
      <c r="N162" s="28"/>
      <c r="O162" s="28"/>
      <c r="P162" s="28"/>
      <c r="Q162" s="28"/>
      <c r="R162" s="28"/>
      <c r="S162" s="28"/>
      <c r="T162" s="28"/>
      <c r="U162" s="3"/>
      <c r="W162" s="3"/>
      <c r="X162" s="3"/>
      <c r="Y162" s="3"/>
      <c r="Z162" s="3"/>
    </row>
    <row r="163" spans="1:26" ht="14.4" hidden="1" outlineLevel="1" x14ac:dyDescent="0.3">
      <c r="A163" s="3"/>
      <c r="B163" s="9" t="s">
        <v>370</v>
      </c>
      <c r="C163" s="53"/>
      <c r="D163" s="53"/>
      <c r="E163" s="11">
        <v>0</v>
      </c>
      <c r="F163" s="11">
        <v>0</v>
      </c>
      <c r="G163" s="56"/>
      <c r="H163" s="56"/>
      <c r="I163" s="80"/>
      <c r="J163" s="56"/>
      <c r="K163" s="28"/>
      <c r="L163" s="28"/>
      <c r="M163" s="28"/>
      <c r="N163" s="28"/>
      <c r="O163" s="28"/>
      <c r="P163" s="28"/>
      <c r="Q163" s="28"/>
      <c r="R163" s="28"/>
      <c r="S163" s="28"/>
      <c r="T163" s="28"/>
      <c r="U163" s="3"/>
      <c r="W163" s="3"/>
      <c r="X163" s="3"/>
      <c r="Y163" s="3"/>
      <c r="Z163" s="3"/>
    </row>
    <row r="164" spans="1:26" ht="14.4" hidden="1" outlineLevel="1" x14ac:dyDescent="0.3">
      <c r="A164" s="3"/>
      <c r="B164" s="9" t="s">
        <v>328</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idden="1" outlineLevel="1" x14ac:dyDescent="0.3">
      <c r="A165" s="3"/>
      <c r="B165" s="82" t="s">
        <v>382</v>
      </c>
      <c r="C165" s="83"/>
      <c r="D165" s="83"/>
      <c r="E165" s="84">
        <f>SUM(E166:E170)</f>
        <v>0</v>
      </c>
      <c r="F165" s="84">
        <f>SUMIF(D166:D170,"OK",F166:F170)</f>
        <v>0</v>
      </c>
      <c r="G165" s="85"/>
      <c r="H165" s="85"/>
      <c r="I165" s="86"/>
      <c r="J165" s="85"/>
      <c r="K165" s="28"/>
      <c r="L165" s="28"/>
      <c r="M165" s="28"/>
      <c r="N165" s="28"/>
      <c r="O165" s="28"/>
      <c r="P165" s="28"/>
      <c r="Q165" s="28"/>
      <c r="R165" s="28"/>
      <c r="S165" s="28"/>
      <c r="T165" s="28"/>
      <c r="U165" s="3"/>
      <c r="W165" s="3"/>
      <c r="X165" s="3"/>
      <c r="Y165" s="3"/>
      <c r="Z165" s="3"/>
    </row>
    <row r="166" spans="1:26" ht="14.4" hidden="1" outlineLevel="1" x14ac:dyDescent="0.3">
      <c r="A166" s="3"/>
      <c r="B166" s="9" t="s">
        <v>354</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355</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t="14.4" hidden="1" outlineLevel="1" x14ac:dyDescent="0.3">
      <c r="A168" s="3"/>
      <c r="B168" s="9" t="s">
        <v>356</v>
      </c>
      <c r="C168" s="53"/>
      <c r="D168" s="53"/>
      <c r="E168" s="11">
        <v>0</v>
      </c>
      <c r="F168" s="11">
        <v>0</v>
      </c>
      <c r="G168" s="56"/>
      <c r="H168" s="56"/>
      <c r="I168" s="80"/>
      <c r="J168" s="56"/>
      <c r="K168" s="28"/>
      <c r="L168" s="28"/>
      <c r="M168" s="28"/>
      <c r="N168" s="28"/>
      <c r="O168" s="28"/>
      <c r="P168" s="28"/>
      <c r="Q168" s="28"/>
      <c r="R168" s="28"/>
      <c r="S168" s="28"/>
      <c r="T168" s="28"/>
      <c r="U168" s="3"/>
      <c r="W168" s="3"/>
      <c r="X168" s="3"/>
      <c r="Y168" s="3"/>
      <c r="Z168" s="3"/>
    </row>
    <row r="169" spans="1:26" ht="14.4" hidden="1" outlineLevel="1" x14ac:dyDescent="0.3">
      <c r="A169" s="3"/>
      <c r="B169" s="9" t="s">
        <v>370</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hidden="1" outlineLevel="1" x14ac:dyDescent="0.3">
      <c r="A170" s="3"/>
      <c r="B170" s="9" t="s">
        <v>328</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idden="1" outlineLevel="1" x14ac:dyDescent="0.3">
      <c r="A171" s="3"/>
      <c r="B171" s="82" t="s">
        <v>383</v>
      </c>
      <c r="C171" s="83"/>
      <c r="D171" s="83"/>
      <c r="E171" s="84">
        <f>SUM(E172:E176)</f>
        <v>0</v>
      </c>
      <c r="F171" s="84">
        <f>SUMIF(D172:D176,"OK",F172:F176)</f>
        <v>0</v>
      </c>
      <c r="G171" s="85"/>
      <c r="H171" s="85"/>
      <c r="I171" s="86"/>
      <c r="J171" s="85"/>
      <c r="K171" s="28"/>
      <c r="L171" s="28"/>
      <c r="M171" s="28"/>
      <c r="N171" s="28"/>
      <c r="O171" s="28"/>
      <c r="P171" s="28"/>
      <c r="Q171" s="28"/>
      <c r="R171" s="28"/>
      <c r="S171" s="28"/>
      <c r="T171" s="28"/>
      <c r="U171" s="3"/>
      <c r="W171" s="3"/>
      <c r="X171" s="3"/>
      <c r="Y171" s="3"/>
      <c r="Z171" s="3"/>
    </row>
    <row r="172" spans="1:26" ht="14.4" hidden="1" outlineLevel="1" x14ac:dyDescent="0.3">
      <c r="A172" s="3"/>
      <c r="B172" s="9" t="s">
        <v>354</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355</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14.4" hidden="1" outlineLevel="1" x14ac:dyDescent="0.3">
      <c r="A174" s="3"/>
      <c r="B174" s="9" t="s">
        <v>356</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14.4" hidden="1" outlineLevel="1" x14ac:dyDescent="0.3">
      <c r="A175" s="3"/>
      <c r="B175" s="9" t="s">
        <v>370</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4.4" hidden="1" outlineLevel="1" x14ac:dyDescent="0.3">
      <c r="A176" s="3"/>
      <c r="B176" s="9" t="s">
        <v>328</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20.399999999999999" hidden="1" x14ac:dyDescent="0.3">
      <c r="A177" s="3"/>
      <c r="B177" s="75" t="s">
        <v>384</v>
      </c>
      <c r="C177" s="76" t="s">
        <v>44</v>
      </c>
      <c r="D177" s="76" t="s">
        <v>44</v>
      </c>
      <c r="E177" s="77">
        <f>SUM(E178:E182)</f>
        <v>0</v>
      </c>
      <c r="F177" s="77">
        <f>SUMIF(D178:D182,"OK",F178:F182)</f>
        <v>0</v>
      </c>
      <c r="G177" s="78"/>
      <c r="H177" s="78"/>
      <c r="I177" s="79"/>
      <c r="J177" s="78"/>
      <c r="K177" s="28"/>
      <c r="L177" s="28"/>
      <c r="M177" s="28"/>
      <c r="N177" s="28"/>
      <c r="O177" s="28"/>
      <c r="P177" s="28"/>
      <c r="Q177" s="28"/>
      <c r="R177" s="28"/>
      <c r="S177" s="28"/>
      <c r="T177" s="28"/>
      <c r="U177" s="3"/>
      <c r="W177" s="3"/>
      <c r="X177" s="3"/>
      <c r="Y177" s="3"/>
      <c r="Z177" s="3"/>
    </row>
    <row r="178" spans="1:26" ht="14.4" hidden="1" outlineLevel="1" x14ac:dyDescent="0.3">
      <c r="A178" s="3"/>
      <c r="B178" s="9" t="s">
        <v>354</v>
      </c>
      <c r="C178" s="53"/>
      <c r="D178" s="53"/>
      <c r="E178" s="11">
        <v>0</v>
      </c>
      <c r="F178" s="11">
        <v>0</v>
      </c>
      <c r="G178" s="56"/>
      <c r="H178" s="56"/>
      <c r="I178" s="144"/>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355</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4.4" hidden="1" outlineLevel="1" x14ac:dyDescent="0.3">
      <c r="A180" s="3"/>
      <c r="B180" s="9" t="s">
        <v>356</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14.4" hidden="1" outlineLevel="1" x14ac:dyDescent="0.3">
      <c r="A181" s="3"/>
      <c r="B181" s="9" t="s">
        <v>370</v>
      </c>
      <c r="C181" s="53"/>
      <c r="D181" s="53"/>
      <c r="E181" s="11">
        <v>0</v>
      </c>
      <c r="F181" s="11">
        <v>0</v>
      </c>
      <c r="G181" s="56"/>
      <c r="H181" s="56"/>
      <c r="I181" s="80"/>
      <c r="J181" s="56"/>
      <c r="K181" s="28"/>
      <c r="L181" s="28"/>
      <c r="M181" s="28"/>
      <c r="N181" s="28"/>
      <c r="O181" s="28"/>
      <c r="P181" s="28"/>
      <c r="Q181" s="28"/>
      <c r="R181" s="28"/>
      <c r="S181" s="28"/>
      <c r="T181" s="28"/>
      <c r="U181" s="3"/>
      <c r="W181" s="3"/>
      <c r="X181" s="3"/>
      <c r="Y181" s="3"/>
      <c r="Z181" s="3"/>
    </row>
    <row r="182" spans="1:26" ht="14.4" hidden="1" outlineLevel="1" x14ac:dyDescent="0.3">
      <c r="A182" s="3"/>
      <c r="B182" s="9" t="s">
        <v>328</v>
      </c>
      <c r="C182" s="53"/>
      <c r="D182" s="53"/>
      <c r="E182" s="11">
        <v>0</v>
      </c>
      <c r="F182" s="11">
        <v>0</v>
      </c>
      <c r="G182" s="56"/>
      <c r="H182" s="56"/>
      <c r="I182" s="80"/>
      <c r="J182" s="56"/>
      <c r="K182" s="28"/>
      <c r="L182" s="28"/>
      <c r="M182" s="28"/>
      <c r="N182" s="28"/>
      <c r="O182" s="28"/>
      <c r="P182" s="28"/>
      <c r="Q182" s="28"/>
      <c r="R182" s="28"/>
      <c r="S182" s="28"/>
      <c r="T182" s="28"/>
      <c r="U182" s="3"/>
      <c r="W182" s="3"/>
      <c r="X182" s="3"/>
      <c r="Y182" s="3"/>
      <c r="Z182" s="3"/>
    </row>
    <row r="183" spans="1:26" ht="20.399999999999999" hidden="1" collapsed="1" x14ac:dyDescent="0.3">
      <c r="A183" s="3"/>
      <c r="B183" s="75" t="s">
        <v>385</v>
      </c>
      <c r="C183" s="76" t="s">
        <v>44</v>
      </c>
      <c r="D183" s="76" t="s">
        <v>44</v>
      </c>
      <c r="E183" s="77">
        <f>SUM(E184:E211)</f>
        <v>0</v>
      </c>
      <c r="F183" s="77">
        <f>SUMIF(D184:D211,"OK",F184:F211)</f>
        <v>0</v>
      </c>
      <c r="G183" s="78"/>
      <c r="H183" s="78"/>
      <c r="I183" s="79"/>
      <c r="J183" s="78"/>
      <c r="K183" s="28"/>
      <c r="L183" s="28"/>
      <c r="M183" s="28"/>
      <c r="N183" s="28"/>
      <c r="O183" s="28"/>
      <c r="P183" s="28"/>
      <c r="Q183" s="28"/>
      <c r="R183" s="28"/>
      <c r="S183" s="28"/>
      <c r="T183" s="28"/>
      <c r="U183" s="3"/>
      <c r="W183" s="3"/>
      <c r="X183" s="3"/>
      <c r="Y183" s="3"/>
      <c r="Z183" s="3"/>
    </row>
    <row r="184" spans="1:26" ht="14.4" hidden="1" outlineLevel="1" x14ac:dyDescent="0.3">
      <c r="A184" s="3"/>
      <c r="B184" s="9" t="s">
        <v>1836</v>
      </c>
      <c r="C184" s="71"/>
      <c r="D184" s="53"/>
      <c r="E184" s="11">
        <v>0</v>
      </c>
      <c r="F184" s="11">
        <v>0</v>
      </c>
      <c r="G184" s="80"/>
      <c r="H184" s="56"/>
      <c r="I184" s="145"/>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51</v>
      </c>
      <c r="C185" s="53"/>
      <c r="D185" s="53"/>
      <c r="E185" s="11">
        <v>0</v>
      </c>
      <c r="F185" s="11">
        <v>0</v>
      </c>
      <c r="G185" s="80"/>
      <c r="H185" s="56"/>
      <c r="I185" s="144"/>
      <c r="J185" s="80"/>
      <c r="K185" s="28"/>
      <c r="L185" s="28"/>
      <c r="M185" s="28"/>
      <c r="N185" s="28"/>
      <c r="O185" s="28"/>
      <c r="P185" s="28"/>
      <c r="Q185" s="28"/>
      <c r="R185" s="28"/>
      <c r="S185" s="28"/>
      <c r="T185" s="28"/>
      <c r="U185" s="3"/>
      <c r="W185" s="3"/>
      <c r="X185" s="3"/>
      <c r="Y185" s="3"/>
      <c r="Z185" s="3"/>
    </row>
    <row r="186" spans="1:26" ht="14.4" hidden="1" outlineLevel="1" x14ac:dyDescent="0.3">
      <c r="A186" s="3"/>
      <c r="B186" s="9" t="s">
        <v>51</v>
      </c>
      <c r="C186" s="53"/>
      <c r="D186" s="53"/>
      <c r="E186" s="11">
        <v>0</v>
      </c>
      <c r="F186" s="11">
        <v>0</v>
      </c>
      <c r="G186" s="56"/>
      <c r="H186" s="56"/>
      <c r="I186" s="144"/>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51</v>
      </c>
      <c r="C187" s="53"/>
      <c r="D187" s="53"/>
      <c r="E187" s="11">
        <v>0</v>
      </c>
      <c r="F187" s="11">
        <v>0</v>
      </c>
      <c r="G187" s="80"/>
      <c r="H187" s="56"/>
      <c r="I187" s="144"/>
      <c r="J187" s="56"/>
      <c r="K187" s="28"/>
      <c r="L187" s="28"/>
      <c r="M187" s="28"/>
      <c r="N187" s="28"/>
      <c r="O187" s="28"/>
      <c r="P187" s="28"/>
      <c r="Q187" s="28"/>
      <c r="R187" s="28"/>
      <c r="S187" s="28"/>
      <c r="T187" s="28"/>
      <c r="U187" s="3"/>
      <c r="W187" s="3"/>
      <c r="X187" s="3"/>
      <c r="Y187" s="3"/>
      <c r="Z187" s="3"/>
    </row>
    <row r="188" spans="1:26" ht="14.4" hidden="1" outlineLevel="1" x14ac:dyDescent="0.3">
      <c r="A188" s="3"/>
      <c r="B188" s="9" t="s">
        <v>51</v>
      </c>
      <c r="C188" s="53"/>
      <c r="D188" s="53"/>
      <c r="E188" s="11">
        <v>0</v>
      </c>
      <c r="F188" s="11">
        <v>0</v>
      </c>
      <c r="G188" s="56"/>
      <c r="H188" s="56"/>
      <c r="I188" s="144"/>
      <c r="J188" s="56"/>
      <c r="K188" s="28"/>
      <c r="L188" s="28"/>
      <c r="M188" s="28"/>
      <c r="N188" s="28"/>
      <c r="O188" s="28"/>
      <c r="P188" s="28"/>
      <c r="Q188" s="28"/>
      <c r="R188" s="28"/>
      <c r="S188" s="28"/>
      <c r="T188" s="28"/>
      <c r="U188" s="3"/>
      <c r="W188" s="3"/>
      <c r="X188" s="3"/>
      <c r="Y188" s="3"/>
      <c r="Z188" s="3"/>
    </row>
    <row r="189" spans="1:26" ht="14.4" hidden="1" outlineLevel="1" x14ac:dyDescent="0.3">
      <c r="A189" s="3"/>
      <c r="B189" s="9" t="s">
        <v>51</v>
      </c>
      <c r="C189" s="53"/>
      <c r="D189" s="53"/>
      <c r="E189" s="11">
        <v>0</v>
      </c>
      <c r="F189" s="11">
        <v>0</v>
      </c>
      <c r="G189" s="56"/>
      <c r="H189" s="56"/>
      <c r="I189" s="144"/>
      <c r="J189" s="56"/>
      <c r="K189" s="28"/>
      <c r="L189" s="28"/>
      <c r="M189" s="28"/>
      <c r="N189" s="28"/>
      <c r="O189" s="28"/>
      <c r="P189" s="28"/>
      <c r="Q189" s="28"/>
      <c r="R189" s="28"/>
      <c r="S189" s="28"/>
      <c r="T189" s="28"/>
      <c r="U189" s="3"/>
      <c r="W189" s="3"/>
      <c r="X189" s="3"/>
      <c r="Y189" s="3"/>
      <c r="Z189" s="3"/>
    </row>
    <row r="190" spans="1:26" ht="14.4" hidden="1" outlineLevel="1" x14ac:dyDescent="0.3">
      <c r="A190" s="3"/>
      <c r="B190" s="9" t="s">
        <v>51</v>
      </c>
      <c r="C190" s="53"/>
      <c r="D190" s="53"/>
      <c r="E190" s="11">
        <v>0</v>
      </c>
      <c r="F190" s="11">
        <v>0</v>
      </c>
      <c r="G190" s="80"/>
      <c r="H190" s="56"/>
      <c r="I190" s="117"/>
      <c r="J190" s="56"/>
      <c r="K190" s="28"/>
      <c r="L190" s="28"/>
      <c r="M190" s="28"/>
      <c r="N190" s="28"/>
      <c r="O190" s="28"/>
      <c r="P190" s="28"/>
      <c r="Q190" s="28"/>
      <c r="R190" s="28"/>
      <c r="S190" s="28"/>
      <c r="T190" s="28"/>
      <c r="U190" s="3"/>
      <c r="W190" s="3"/>
      <c r="X190" s="3"/>
      <c r="Y190" s="3"/>
      <c r="Z190" s="3"/>
    </row>
    <row r="191" spans="1:26" ht="14.4" hidden="1" outlineLevel="1" x14ac:dyDescent="0.3">
      <c r="A191" s="3"/>
      <c r="B191" s="9" t="s">
        <v>51</v>
      </c>
      <c r="C191" s="53"/>
      <c r="D191" s="53"/>
      <c r="E191" s="11">
        <v>0</v>
      </c>
      <c r="F191" s="11">
        <v>0</v>
      </c>
      <c r="G191" s="56"/>
      <c r="H191" s="56"/>
      <c r="I191" s="144"/>
      <c r="J191" s="56"/>
      <c r="K191" s="28"/>
      <c r="L191" s="28"/>
      <c r="M191" s="28"/>
      <c r="N191" s="28"/>
      <c r="O191" s="28"/>
      <c r="P191" s="28"/>
      <c r="Q191" s="28"/>
      <c r="R191" s="28"/>
      <c r="S191" s="28"/>
      <c r="T191" s="28"/>
      <c r="U191" s="3"/>
      <c r="W191" s="3"/>
      <c r="X191" s="3"/>
      <c r="Y191" s="3"/>
      <c r="Z191" s="3"/>
    </row>
    <row r="192" spans="1:26" ht="14.4" hidden="1" outlineLevel="1" x14ac:dyDescent="0.3">
      <c r="A192" s="3"/>
      <c r="B192" s="9" t="s">
        <v>51</v>
      </c>
      <c r="C192" s="53"/>
      <c r="D192" s="53"/>
      <c r="E192" s="11">
        <v>0</v>
      </c>
      <c r="F192" s="11">
        <v>0</v>
      </c>
      <c r="G192" s="56"/>
      <c r="H192" s="56"/>
      <c r="I192" s="144"/>
      <c r="J192" s="56"/>
      <c r="K192" s="28"/>
      <c r="L192" s="28"/>
      <c r="M192" s="28"/>
      <c r="N192" s="28"/>
      <c r="O192" s="28"/>
      <c r="P192" s="28"/>
      <c r="Q192" s="28"/>
      <c r="R192" s="28"/>
      <c r="S192" s="28"/>
      <c r="T192" s="28"/>
      <c r="U192" s="3"/>
      <c r="W192" s="3"/>
      <c r="X192" s="3"/>
      <c r="Y192" s="3"/>
      <c r="Z192" s="3"/>
    </row>
    <row r="193" spans="1:26" ht="14.4" hidden="1" outlineLevel="1" x14ac:dyDescent="0.3">
      <c r="A193" s="3"/>
      <c r="B193" s="9" t="s">
        <v>51</v>
      </c>
      <c r="C193" s="53"/>
      <c r="D193" s="53"/>
      <c r="E193" s="11">
        <v>0</v>
      </c>
      <c r="F193" s="11">
        <v>0</v>
      </c>
      <c r="G193" s="56"/>
      <c r="H193" s="56"/>
      <c r="I193" s="144"/>
      <c r="J193" s="56"/>
      <c r="K193" s="28"/>
      <c r="L193" s="28"/>
      <c r="M193" s="28"/>
      <c r="N193" s="28"/>
      <c r="O193" s="28"/>
      <c r="P193" s="28"/>
      <c r="Q193" s="28"/>
      <c r="R193" s="28"/>
      <c r="S193" s="28"/>
      <c r="T193" s="28"/>
      <c r="U193" s="3"/>
      <c r="W193" s="3"/>
      <c r="X193" s="3"/>
      <c r="Y193" s="3"/>
      <c r="Z193" s="3"/>
    </row>
    <row r="194" spans="1:26" ht="14.4" hidden="1" outlineLevel="1" x14ac:dyDescent="0.3">
      <c r="A194" s="3"/>
      <c r="B194" s="9" t="s">
        <v>51</v>
      </c>
      <c r="C194" s="53"/>
      <c r="D194" s="53"/>
      <c r="E194" s="11">
        <v>0</v>
      </c>
      <c r="F194" s="11">
        <v>0</v>
      </c>
      <c r="G194" s="56"/>
      <c r="H194" s="56"/>
      <c r="I194" s="144"/>
      <c r="J194" s="56"/>
      <c r="K194" s="28"/>
      <c r="L194" s="28"/>
      <c r="M194" s="28"/>
      <c r="N194" s="28"/>
      <c r="O194" s="28"/>
      <c r="P194" s="28"/>
      <c r="Q194" s="28"/>
      <c r="R194" s="28"/>
      <c r="S194" s="28"/>
      <c r="T194" s="28"/>
      <c r="U194" s="3"/>
      <c r="W194" s="3"/>
      <c r="X194" s="3"/>
      <c r="Y194" s="3"/>
      <c r="Z194" s="3"/>
    </row>
    <row r="195" spans="1:26" ht="14.4" hidden="1" outlineLevel="1" x14ac:dyDescent="0.3">
      <c r="A195" s="3"/>
      <c r="B195" s="9" t="s">
        <v>51</v>
      </c>
      <c r="C195" s="53"/>
      <c r="D195" s="53"/>
      <c r="E195" s="11">
        <v>0</v>
      </c>
      <c r="F195" s="11">
        <v>0</v>
      </c>
      <c r="G195" s="56"/>
      <c r="H195" s="56"/>
      <c r="I195" s="144"/>
      <c r="J195" s="56"/>
      <c r="K195" s="28"/>
      <c r="L195" s="28"/>
      <c r="M195" s="28"/>
      <c r="N195" s="28"/>
      <c r="O195" s="28"/>
      <c r="P195" s="28"/>
      <c r="Q195" s="28"/>
      <c r="R195" s="28"/>
      <c r="S195" s="28"/>
      <c r="T195" s="28"/>
      <c r="U195" s="3"/>
      <c r="W195" s="3"/>
      <c r="X195" s="3"/>
      <c r="Y195" s="3"/>
      <c r="Z195" s="3"/>
    </row>
    <row r="196" spans="1:26" ht="14.4" hidden="1" outlineLevel="1" x14ac:dyDescent="0.3">
      <c r="A196" s="3"/>
      <c r="B196" s="9" t="s">
        <v>51</v>
      </c>
      <c r="C196" s="53"/>
      <c r="D196" s="53"/>
      <c r="E196" s="11">
        <v>0</v>
      </c>
      <c r="F196" s="11">
        <v>0</v>
      </c>
      <c r="G196" s="56"/>
      <c r="H196" s="56"/>
      <c r="I196" s="117"/>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51</v>
      </c>
      <c r="C197" s="53"/>
      <c r="D197" s="53"/>
      <c r="E197" s="11">
        <v>0</v>
      </c>
      <c r="F197" s="11">
        <v>0</v>
      </c>
      <c r="G197" s="56"/>
      <c r="H197" s="56"/>
      <c r="I197" s="117"/>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51</v>
      </c>
      <c r="C198" s="53"/>
      <c r="D198" s="53"/>
      <c r="E198" s="11">
        <v>0</v>
      </c>
      <c r="F198" s="11">
        <v>0</v>
      </c>
      <c r="G198" s="56"/>
      <c r="H198" s="56"/>
      <c r="I198" s="144"/>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51</v>
      </c>
      <c r="C199" s="53"/>
      <c r="D199" s="53"/>
      <c r="E199" s="11">
        <v>0</v>
      </c>
      <c r="F199" s="11">
        <v>0</v>
      </c>
      <c r="G199" s="56"/>
      <c r="H199" s="56"/>
      <c r="I199" s="144"/>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51</v>
      </c>
      <c r="C200" s="53"/>
      <c r="D200" s="53"/>
      <c r="E200" s="11">
        <v>0</v>
      </c>
      <c r="F200" s="11">
        <v>0</v>
      </c>
      <c r="G200" s="56"/>
      <c r="H200" s="56"/>
      <c r="I200" s="144"/>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51</v>
      </c>
      <c r="C201" s="53"/>
      <c r="D201" s="53"/>
      <c r="E201" s="11">
        <v>0</v>
      </c>
      <c r="F201" s="11">
        <v>0</v>
      </c>
      <c r="G201" s="56"/>
      <c r="H201" s="56"/>
      <c r="I201" s="144"/>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144"/>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117"/>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51</v>
      </c>
      <c r="C204" s="53"/>
      <c r="D204" s="53"/>
      <c r="E204" s="11">
        <v>0</v>
      </c>
      <c r="F204" s="11">
        <v>0</v>
      </c>
      <c r="G204" s="56"/>
      <c r="H204" s="56"/>
      <c r="I204" s="144"/>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56"/>
      <c r="H205" s="56"/>
      <c r="I205" s="117"/>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51</v>
      </c>
      <c r="C206" s="53"/>
      <c r="D206" s="53"/>
      <c r="E206" s="11">
        <v>0</v>
      </c>
      <c r="F206" s="11">
        <v>0</v>
      </c>
      <c r="G206" s="56"/>
      <c r="H206" s="56"/>
      <c r="I206" s="117"/>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51</v>
      </c>
      <c r="C207" s="53"/>
      <c r="D207" s="53"/>
      <c r="E207" s="11">
        <v>0</v>
      </c>
      <c r="F207" s="11">
        <v>0</v>
      </c>
      <c r="G207" s="56"/>
      <c r="H207" s="56"/>
      <c r="I207" s="80"/>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51</v>
      </c>
      <c r="C208" s="53"/>
      <c r="D208" s="53"/>
      <c r="E208" s="11">
        <v>0</v>
      </c>
      <c r="F208" s="11">
        <v>0</v>
      </c>
      <c r="G208" s="56"/>
      <c r="H208" s="56"/>
      <c r="I208" s="80"/>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51</v>
      </c>
      <c r="C209" s="53"/>
      <c r="D209" s="53"/>
      <c r="E209" s="11">
        <v>0</v>
      </c>
      <c r="F209" s="11">
        <v>0</v>
      </c>
      <c r="G209" s="56"/>
      <c r="H209" s="56"/>
      <c r="I209" s="80"/>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51</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51</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20.399999999999999" collapsed="1" x14ac:dyDescent="0.3">
      <c r="A212" s="3"/>
      <c r="B212" s="75" t="s">
        <v>395</v>
      </c>
      <c r="C212" s="76" t="s">
        <v>44</v>
      </c>
      <c r="D212" s="76" t="s">
        <v>44</v>
      </c>
      <c r="E212" s="77">
        <f>SUM(E213:E221)</f>
        <v>0</v>
      </c>
      <c r="F212" s="77">
        <f>SUMIF(D213:D221,"OK",F213:F221)</f>
        <v>100</v>
      </c>
      <c r="G212" s="78"/>
      <c r="H212" s="78"/>
      <c r="I212" s="79"/>
      <c r="J212" s="78"/>
      <c r="K212" s="28"/>
      <c r="L212" s="28"/>
      <c r="M212" s="28"/>
      <c r="N212" s="28"/>
      <c r="O212" s="28"/>
      <c r="P212" s="28"/>
      <c r="Q212" s="28"/>
      <c r="R212" s="28"/>
      <c r="S212" s="28"/>
      <c r="T212" s="28"/>
      <c r="U212" s="3"/>
      <c r="W212" s="3"/>
      <c r="X212" s="3"/>
      <c r="Y212" s="3"/>
      <c r="Z212" s="3"/>
    </row>
    <row r="213" spans="1:26" ht="14.4" outlineLevel="1" x14ac:dyDescent="0.3">
      <c r="A213" s="3"/>
      <c r="B213" s="9" t="s">
        <v>1837</v>
      </c>
      <c r="C213" s="53">
        <v>11</v>
      </c>
      <c r="D213" s="53" t="s">
        <v>95</v>
      </c>
      <c r="E213" s="11">
        <v>0</v>
      </c>
      <c r="F213" s="11">
        <v>100</v>
      </c>
      <c r="G213" s="80"/>
      <c r="H213" s="56" t="s">
        <v>37</v>
      </c>
      <c r="I213" s="102" t="s">
        <v>1838</v>
      </c>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355</v>
      </c>
      <c r="C214" s="53"/>
      <c r="D214" s="53"/>
      <c r="E214" s="11">
        <v>0</v>
      </c>
      <c r="F214" s="11">
        <v>0</v>
      </c>
      <c r="G214" s="56"/>
      <c r="H214" s="56"/>
      <c r="I214" s="145"/>
      <c r="J214" s="56"/>
      <c r="K214" s="28"/>
      <c r="L214" s="28"/>
      <c r="M214" s="28"/>
      <c r="N214" s="28"/>
      <c r="O214" s="28"/>
      <c r="P214" s="28"/>
      <c r="Q214" s="28"/>
      <c r="R214" s="28"/>
      <c r="S214" s="28"/>
      <c r="T214" s="28"/>
      <c r="U214" s="3"/>
      <c r="W214" s="3"/>
      <c r="X214" s="3"/>
      <c r="Y214" s="3"/>
      <c r="Z214" s="3"/>
    </row>
    <row r="215" spans="1:26" ht="14.4" hidden="1" outlineLevel="1" x14ac:dyDescent="0.3">
      <c r="A215" s="3"/>
      <c r="B215" s="9" t="s">
        <v>356</v>
      </c>
      <c r="C215" s="53"/>
      <c r="D215" s="53"/>
      <c r="E215" s="11">
        <v>0</v>
      </c>
      <c r="F215" s="11">
        <v>0</v>
      </c>
      <c r="G215" s="56"/>
      <c r="H215" s="56"/>
      <c r="I215" s="145"/>
      <c r="J215" s="56"/>
      <c r="K215" s="28"/>
      <c r="L215" s="28"/>
      <c r="M215" s="28"/>
      <c r="N215" s="28"/>
      <c r="O215" s="28"/>
      <c r="P215" s="28"/>
      <c r="Q215" s="28"/>
      <c r="R215" s="28"/>
      <c r="S215" s="28"/>
      <c r="T215" s="28"/>
      <c r="U215" s="3"/>
      <c r="W215" s="3"/>
      <c r="X215" s="3"/>
      <c r="Y215" s="3"/>
      <c r="Z215" s="3"/>
    </row>
    <row r="216" spans="1:26" ht="14.4" hidden="1" outlineLevel="1" x14ac:dyDescent="0.3">
      <c r="A216" s="3"/>
      <c r="B216" s="9" t="s">
        <v>370</v>
      </c>
      <c r="C216" s="53"/>
      <c r="D216" s="53"/>
      <c r="E216" s="11">
        <v>0</v>
      </c>
      <c r="F216" s="11">
        <v>0</v>
      </c>
      <c r="G216" s="56"/>
      <c r="H216" s="56"/>
      <c r="I216" s="145"/>
      <c r="J216" s="56"/>
      <c r="K216" s="28"/>
      <c r="L216" s="28"/>
      <c r="M216" s="28"/>
      <c r="N216" s="28"/>
      <c r="O216" s="28"/>
      <c r="P216" s="28"/>
      <c r="Q216" s="28"/>
      <c r="R216" s="28"/>
      <c r="S216" s="28"/>
      <c r="T216" s="28"/>
      <c r="U216" s="3"/>
      <c r="W216" s="3"/>
      <c r="X216" s="3"/>
      <c r="Y216" s="3"/>
      <c r="Z216" s="3"/>
    </row>
    <row r="217" spans="1:26" ht="14.4" hidden="1" outlineLevel="1" x14ac:dyDescent="0.3">
      <c r="A217" s="3"/>
      <c r="B217" s="9" t="s">
        <v>328</v>
      </c>
      <c r="C217" s="53"/>
      <c r="D217" s="53"/>
      <c r="E217" s="11">
        <v>0</v>
      </c>
      <c r="F217" s="11">
        <v>0</v>
      </c>
      <c r="G217" s="56"/>
      <c r="H217" s="56"/>
      <c r="I217" s="145"/>
      <c r="J217" s="56"/>
      <c r="K217" s="28"/>
      <c r="L217" s="28"/>
      <c r="M217" s="28"/>
      <c r="N217" s="28"/>
      <c r="O217" s="28"/>
      <c r="P217" s="28"/>
      <c r="Q217" s="28"/>
      <c r="R217" s="28"/>
      <c r="S217" s="28"/>
      <c r="T217" s="28"/>
      <c r="U217" s="3"/>
      <c r="W217" s="3"/>
      <c r="X217" s="3"/>
      <c r="Y217" s="3"/>
      <c r="Z217" s="3"/>
    </row>
    <row r="218" spans="1:26" ht="14.4" hidden="1" outlineLevel="1" x14ac:dyDescent="0.3">
      <c r="A218" s="3"/>
      <c r="B218" s="9" t="s">
        <v>329</v>
      </c>
      <c r="C218" s="53"/>
      <c r="D218" s="53"/>
      <c r="E218" s="11">
        <v>0</v>
      </c>
      <c r="F218" s="11">
        <v>0</v>
      </c>
      <c r="G218" s="56"/>
      <c r="H218" s="56"/>
      <c r="I218" s="145"/>
      <c r="J218" s="56"/>
      <c r="K218" s="28"/>
      <c r="L218" s="28"/>
      <c r="M218" s="28"/>
      <c r="N218" s="28"/>
      <c r="O218" s="28"/>
      <c r="P218" s="28"/>
      <c r="Q218" s="28"/>
      <c r="R218" s="28"/>
      <c r="S218" s="28"/>
      <c r="T218" s="28"/>
      <c r="U218" s="3"/>
      <c r="W218" s="3"/>
      <c r="X218" s="3"/>
      <c r="Y218" s="3"/>
      <c r="Z218" s="3"/>
    </row>
    <row r="219" spans="1:26" ht="14.4" hidden="1" outlineLevel="1" x14ac:dyDescent="0.3">
      <c r="A219" s="3"/>
      <c r="B219" s="9" t="s">
        <v>371</v>
      </c>
      <c r="C219" s="53"/>
      <c r="D219" s="53"/>
      <c r="E219" s="11">
        <v>0</v>
      </c>
      <c r="F219" s="11">
        <v>0</v>
      </c>
      <c r="G219" s="56"/>
      <c r="H219" s="56"/>
      <c r="I219" s="145"/>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372</v>
      </c>
      <c r="C220" s="53"/>
      <c r="D220" s="53"/>
      <c r="E220" s="11">
        <v>0</v>
      </c>
      <c r="F220" s="11">
        <v>0</v>
      </c>
      <c r="G220" s="56"/>
      <c r="H220" s="56"/>
      <c r="I220" s="80"/>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373</v>
      </c>
      <c r="C221" s="53"/>
      <c r="D221" s="53"/>
      <c r="E221" s="11">
        <v>0</v>
      </c>
      <c r="F221" s="11">
        <v>0</v>
      </c>
      <c r="G221" s="56"/>
      <c r="H221" s="56"/>
      <c r="I221" s="80"/>
      <c r="J221" s="56"/>
      <c r="K221" s="28"/>
      <c r="L221" s="28"/>
      <c r="M221" s="28"/>
      <c r="N221" s="28"/>
      <c r="O221" s="28"/>
      <c r="P221" s="28"/>
      <c r="Q221" s="28"/>
      <c r="R221" s="28"/>
      <c r="S221" s="28"/>
      <c r="T221" s="28"/>
      <c r="U221" s="3"/>
      <c r="W221" s="3"/>
      <c r="X221" s="3"/>
      <c r="Y221" s="3"/>
      <c r="Z221" s="3"/>
    </row>
    <row r="222" spans="1:26" ht="20.399999999999999" hidden="1" x14ac:dyDescent="0.3">
      <c r="A222" s="3"/>
      <c r="B222" s="75" t="s">
        <v>402</v>
      </c>
      <c r="C222" s="76" t="s">
        <v>44</v>
      </c>
      <c r="D222" s="76" t="s">
        <v>44</v>
      </c>
      <c r="E222" s="77">
        <f>SUM(E223:E231)</f>
        <v>0</v>
      </c>
      <c r="F222" s="77">
        <f>SUMIF(D223:D231,"OK",F223:F231)</f>
        <v>0</v>
      </c>
      <c r="G222" s="78"/>
      <c r="H222" s="78"/>
      <c r="I222" s="79"/>
      <c r="J222" s="78"/>
      <c r="K222" s="28"/>
      <c r="L222" s="28"/>
      <c r="M222" s="28"/>
      <c r="N222" s="28"/>
      <c r="O222" s="28"/>
      <c r="P222" s="28"/>
      <c r="Q222" s="28"/>
      <c r="R222" s="28"/>
      <c r="S222" s="28"/>
      <c r="T222" s="28"/>
      <c r="U222" s="3"/>
      <c r="W222" s="3"/>
      <c r="X222" s="3"/>
      <c r="Y222" s="3"/>
      <c r="Z222" s="3"/>
    </row>
    <row r="223" spans="1:26" ht="14.4" hidden="1" outlineLevel="1" x14ac:dyDescent="0.3">
      <c r="A223" s="3"/>
      <c r="B223" s="9" t="s">
        <v>1839</v>
      </c>
      <c r="C223" s="53"/>
      <c r="D223" s="53"/>
      <c r="E223" s="11">
        <v>0</v>
      </c>
      <c r="F223" s="11">
        <v>0</v>
      </c>
      <c r="G223" s="56"/>
      <c r="H223" s="56"/>
      <c r="I223" s="145"/>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1840</v>
      </c>
      <c r="C224" s="53"/>
      <c r="D224" s="53"/>
      <c r="E224" s="11">
        <v>0</v>
      </c>
      <c r="F224" s="11">
        <v>0</v>
      </c>
      <c r="G224" s="56"/>
      <c r="H224" s="56"/>
      <c r="I224" s="145"/>
      <c r="J224" s="56"/>
      <c r="K224" s="28"/>
      <c r="L224" s="28"/>
      <c r="M224" s="28"/>
      <c r="N224" s="28"/>
      <c r="O224" s="28"/>
      <c r="P224" s="28"/>
      <c r="Q224" s="28"/>
      <c r="R224" s="28"/>
      <c r="S224" s="28"/>
      <c r="T224" s="28"/>
      <c r="U224" s="3"/>
      <c r="W224" s="3"/>
      <c r="X224" s="3"/>
      <c r="Y224" s="3"/>
      <c r="Z224" s="3"/>
    </row>
    <row r="225" spans="1:26" ht="14.4" hidden="1" outlineLevel="1" x14ac:dyDescent="0.3">
      <c r="A225" s="3"/>
      <c r="B225" s="9" t="s">
        <v>1841</v>
      </c>
      <c r="C225" s="53"/>
      <c r="D225" s="53"/>
      <c r="E225" s="11">
        <v>0</v>
      </c>
      <c r="F225" s="11">
        <v>0</v>
      </c>
      <c r="G225" s="56"/>
      <c r="H225" s="56"/>
      <c r="I225" s="145"/>
      <c r="J225" s="56"/>
      <c r="K225" s="28"/>
      <c r="L225" s="28"/>
      <c r="M225" s="28"/>
      <c r="N225" s="28"/>
      <c r="O225" s="28"/>
      <c r="P225" s="28"/>
      <c r="Q225" s="28"/>
      <c r="R225" s="28"/>
      <c r="S225" s="28"/>
      <c r="T225" s="28"/>
      <c r="U225" s="3"/>
      <c r="W225" s="3"/>
      <c r="X225" s="3"/>
      <c r="Y225" s="3"/>
      <c r="Z225" s="3"/>
    </row>
    <row r="226" spans="1:26" ht="14.4" hidden="1" outlineLevel="1" x14ac:dyDescent="0.3">
      <c r="A226" s="3"/>
      <c r="B226" s="9" t="s">
        <v>1841</v>
      </c>
      <c r="C226" s="53"/>
      <c r="D226" s="53"/>
      <c r="E226" s="11">
        <v>0</v>
      </c>
      <c r="F226" s="11">
        <v>0</v>
      </c>
      <c r="G226" s="56"/>
      <c r="H226" s="56"/>
      <c r="I226" s="145"/>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328</v>
      </c>
      <c r="C227" s="53"/>
      <c r="D227" s="53"/>
      <c r="E227" s="11">
        <v>0</v>
      </c>
      <c r="F227" s="11">
        <v>0</v>
      </c>
      <c r="G227" s="56"/>
      <c r="H227" s="56"/>
      <c r="I227" s="144"/>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329</v>
      </c>
      <c r="C228" s="53"/>
      <c r="D228" s="53"/>
      <c r="E228" s="11">
        <v>0</v>
      </c>
      <c r="F228" s="11">
        <v>0</v>
      </c>
      <c r="G228" s="56"/>
      <c r="H228" s="56"/>
      <c r="I228" s="144"/>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371</v>
      </c>
      <c r="C229" s="53"/>
      <c r="D229" s="53"/>
      <c r="E229" s="11">
        <v>0</v>
      </c>
      <c r="F229" s="11">
        <v>0</v>
      </c>
      <c r="G229" s="56"/>
      <c r="H229" s="56"/>
      <c r="I229" s="144"/>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372</v>
      </c>
      <c r="C230" s="53"/>
      <c r="D230" s="53"/>
      <c r="E230" s="11">
        <v>0</v>
      </c>
      <c r="F230" s="11">
        <v>0</v>
      </c>
      <c r="G230" s="80"/>
      <c r="H230" s="56"/>
      <c r="I230" s="144"/>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373</v>
      </c>
      <c r="C231" s="53"/>
      <c r="D231" s="53"/>
      <c r="E231" s="11">
        <v>0</v>
      </c>
      <c r="F231" s="11">
        <v>0</v>
      </c>
      <c r="G231" s="80"/>
      <c r="H231" s="56"/>
      <c r="I231" s="144"/>
      <c r="J231" s="56"/>
      <c r="K231" s="28"/>
      <c r="L231" s="28"/>
      <c r="M231" s="28"/>
      <c r="N231" s="28"/>
      <c r="O231" s="28"/>
      <c r="P231" s="28"/>
      <c r="Q231" s="28"/>
      <c r="R231" s="28"/>
      <c r="S231" s="28"/>
      <c r="T231" s="28"/>
      <c r="U231" s="3"/>
      <c r="W231" s="3"/>
      <c r="X231" s="3"/>
      <c r="Y231" s="3"/>
      <c r="Z231" s="3"/>
    </row>
    <row r="232" spans="1:26" ht="20.399999999999999" hidden="1" collapsed="1" x14ac:dyDescent="0.3">
      <c r="A232" s="3"/>
      <c r="B232" s="75" t="s">
        <v>403</v>
      </c>
      <c r="C232" s="76" t="s">
        <v>44</v>
      </c>
      <c r="D232" s="76" t="s">
        <v>44</v>
      </c>
      <c r="E232" s="77">
        <f>SUM(E233:E241)</f>
        <v>0</v>
      </c>
      <c r="F232" s="77">
        <f>SUMIF(D233:D241,"OK",F233:F241)</f>
        <v>0</v>
      </c>
      <c r="G232" s="78"/>
      <c r="H232" s="78"/>
      <c r="I232" s="79"/>
      <c r="J232" s="78"/>
      <c r="K232" s="28"/>
      <c r="L232" s="28"/>
      <c r="M232" s="28"/>
      <c r="N232" s="28"/>
      <c r="O232" s="28"/>
      <c r="P232" s="28"/>
      <c r="Q232" s="28"/>
      <c r="R232" s="28"/>
      <c r="S232" s="28"/>
      <c r="T232" s="28"/>
      <c r="U232" s="3"/>
      <c r="W232" s="3"/>
      <c r="X232" s="3"/>
      <c r="Y232" s="3"/>
      <c r="Z232" s="3"/>
    </row>
    <row r="233" spans="1:26" ht="14.4" hidden="1" outlineLevel="1" x14ac:dyDescent="0.3">
      <c r="A233" s="3"/>
      <c r="B233" s="9" t="s">
        <v>354</v>
      </c>
      <c r="C233" s="53"/>
      <c r="D233" s="53"/>
      <c r="E233" s="11">
        <v>0</v>
      </c>
      <c r="F233" s="11">
        <v>0</v>
      </c>
      <c r="G233" s="56"/>
      <c r="H233" s="56"/>
      <c r="I233" s="144"/>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355</v>
      </c>
      <c r="C234" s="53"/>
      <c r="D234" s="53"/>
      <c r="E234" s="11">
        <v>0</v>
      </c>
      <c r="F234" s="11">
        <v>0</v>
      </c>
      <c r="G234" s="56"/>
      <c r="H234" s="56"/>
      <c r="I234" s="144"/>
      <c r="J234" s="56"/>
      <c r="K234" s="28"/>
      <c r="L234" s="28"/>
      <c r="M234" s="28"/>
      <c r="N234" s="28"/>
      <c r="O234" s="28"/>
      <c r="P234" s="28"/>
      <c r="Q234" s="28"/>
      <c r="R234" s="28"/>
      <c r="S234" s="28"/>
      <c r="T234" s="28"/>
      <c r="U234" s="3"/>
      <c r="W234" s="3"/>
      <c r="X234" s="3"/>
      <c r="Y234" s="3"/>
      <c r="Z234" s="3"/>
    </row>
    <row r="235" spans="1:26" ht="14.4" hidden="1" outlineLevel="1" x14ac:dyDescent="0.3">
      <c r="A235" s="3"/>
      <c r="B235" s="9" t="s">
        <v>356</v>
      </c>
      <c r="C235" s="53"/>
      <c r="D235" s="53"/>
      <c r="E235" s="11">
        <v>0</v>
      </c>
      <c r="F235" s="11">
        <v>0</v>
      </c>
      <c r="G235" s="56"/>
      <c r="H235" s="56"/>
      <c r="I235" s="80"/>
      <c r="J235" s="56"/>
      <c r="K235" s="28"/>
      <c r="L235" s="28"/>
      <c r="M235" s="28"/>
      <c r="N235" s="28"/>
      <c r="O235" s="28"/>
      <c r="P235" s="28"/>
      <c r="Q235" s="28"/>
      <c r="R235" s="28"/>
      <c r="S235" s="28"/>
      <c r="T235" s="28"/>
      <c r="U235" s="3"/>
      <c r="W235" s="3"/>
      <c r="X235" s="3"/>
      <c r="Y235" s="3"/>
      <c r="Z235" s="3"/>
    </row>
    <row r="236" spans="1:26" ht="14.4" hidden="1" outlineLevel="1" x14ac:dyDescent="0.3">
      <c r="A236" s="3"/>
      <c r="B236" s="9" t="s">
        <v>370</v>
      </c>
      <c r="C236" s="53"/>
      <c r="D236" s="53"/>
      <c r="E236" s="11">
        <v>0</v>
      </c>
      <c r="F236" s="11">
        <v>0</v>
      </c>
      <c r="G236" s="56"/>
      <c r="H236" s="56"/>
      <c r="I236" s="80"/>
      <c r="J236" s="56"/>
      <c r="K236" s="28"/>
      <c r="L236" s="28"/>
      <c r="M236" s="28"/>
      <c r="N236" s="28"/>
      <c r="O236" s="28"/>
      <c r="P236" s="28"/>
      <c r="Q236" s="28"/>
      <c r="R236" s="28"/>
      <c r="S236" s="28"/>
      <c r="T236" s="28"/>
      <c r="U236" s="3"/>
      <c r="W236" s="3"/>
      <c r="X236" s="3"/>
      <c r="Y236" s="3"/>
      <c r="Z236" s="3"/>
    </row>
    <row r="237" spans="1:26" ht="14.4" hidden="1" outlineLevel="1" x14ac:dyDescent="0.3">
      <c r="A237" s="3"/>
      <c r="B237" s="9" t="s">
        <v>328</v>
      </c>
      <c r="C237" s="53"/>
      <c r="D237" s="53"/>
      <c r="E237" s="11">
        <v>0</v>
      </c>
      <c r="F237" s="11">
        <v>0</v>
      </c>
      <c r="G237" s="56"/>
      <c r="H237" s="56"/>
      <c r="I237" s="80"/>
      <c r="J237" s="56"/>
      <c r="K237" s="28"/>
      <c r="L237" s="28"/>
      <c r="M237" s="28"/>
      <c r="N237" s="28"/>
      <c r="O237" s="28"/>
      <c r="P237" s="28"/>
      <c r="Q237" s="28"/>
      <c r="R237" s="28"/>
      <c r="S237" s="28"/>
      <c r="T237" s="28"/>
      <c r="U237" s="3"/>
      <c r="W237" s="3"/>
      <c r="X237" s="3"/>
      <c r="Y237" s="3"/>
      <c r="Z237" s="3"/>
    </row>
    <row r="238" spans="1:26" ht="14.4" hidden="1" outlineLevel="1" x14ac:dyDescent="0.3">
      <c r="A238" s="3"/>
      <c r="B238" s="9" t="s">
        <v>329</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371</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372</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373</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20.399999999999999" collapsed="1" x14ac:dyDescent="0.3">
      <c r="A242" s="3"/>
      <c r="B242" s="75" t="s">
        <v>404</v>
      </c>
      <c r="C242" s="76" t="s">
        <v>44</v>
      </c>
      <c r="D242" s="76" t="s">
        <v>44</v>
      </c>
      <c r="E242" s="77">
        <f>SUM(E243:E251)</f>
        <v>0</v>
      </c>
      <c r="F242" s="77">
        <f>SUMIF(D243:D251,"OK",F243:F251)</f>
        <v>80</v>
      </c>
      <c r="G242" s="78"/>
      <c r="H242" s="78"/>
      <c r="I242" s="79"/>
      <c r="J242" s="78"/>
      <c r="K242" s="28"/>
      <c r="L242" s="28"/>
      <c r="M242" s="28"/>
      <c r="N242" s="28"/>
      <c r="O242" s="28"/>
      <c r="P242" s="28"/>
      <c r="Q242" s="28"/>
      <c r="R242" s="28"/>
      <c r="S242" s="28"/>
      <c r="T242" s="28"/>
      <c r="U242" s="3"/>
      <c r="W242" s="3"/>
      <c r="X242" s="3"/>
      <c r="Y242" s="3"/>
      <c r="Z242" s="3"/>
    </row>
    <row r="243" spans="1:26" ht="14.4" outlineLevel="1" x14ac:dyDescent="0.3">
      <c r="A243" s="3"/>
      <c r="B243" s="9" t="s">
        <v>1526</v>
      </c>
      <c r="C243" s="53">
        <v>17</v>
      </c>
      <c r="D243" s="53" t="s">
        <v>95</v>
      </c>
      <c r="E243" s="11">
        <v>0</v>
      </c>
      <c r="F243" s="11">
        <v>80</v>
      </c>
      <c r="G243" s="80" t="s">
        <v>1842</v>
      </c>
      <c r="H243" s="56" t="s">
        <v>37</v>
      </c>
      <c r="I243" s="102" t="s">
        <v>1782</v>
      </c>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355</v>
      </c>
      <c r="C244" s="53"/>
      <c r="D244" s="53"/>
      <c r="E244" s="11">
        <v>0</v>
      </c>
      <c r="F244" s="11">
        <v>0</v>
      </c>
      <c r="G244" s="56"/>
      <c r="H244" s="56"/>
      <c r="I244" s="144"/>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356</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370</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14.4" hidden="1" outlineLevel="1" x14ac:dyDescent="0.3">
      <c r="A247" s="3"/>
      <c r="B247" s="9" t="s">
        <v>328</v>
      </c>
      <c r="C247" s="53"/>
      <c r="D247" s="53"/>
      <c r="E247" s="11">
        <v>0</v>
      </c>
      <c r="F247" s="11">
        <v>0</v>
      </c>
      <c r="G247" s="56"/>
      <c r="H247" s="56"/>
      <c r="I247" s="80"/>
      <c r="J247" s="56"/>
      <c r="K247" s="28"/>
      <c r="L247" s="28"/>
      <c r="M247" s="28"/>
      <c r="N247" s="28"/>
      <c r="O247" s="28"/>
      <c r="P247" s="28"/>
      <c r="Q247" s="28"/>
      <c r="R247" s="28"/>
      <c r="S247" s="28"/>
      <c r="T247" s="28"/>
      <c r="U247" s="3"/>
      <c r="W247" s="3"/>
      <c r="X247" s="3"/>
      <c r="Y247" s="3"/>
      <c r="Z247" s="3"/>
    </row>
    <row r="248" spans="1:26" ht="14.4" hidden="1" outlineLevel="1" x14ac:dyDescent="0.3">
      <c r="A248" s="3"/>
      <c r="B248" s="9" t="s">
        <v>329</v>
      </c>
      <c r="C248" s="53"/>
      <c r="D248" s="53"/>
      <c r="E248" s="11">
        <v>0</v>
      </c>
      <c r="F248" s="11">
        <v>0</v>
      </c>
      <c r="G248" s="56"/>
      <c r="H248" s="56"/>
      <c r="I248" s="80"/>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371</v>
      </c>
      <c r="C249" s="53"/>
      <c r="D249" s="53"/>
      <c r="E249" s="11">
        <v>0</v>
      </c>
      <c r="F249" s="11">
        <v>0</v>
      </c>
      <c r="G249" s="56"/>
      <c r="H249" s="56"/>
      <c r="I249" s="80"/>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372</v>
      </c>
      <c r="C250" s="53"/>
      <c r="D250" s="53"/>
      <c r="E250" s="11">
        <v>0</v>
      </c>
      <c r="F250" s="11">
        <v>0</v>
      </c>
      <c r="G250" s="56"/>
      <c r="H250" s="56"/>
      <c r="I250" s="80"/>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373</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20.399999999999999" hidden="1" x14ac:dyDescent="0.3">
      <c r="A252" s="3"/>
      <c r="B252" s="75" t="s">
        <v>406</v>
      </c>
      <c r="C252" s="76" t="s">
        <v>44</v>
      </c>
      <c r="D252" s="76" t="s">
        <v>44</v>
      </c>
      <c r="E252" s="77">
        <f>SUM(E253:E261)</f>
        <v>0</v>
      </c>
      <c r="F252" s="77">
        <f>SUMIF(D253:D261,"OK",F253:F261)</f>
        <v>0</v>
      </c>
      <c r="G252" s="78"/>
      <c r="H252" s="78"/>
      <c r="I252" s="79"/>
      <c r="J252" s="78"/>
      <c r="K252" s="28"/>
      <c r="L252" s="28"/>
      <c r="M252" s="28"/>
      <c r="N252" s="28"/>
      <c r="O252" s="28"/>
      <c r="P252" s="28"/>
      <c r="Q252" s="28"/>
      <c r="R252" s="28"/>
      <c r="S252" s="28"/>
      <c r="T252" s="28"/>
      <c r="U252" s="3"/>
      <c r="W252" s="3"/>
      <c r="X252" s="3"/>
      <c r="Y252" s="3"/>
      <c r="Z252" s="3"/>
    </row>
    <row r="253" spans="1:26" ht="14.4" hidden="1" outlineLevel="1" x14ac:dyDescent="0.3">
      <c r="A253" s="3"/>
      <c r="B253" s="9" t="s">
        <v>354</v>
      </c>
      <c r="C253" s="53"/>
      <c r="D253" s="53"/>
      <c r="E253" s="11">
        <v>0</v>
      </c>
      <c r="F253" s="11">
        <v>0</v>
      </c>
      <c r="G253" s="56"/>
      <c r="H253" s="56"/>
      <c r="I253" s="144"/>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355</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356</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t="14.4" hidden="1" outlineLevel="1" x14ac:dyDescent="0.3">
      <c r="A256" s="3"/>
      <c r="B256" s="9" t="s">
        <v>370</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t="14.4" hidden="1" outlineLevel="1" x14ac:dyDescent="0.3">
      <c r="A257" s="3"/>
      <c r="B257" s="9" t="s">
        <v>328</v>
      </c>
      <c r="C257" s="53"/>
      <c r="D257" s="53"/>
      <c r="E257" s="11">
        <v>0</v>
      </c>
      <c r="F257" s="11">
        <v>0</v>
      </c>
      <c r="G257" s="56"/>
      <c r="H257" s="56"/>
      <c r="I257" s="80"/>
      <c r="J257" s="56"/>
      <c r="K257" s="28"/>
      <c r="L257" s="28"/>
      <c r="M257" s="28"/>
      <c r="N257" s="28"/>
      <c r="O257" s="28"/>
      <c r="P257" s="28"/>
      <c r="Q257" s="28"/>
      <c r="R257" s="28"/>
      <c r="S257" s="28"/>
      <c r="T257" s="28"/>
      <c r="U257" s="3"/>
      <c r="W257" s="3"/>
      <c r="X257" s="3"/>
      <c r="Y257" s="3"/>
      <c r="Z257" s="3"/>
    </row>
    <row r="258" spans="1:26" ht="14.4" hidden="1" outlineLevel="1" x14ac:dyDescent="0.3">
      <c r="A258" s="3"/>
      <c r="B258" s="9" t="s">
        <v>329</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371</v>
      </c>
      <c r="C259" s="53"/>
      <c r="D259" s="53"/>
      <c r="E259" s="11">
        <v>0</v>
      </c>
      <c r="F259" s="11">
        <v>0</v>
      </c>
      <c r="G259" s="56"/>
      <c r="H259" s="56"/>
      <c r="I259" s="80"/>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372</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373</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20.399999999999999" collapsed="1" x14ac:dyDescent="0.3">
      <c r="A262" s="3"/>
      <c r="B262" s="75" t="s">
        <v>409</v>
      </c>
      <c r="C262" s="76" t="s">
        <v>44</v>
      </c>
      <c r="D262" s="76" t="s">
        <v>44</v>
      </c>
      <c r="E262" s="77">
        <f>SUM(E263,E273,E283,E293)</f>
        <v>0</v>
      </c>
      <c r="F262" s="77">
        <f>SUM(F263,F273,F283,F293,F315)</f>
        <v>3688.05</v>
      </c>
      <c r="G262" s="78"/>
      <c r="H262" s="78"/>
      <c r="I262" s="79"/>
      <c r="J262" s="78"/>
      <c r="K262" s="28"/>
      <c r="L262" s="28"/>
      <c r="M262" s="28"/>
      <c r="N262" s="28"/>
      <c r="O262" s="28"/>
      <c r="P262" s="28"/>
      <c r="Q262" s="28"/>
      <c r="R262" s="28"/>
      <c r="S262" s="28"/>
      <c r="T262" s="28"/>
      <c r="U262" s="3"/>
      <c r="W262" s="3"/>
      <c r="X262" s="3"/>
      <c r="Y262" s="3"/>
      <c r="Z262" s="3"/>
    </row>
    <row r="263" spans="1:26" outlineLevel="1" x14ac:dyDescent="0.3">
      <c r="A263" s="3"/>
      <c r="B263" s="82" t="s">
        <v>233</v>
      </c>
      <c r="C263" s="83"/>
      <c r="D263" s="83"/>
      <c r="E263" s="84">
        <f>SUM(E264:E272)</f>
        <v>0</v>
      </c>
      <c r="F263" s="84">
        <f>SUMIF(D264:D272,"OK",F264:F272)</f>
        <v>618.54999999999995</v>
      </c>
      <c r="G263" s="85"/>
      <c r="H263" s="85"/>
      <c r="I263" s="86"/>
      <c r="J263" s="85"/>
      <c r="K263" s="28"/>
      <c r="L263" s="28"/>
      <c r="M263" s="28"/>
      <c r="N263" s="28"/>
      <c r="O263" s="28"/>
      <c r="P263" s="28"/>
      <c r="Q263" s="28"/>
      <c r="R263" s="28"/>
      <c r="S263" s="28"/>
      <c r="T263" s="28"/>
      <c r="U263" s="3"/>
      <c r="W263" s="3"/>
      <c r="X263" s="3"/>
      <c r="Y263" s="3"/>
      <c r="Z263" s="3"/>
    </row>
    <row r="264" spans="1:26" ht="14.4" outlineLevel="1" x14ac:dyDescent="0.3">
      <c r="A264" s="3"/>
      <c r="B264" s="9" t="s">
        <v>1843</v>
      </c>
      <c r="C264" s="53">
        <v>6</v>
      </c>
      <c r="D264" s="53" t="s">
        <v>95</v>
      </c>
      <c r="E264" s="11">
        <v>0</v>
      </c>
      <c r="F264" s="11">
        <v>32.99</v>
      </c>
      <c r="G264" s="56"/>
      <c r="H264" s="56" t="s">
        <v>37</v>
      </c>
      <c r="I264" s="115" t="s">
        <v>1844</v>
      </c>
      <c r="J264" s="56"/>
      <c r="K264" s="28"/>
      <c r="L264" s="28"/>
      <c r="M264" s="28"/>
      <c r="N264" s="28"/>
      <c r="O264" s="28"/>
      <c r="P264" s="28"/>
      <c r="Q264" s="28"/>
      <c r="R264" s="28"/>
      <c r="S264" s="28"/>
      <c r="T264" s="28"/>
      <c r="U264" s="3"/>
      <c r="W264" s="3"/>
      <c r="X264" s="3"/>
      <c r="Y264" s="3"/>
      <c r="Z264" s="3"/>
    </row>
    <row r="265" spans="1:26" ht="14.4" outlineLevel="1" x14ac:dyDescent="0.3">
      <c r="A265" s="3"/>
      <c r="B265" s="9" t="s">
        <v>650</v>
      </c>
      <c r="C265" s="53">
        <v>20</v>
      </c>
      <c r="D265" s="53" t="s">
        <v>95</v>
      </c>
      <c r="E265" s="11">
        <v>0</v>
      </c>
      <c r="F265" s="11">
        <f>410</f>
        <v>410</v>
      </c>
      <c r="G265" s="56"/>
      <c r="H265" s="56" t="s">
        <v>37</v>
      </c>
      <c r="I265" s="115" t="s">
        <v>1845</v>
      </c>
      <c r="J265" s="56"/>
      <c r="K265" s="28"/>
      <c r="L265" s="28"/>
      <c r="M265" s="28"/>
      <c r="N265" s="28"/>
      <c r="O265" s="28"/>
      <c r="P265" s="28"/>
      <c r="Q265" s="28"/>
      <c r="R265" s="28"/>
      <c r="S265" s="28"/>
      <c r="T265" s="28"/>
      <c r="U265" s="3"/>
      <c r="W265" s="3"/>
      <c r="X265" s="3"/>
      <c r="Y265" s="3"/>
      <c r="Z265" s="3"/>
    </row>
    <row r="266" spans="1:26" ht="14.4" outlineLevel="1" x14ac:dyDescent="0.3">
      <c r="A266" s="3"/>
      <c r="B266" s="9" t="s">
        <v>1846</v>
      </c>
      <c r="C266" s="53">
        <v>20</v>
      </c>
      <c r="D266" s="53" t="s">
        <v>95</v>
      </c>
      <c r="E266" s="11">
        <v>0</v>
      </c>
      <c r="F266" s="11">
        <v>28.5</v>
      </c>
      <c r="G266" s="56"/>
      <c r="H266" s="56" t="s">
        <v>37</v>
      </c>
      <c r="I266" s="115" t="s">
        <v>1847</v>
      </c>
      <c r="J266" s="56"/>
      <c r="K266" s="28"/>
      <c r="L266" s="28"/>
      <c r="M266" s="28"/>
      <c r="N266" s="28"/>
      <c r="O266" s="28"/>
      <c r="P266" s="28"/>
      <c r="Q266" s="28"/>
      <c r="R266" s="28"/>
      <c r="S266" s="28"/>
      <c r="T266" s="28"/>
      <c r="U266" s="3"/>
      <c r="W266" s="3"/>
      <c r="X266" s="3"/>
      <c r="Y266" s="3"/>
      <c r="Z266" s="3"/>
    </row>
    <row r="267" spans="1:26" ht="14.4" outlineLevel="1" x14ac:dyDescent="0.3">
      <c r="A267" s="3"/>
      <c r="B267" s="9" t="s">
        <v>1843</v>
      </c>
      <c r="C267" s="53">
        <v>20</v>
      </c>
      <c r="D267" s="53" t="s">
        <v>95</v>
      </c>
      <c r="E267" s="11">
        <v>0</v>
      </c>
      <c r="F267" s="11">
        <v>15.57</v>
      </c>
      <c r="G267" s="56"/>
      <c r="H267" s="56" t="s">
        <v>37</v>
      </c>
      <c r="I267" s="102" t="s">
        <v>1848</v>
      </c>
      <c r="J267" s="56"/>
      <c r="K267" s="28"/>
      <c r="L267" s="28"/>
      <c r="M267" s="28"/>
      <c r="N267" s="28"/>
      <c r="O267" s="28"/>
      <c r="P267" s="28"/>
      <c r="Q267" s="28"/>
      <c r="R267" s="28"/>
      <c r="S267" s="28"/>
      <c r="T267" s="28"/>
      <c r="U267" s="3"/>
      <c r="W267" s="3"/>
      <c r="X267" s="3"/>
      <c r="Y267" s="3"/>
      <c r="Z267" s="3"/>
    </row>
    <row r="268" spans="1:26" ht="14.4" outlineLevel="1" x14ac:dyDescent="0.3">
      <c r="A268" s="3"/>
      <c r="B268" s="9" t="s">
        <v>363</v>
      </c>
      <c r="C268" s="53">
        <v>26</v>
      </c>
      <c r="D268" s="53" t="s">
        <v>95</v>
      </c>
      <c r="E268" s="11">
        <v>0</v>
      </c>
      <c r="F268" s="11">
        <v>131.49</v>
      </c>
      <c r="G268" s="56"/>
      <c r="H268" s="56" t="s">
        <v>37</v>
      </c>
      <c r="I268" s="102" t="s">
        <v>1849</v>
      </c>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329</v>
      </c>
      <c r="C269" s="53"/>
      <c r="D269" s="53"/>
      <c r="E269" s="11">
        <v>0</v>
      </c>
      <c r="F269" s="11">
        <v>0</v>
      </c>
      <c r="G269" s="56"/>
      <c r="H269" s="56"/>
      <c r="I269" s="80"/>
      <c r="J269" s="56"/>
      <c r="K269" s="28"/>
      <c r="L269" s="28"/>
      <c r="M269" s="28"/>
      <c r="N269" s="28"/>
      <c r="O269" s="28"/>
      <c r="P269" s="28"/>
      <c r="Q269" s="28"/>
      <c r="R269" s="28"/>
      <c r="S269" s="28"/>
      <c r="T269" s="28"/>
      <c r="U269" s="3"/>
      <c r="W269" s="3"/>
      <c r="X269" s="3"/>
      <c r="Y269" s="3"/>
      <c r="Z269" s="3"/>
    </row>
    <row r="270" spans="1:26" ht="14.4" hidden="1" outlineLevel="1" x14ac:dyDescent="0.3">
      <c r="A270" s="3"/>
      <c r="B270" s="9" t="s">
        <v>371</v>
      </c>
      <c r="C270" s="53"/>
      <c r="D270" s="53"/>
      <c r="E270" s="11">
        <v>0</v>
      </c>
      <c r="F270" s="11">
        <v>0</v>
      </c>
      <c r="G270" s="56"/>
      <c r="H270" s="56"/>
      <c r="I270" s="80"/>
      <c r="J270" s="56"/>
      <c r="K270" s="28"/>
      <c r="L270" s="28"/>
      <c r="M270" s="28"/>
      <c r="N270" s="28"/>
      <c r="O270" s="28"/>
      <c r="P270" s="28"/>
      <c r="Q270" s="28"/>
      <c r="R270" s="28"/>
      <c r="S270" s="28"/>
      <c r="T270" s="28"/>
      <c r="U270" s="3"/>
      <c r="W270" s="3"/>
      <c r="X270" s="3"/>
      <c r="Y270" s="3"/>
      <c r="Z270" s="3"/>
    </row>
    <row r="271" spans="1:26" ht="14.4" hidden="1" outlineLevel="1" x14ac:dyDescent="0.3">
      <c r="A271" s="3"/>
      <c r="B271" s="9" t="s">
        <v>372</v>
      </c>
      <c r="C271" s="53"/>
      <c r="D271" s="53"/>
      <c r="E271" s="11">
        <v>0</v>
      </c>
      <c r="F271" s="11">
        <v>0</v>
      </c>
      <c r="G271" s="56"/>
      <c r="H271" s="56"/>
      <c r="I271" s="80"/>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373</v>
      </c>
      <c r="C272" s="53"/>
      <c r="D272" s="53"/>
      <c r="E272" s="11">
        <v>0</v>
      </c>
      <c r="F272" s="11">
        <v>0</v>
      </c>
      <c r="G272" s="56"/>
      <c r="H272" s="56"/>
      <c r="I272" s="80"/>
      <c r="J272" s="56"/>
      <c r="K272" s="28"/>
      <c r="L272" s="28"/>
      <c r="M272" s="28"/>
      <c r="N272" s="28"/>
      <c r="O272" s="28"/>
      <c r="P272" s="28"/>
      <c r="Q272" s="28"/>
      <c r="R272" s="28"/>
      <c r="S272" s="28"/>
      <c r="T272" s="28"/>
      <c r="U272" s="3"/>
      <c r="W272" s="3"/>
      <c r="X272" s="3"/>
      <c r="Y272" s="3"/>
      <c r="Z272" s="3"/>
    </row>
    <row r="273" spans="1:26" hidden="1" outlineLevel="1" x14ac:dyDescent="0.3">
      <c r="A273" s="3"/>
      <c r="B273" s="82" t="s">
        <v>652</v>
      </c>
      <c r="C273" s="83"/>
      <c r="D273" s="83"/>
      <c r="E273" s="84">
        <f>SUM(E274:E282)</f>
        <v>0</v>
      </c>
      <c r="F273" s="84">
        <f>SUMIF(D274:D282,"OK",F274:F282)</f>
        <v>0</v>
      </c>
      <c r="G273" s="85"/>
      <c r="H273" s="85"/>
      <c r="I273" s="86"/>
      <c r="J273" s="85"/>
      <c r="K273" s="28"/>
      <c r="L273" s="28"/>
      <c r="M273" s="28"/>
      <c r="N273" s="28"/>
      <c r="O273" s="28"/>
      <c r="P273" s="28"/>
      <c r="Q273" s="28"/>
      <c r="R273" s="28"/>
      <c r="S273" s="28"/>
      <c r="T273" s="28"/>
      <c r="U273" s="3"/>
      <c r="W273" s="3"/>
      <c r="X273" s="3"/>
      <c r="Y273" s="3"/>
      <c r="Z273" s="3"/>
    </row>
    <row r="274" spans="1:26" ht="14.4" hidden="1" outlineLevel="1" x14ac:dyDescent="0.3">
      <c r="A274" s="3"/>
      <c r="B274" s="9" t="s">
        <v>354</v>
      </c>
      <c r="C274" s="53"/>
      <c r="D274" s="53"/>
      <c r="E274" s="11">
        <v>0</v>
      </c>
      <c r="F274" s="11">
        <v>0</v>
      </c>
      <c r="G274" s="56"/>
      <c r="H274" s="56"/>
      <c r="I274" s="144"/>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355</v>
      </c>
      <c r="C275" s="53"/>
      <c r="D275" s="53"/>
      <c r="E275" s="11">
        <v>0</v>
      </c>
      <c r="F275" s="11">
        <v>0</v>
      </c>
      <c r="G275" s="56"/>
      <c r="H275" s="56"/>
      <c r="I275" s="144"/>
      <c r="J275" s="56"/>
      <c r="K275" s="28"/>
      <c r="L275" s="28"/>
      <c r="M275" s="28"/>
      <c r="N275" s="28"/>
      <c r="O275" s="28"/>
      <c r="P275" s="28"/>
      <c r="Q275" s="28"/>
      <c r="R275" s="28"/>
      <c r="S275" s="28"/>
      <c r="T275" s="28"/>
      <c r="U275" s="3"/>
      <c r="W275" s="3"/>
      <c r="X275" s="3"/>
      <c r="Y275" s="3"/>
      <c r="Z275" s="3"/>
    </row>
    <row r="276" spans="1:26" ht="14.4" hidden="1" outlineLevel="1" x14ac:dyDescent="0.3">
      <c r="A276" s="3"/>
      <c r="B276" s="9" t="s">
        <v>356</v>
      </c>
      <c r="C276" s="53"/>
      <c r="D276" s="53"/>
      <c r="E276" s="11">
        <v>0</v>
      </c>
      <c r="F276" s="11">
        <v>0</v>
      </c>
      <c r="G276" s="56"/>
      <c r="H276" s="56"/>
      <c r="I276" s="144"/>
      <c r="J276" s="56"/>
      <c r="K276" s="28"/>
      <c r="L276" s="28"/>
      <c r="M276" s="28"/>
      <c r="N276" s="28"/>
      <c r="O276" s="28"/>
      <c r="P276" s="28"/>
      <c r="Q276" s="28"/>
      <c r="R276" s="28"/>
      <c r="S276" s="28"/>
      <c r="T276" s="28"/>
      <c r="U276" s="3"/>
      <c r="W276" s="3"/>
      <c r="X276" s="3"/>
      <c r="Y276" s="3"/>
      <c r="Z276" s="3"/>
    </row>
    <row r="277" spans="1:26" ht="14.4" hidden="1" outlineLevel="1" x14ac:dyDescent="0.3">
      <c r="A277" s="3"/>
      <c r="B277" s="9" t="s">
        <v>370</v>
      </c>
      <c r="C277" s="53"/>
      <c r="D277" s="53"/>
      <c r="E277" s="11">
        <v>0</v>
      </c>
      <c r="F277" s="11">
        <v>0</v>
      </c>
      <c r="G277" s="56"/>
      <c r="H277" s="56"/>
      <c r="I277" s="144"/>
      <c r="J277" s="56"/>
      <c r="K277" s="28"/>
      <c r="L277" s="28"/>
      <c r="M277" s="28"/>
      <c r="N277" s="28"/>
      <c r="O277" s="28"/>
      <c r="P277" s="28"/>
      <c r="Q277" s="28"/>
      <c r="R277" s="28"/>
      <c r="S277" s="28"/>
      <c r="T277" s="28"/>
      <c r="U277" s="3"/>
      <c r="W277" s="3"/>
      <c r="X277" s="3"/>
      <c r="Y277" s="3"/>
      <c r="Z277" s="3"/>
    </row>
    <row r="278" spans="1:26" ht="14.4" hidden="1" outlineLevel="1" x14ac:dyDescent="0.3">
      <c r="A278" s="3"/>
      <c r="B278" s="9" t="s">
        <v>328</v>
      </c>
      <c r="C278" s="53"/>
      <c r="D278" s="53"/>
      <c r="E278" s="11">
        <v>0</v>
      </c>
      <c r="F278" s="11">
        <v>0</v>
      </c>
      <c r="G278" s="56"/>
      <c r="H278" s="56"/>
      <c r="I278" s="144"/>
      <c r="J278" s="56"/>
      <c r="K278" s="28"/>
      <c r="L278" s="28"/>
      <c r="M278" s="28"/>
      <c r="N278" s="28"/>
      <c r="O278" s="28"/>
      <c r="P278" s="28"/>
      <c r="Q278" s="28"/>
      <c r="R278" s="28"/>
      <c r="S278" s="28"/>
      <c r="T278" s="28"/>
      <c r="U278" s="3"/>
      <c r="W278" s="3"/>
      <c r="X278" s="3"/>
      <c r="Y278" s="3"/>
      <c r="Z278" s="3"/>
    </row>
    <row r="279" spans="1:26" ht="14.4" hidden="1" outlineLevel="1" x14ac:dyDescent="0.3">
      <c r="A279" s="3"/>
      <c r="B279" s="9" t="s">
        <v>329</v>
      </c>
      <c r="C279" s="53"/>
      <c r="D279" s="53"/>
      <c r="E279" s="11">
        <v>0</v>
      </c>
      <c r="F279" s="11">
        <v>0</v>
      </c>
      <c r="G279" s="56"/>
      <c r="H279" s="56"/>
      <c r="I279" s="144"/>
      <c r="J279" s="56"/>
      <c r="K279" s="28"/>
      <c r="L279" s="28"/>
      <c r="M279" s="28"/>
      <c r="N279" s="28"/>
      <c r="O279" s="28"/>
      <c r="P279" s="28"/>
      <c r="Q279" s="28"/>
      <c r="R279" s="28"/>
      <c r="S279" s="28"/>
      <c r="T279" s="28"/>
      <c r="U279" s="3"/>
      <c r="W279" s="3"/>
      <c r="X279" s="3"/>
      <c r="Y279" s="3"/>
      <c r="Z279" s="3"/>
    </row>
    <row r="280" spans="1:26" ht="14.4" hidden="1" outlineLevel="1" x14ac:dyDescent="0.3">
      <c r="A280" s="3"/>
      <c r="B280" s="9" t="s">
        <v>371</v>
      </c>
      <c r="C280" s="53"/>
      <c r="D280" s="53"/>
      <c r="E280" s="11">
        <v>0</v>
      </c>
      <c r="F280" s="11">
        <v>0</v>
      </c>
      <c r="G280" s="56"/>
      <c r="H280" s="56"/>
      <c r="I280" s="144"/>
      <c r="J280" s="56"/>
      <c r="K280" s="28"/>
      <c r="L280" s="28"/>
      <c r="M280" s="28"/>
      <c r="N280" s="28"/>
      <c r="O280" s="28"/>
      <c r="P280" s="28"/>
      <c r="Q280" s="28"/>
      <c r="R280" s="28"/>
      <c r="S280" s="28"/>
      <c r="T280" s="28"/>
      <c r="U280" s="3"/>
      <c r="W280" s="3"/>
      <c r="X280" s="3"/>
      <c r="Y280" s="3"/>
      <c r="Z280" s="3"/>
    </row>
    <row r="281" spans="1:26" ht="14.4" hidden="1" outlineLevel="1" x14ac:dyDescent="0.3">
      <c r="A281" s="3"/>
      <c r="B281" s="9" t="s">
        <v>372</v>
      </c>
      <c r="C281" s="53"/>
      <c r="D281" s="53"/>
      <c r="E281" s="11">
        <v>0</v>
      </c>
      <c r="F281" s="11">
        <v>0</v>
      </c>
      <c r="G281" s="56"/>
      <c r="H281" s="56"/>
      <c r="I281" s="144"/>
      <c r="J281" s="56"/>
      <c r="K281" s="28"/>
      <c r="L281" s="28"/>
      <c r="M281" s="28"/>
      <c r="N281" s="28"/>
      <c r="O281" s="28"/>
      <c r="P281" s="28"/>
      <c r="Q281" s="28"/>
      <c r="R281" s="28"/>
      <c r="S281" s="28"/>
      <c r="T281" s="28"/>
      <c r="U281" s="3"/>
      <c r="W281" s="3"/>
      <c r="X281" s="3"/>
      <c r="Y281" s="3"/>
      <c r="Z281" s="3"/>
    </row>
    <row r="282" spans="1:26" ht="14.4" hidden="1" outlineLevel="1" x14ac:dyDescent="0.3">
      <c r="A282" s="3"/>
      <c r="B282" s="9" t="s">
        <v>373</v>
      </c>
      <c r="C282" s="53"/>
      <c r="D282" s="53"/>
      <c r="E282" s="11">
        <v>0</v>
      </c>
      <c r="F282" s="11">
        <v>0</v>
      </c>
      <c r="G282" s="56"/>
      <c r="H282" s="56"/>
      <c r="I282" s="80"/>
      <c r="J282" s="56"/>
      <c r="K282" s="28"/>
      <c r="L282" s="28"/>
      <c r="M282" s="28"/>
      <c r="N282" s="28"/>
      <c r="O282" s="28"/>
      <c r="P282" s="28"/>
      <c r="Q282" s="28"/>
      <c r="R282" s="28"/>
      <c r="S282" s="28"/>
      <c r="T282" s="28"/>
      <c r="U282" s="3"/>
      <c r="W282" s="3"/>
      <c r="X282" s="3"/>
      <c r="Y282" s="3"/>
      <c r="Z282" s="3"/>
    </row>
    <row r="283" spans="1:26" hidden="1" outlineLevel="1" x14ac:dyDescent="0.3">
      <c r="A283" s="3"/>
      <c r="B283" s="82" t="s">
        <v>1025</v>
      </c>
      <c r="C283" s="83"/>
      <c r="D283" s="83"/>
      <c r="E283" s="84">
        <f>SUM(E284:E292)</f>
        <v>0</v>
      </c>
      <c r="F283" s="84">
        <f>SUMIF(D284:D292,"OK",F284:F292)</f>
        <v>0</v>
      </c>
      <c r="G283" s="85"/>
      <c r="H283" s="85"/>
      <c r="I283" s="86"/>
      <c r="J283" s="85"/>
      <c r="K283" s="28"/>
      <c r="L283" s="28"/>
      <c r="M283" s="28"/>
      <c r="N283" s="28"/>
      <c r="O283" s="28"/>
      <c r="P283" s="28"/>
      <c r="Q283" s="28"/>
      <c r="R283" s="28"/>
      <c r="S283" s="28"/>
      <c r="T283" s="28"/>
      <c r="U283" s="3"/>
      <c r="W283" s="3"/>
      <c r="X283" s="3"/>
      <c r="Y283" s="3"/>
      <c r="Z283" s="3"/>
    </row>
    <row r="284" spans="1:26" ht="14.4" hidden="1" outlineLevel="1" x14ac:dyDescent="0.3">
      <c r="A284" s="3"/>
      <c r="B284" s="9" t="s">
        <v>354</v>
      </c>
      <c r="C284" s="53"/>
      <c r="D284" s="53"/>
      <c r="E284" s="11">
        <v>0</v>
      </c>
      <c r="F284" s="11">
        <v>0</v>
      </c>
      <c r="G284" s="56"/>
      <c r="H284" s="56"/>
      <c r="I284" s="80"/>
      <c r="J284" s="56"/>
      <c r="K284" s="28"/>
      <c r="L284" s="28"/>
      <c r="M284" s="28"/>
      <c r="N284" s="28"/>
      <c r="O284" s="28"/>
      <c r="P284" s="28"/>
      <c r="Q284" s="28"/>
      <c r="R284" s="28"/>
      <c r="S284" s="28"/>
      <c r="T284" s="28"/>
      <c r="U284" s="3"/>
      <c r="W284" s="3"/>
      <c r="X284" s="3"/>
      <c r="Y284" s="3"/>
      <c r="Z284" s="3"/>
    </row>
    <row r="285" spans="1:26" ht="14.4" hidden="1" outlineLevel="1" x14ac:dyDescent="0.3">
      <c r="A285" s="3"/>
      <c r="B285" s="9" t="s">
        <v>355</v>
      </c>
      <c r="C285" s="53"/>
      <c r="D285" s="53"/>
      <c r="E285" s="11">
        <v>0</v>
      </c>
      <c r="F285" s="11">
        <v>0</v>
      </c>
      <c r="G285" s="56"/>
      <c r="H285" s="56"/>
      <c r="I285" s="80"/>
      <c r="J285" s="56"/>
      <c r="K285" s="28"/>
      <c r="L285" s="28"/>
      <c r="M285" s="28"/>
      <c r="N285" s="28"/>
      <c r="O285" s="28"/>
      <c r="P285" s="28"/>
      <c r="Q285" s="28"/>
      <c r="R285" s="28"/>
      <c r="S285" s="28"/>
      <c r="T285" s="28"/>
      <c r="U285" s="3"/>
      <c r="W285" s="3"/>
      <c r="X285" s="3"/>
      <c r="Y285" s="3"/>
      <c r="Z285" s="3"/>
    </row>
    <row r="286" spans="1:26" ht="14.4" hidden="1" outlineLevel="1" x14ac:dyDescent="0.3">
      <c r="A286" s="3"/>
      <c r="B286" s="9" t="s">
        <v>356</v>
      </c>
      <c r="C286" s="53"/>
      <c r="D286" s="53"/>
      <c r="E286" s="11">
        <v>0</v>
      </c>
      <c r="F286" s="11">
        <v>0</v>
      </c>
      <c r="G286" s="56"/>
      <c r="H286" s="56"/>
      <c r="I286" s="80"/>
      <c r="J286" s="56"/>
      <c r="K286" s="28"/>
      <c r="L286" s="28"/>
      <c r="M286" s="28"/>
      <c r="N286" s="28"/>
      <c r="O286" s="28"/>
      <c r="P286" s="28"/>
      <c r="Q286" s="28"/>
      <c r="R286" s="28"/>
      <c r="S286" s="28"/>
      <c r="T286" s="28"/>
      <c r="U286" s="3"/>
      <c r="W286" s="3"/>
      <c r="X286" s="3"/>
      <c r="Y286" s="3"/>
      <c r="Z286" s="3"/>
    </row>
    <row r="287" spans="1:26" ht="14.4" hidden="1" outlineLevel="1" x14ac:dyDescent="0.3">
      <c r="A287" s="3"/>
      <c r="B287" s="9" t="s">
        <v>370</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4.4" hidden="1" outlineLevel="1" x14ac:dyDescent="0.3">
      <c r="A288" s="3"/>
      <c r="B288" s="9" t="s">
        <v>328</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4.4" hidden="1" outlineLevel="1" x14ac:dyDescent="0.3">
      <c r="A289" s="3"/>
      <c r="B289" s="9" t="s">
        <v>329</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4.4" hidden="1" outlineLevel="1" x14ac:dyDescent="0.3">
      <c r="A290" s="3"/>
      <c r="B290" s="9" t="s">
        <v>371</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t="14.4" hidden="1" outlineLevel="1" x14ac:dyDescent="0.3">
      <c r="A291" s="3"/>
      <c r="B291" s="9" t="s">
        <v>372</v>
      </c>
      <c r="C291" s="53"/>
      <c r="D291" s="53"/>
      <c r="E291" s="11">
        <v>0</v>
      </c>
      <c r="F291" s="11">
        <v>0</v>
      </c>
      <c r="G291" s="56"/>
      <c r="H291" s="56"/>
      <c r="I291" s="80"/>
      <c r="J291" s="56"/>
      <c r="K291" s="28"/>
      <c r="L291" s="28"/>
      <c r="M291" s="28"/>
      <c r="N291" s="28"/>
      <c r="O291" s="28"/>
      <c r="P291" s="28"/>
      <c r="Q291" s="28"/>
      <c r="R291" s="28"/>
      <c r="S291" s="28"/>
      <c r="T291" s="28"/>
      <c r="U291" s="3"/>
      <c r="W291" s="3"/>
      <c r="X291" s="3"/>
      <c r="Y291" s="3"/>
      <c r="Z291" s="3"/>
    </row>
    <row r="292" spans="1:26" ht="14.4" hidden="1" outlineLevel="1" x14ac:dyDescent="0.3">
      <c r="A292" s="3"/>
      <c r="B292" s="9" t="s">
        <v>373</v>
      </c>
      <c r="C292" s="53"/>
      <c r="D292" s="53"/>
      <c r="E292" s="11">
        <v>0</v>
      </c>
      <c r="F292" s="11">
        <v>0</v>
      </c>
      <c r="G292" s="56"/>
      <c r="H292" s="56"/>
      <c r="I292" s="80"/>
      <c r="J292" s="56"/>
      <c r="K292" s="28"/>
      <c r="L292" s="28"/>
      <c r="M292" s="28"/>
      <c r="N292" s="28"/>
      <c r="O292" s="28"/>
      <c r="P292" s="28"/>
      <c r="Q292" s="28"/>
      <c r="R292" s="28"/>
      <c r="S292" s="28"/>
      <c r="T292" s="28"/>
      <c r="U292" s="3"/>
      <c r="W292" s="3"/>
      <c r="X292" s="3"/>
      <c r="Y292" s="3"/>
      <c r="Z292" s="3"/>
    </row>
    <row r="293" spans="1:26" outlineLevel="1" x14ac:dyDescent="0.3">
      <c r="A293" s="3"/>
      <c r="B293" s="82" t="s">
        <v>1850</v>
      </c>
      <c r="C293" s="83"/>
      <c r="D293" s="83"/>
      <c r="E293" s="84">
        <f>SUM(E294:E314)</f>
        <v>0</v>
      </c>
      <c r="F293" s="84">
        <f>SUMIF(D294:D314,"OK",F294:F314)</f>
        <v>310</v>
      </c>
      <c r="G293" s="85"/>
      <c r="H293" s="85"/>
      <c r="I293" s="86"/>
      <c r="J293" s="85"/>
      <c r="K293" s="28"/>
      <c r="L293" s="28"/>
      <c r="M293" s="28"/>
      <c r="N293" s="28"/>
      <c r="O293" s="28"/>
      <c r="P293" s="28"/>
      <c r="Q293" s="28"/>
      <c r="R293" s="28"/>
      <c r="S293" s="28"/>
      <c r="T293" s="28"/>
      <c r="U293" s="3"/>
      <c r="W293" s="3"/>
      <c r="X293" s="3"/>
      <c r="Y293" s="3"/>
      <c r="Z293" s="3"/>
    </row>
    <row r="294" spans="1:26" ht="14.4" outlineLevel="1" x14ac:dyDescent="0.3">
      <c r="A294" s="3"/>
      <c r="B294" s="9" t="s">
        <v>363</v>
      </c>
      <c r="C294" s="53">
        <v>26</v>
      </c>
      <c r="D294" s="53" t="s">
        <v>95</v>
      </c>
      <c r="E294" s="11">
        <v>0</v>
      </c>
      <c r="F294" s="11">
        <v>310</v>
      </c>
      <c r="G294" s="56"/>
      <c r="H294" s="56" t="s">
        <v>37</v>
      </c>
      <c r="I294" s="102" t="s">
        <v>1851</v>
      </c>
      <c r="J294" s="56"/>
      <c r="K294" s="28"/>
      <c r="L294" s="28"/>
      <c r="M294" s="28"/>
      <c r="N294" s="28"/>
      <c r="O294" s="28"/>
      <c r="P294" s="28"/>
      <c r="Q294" s="28"/>
      <c r="R294" s="28"/>
      <c r="S294" s="28"/>
      <c r="T294" s="28"/>
      <c r="U294" s="3"/>
      <c r="W294" s="3"/>
      <c r="X294" s="3"/>
      <c r="Y294" s="3"/>
      <c r="Z294" s="3"/>
    </row>
    <row r="295" spans="1:26" ht="14.4" hidden="1" outlineLevel="1" x14ac:dyDescent="0.3">
      <c r="A295" s="3"/>
      <c r="B295" s="9" t="s">
        <v>355</v>
      </c>
      <c r="C295" s="53"/>
      <c r="D295" s="53"/>
      <c r="E295" s="11">
        <v>0</v>
      </c>
      <c r="F295" s="11">
        <v>0</v>
      </c>
      <c r="G295" s="56"/>
      <c r="H295" s="56"/>
      <c r="I295" s="144"/>
      <c r="J295" s="56"/>
      <c r="K295" s="28"/>
      <c r="L295" s="28"/>
      <c r="M295" s="28"/>
      <c r="N295" s="28"/>
      <c r="O295" s="28"/>
      <c r="P295" s="28"/>
      <c r="Q295" s="28"/>
      <c r="R295" s="28"/>
      <c r="S295" s="28"/>
      <c r="T295" s="28"/>
      <c r="U295" s="3"/>
      <c r="W295" s="3"/>
      <c r="X295" s="3"/>
      <c r="Y295" s="3"/>
      <c r="Z295" s="3"/>
    </row>
    <row r="296" spans="1:26" ht="14.4" hidden="1" outlineLevel="1" x14ac:dyDescent="0.3">
      <c r="A296" s="3"/>
      <c r="B296" s="9" t="s">
        <v>356</v>
      </c>
      <c r="C296" s="53"/>
      <c r="D296" s="53"/>
      <c r="E296" s="11">
        <v>0</v>
      </c>
      <c r="F296" s="11">
        <v>0</v>
      </c>
      <c r="G296" s="56"/>
      <c r="H296" s="56"/>
      <c r="I296" s="144"/>
      <c r="J296" s="56"/>
      <c r="K296" s="28"/>
      <c r="L296" s="28"/>
      <c r="M296" s="28"/>
      <c r="N296" s="28"/>
      <c r="O296" s="28"/>
      <c r="P296" s="28"/>
      <c r="Q296" s="28"/>
      <c r="R296" s="28"/>
      <c r="S296" s="28"/>
      <c r="T296" s="28"/>
      <c r="U296" s="3"/>
      <c r="W296" s="3"/>
      <c r="X296" s="3"/>
      <c r="Y296" s="3"/>
      <c r="Z296" s="3"/>
    </row>
    <row r="297" spans="1:26" ht="14.4" hidden="1" outlineLevel="1" x14ac:dyDescent="0.3">
      <c r="A297" s="3"/>
      <c r="B297" s="9" t="s">
        <v>370</v>
      </c>
      <c r="C297" s="53"/>
      <c r="D297" s="53"/>
      <c r="E297" s="11">
        <v>0</v>
      </c>
      <c r="F297" s="11">
        <v>0</v>
      </c>
      <c r="G297" s="56"/>
      <c r="H297" s="56"/>
      <c r="I297" s="144"/>
      <c r="J297" s="56"/>
      <c r="K297" s="28"/>
      <c r="L297" s="28"/>
      <c r="M297" s="28"/>
      <c r="N297" s="28"/>
      <c r="O297" s="28"/>
      <c r="P297" s="28"/>
      <c r="Q297" s="28"/>
      <c r="R297" s="28"/>
      <c r="S297" s="28"/>
      <c r="T297" s="28"/>
      <c r="U297" s="3"/>
      <c r="W297" s="3"/>
      <c r="X297" s="3"/>
      <c r="Y297" s="3"/>
      <c r="Z297" s="3"/>
    </row>
    <row r="298" spans="1:26" ht="14.4" hidden="1" outlineLevel="1" x14ac:dyDescent="0.3">
      <c r="A298" s="3"/>
      <c r="B298" s="9" t="s">
        <v>328</v>
      </c>
      <c r="C298" s="53"/>
      <c r="D298" s="53"/>
      <c r="E298" s="11">
        <v>0</v>
      </c>
      <c r="F298" s="11">
        <v>0</v>
      </c>
      <c r="G298" s="80"/>
      <c r="H298" s="56"/>
      <c r="I298" s="144"/>
      <c r="J298" s="56"/>
      <c r="K298" s="28"/>
      <c r="L298" s="28"/>
      <c r="M298" s="28"/>
      <c r="N298" s="28"/>
      <c r="O298" s="28"/>
      <c r="P298" s="28"/>
      <c r="Q298" s="28"/>
      <c r="R298" s="28"/>
      <c r="S298" s="28"/>
      <c r="T298" s="28"/>
      <c r="U298" s="3"/>
      <c r="W298" s="3"/>
      <c r="X298" s="3"/>
      <c r="Y298" s="3"/>
      <c r="Z298" s="3"/>
    </row>
    <row r="299" spans="1:26" ht="14.4" hidden="1" outlineLevel="1" x14ac:dyDescent="0.3">
      <c r="A299" s="3"/>
      <c r="B299" s="9" t="s">
        <v>329</v>
      </c>
      <c r="C299" s="53"/>
      <c r="D299" s="53"/>
      <c r="E299" s="11">
        <v>0</v>
      </c>
      <c r="F299" s="11">
        <v>0</v>
      </c>
      <c r="G299" s="56"/>
      <c r="H299" s="56"/>
      <c r="I299" s="144"/>
      <c r="J299" s="56"/>
      <c r="K299" s="28"/>
      <c r="L299" s="28"/>
      <c r="M299" s="28"/>
      <c r="N299" s="28"/>
      <c r="O299" s="28"/>
      <c r="P299" s="28"/>
      <c r="Q299" s="28"/>
      <c r="R299" s="28"/>
      <c r="S299" s="28"/>
      <c r="T299" s="28"/>
      <c r="U299" s="3"/>
      <c r="W299" s="3"/>
      <c r="X299" s="3"/>
      <c r="Y299" s="3"/>
      <c r="Z299" s="3"/>
    </row>
    <row r="300" spans="1:26" ht="14.4" hidden="1" outlineLevel="1" x14ac:dyDescent="0.3">
      <c r="A300" s="3"/>
      <c r="B300" s="9" t="s">
        <v>371</v>
      </c>
      <c r="C300" s="53"/>
      <c r="D300" s="53"/>
      <c r="E300" s="11">
        <v>0</v>
      </c>
      <c r="F300" s="11">
        <v>0</v>
      </c>
      <c r="G300" s="56"/>
      <c r="H300" s="56"/>
      <c r="I300" s="144"/>
      <c r="J300" s="56"/>
      <c r="K300" s="28"/>
      <c r="L300" s="28"/>
      <c r="M300" s="28"/>
      <c r="N300" s="28"/>
      <c r="O300" s="28"/>
      <c r="P300" s="28"/>
      <c r="Q300" s="28"/>
      <c r="R300" s="28"/>
      <c r="S300" s="28"/>
      <c r="T300" s="28"/>
      <c r="U300" s="3"/>
      <c r="W300" s="3"/>
      <c r="X300" s="3"/>
      <c r="Y300" s="3"/>
      <c r="Z300" s="3"/>
    </row>
    <row r="301" spans="1:26" ht="14.4" hidden="1" outlineLevel="1" x14ac:dyDescent="0.3">
      <c r="A301" s="3"/>
      <c r="B301" s="9" t="s">
        <v>372</v>
      </c>
      <c r="C301" s="53"/>
      <c r="D301" s="53"/>
      <c r="E301" s="11">
        <v>0</v>
      </c>
      <c r="F301" s="11">
        <v>0</v>
      </c>
      <c r="G301" s="56"/>
      <c r="H301" s="56"/>
      <c r="I301" s="144"/>
      <c r="J301" s="56"/>
      <c r="K301" s="28"/>
      <c r="L301" s="28"/>
      <c r="M301" s="28"/>
      <c r="N301" s="28"/>
      <c r="O301" s="28"/>
      <c r="P301" s="28"/>
      <c r="Q301" s="28"/>
      <c r="R301" s="28"/>
      <c r="S301" s="28"/>
      <c r="T301" s="28"/>
      <c r="U301" s="3"/>
      <c r="W301" s="3"/>
      <c r="X301" s="3"/>
      <c r="Y301" s="3"/>
      <c r="Z301" s="3"/>
    </row>
    <row r="302" spans="1:26" ht="14.4" hidden="1" outlineLevel="1" x14ac:dyDescent="0.3">
      <c r="A302" s="3"/>
      <c r="B302" s="9" t="s">
        <v>373</v>
      </c>
      <c r="C302" s="53"/>
      <c r="D302" s="53"/>
      <c r="E302" s="11">
        <v>0</v>
      </c>
      <c r="F302" s="11">
        <v>0</v>
      </c>
      <c r="G302" s="56"/>
      <c r="H302" s="56"/>
      <c r="I302" s="144"/>
      <c r="J302" s="56"/>
      <c r="K302" s="28"/>
      <c r="L302" s="28"/>
      <c r="M302" s="28"/>
      <c r="N302" s="28"/>
      <c r="O302" s="28"/>
      <c r="P302" s="28"/>
      <c r="Q302" s="28"/>
      <c r="R302" s="28"/>
      <c r="S302" s="28"/>
      <c r="T302" s="28"/>
      <c r="U302" s="3"/>
      <c r="W302" s="3"/>
      <c r="X302" s="3"/>
      <c r="Y302" s="3"/>
      <c r="Z302" s="3"/>
    </row>
    <row r="303" spans="1:26" ht="14.4" hidden="1" outlineLevel="1" x14ac:dyDescent="0.3">
      <c r="A303" s="3"/>
      <c r="B303" s="9" t="s">
        <v>1661</v>
      </c>
      <c r="C303" s="53"/>
      <c r="D303" s="53"/>
      <c r="E303" s="11">
        <v>0</v>
      </c>
      <c r="F303" s="11">
        <v>0</v>
      </c>
      <c r="G303" s="56"/>
      <c r="H303" s="56"/>
      <c r="I303" s="144"/>
      <c r="J303" s="56"/>
      <c r="K303" s="28"/>
      <c r="L303" s="28"/>
      <c r="M303" s="28"/>
      <c r="N303" s="28"/>
      <c r="O303" s="28"/>
      <c r="P303" s="28"/>
      <c r="Q303" s="28"/>
      <c r="R303" s="28"/>
      <c r="S303" s="28"/>
      <c r="T303" s="28"/>
      <c r="U303" s="3"/>
      <c r="W303" s="3"/>
      <c r="X303" s="3"/>
      <c r="Y303" s="3"/>
      <c r="Z303" s="3"/>
    </row>
    <row r="304" spans="1:26" ht="14.4" hidden="1" outlineLevel="1" x14ac:dyDescent="0.3">
      <c r="A304" s="3"/>
      <c r="B304" s="9" t="s">
        <v>1662</v>
      </c>
      <c r="C304" s="53"/>
      <c r="D304" s="53"/>
      <c r="E304" s="11">
        <v>0</v>
      </c>
      <c r="F304" s="11">
        <v>0</v>
      </c>
      <c r="G304" s="56"/>
      <c r="H304" s="56"/>
      <c r="I304" s="144"/>
      <c r="J304" s="56"/>
      <c r="K304" s="28"/>
      <c r="L304" s="28"/>
      <c r="M304" s="28"/>
      <c r="N304" s="28"/>
      <c r="O304" s="28"/>
      <c r="P304" s="28"/>
      <c r="Q304" s="28"/>
      <c r="R304" s="28"/>
      <c r="S304" s="28"/>
      <c r="T304" s="28"/>
      <c r="U304" s="3"/>
      <c r="W304" s="3"/>
      <c r="X304" s="3"/>
      <c r="Y304" s="3"/>
      <c r="Z304" s="3"/>
    </row>
    <row r="305" spans="1:26" ht="14.4" hidden="1" outlineLevel="1" x14ac:dyDescent="0.3">
      <c r="A305" s="3"/>
      <c r="B305" s="9" t="s">
        <v>1663</v>
      </c>
      <c r="C305" s="53"/>
      <c r="D305" s="53"/>
      <c r="E305" s="11">
        <v>0</v>
      </c>
      <c r="F305" s="11">
        <v>0</v>
      </c>
      <c r="G305" s="56"/>
      <c r="H305" s="56"/>
      <c r="I305" s="144"/>
      <c r="J305" s="56"/>
      <c r="K305" s="28"/>
      <c r="L305" s="28"/>
      <c r="M305" s="28"/>
      <c r="N305" s="28"/>
      <c r="O305" s="28"/>
      <c r="P305" s="28"/>
      <c r="Q305" s="28"/>
      <c r="R305" s="28"/>
      <c r="S305" s="28"/>
      <c r="T305" s="28"/>
      <c r="U305" s="3"/>
      <c r="W305" s="3"/>
      <c r="X305" s="3"/>
      <c r="Y305" s="3"/>
      <c r="Z305" s="3"/>
    </row>
    <row r="306" spans="1:26" ht="14.4" hidden="1" outlineLevel="1" x14ac:dyDescent="0.3">
      <c r="A306" s="3"/>
      <c r="B306" s="9" t="s">
        <v>1664</v>
      </c>
      <c r="C306" s="53"/>
      <c r="D306" s="53"/>
      <c r="E306" s="11">
        <v>0</v>
      </c>
      <c r="F306" s="11">
        <v>0</v>
      </c>
      <c r="G306" s="56"/>
      <c r="H306" s="56"/>
      <c r="I306" s="144"/>
      <c r="J306" s="56"/>
      <c r="K306" s="28"/>
      <c r="L306" s="28"/>
      <c r="M306" s="28"/>
      <c r="N306" s="28"/>
      <c r="O306" s="28"/>
      <c r="P306" s="28"/>
      <c r="Q306" s="28"/>
      <c r="R306" s="28"/>
      <c r="S306" s="28"/>
      <c r="T306" s="28"/>
      <c r="U306" s="3"/>
      <c r="W306" s="3"/>
      <c r="X306" s="3"/>
      <c r="Y306" s="3"/>
      <c r="Z306" s="3"/>
    </row>
    <row r="307" spans="1:26" ht="14.4" hidden="1" outlineLevel="1" x14ac:dyDescent="0.3">
      <c r="A307" s="3"/>
      <c r="B307" s="9" t="s">
        <v>1665</v>
      </c>
      <c r="C307" s="53"/>
      <c r="D307" s="53"/>
      <c r="E307" s="11">
        <v>0</v>
      </c>
      <c r="F307" s="11">
        <v>0</v>
      </c>
      <c r="G307" s="56"/>
      <c r="H307" s="56"/>
      <c r="I307" s="144"/>
      <c r="J307" s="56"/>
      <c r="K307" s="28"/>
      <c r="L307" s="28"/>
      <c r="M307" s="28"/>
      <c r="N307" s="28"/>
      <c r="O307" s="28"/>
      <c r="P307" s="28"/>
      <c r="Q307" s="28"/>
      <c r="R307" s="28"/>
      <c r="S307" s="28"/>
      <c r="T307" s="28"/>
      <c r="U307" s="3"/>
      <c r="W307" s="3"/>
      <c r="X307" s="3"/>
      <c r="Y307" s="3"/>
      <c r="Z307" s="3"/>
    </row>
    <row r="308" spans="1:26" ht="14.4" hidden="1" outlineLevel="1" x14ac:dyDescent="0.3">
      <c r="A308" s="3"/>
      <c r="B308" s="9" t="s">
        <v>1666</v>
      </c>
      <c r="C308" s="53"/>
      <c r="D308" s="53"/>
      <c r="E308" s="11">
        <v>0</v>
      </c>
      <c r="F308" s="11">
        <v>0</v>
      </c>
      <c r="G308" s="56"/>
      <c r="H308" s="56"/>
      <c r="I308" s="144"/>
      <c r="J308" s="56"/>
      <c r="K308" s="28"/>
      <c r="L308" s="28"/>
      <c r="M308" s="28"/>
      <c r="N308" s="28"/>
      <c r="O308" s="28"/>
      <c r="P308" s="28"/>
      <c r="Q308" s="28"/>
      <c r="R308" s="28"/>
      <c r="S308" s="28"/>
      <c r="T308" s="28"/>
      <c r="U308" s="3"/>
      <c r="W308" s="3"/>
      <c r="X308" s="3"/>
      <c r="Y308" s="3"/>
      <c r="Z308" s="3"/>
    </row>
    <row r="309" spans="1:26" ht="14.4" hidden="1" outlineLevel="1" x14ac:dyDescent="0.3">
      <c r="A309" s="3"/>
      <c r="B309" s="9" t="s">
        <v>1667</v>
      </c>
      <c r="C309" s="53"/>
      <c r="D309" s="53"/>
      <c r="E309" s="11">
        <v>0</v>
      </c>
      <c r="F309" s="11">
        <v>0</v>
      </c>
      <c r="G309" s="56"/>
      <c r="H309" s="56"/>
      <c r="I309" s="144"/>
      <c r="J309" s="56"/>
      <c r="K309" s="28"/>
      <c r="L309" s="28"/>
      <c r="M309" s="28"/>
      <c r="N309" s="28"/>
      <c r="O309" s="28"/>
      <c r="P309" s="28"/>
      <c r="Q309" s="28"/>
      <c r="R309" s="28"/>
      <c r="S309" s="28"/>
      <c r="T309" s="28"/>
      <c r="U309" s="3"/>
      <c r="W309" s="3"/>
      <c r="X309" s="3"/>
      <c r="Y309" s="3"/>
      <c r="Z309" s="3"/>
    </row>
    <row r="310" spans="1:26" ht="14.4" hidden="1" outlineLevel="1" x14ac:dyDescent="0.3">
      <c r="A310" s="3"/>
      <c r="B310" s="9" t="s">
        <v>1668</v>
      </c>
      <c r="C310" s="53"/>
      <c r="D310" s="53"/>
      <c r="E310" s="11">
        <v>0</v>
      </c>
      <c r="F310" s="11">
        <v>0</v>
      </c>
      <c r="G310" s="56"/>
      <c r="H310" s="56"/>
      <c r="I310" s="144"/>
      <c r="J310" s="56"/>
      <c r="K310" s="28"/>
      <c r="L310" s="28"/>
      <c r="M310" s="28"/>
      <c r="N310" s="28"/>
      <c r="O310" s="28"/>
      <c r="P310" s="28"/>
      <c r="Q310" s="28"/>
      <c r="R310" s="28"/>
      <c r="S310" s="28"/>
      <c r="T310" s="28"/>
      <c r="U310" s="3"/>
      <c r="W310" s="3"/>
      <c r="X310" s="3"/>
      <c r="Y310" s="3"/>
      <c r="Z310" s="3"/>
    </row>
    <row r="311" spans="1:26" ht="14.4" hidden="1" outlineLevel="1" x14ac:dyDescent="0.3">
      <c r="A311" s="3"/>
      <c r="B311" s="9" t="s">
        <v>1669</v>
      </c>
      <c r="C311" s="53"/>
      <c r="D311" s="53"/>
      <c r="E311" s="11">
        <v>0</v>
      </c>
      <c r="F311" s="11">
        <v>0</v>
      </c>
      <c r="G311" s="56"/>
      <c r="H311" s="56"/>
      <c r="I311" s="144"/>
      <c r="J311" s="56"/>
      <c r="K311" s="28"/>
      <c r="L311" s="28"/>
      <c r="M311" s="28"/>
      <c r="N311" s="28"/>
      <c r="O311" s="28"/>
      <c r="P311" s="28"/>
      <c r="Q311" s="28"/>
      <c r="R311" s="28"/>
      <c r="S311" s="28"/>
      <c r="T311" s="28"/>
      <c r="U311" s="3"/>
      <c r="W311" s="3"/>
      <c r="X311" s="3"/>
      <c r="Y311" s="3"/>
      <c r="Z311" s="3"/>
    </row>
    <row r="312" spans="1:26" ht="14.4" hidden="1" outlineLevel="1" x14ac:dyDescent="0.3">
      <c r="A312" s="3"/>
      <c r="B312" s="9" t="s">
        <v>1670</v>
      </c>
      <c r="C312" s="53"/>
      <c r="D312" s="53"/>
      <c r="E312" s="11">
        <v>0</v>
      </c>
      <c r="F312" s="11">
        <v>0</v>
      </c>
      <c r="G312" s="56"/>
      <c r="H312" s="56"/>
      <c r="I312" s="144"/>
      <c r="J312" s="56"/>
      <c r="K312" s="28"/>
      <c r="L312" s="28"/>
      <c r="M312" s="28"/>
      <c r="N312" s="28"/>
      <c r="O312" s="28"/>
      <c r="P312" s="28"/>
      <c r="Q312" s="28"/>
      <c r="R312" s="28"/>
      <c r="S312" s="28"/>
      <c r="T312" s="28"/>
      <c r="U312" s="3"/>
      <c r="W312" s="3"/>
      <c r="X312" s="3"/>
      <c r="Y312" s="3"/>
      <c r="Z312" s="3"/>
    </row>
    <row r="313" spans="1:26" ht="14.4" hidden="1" outlineLevel="1" x14ac:dyDescent="0.3">
      <c r="A313" s="3"/>
      <c r="B313" s="9" t="s">
        <v>1671</v>
      </c>
      <c r="C313" s="53"/>
      <c r="D313" s="53"/>
      <c r="E313" s="11">
        <v>0</v>
      </c>
      <c r="F313" s="11">
        <v>0</v>
      </c>
      <c r="G313" s="56"/>
      <c r="H313" s="56"/>
      <c r="I313" s="144"/>
      <c r="J313" s="56"/>
      <c r="K313" s="28"/>
      <c r="L313" s="28"/>
      <c r="M313" s="28"/>
      <c r="N313" s="28"/>
      <c r="O313" s="28"/>
      <c r="P313" s="28"/>
      <c r="Q313" s="28"/>
      <c r="R313" s="28"/>
      <c r="S313" s="28"/>
      <c r="T313" s="28"/>
      <c r="U313" s="3"/>
      <c r="W313" s="3"/>
      <c r="X313" s="3"/>
      <c r="Y313" s="3"/>
      <c r="Z313" s="3"/>
    </row>
    <row r="314" spans="1:26" ht="14.4" hidden="1" outlineLevel="1" x14ac:dyDescent="0.3">
      <c r="A314" s="3"/>
      <c r="B314" s="9" t="s">
        <v>1672</v>
      </c>
      <c r="C314" s="53"/>
      <c r="D314" s="53"/>
      <c r="E314" s="11">
        <v>0</v>
      </c>
      <c r="F314" s="11">
        <v>0</v>
      </c>
      <c r="G314" s="56"/>
      <c r="H314" s="56"/>
      <c r="I314" s="80"/>
      <c r="J314" s="56"/>
      <c r="K314" s="28"/>
      <c r="L314" s="28"/>
      <c r="M314" s="28"/>
      <c r="N314" s="28"/>
      <c r="O314" s="28"/>
      <c r="P314" s="28"/>
      <c r="Q314" s="28"/>
      <c r="R314" s="28"/>
      <c r="S314" s="28"/>
      <c r="T314" s="28"/>
      <c r="U314" s="3"/>
      <c r="W314" s="3"/>
      <c r="X314" s="3"/>
      <c r="Y314" s="3"/>
      <c r="Z314" s="3"/>
    </row>
    <row r="315" spans="1:26" outlineLevel="1" x14ac:dyDescent="0.3">
      <c r="A315" s="3"/>
      <c r="B315" s="82" t="s">
        <v>690</v>
      </c>
      <c r="C315" s="83"/>
      <c r="D315" s="83"/>
      <c r="E315" s="84">
        <f>SUM(E316:E324)</f>
        <v>0</v>
      </c>
      <c r="F315" s="84">
        <f>SUMIF(D316:D324,"OK",F316:F324)</f>
        <v>2759.5</v>
      </c>
      <c r="G315" s="85"/>
      <c r="H315" s="85"/>
      <c r="I315" s="86"/>
      <c r="J315" s="85"/>
      <c r="K315" s="28"/>
      <c r="L315" s="28"/>
      <c r="M315" s="28"/>
      <c r="N315" s="28"/>
      <c r="O315" s="28"/>
      <c r="P315" s="28"/>
      <c r="Q315" s="28"/>
      <c r="R315" s="28"/>
      <c r="S315" s="28"/>
      <c r="T315" s="28"/>
      <c r="U315" s="3"/>
      <c r="W315" s="3"/>
      <c r="X315" s="3"/>
      <c r="Y315" s="3"/>
      <c r="Z315" s="3"/>
    </row>
    <row r="316" spans="1:26" ht="14.4" outlineLevel="1" x14ac:dyDescent="0.3">
      <c r="A316" s="3"/>
      <c r="B316" s="9" t="s">
        <v>1852</v>
      </c>
      <c r="C316" s="53">
        <v>4</v>
      </c>
      <c r="D316" s="53" t="s">
        <v>95</v>
      </c>
      <c r="E316" s="11">
        <v>0</v>
      </c>
      <c r="F316" s="11">
        <v>190</v>
      </c>
      <c r="G316" s="56" t="s">
        <v>934</v>
      </c>
      <c r="H316" s="56" t="s">
        <v>37</v>
      </c>
      <c r="I316" s="117" t="s">
        <v>1853</v>
      </c>
      <c r="J316" s="56"/>
      <c r="K316" s="28"/>
      <c r="L316" s="28"/>
      <c r="M316" s="28"/>
      <c r="N316" s="28"/>
      <c r="O316" s="28"/>
      <c r="P316" s="28"/>
      <c r="Q316" s="28"/>
      <c r="R316" s="28"/>
      <c r="S316" s="28"/>
      <c r="T316" s="28"/>
      <c r="U316" s="3"/>
      <c r="W316" s="3"/>
      <c r="X316" s="3"/>
      <c r="Y316" s="3"/>
      <c r="Z316" s="3"/>
    </row>
    <row r="317" spans="1:26" ht="14.4" outlineLevel="1" x14ac:dyDescent="0.3">
      <c r="A317" s="3"/>
      <c r="B317" s="9" t="s">
        <v>1852</v>
      </c>
      <c r="C317" s="53">
        <v>15</v>
      </c>
      <c r="D317" s="53" t="s">
        <v>95</v>
      </c>
      <c r="E317" s="11">
        <v>0</v>
      </c>
      <c r="F317" s="11">
        <v>190</v>
      </c>
      <c r="G317" s="56" t="s">
        <v>1062</v>
      </c>
      <c r="H317" s="56" t="s">
        <v>37</v>
      </c>
      <c r="I317" s="117" t="s">
        <v>1853</v>
      </c>
      <c r="J317" s="56"/>
      <c r="K317" s="28"/>
      <c r="L317" s="28"/>
      <c r="M317" s="28"/>
      <c r="N317" s="28"/>
      <c r="O317" s="28"/>
      <c r="P317" s="28"/>
      <c r="Q317" s="28"/>
      <c r="R317" s="28"/>
      <c r="S317" s="28"/>
      <c r="T317" s="28"/>
      <c r="U317" s="3"/>
      <c r="W317" s="3"/>
      <c r="X317" s="3"/>
      <c r="Y317" s="3"/>
      <c r="Z317" s="3"/>
    </row>
    <row r="318" spans="1:26" ht="14.4" outlineLevel="1" x14ac:dyDescent="0.3">
      <c r="A318" s="3"/>
      <c r="B318" s="9" t="s">
        <v>1854</v>
      </c>
      <c r="C318" s="53">
        <v>24</v>
      </c>
      <c r="D318" s="53" t="s">
        <v>95</v>
      </c>
      <c r="E318" s="11">
        <v>0</v>
      </c>
      <c r="F318" s="11">
        <v>2379.5</v>
      </c>
      <c r="G318" s="56"/>
      <c r="H318" s="56" t="s">
        <v>38</v>
      </c>
      <c r="I318" s="117" t="s">
        <v>1853</v>
      </c>
      <c r="J318" s="56"/>
      <c r="K318" s="28"/>
      <c r="L318" s="28"/>
      <c r="M318" s="28"/>
      <c r="N318" s="28"/>
      <c r="O318" s="28"/>
      <c r="P318" s="28"/>
      <c r="Q318" s="28"/>
      <c r="R318" s="28"/>
      <c r="S318" s="28"/>
      <c r="T318" s="28"/>
      <c r="U318" s="3"/>
      <c r="W318" s="3"/>
      <c r="X318" s="3"/>
      <c r="Y318" s="3"/>
      <c r="Z318" s="3"/>
    </row>
    <row r="319" spans="1:26" ht="14.4" hidden="1" outlineLevel="1" x14ac:dyDescent="0.3">
      <c r="A319" s="3"/>
      <c r="B319" s="9" t="s">
        <v>370</v>
      </c>
      <c r="C319" s="53"/>
      <c r="D319" s="53"/>
      <c r="E319" s="11">
        <v>0</v>
      </c>
      <c r="F319" s="11">
        <v>0</v>
      </c>
      <c r="G319" s="56"/>
      <c r="H319" s="56"/>
      <c r="I319" s="80"/>
      <c r="J319" s="56"/>
      <c r="K319" s="28"/>
      <c r="L319" s="28"/>
      <c r="M319" s="28"/>
      <c r="N319" s="28"/>
      <c r="O319" s="28"/>
      <c r="P319" s="28"/>
      <c r="Q319" s="28"/>
      <c r="R319" s="28"/>
      <c r="S319" s="28"/>
      <c r="T319" s="28"/>
      <c r="U319" s="3"/>
      <c r="W319" s="3"/>
      <c r="X319" s="3"/>
      <c r="Y319" s="3"/>
      <c r="Z319" s="3"/>
    </row>
    <row r="320" spans="1:26" ht="14.4" hidden="1" outlineLevel="1" x14ac:dyDescent="0.3">
      <c r="A320" s="3"/>
      <c r="B320" s="9" t="s">
        <v>328</v>
      </c>
      <c r="C320" s="53"/>
      <c r="D320" s="53"/>
      <c r="E320" s="11">
        <v>0</v>
      </c>
      <c r="F320" s="11">
        <v>0</v>
      </c>
      <c r="G320" s="56"/>
      <c r="H320" s="56"/>
      <c r="I320" s="80"/>
      <c r="J320" s="56"/>
      <c r="K320" s="28"/>
      <c r="L320" s="28"/>
      <c r="M320" s="28"/>
      <c r="N320" s="28"/>
      <c r="O320" s="28"/>
      <c r="P320" s="28"/>
      <c r="Q320" s="28"/>
      <c r="R320" s="28"/>
      <c r="S320" s="28"/>
      <c r="T320" s="28"/>
      <c r="U320" s="3"/>
      <c r="W320" s="3"/>
      <c r="X320" s="3"/>
      <c r="Y320" s="3"/>
      <c r="Z320" s="3"/>
    </row>
    <row r="321" spans="1:26" ht="14.4" hidden="1" outlineLevel="1" x14ac:dyDescent="0.3">
      <c r="A321" s="3"/>
      <c r="B321" s="9" t="s">
        <v>329</v>
      </c>
      <c r="C321" s="53"/>
      <c r="D321" s="53"/>
      <c r="E321" s="11">
        <v>0</v>
      </c>
      <c r="F321" s="11">
        <v>0</v>
      </c>
      <c r="G321" s="56"/>
      <c r="H321" s="56"/>
      <c r="I321" s="80"/>
      <c r="J321" s="56"/>
      <c r="K321" s="28"/>
      <c r="L321" s="28"/>
      <c r="M321" s="28"/>
      <c r="N321" s="28"/>
      <c r="O321" s="28"/>
      <c r="P321" s="28"/>
      <c r="Q321" s="28"/>
      <c r="R321" s="28"/>
      <c r="S321" s="28"/>
      <c r="T321" s="28"/>
      <c r="U321" s="3"/>
      <c r="W321" s="3"/>
      <c r="X321" s="3"/>
      <c r="Y321" s="3"/>
      <c r="Z321" s="3"/>
    </row>
    <row r="322" spans="1:26" ht="14.4" hidden="1" outlineLevel="1" x14ac:dyDescent="0.3">
      <c r="A322" s="3"/>
      <c r="B322" s="9" t="s">
        <v>371</v>
      </c>
      <c r="C322" s="53"/>
      <c r="D322" s="53"/>
      <c r="E322" s="11">
        <v>0</v>
      </c>
      <c r="F322" s="11">
        <v>0</v>
      </c>
      <c r="G322" s="56"/>
      <c r="H322" s="56"/>
      <c r="I322" s="80"/>
      <c r="J322" s="56"/>
      <c r="K322" s="28"/>
      <c r="L322" s="28"/>
      <c r="M322" s="28"/>
      <c r="N322" s="28"/>
      <c r="O322" s="28"/>
      <c r="P322" s="28"/>
      <c r="Q322" s="28"/>
      <c r="R322" s="28"/>
      <c r="S322" s="28"/>
      <c r="T322" s="28"/>
      <c r="U322" s="3"/>
      <c r="W322" s="3"/>
      <c r="X322" s="3"/>
      <c r="Y322" s="3"/>
      <c r="Z322" s="3"/>
    </row>
    <row r="323" spans="1:26" ht="14.4" hidden="1" outlineLevel="1" x14ac:dyDescent="0.3">
      <c r="A323" s="3"/>
      <c r="B323" s="9" t="s">
        <v>372</v>
      </c>
      <c r="C323" s="53"/>
      <c r="D323" s="53"/>
      <c r="E323" s="11">
        <v>0</v>
      </c>
      <c r="F323" s="11">
        <v>0</v>
      </c>
      <c r="G323" s="56"/>
      <c r="H323" s="56"/>
      <c r="I323" s="80"/>
      <c r="J323" s="56"/>
      <c r="K323" s="28"/>
      <c r="L323" s="28"/>
      <c r="M323" s="28"/>
      <c r="N323" s="28"/>
      <c r="O323" s="28"/>
      <c r="P323" s="28"/>
      <c r="Q323" s="28"/>
      <c r="R323" s="28"/>
      <c r="S323" s="28"/>
      <c r="T323" s="28"/>
      <c r="U323" s="3"/>
      <c r="W323" s="3"/>
      <c r="X323" s="3"/>
      <c r="Y323" s="3"/>
      <c r="Z323" s="3"/>
    </row>
    <row r="324" spans="1:26" ht="14.4" hidden="1" outlineLevel="1" x14ac:dyDescent="0.3">
      <c r="A324" s="3"/>
      <c r="B324" s="9" t="s">
        <v>373</v>
      </c>
      <c r="C324" s="53"/>
      <c r="D324" s="53"/>
      <c r="E324" s="11">
        <v>0</v>
      </c>
      <c r="F324" s="11">
        <v>0</v>
      </c>
      <c r="G324" s="56"/>
      <c r="H324" s="56"/>
      <c r="I324" s="80"/>
      <c r="J324" s="56"/>
      <c r="K324" s="28"/>
      <c r="L324" s="28"/>
      <c r="M324" s="28"/>
      <c r="N324" s="28"/>
      <c r="O324" s="28"/>
      <c r="P324" s="28"/>
      <c r="Q324" s="28"/>
      <c r="R324" s="28"/>
      <c r="S324" s="28"/>
      <c r="T324" s="28"/>
      <c r="U324" s="3"/>
      <c r="W324" s="3"/>
      <c r="X324" s="3"/>
      <c r="Y324" s="3"/>
      <c r="Z324" s="3"/>
    </row>
    <row r="325" spans="1:26" ht="20.399999999999999" hidden="1" x14ac:dyDescent="0.3">
      <c r="A325" s="3"/>
      <c r="B325" s="75" t="s">
        <v>412</v>
      </c>
      <c r="C325" s="76" t="s">
        <v>44</v>
      </c>
      <c r="D325" s="76" t="s">
        <v>44</v>
      </c>
      <c r="E325" s="77">
        <f>SUM(E326:E346)</f>
        <v>0</v>
      </c>
      <c r="F325" s="77">
        <f>SUMIF(D326:D346,"OK",F326:F346)</f>
        <v>0</v>
      </c>
      <c r="G325" s="78"/>
      <c r="H325" s="78"/>
      <c r="I325" s="79"/>
      <c r="J325" s="78"/>
      <c r="K325" s="28"/>
      <c r="L325" s="28"/>
      <c r="M325" s="28"/>
      <c r="N325" s="28"/>
      <c r="O325" s="28"/>
      <c r="P325" s="28"/>
      <c r="Q325" s="28"/>
      <c r="R325" s="28"/>
      <c r="S325" s="28"/>
      <c r="T325" s="28"/>
      <c r="U325" s="3"/>
      <c r="W325" s="3"/>
      <c r="X325" s="3"/>
      <c r="Y325" s="3"/>
      <c r="Z325" s="3"/>
    </row>
    <row r="326" spans="1:26" ht="14.25" hidden="1" customHeight="1" outlineLevel="1" x14ac:dyDescent="0.3">
      <c r="A326" s="3"/>
      <c r="B326" s="9" t="s">
        <v>413</v>
      </c>
      <c r="C326" s="53"/>
      <c r="D326" s="53"/>
      <c r="E326" s="11">
        <v>0</v>
      </c>
      <c r="F326" s="11">
        <v>0</v>
      </c>
      <c r="G326" s="56"/>
      <c r="H326" s="56"/>
      <c r="I326" s="80"/>
      <c r="J326" s="56"/>
      <c r="K326" s="28"/>
      <c r="L326" s="28"/>
      <c r="M326" s="28"/>
      <c r="N326" s="28"/>
      <c r="O326" s="28"/>
      <c r="P326" s="28"/>
      <c r="Q326" s="28"/>
      <c r="R326" s="28"/>
      <c r="S326" s="28"/>
      <c r="T326" s="28"/>
      <c r="U326" s="3"/>
      <c r="W326" s="3"/>
      <c r="X326" s="3"/>
      <c r="Y326" s="3"/>
      <c r="Z326" s="3"/>
    </row>
    <row r="327" spans="1:26" ht="14.25" hidden="1" customHeight="1" outlineLevel="1" x14ac:dyDescent="0.3">
      <c r="A327" s="3"/>
      <c r="B327" s="9" t="s">
        <v>414</v>
      </c>
      <c r="C327" s="53"/>
      <c r="D327" s="53"/>
      <c r="E327" s="11">
        <v>0</v>
      </c>
      <c r="F327" s="11">
        <v>0</v>
      </c>
      <c r="G327" s="80"/>
      <c r="H327" s="56"/>
      <c r="I327" s="144"/>
      <c r="J327" s="56"/>
      <c r="K327" s="28"/>
      <c r="L327" s="28"/>
      <c r="M327" s="28"/>
      <c r="N327" s="28"/>
      <c r="O327" s="28"/>
      <c r="P327" s="28"/>
      <c r="Q327" s="28"/>
      <c r="R327" s="28"/>
      <c r="S327" s="28"/>
      <c r="T327" s="28"/>
      <c r="U327" s="3"/>
      <c r="W327" s="3"/>
      <c r="X327" s="3"/>
      <c r="Y327" s="3"/>
      <c r="Z327" s="3"/>
    </row>
    <row r="328" spans="1:26" ht="14.25" hidden="1" customHeight="1" outlineLevel="1" x14ac:dyDescent="0.3">
      <c r="A328" s="3"/>
      <c r="B328" s="9" t="s">
        <v>414</v>
      </c>
      <c r="C328" s="53"/>
      <c r="D328" s="53"/>
      <c r="E328" s="11">
        <v>0</v>
      </c>
      <c r="F328" s="11">
        <v>0</v>
      </c>
      <c r="G328" s="56"/>
      <c r="H328" s="56"/>
      <c r="I328" s="144"/>
      <c r="J328" s="56"/>
      <c r="K328" s="28"/>
      <c r="L328" s="28"/>
      <c r="M328" s="28"/>
      <c r="N328" s="28"/>
      <c r="O328" s="28"/>
      <c r="P328" s="28"/>
      <c r="Q328" s="28"/>
      <c r="R328" s="28"/>
      <c r="S328" s="28"/>
      <c r="T328" s="28"/>
      <c r="U328" s="3"/>
      <c r="W328" s="3"/>
      <c r="X328" s="3"/>
      <c r="Y328" s="3"/>
      <c r="Z328" s="3"/>
    </row>
    <row r="329" spans="1:26" ht="14.25" hidden="1" customHeight="1" outlineLevel="1" x14ac:dyDescent="0.3">
      <c r="A329" s="3"/>
      <c r="B329" s="9" t="s">
        <v>415</v>
      </c>
      <c r="C329" s="53"/>
      <c r="D329" s="53"/>
      <c r="E329" s="11">
        <v>0</v>
      </c>
      <c r="F329" s="11">
        <v>0</v>
      </c>
      <c r="G329" s="56"/>
      <c r="H329" s="56"/>
      <c r="I329" s="80"/>
      <c r="J329" s="56"/>
      <c r="K329" s="28"/>
      <c r="L329" s="28"/>
      <c r="M329" s="28"/>
      <c r="N329" s="28"/>
      <c r="O329" s="28"/>
      <c r="P329" s="28"/>
      <c r="Q329" s="28"/>
      <c r="R329" s="28"/>
      <c r="S329" s="28"/>
      <c r="T329" s="28"/>
      <c r="U329" s="3"/>
      <c r="W329" s="3"/>
      <c r="X329" s="3"/>
      <c r="Y329" s="3"/>
      <c r="Z329" s="3"/>
    </row>
    <row r="330" spans="1:26" ht="14.25" hidden="1" customHeight="1" outlineLevel="1" x14ac:dyDescent="0.3">
      <c r="A330" s="3"/>
      <c r="B330" s="9" t="s">
        <v>415</v>
      </c>
      <c r="C330" s="53"/>
      <c r="D330" s="53"/>
      <c r="E330" s="11">
        <v>0</v>
      </c>
      <c r="F330" s="11">
        <v>0</v>
      </c>
      <c r="G330" s="56"/>
      <c r="H330" s="56"/>
      <c r="I330" s="80"/>
      <c r="J330" s="56"/>
      <c r="K330" s="28"/>
      <c r="L330" s="28"/>
      <c r="M330" s="28"/>
      <c r="N330" s="28"/>
      <c r="O330" s="28"/>
      <c r="P330" s="28"/>
      <c r="Q330" s="28"/>
      <c r="R330" s="28"/>
      <c r="S330" s="28"/>
      <c r="T330" s="28"/>
      <c r="U330" s="3"/>
      <c r="W330" s="3"/>
      <c r="X330" s="3"/>
      <c r="Y330" s="3"/>
      <c r="Z330" s="3"/>
    </row>
    <row r="331" spans="1:26" ht="14.25" hidden="1" customHeight="1" outlineLevel="1" x14ac:dyDescent="0.3">
      <c r="A331" s="3"/>
      <c r="B331" s="9" t="s">
        <v>415</v>
      </c>
      <c r="C331" s="53"/>
      <c r="D331" s="53"/>
      <c r="E331" s="11">
        <v>0</v>
      </c>
      <c r="F331" s="11">
        <v>0</v>
      </c>
      <c r="G331" s="56"/>
      <c r="H331" s="56"/>
      <c r="I331" s="80"/>
      <c r="J331" s="56"/>
      <c r="K331" s="28"/>
      <c r="L331" s="28"/>
      <c r="M331" s="28"/>
      <c r="N331" s="28"/>
      <c r="O331" s="28"/>
      <c r="P331" s="28"/>
      <c r="Q331" s="28"/>
      <c r="R331" s="28"/>
      <c r="S331" s="28"/>
      <c r="T331" s="28"/>
      <c r="U331" s="3"/>
      <c r="W331" s="3"/>
      <c r="X331" s="3"/>
      <c r="Y331" s="3"/>
      <c r="Z331" s="3"/>
    </row>
    <row r="332" spans="1:26" ht="14.25" hidden="1" customHeight="1" outlineLevel="1" x14ac:dyDescent="0.3">
      <c r="A332" s="3"/>
      <c r="B332" s="9" t="s">
        <v>416</v>
      </c>
      <c r="C332" s="53"/>
      <c r="D332" s="53"/>
      <c r="E332" s="11">
        <v>0</v>
      </c>
      <c r="F332" s="11">
        <v>0</v>
      </c>
      <c r="G332" s="56"/>
      <c r="H332" s="56"/>
      <c r="I332" s="144"/>
      <c r="J332" s="56"/>
      <c r="K332" s="28"/>
      <c r="L332" s="28"/>
      <c r="M332" s="28"/>
      <c r="N332" s="28"/>
      <c r="O332" s="28"/>
      <c r="P332" s="28"/>
      <c r="Q332" s="28"/>
      <c r="R332" s="28"/>
      <c r="S332" s="28"/>
      <c r="T332" s="28"/>
      <c r="U332" s="3"/>
      <c r="W332" s="3"/>
      <c r="X332" s="3"/>
      <c r="Y332" s="3"/>
      <c r="Z332" s="3"/>
    </row>
    <row r="333" spans="1:26" ht="14.25" hidden="1" customHeight="1" outlineLevel="1" x14ac:dyDescent="0.3">
      <c r="A333" s="3"/>
      <c r="B333" s="9" t="s">
        <v>416</v>
      </c>
      <c r="C333" s="53"/>
      <c r="D333" s="53"/>
      <c r="E333" s="11">
        <v>0</v>
      </c>
      <c r="F333" s="11">
        <v>0</v>
      </c>
      <c r="G333" s="56"/>
      <c r="H333" s="56"/>
      <c r="I333" s="144"/>
      <c r="J333" s="56"/>
      <c r="K333" s="28"/>
      <c r="L333" s="28"/>
      <c r="M333" s="28"/>
      <c r="N333" s="28"/>
      <c r="O333" s="28"/>
      <c r="P333" s="28"/>
      <c r="Q333" s="28"/>
      <c r="R333" s="28"/>
      <c r="S333" s="28"/>
      <c r="T333" s="28"/>
      <c r="U333" s="3"/>
      <c r="W333" s="3"/>
      <c r="X333" s="3"/>
      <c r="Y333" s="3"/>
      <c r="Z333" s="3"/>
    </row>
    <row r="334" spans="1:26" ht="14.25" hidden="1" customHeight="1" outlineLevel="1" x14ac:dyDescent="0.3">
      <c r="A334" s="3"/>
      <c r="B334" s="9" t="s">
        <v>416</v>
      </c>
      <c r="C334" s="53"/>
      <c r="D334" s="53"/>
      <c r="E334" s="11">
        <v>0</v>
      </c>
      <c r="F334" s="11">
        <v>0</v>
      </c>
      <c r="G334" s="56"/>
      <c r="H334" s="56"/>
      <c r="I334" s="144"/>
      <c r="J334" s="56"/>
      <c r="K334" s="28"/>
      <c r="L334" s="28"/>
      <c r="M334" s="28"/>
      <c r="N334" s="28"/>
      <c r="O334" s="28"/>
      <c r="P334" s="28"/>
      <c r="Q334" s="28"/>
      <c r="R334" s="28"/>
      <c r="S334" s="28"/>
      <c r="T334" s="28"/>
      <c r="U334" s="3"/>
      <c r="W334" s="3"/>
      <c r="X334" s="3"/>
      <c r="Y334" s="3"/>
      <c r="Z334" s="3"/>
    </row>
    <row r="335" spans="1:26" ht="14.25" hidden="1" customHeight="1" outlineLevel="1" x14ac:dyDescent="0.3">
      <c r="A335" s="3"/>
      <c r="B335" s="9" t="s">
        <v>417</v>
      </c>
      <c r="C335" s="53"/>
      <c r="D335" s="53"/>
      <c r="E335" s="11">
        <v>0</v>
      </c>
      <c r="F335" s="11">
        <v>0</v>
      </c>
      <c r="G335" s="56"/>
      <c r="H335" s="56"/>
      <c r="I335" s="144"/>
      <c r="J335" s="56"/>
      <c r="K335" s="28"/>
      <c r="L335" s="28"/>
      <c r="M335" s="28"/>
      <c r="N335" s="28"/>
      <c r="O335" s="28"/>
      <c r="P335" s="28"/>
      <c r="Q335" s="28"/>
      <c r="R335" s="28"/>
      <c r="S335" s="28"/>
      <c r="T335" s="28"/>
      <c r="U335" s="3"/>
      <c r="W335" s="3"/>
      <c r="X335" s="3"/>
      <c r="Y335" s="3"/>
      <c r="Z335" s="3"/>
    </row>
    <row r="336" spans="1:26" ht="14.25" hidden="1" customHeight="1" outlineLevel="1" x14ac:dyDescent="0.3">
      <c r="A336" s="3"/>
      <c r="B336" s="9" t="s">
        <v>417</v>
      </c>
      <c r="C336" s="53"/>
      <c r="D336" s="53"/>
      <c r="E336" s="11">
        <v>0</v>
      </c>
      <c r="F336" s="11">
        <v>0</v>
      </c>
      <c r="G336" s="56"/>
      <c r="H336" s="56"/>
      <c r="I336" s="144"/>
      <c r="J336" s="56"/>
      <c r="K336" s="28"/>
      <c r="L336" s="28"/>
      <c r="M336" s="28"/>
      <c r="N336" s="28"/>
      <c r="O336" s="28"/>
      <c r="P336" s="28"/>
      <c r="Q336" s="28"/>
      <c r="R336" s="28"/>
      <c r="S336" s="28"/>
      <c r="T336" s="28"/>
      <c r="U336" s="3"/>
      <c r="W336" s="3"/>
      <c r="X336" s="3"/>
      <c r="Y336" s="3"/>
      <c r="Z336" s="3"/>
    </row>
    <row r="337" spans="1:26" ht="14.25" hidden="1" customHeight="1" outlineLevel="1" x14ac:dyDescent="0.3">
      <c r="A337" s="3"/>
      <c r="B337" s="9" t="s">
        <v>417</v>
      </c>
      <c r="C337" s="53"/>
      <c r="D337" s="53"/>
      <c r="E337" s="11">
        <v>0</v>
      </c>
      <c r="F337" s="11">
        <v>0</v>
      </c>
      <c r="G337" s="56"/>
      <c r="H337" s="56"/>
      <c r="I337" s="144"/>
      <c r="J337" s="56"/>
      <c r="K337" s="28"/>
      <c r="L337" s="28"/>
      <c r="M337" s="28"/>
      <c r="N337" s="28"/>
      <c r="O337" s="28"/>
      <c r="P337" s="28"/>
      <c r="Q337" s="28"/>
      <c r="R337" s="28"/>
      <c r="S337" s="28"/>
      <c r="T337" s="28"/>
      <c r="U337" s="3"/>
      <c r="W337" s="3"/>
      <c r="X337" s="3"/>
      <c r="Y337" s="3"/>
      <c r="Z337" s="3"/>
    </row>
    <row r="338" spans="1:26" ht="14.25" hidden="1" customHeight="1" outlineLevel="1" x14ac:dyDescent="0.3">
      <c r="A338" s="3"/>
      <c r="B338" s="9" t="s">
        <v>417</v>
      </c>
      <c r="C338" s="53"/>
      <c r="D338" s="53"/>
      <c r="E338" s="11">
        <v>0</v>
      </c>
      <c r="F338" s="11">
        <v>0</v>
      </c>
      <c r="G338" s="56"/>
      <c r="H338" s="56"/>
      <c r="I338" s="144"/>
      <c r="J338" s="56"/>
      <c r="K338" s="28"/>
      <c r="L338" s="28"/>
      <c r="M338" s="28"/>
      <c r="N338" s="28"/>
      <c r="O338" s="28"/>
      <c r="P338" s="28"/>
      <c r="Q338" s="28"/>
      <c r="R338" s="28"/>
      <c r="S338" s="28"/>
      <c r="T338" s="28"/>
      <c r="U338" s="3"/>
      <c r="W338" s="3"/>
      <c r="X338" s="3"/>
      <c r="Y338" s="3"/>
      <c r="Z338" s="3"/>
    </row>
    <row r="339" spans="1:26" ht="14.25" hidden="1" customHeight="1" outlineLevel="1" x14ac:dyDescent="0.3">
      <c r="A339" s="3"/>
      <c r="B339" s="9" t="s">
        <v>418</v>
      </c>
      <c r="C339" s="53"/>
      <c r="D339" s="53"/>
      <c r="E339" s="11">
        <v>0</v>
      </c>
      <c r="F339" s="11">
        <v>0</v>
      </c>
      <c r="G339" s="56"/>
      <c r="H339" s="56"/>
      <c r="I339" s="144"/>
      <c r="J339" s="56"/>
      <c r="K339" s="28"/>
      <c r="L339" s="28"/>
      <c r="M339" s="28"/>
      <c r="N339" s="28"/>
      <c r="O339" s="28"/>
      <c r="P339" s="28"/>
      <c r="Q339" s="28"/>
      <c r="R339" s="28"/>
      <c r="S339" s="28"/>
      <c r="T339" s="28"/>
      <c r="U339" s="3"/>
      <c r="W339" s="3"/>
      <c r="X339" s="3"/>
      <c r="Y339" s="3"/>
      <c r="Z339" s="3"/>
    </row>
    <row r="340" spans="1:26" ht="14.25" hidden="1" customHeight="1" outlineLevel="1" x14ac:dyDescent="0.3">
      <c r="A340" s="3"/>
      <c r="B340" s="9" t="s">
        <v>418</v>
      </c>
      <c r="C340" s="53"/>
      <c r="D340" s="53"/>
      <c r="E340" s="11">
        <v>0</v>
      </c>
      <c r="F340" s="11">
        <v>0</v>
      </c>
      <c r="G340" s="56"/>
      <c r="H340" s="56"/>
      <c r="I340" s="144"/>
      <c r="J340" s="56"/>
      <c r="K340" s="28"/>
      <c r="L340" s="28"/>
      <c r="M340" s="28"/>
      <c r="N340" s="28"/>
      <c r="O340" s="28"/>
      <c r="P340" s="28"/>
      <c r="Q340" s="28"/>
      <c r="R340" s="28"/>
      <c r="S340" s="28"/>
      <c r="T340" s="28"/>
      <c r="U340" s="3"/>
      <c r="W340" s="3"/>
      <c r="X340" s="3"/>
      <c r="Y340" s="3"/>
      <c r="Z340" s="3"/>
    </row>
    <row r="341" spans="1:26" ht="14.25" hidden="1" customHeight="1" outlineLevel="1" x14ac:dyDescent="0.3">
      <c r="A341" s="3"/>
      <c r="B341" s="9" t="s">
        <v>418</v>
      </c>
      <c r="C341" s="53"/>
      <c r="D341" s="53"/>
      <c r="E341" s="11">
        <v>0</v>
      </c>
      <c r="F341" s="11">
        <v>0</v>
      </c>
      <c r="G341" s="56"/>
      <c r="H341" s="56"/>
      <c r="I341" s="144"/>
      <c r="J341" s="56"/>
      <c r="K341" s="28"/>
      <c r="L341" s="28"/>
      <c r="M341" s="28"/>
      <c r="N341" s="28"/>
      <c r="O341" s="28"/>
      <c r="P341" s="28"/>
      <c r="Q341" s="28"/>
      <c r="R341" s="28"/>
      <c r="S341" s="28"/>
      <c r="T341" s="28"/>
      <c r="U341" s="3"/>
      <c r="W341" s="3"/>
      <c r="X341" s="3"/>
      <c r="Y341" s="3"/>
      <c r="Z341" s="3"/>
    </row>
    <row r="342" spans="1:26" ht="14.25" hidden="1" customHeight="1" outlineLevel="1" x14ac:dyDescent="0.3">
      <c r="A342" s="3"/>
      <c r="B342" s="9" t="s">
        <v>418</v>
      </c>
      <c r="C342" s="53"/>
      <c r="D342" s="53"/>
      <c r="E342" s="11">
        <v>0</v>
      </c>
      <c r="F342" s="11">
        <v>0</v>
      </c>
      <c r="G342" s="56"/>
      <c r="H342" s="56"/>
      <c r="I342" s="144"/>
      <c r="J342" s="56"/>
      <c r="K342" s="28"/>
      <c r="L342" s="28"/>
      <c r="M342" s="28"/>
      <c r="N342" s="28"/>
      <c r="O342" s="28"/>
      <c r="P342" s="28"/>
      <c r="Q342" s="28"/>
      <c r="R342" s="28"/>
      <c r="S342" s="28"/>
      <c r="T342" s="28"/>
      <c r="U342" s="3"/>
      <c r="W342" s="3"/>
      <c r="X342" s="3"/>
      <c r="Y342" s="3"/>
      <c r="Z342" s="3"/>
    </row>
    <row r="343" spans="1:26" ht="14.25" hidden="1" customHeight="1" outlineLevel="1" x14ac:dyDescent="0.3">
      <c r="A343" s="3"/>
      <c r="B343" s="9" t="s">
        <v>419</v>
      </c>
      <c r="C343" s="53"/>
      <c r="D343" s="53"/>
      <c r="E343" s="11">
        <v>0</v>
      </c>
      <c r="F343" s="11">
        <v>0</v>
      </c>
      <c r="G343" s="56"/>
      <c r="H343" s="56"/>
      <c r="I343" s="145"/>
      <c r="J343" s="56"/>
      <c r="K343" s="28"/>
      <c r="L343" s="28"/>
      <c r="M343" s="28"/>
      <c r="N343" s="28"/>
      <c r="O343" s="28"/>
      <c r="P343" s="28"/>
      <c r="Q343" s="28"/>
      <c r="R343" s="28"/>
      <c r="S343" s="28"/>
      <c r="T343" s="28"/>
      <c r="U343" s="3"/>
      <c r="W343" s="3"/>
      <c r="X343" s="3"/>
      <c r="Y343" s="3"/>
      <c r="Z343" s="3"/>
    </row>
    <row r="344" spans="1:26" ht="14.25" hidden="1" customHeight="1" outlineLevel="1" x14ac:dyDescent="0.3">
      <c r="A344" s="3"/>
      <c r="B344" s="9" t="s">
        <v>420</v>
      </c>
      <c r="C344" s="53"/>
      <c r="D344" s="53"/>
      <c r="E344" s="11">
        <v>0</v>
      </c>
      <c r="F344" s="11">
        <v>0</v>
      </c>
      <c r="G344" s="56"/>
      <c r="H344" s="56"/>
      <c r="I344" s="80"/>
      <c r="J344" s="56"/>
      <c r="K344" s="28"/>
      <c r="L344" s="28"/>
      <c r="M344" s="28"/>
      <c r="N344" s="28"/>
      <c r="O344" s="28"/>
      <c r="P344" s="28"/>
      <c r="Q344" s="28"/>
      <c r="R344" s="28"/>
      <c r="S344" s="28"/>
      <c r="T344" s="28"/>
      <c r="U344" s="3"/>
      <c r="W344" s="3"/>
      <c r="X344" s="3"/>
      <c r="Y344" s="3"/>
      <c r="Z344" s="3"/>
    </row>
    <row r="345" spans="1:26" ht="14.25" hidden="1" customHeight="1" outlineLevel="1" x14ac:dyDescent="0.3">
      <c r="A345" s="3"/>
      <c r="B345" s="9" t="s">
        <v>421</v>
      </c>
      <c r="C345" s="53"/>
      <c r="D345" s="53"/>
      <c r="E345" s="11">
        <v>0</v>
      </c>
      <c r="F345" s="11">
        <v>0</v>
      </c>
      <c r="G345" s="56"/>
      <c r="H345" s="56"/>
      <c r="I345" s="80"/>
      <c r="J345" s="56"/>
      <c r="K345" s="28"/>
      <c r="L345" s="28"/>
      <c r="M345" s="28"/>
      <c r="N345" s="28"/>
      <c r="O345" s="28"/>
      <c r="P345" s="28"/>
      <c r="Q345" s="28"/>
      <c r="R345" s="28"/>
      <c r="S345" s="28"/>
      <c r="T345" s="28"/>
      <c r="U345" s="3"/>
      <c r="W345" s="3"/>
      <c r="X345" s="3"/>
      <c r="Y345" s="3"/>
      <c r="Z345" s="3"/>
    </row>
    <row r="346" spans="1:26" ht="14.4" hidden="1" outlineLevel="1" x14ac:dyDescent="0.3">
      <c r="A346" s="3"/>
      <c r="B346" s="9" t="s">
        <v>66</v>
      </c>
      <c r="C346" s="53"/>
      <c r="D346" s="53"/>
      <c r="E346" s="11">
        <v>0</v>
      </c>
      <c r="F346" s="11">
        <v>0</v>
      </c>
      <c r="G346" s="56"/>
      <c r="H346" s="56"/>
      <c r="I346" s="80"/>
      <c r="J346" s="56"/>
      <c r="K346" s="28"/>
      <c r="L346" s="28"/>
      <c r="M346" s="28"/>
      <c r="N346" s="28"/>
      <c r="O346" s="28"/>
      <c r="P346" s="28"/>
      <c r="Q346" s="28"/>
      <c r="R346" s="28"/>
      <c r="S346" s="28"/>
      <c r="T346" s="28"/>
      <c r="U346" s="3"/>
      <c r="W346" s="3"/>
      <c r="X346" s="3"/>
      <c r="Y346" s="3"/>
      <c r="Z346" s="3"/>
    </row>
    <row r="347" spans="1:26" ht="14.25" customHeight="1" collapsed="1" x14ac:dyDescent="0.3">
      <c r="A347" s="3"/>
      <c r="B347" s="3"/>
      <c r="C347" s="28"/>
      <c r="D347" s="28"/>
      <c r="E347" s="28"/>
      <c r="F347" s="28"/>
      <c r="G347" s="89"/>
      <c r="H347" s="89"/>
      <c r="I347" s="90"/>
      <c r="J347" s="89"/>
      <c r="K347" s="28"/>
      <c r="L347" s="28"/>
      <c r="M347" s="28"/>
      <c r="N347" s="28"/>
      <c r="O347" s="28"/>
      <c r="P347" s="28"/>
      <c r="Q347" s="28"/>
      <c r="R347" s="28"/>
      <c r="S347" s="28"/>
      <c r="T347" s="28"/>
      <c r="U347" s="3"/>
    </row>
    <row r="348" spans="1:26" ht="14.25" customHeight="1" x14ac:dyDescent="0.3">
      <c r="A348" s="3"/>
      <c r="B348" s="3"/>
      <c r="C348" s="28"/>
      <c r="D348" s="28"/>
      <c r="E348" s="28"/>
      <c r="F348" s="28"/>
      <c r="G348" s="89"/>
      <c r="H348" s="89"/>
      <c r="I348" s="90"/>
      <c r="J348" s="89"/>
      <c r="K348" s="28"/>
      <c r="L348" s="28"/>
      <c r="M348" s="28"/>
      <c r="N348" s="28"/>
      <c r="O348" s="28"/>
      <c r="P348" s="28"/>
      <c r="Q348" s="28"/>
      <c r="R348" s="28"/>
      <c r="S348" s="28"/>
      <c r="T348" s="28"/>
      <c r="U348" s="3"/>
    </row>
    <row r="349" spans="1:26" ht="14.25" customHeight="1" x14ac:dyDescent="0.3">
      <c r="A349" s="3"/>
      <c r="B349" s="13" t="s">
        <v>1855</v>
      </c>
      <c r="C349" s="28"/>
      <c r="D349" s="28"/>
      <c r="E349" s="28"/>
      <c r="F349" s="28"/>
      <c r="G349" s="89"/>
      <c r="H349" s="89"/>
      <c r="I349" s="90"/>
      <c r="J349" s="89"/>
      <c r="K349" s="28"/>
      <c r="L349" s="28"/>
      <c r="M349" s="28"/>
      <c r="N349" s="28"/>
      <c r="O349" s="28"/>
      <c r="P349" s="28"/>
      <c r="Q349" s="28"/>
      <c r="R349" s="28"/>
      <c r="S349" s="28"/>
      <c r="T349" s="28"/>
      <c r="U349" s="3"/>
    </row>
    <row r="350" spans="1:26" ht="14.25" customHeight="1" x14ac:dyDescent="0.3">
      <c r="A350" s="3"/>
      <c r="B350" s="3"/>
      <c r="C350" s="28"/>
      <c r="D350" s="28"/>
      <c r="E350" s="28"/>
      <c r="F350" s="28"/>
      <c r="G350" s="89"/>
      <c r="H350" s="89"/>
      <c r="I350" s="90"/>
      <c r="J350" s="89"/>
      <c r="K350" s="28"/>
      <c r="L350" s="28"/>
      <c r="M350" s="28"/>
      <c r="N350" s="28"/>
      <c r="O350" s="28"/>
      <c r="P350" s="28"/>
      <c r="Q350" s="28"/>
      <c r="R350" s="28"/>
      <c r="S350" s="28"/>
      <c r="T350" s="28"/>
      <c r="U350" s="3"/>
    </row>
    <row r="351" spans="1:26" ht="14.2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6" ht="14.2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4.2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14.2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4.2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4.2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4.2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4.2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4.2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4.2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4.2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4.2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4.2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4.2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4.2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4.2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4.2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4.2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4.2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4.2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4.2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4.2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4.2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4.2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4.2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4.2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4.2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4.2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4.2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4.2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4.2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4.2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4.2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4.2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4.2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4.2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4.2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4.2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4.2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4.2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4.2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4.2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4.2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4.2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4.2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4.2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4.2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4.2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4.2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4.2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4.2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4.2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4.2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4.2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4.2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4.2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4.2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4.2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4.2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4.2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4.2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4.2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4.2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4.2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4.2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4.2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4.2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4.2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4.2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4.2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4.2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4.2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4.2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4.2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4.2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4.2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4.2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4.2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4.2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4.2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4.2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4.2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4.2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4.2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4.2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4.2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4.2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4.2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4.2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4.2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4.2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4.2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4.2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4.2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4.2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4.2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4.2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4.2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4.2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4.2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4.2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4.2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4.2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4.2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4.2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4.2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4.2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4.2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4.2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4.2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4.2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4.2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4.2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4.2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4.2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4.2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4.2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4.2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4.2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4.2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4.2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4.2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4.2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4.2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4.2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4.2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4.2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4.2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4.2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4.2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4.2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4.2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4.2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4.2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4.2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4.2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4.2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4.2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4.2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4.2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4.2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4.2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4.2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4.2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4.2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4.2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4.2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4.2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4.2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4.2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4.2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4.2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4.2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4.2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4.2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4.2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4.2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4.2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4.2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4.2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4.2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4.2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4.2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4.2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4.2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4.2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4.2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4.2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4.2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4.2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4.2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4.2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4.2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4.2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4.2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4.2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4.2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4.2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spans="1:21" ht="14.25" customHeight="1" x14ac:dyDescent="0.3">
      <c r="A529" s="3"/>
      <c r="B529" s="3"/>
      <c r="C529" s="28"/>
      <c r="D529" s="28"/>
      <c r="E529" s="28"/>
      <c r="F529" s="28"/>
      <c r="G529" s="89"/>
      <c r="H529" s="89"/>
      <c r="I529" s="90"/>
      <c r="J529" s="89"/>
      <c r="K529" s="28"/>
      <c r="L529" s="28"/>
      <c r="M529" s="28"/>
      <c r="N529" s="28"/>
      <c r="O529" s="28"/>
      <c r="P529" s="28"/>
      <c r="Q529" s="28"/>
      <c r="R529" s="28"/>
      <c r="S529" s="28"/>
      <c r="T529" s="28"/>
      <c r="U529" s="3"/>
    </row>
    <row r="530" spans="1:21" ht="14.25" customHeight="1" x14ac:dyDescent="0.3">
      <c r="A530" s="3"/>
      <c r="B530" s="3"/>
      <c r="C530" s="28"/>
      <c r="D530" s="28"/>
      <c r="E530" s="28"/>
      <c r="F530" s="28"/>
      <c r="G530" s="89"/>
      <c r="H530" s="89"/>
      <c r="I530" s="90"/>
      <c r="J530" s="89"/>
      <c r="K530" s="28"/>
      <c r="L530" s="28"/>
      <c r="M530" s="28"/>
      <c r="N530" s="28"/>
      <c r="O530" s="28"/>
      <c r="P530" s="28"/>
      <c r="Q530" s="28"/>
      <c r="R530" s="28"/>
      <c r="S530" s="28"/>
      <c r="T530" s="28"/>
      <c r="U530" s="3"/>
    </row>
    <row r="531" spans="1:21" ht="14.25" customHeight="1" x14ac:dyDescent="0.3">
      <c r="A531" s="3"/>
      <c r="B531" s="3"/>
      <c r="C531" s="28"/>
      <c r="D531" s="28"/>
      <c r="E531" s="28"/>
      <c r="F531" s="28"/>
      <c r="G531" s="89"/>
      <c r="H531" s="89"/>
      <c r="I531" s="90"/>
      <c r="J531" s="89"/>
      <c r="K531" s="28"/>
      <c r="L531" s="28"/>
      <c r="M531" s="28"/>
      <c r="N531" s="28"/>
      <c r="O531" s="28"/>
      <c r="P531" s="28"/>
      <c r="Q531" s="28"/>
      <c r="R531" s="28"/>
      <c r="S531" s="28"/>
      <c r="T531" s="28"/>
      <c r="U531" s="3"/>
    </row>
    <row r="532" spans="1:21" ht="14.25" customHeight="1" x14ac:dyDescent="0.3">
      <c r="A532" s="3"/>
      <c r="B532" s="3"/>
      <c r="C532" s="28"/>
      <c r="D532" s="28"/>
      <c r="E532" s="28"/>
      <c r="F532" s="28"/>
      <c r="G532" s="89"/>
      <c r="H532" s="89"/>
      <c r="I532" s="90"/>
      <c r="J532" s="89"/>
      <c r="K532" s="28"/>
      <c r="L532" s="28"/>
      <c r="M532" s="28"/>
      <c r="N532" s="28"/>
      <c r="O532" s="28"/>
      <c r="P532" s="28"/>
      <c r="Q532" s="28"/>
      <c r="R532" s="28"/>
      <c r="S532" s="28"/>
      <c r="T532" s="28"/>
      <c r="U532" s="3"/>
    </row>
    <row r="533" spans="1:21" ht="14.25" customHeight="1" x14ac:dyDescent="0.3">
      <c r="A533" s="3"/>
      <c r="B533" s="3"/>
      <c r="C533" s="28"/>
      <c r="D533" s="28"/>
      <c r="E533" s="28"/>
      <c r="F533" s="28"/>
      <c r="G533" s="89"/>
      <c r="H533" s="89"/>
      <c r="I533" s="90"/>
      <c r="J533" s="89"/>
      <c r="K533" s="28"/>
      <c r="L533" s="28"/>
      <c r="M533" s="28"/>
      <c r="N533" s="28"/>
      <c r="O533" s="28"/>
      <c r="P533" s="28"/>
      <c r="Q533" s="28"/>
      <c r="R533" s="28"/>
      <c r="S533" s="28"/>
      <c r="T533" s="28"/>
      <c r="U533" s="3"/>
    </row>
    <row r="534" spans="1:21" ht="14.25" customHeight="1" x14ac:dyDescent="0.3">
      <c r="A534" s="3"/>
      <c r="B534" s="3"/>
      <c r="C534" s="28"/>
      <c r="D534" s="28"/>
      <c r="E534" s="28"/>
      <c r="F534" s="28"/>
      <c r="G534" s="89"/>
      <c r="H534" s="89"/>
      <c r="I534" s="90"/>
      <c r="J534" s="89"/>
      <c r="K534" s="28"/>
      <c r="L534" s="28"/>
      <c r="M534" s="28"/>
      <c r="N534" s="28"/>
      <c r="O534" s="28"/>
      <c r="P534" s="28"/>
      <c r="Q534" s="28"/>
      <c r="R534" s="28"/>
      <c r="S534" s="28"/>
      <c r="T534" s="28"/>
      <c r="U534" s="3"/>
    </row>
    <row r="535" spans="1:21" ht="14.25" customHeight="1" x14ac:dyDescent="0.3">
      <c r="A535" s="3"/>
      <c r="B535" s="3"/>
      <c r="C535" s="28"/>
      <c r="D535" s="28"/>
      <c r="E535" s="28"/>
      <c r="F535" s="28"/>
      <c r="G535" s="89"/>
      <c r="H535" s="89"/>
      <c r="I535" s="90"/>
      <c r="J535" s="89"/>
      <c r="K535" s="28"/>
      <c r="L535" s="28"/>
      <c r="M535" s="28"/>
      <c r="N535" s="28"/>
      <c r="O535" s="28"/>
      <c r="P535" s="28"/>
      <c r="Q535" s="28"/>
      <c r="R535" s="28"/>
      <c r="S535" s="28"/>
      <c r="T535" s="28"/>
      <c r="U535" s="3"/>
    </row>
    <row r="536" spans="1:21" ht="14.25" customHeight="1" x14ac:dyDescent="0.3">
      <c r="A536" s="3"/>
      <c r="B536" s="3"/>
      <c r="C536" s="28"/>
      <c r="D536" s="28"/>
      <c r="E536" s="28"/>
      <c r="F536" s="28"/>
      <c r="G536" s="89"/>
      <c r="H536" s="89"/>
      <c r="I536" s="90"/>
      <c r="J536" s="89"/>
      <c r="K536" s="28"/>
      <c r="L536" s="28"/>
      <c r="M536" s="28"/>
      <c r="N536" s="28"/>
      <c r="O536" s="28"/>
      <c r="P536" s="28"/>
      <c r="Q536" s="28"/>
      <c r="R536" s="28"/>
      <c r="S536" s="28"/>
      <c r="T536" s="28"/>
      <c r="U536" s="3"/>
    </row>
    <row r="537" spans="1:21" ht="14.25" customHeight="1" x14ac:dyDescent="0.3">
      <c r="A537" s="3"/>
      <c r="B537" s="3"/>
      <c r="C537" s="28"/>
      <c r="D537" s="28"/>
      <c r="E537" s="28"/>
      <c r="F537" s="28"/>
      <c r="G537" s="89"/>
      <c r="H537" s="89"/>
      <c r="I537" s="90"/>
      <c r="J537" s="89"/>
      <c r="K537" s="28"/>
      <c r="L537" s="28"/>
      <c r="M537" s="28"/>
      <c r="N537" s="28"/>
      <c r="O537" s="28"/>
      <c r="P537" s="28"/>
      <c r="Q537" s="28"/>
      <c r="R537" s="28"/>
      <c r="S537" s="28"/>
      <c r="T537" s="28"/>
      <c r="U537" s="3"/>
    </row>
    <row r="538" spans="1:21" ht="14.25" customHeight="1" x14ac:dyDescent="0.3">
      <c r="A538" s="3"/>
      <c r="B538" s="3"/>
      <c r="C538" s="28"/>
      <c r="D538" s="28"/>
      <c r="E538" s="28"/>
      <c r="F538" s="28"/>
      <c r="G538" s="89"/>
      <c r="H538" s="89"/>
      <c r="I538" s="90"/>
      <c r="J538" s="89"/>
      <c r="K538" s="28"/>
      <c r="L538" s="28"/>
      <c r="M538" s="28"/>
      <c r="N538" s="28"/>
      <c r="O538" s="28"/>
      <c r="P538" s="28"/>
      <c r="Q538" s="28"/>
      <c r="R538" s="28"/>
      <c r="S538" s="28"/>
      <c r="T538" s="28"/>
      <c r="U538" s="3"/>
    </row>
    <row r="539" spans="1:21" ht="14.25" customHeight="1" x14ac:dyDescent="0.3">
      <c r="A539" s="3"/>
      <c r="B539" s="3"/>
      <c r="C539" s="28"/>
      <c r="D539" s="28"/>
      <c r="E539" s="28"/>
      <c r="F539" s="28"/>
      <c r="G539" s="89"/>
      <c r="H539" s="89"/>
      <c r="I539" s="90"/>
      <c r="J539" s="89"/>
      <c r="K539" s="28"/>
      <c r="L539" s="28"/>
      <c r="M539" s="28"/>
      <c r="N539" s="28"/>
      <c r="O539" s="28"/>
      <c r="P539" s="28"/>
      <c r="Q539" s="28"/>
      <c r="R539" s="28"/>
      <c r="S539" s="28"/>
      <c r="T539" s="28"/>
      <c r="U539" s="3"/>
    </row>
    <row r="540" spans="1:21" ht="14.25" customHeight="1" x14ac:dyDescent="0.3">
      <c r="A540" s="3"/>
      <c r="B540" s="3"/>
      <c r="C540" s="28"/>
      <c r="D540" s="28"/>
      <c r="E540" s="28"/>
      <c r="F540" s="28"/>
      <c r="G540" s="89"/>
      <c r="H540" s="89"/>
      <c r="I540" s="90"/>
      <c r="J540" s="89"/>
      <c r="K540" s="28"/>
      <c r="L540" s="28"/>
      <c r="M540" s="28"/>
      <c r="N540" s="28"/>
      <c r="O540" s="28"/>
      <c r="P540" s="28"/>
      <c r="Q540" s="28"/>
      <c r="R540" s="28"/>
      <c r="S540" s="28"/>
      <c r="T540" s="28"/>
      <c r="U540" s="3"/>
    </row>
    <row r="541" spans="1:21" ht="14.25" customHeight="1" x14ac:dyDescent="0.3">
      <c r="A541" s="3"/>
      <c r="B541" s="3"/>
      <c r="C541" s="28"/>
      <c r="D541" s="28"/>
      <c r="E541" s="28"/>
      <c r="F541" s="28"/>
      <c r="G541" s="89"/>
      <c r="H541" s="89"/>
      <c r="I541" s="90"/>
      <c r="J541" s="89"/>
      <c r="K541" s="28"/>
      <c r="L541" s="28"/>
      <c r="M541" s="28"/>
      <c r="N541" s="28"/>
      <c r="O541" s="28"/>
      <c r="P541" s="28"/>
      <c r="Q541" s="28"/>
      <c r="R541" s="28"/>
      <c r="S541" s="28"/>
      <c r="T541" s="28"/>
      <c r="U541" s="3"/>
    </row>
    <row r="542" spans="1:21" ht="14.25" customHeight="1" x14ac:dyDescent="0.3">
      <c r="A542" s="3"/>
      <c r="B542" s="3"/>
      <c r="C542" s="28"/>
      <c r="D542" s="28"/>
      <c r="E542" s="28"/>
      <c r="F542" s="28"/>
      <c r="G542" s="89"/>
      <c r="H542" s="89"/>
      <c r="I542" s="90"/>
      <c r="J542" s="89"/>
      <c r="K542" s="28"/>
      <c r="L542" s="28"/>
      <c r="M542" s="28"/>
      <c r="N542" s="28"/>
      <c r="O542" s="28"/>
      <c r="P542" s="28"/>
      <c r="Q542" s="28"/>
      <c r="R542" s="28"/>
      <c r="S542" s="28"/>
      <c r="T542" s="28"/>
      <c r="U542" s="3"/>
    </row>
    <row r="543" spans="1:21" ht="14.25" customHeight="1" x14ac:dyDescent="0.3">
      <c r="A543" s="3"/>
      <c r="B543" s="3"/>
      <c r="C543" s="28"/>
      <c r="D543" s="28"/>
      <c r="E543" s="28"/>
      <c r="F543" s="28"/>
      <c r="G543" s="89"/>
      <c r="H543" s="89"/>
      <c r="I543" s="90"/>
      <c r="J543" s="89"/>
      <c r="K543" s="28"/>
      <c r="L543" s="28"/>
      <c r="M543" s="28"/>
      <c r="N543" s="28"/>
      <c r="O543" s="28"/>
      <c r="P543" s="28"/>
      <c r="Q543" s="28"/>
      <c r="R543" s="28"/>
      <c r="S543" s="28"/>
      <c r="T543" s="28"/>
      <c r="U543" s="3"/>
    </row>
    <row r="544" spans="1:21" ht="14.25" customHeight="1" x14ac:dyDescent="0.3">
      <c r="A544" s="3"/>
      <c r="B544" s="3"/>
      <c r="C544" s="28"/>
      <c r="D544" s="28"/>
      <c r="E544" s="28"/>
      <c r="F544" s="28"/>
      <c r="G544" s="89"/>
      <c r="H544" s="89"/>
      <c r="I544" s="90"/>
      <c r="J544" s="89"/>
      <c r="K544" s="28"/>
      <c r="L544" s="28"/>
      <c r="M544" s="28"/>
      <c r="N544" s="28"/>
      <c r="O544" s="28"/>
      <c r="P544" s="28"/>
      <c r="Q544" s="28"/>
      <c r="R544" s="28"/>
      <c r="S544" s="28"/>
      <c r="T544" s="28"/>
      <c r="U544" s="3"/>
    </row>
    <row r="545" spans="1:21" ht="14.25" customHeight="1" x14ac:dyDescent="0.3">
      <c r="A545" s="3"/>
      <c r="B545" s="3"/>
      <c r="C545" s="28"/>
      <c r="D545" s="28"/>
      <c r="E545" s="28"/>
      <c r="F545" s="28"/>
      <c r="G545" s="89"/>
      <c r="H545" s="89"/>
      <c r="I545" s="90"/>
      <c r="J545" s="89"/>
      <c r="K545" s="28"/>
      <c r="L545" s="28"/>
      <c r="M545" s="28"/>
      <c r="N545" s="28"/>
      <c r="O545" s="28"/>
      <c r="P545" s="28"/>
      <c r="Q545" s="28"/>
      <c r="R545" s="28"/>
      <c r="S545" s="28"/>
      <c r="T545" s="28"/>
      <c r="U545" s="3"/>
    </row>
    <row r="546" spans="1:21" ht="14.25" customHeight="1" x14ac:dyDescent="0.3">
      <c r="A546" s="3"/>
      <c r="B546" s="3"/>
      <c r="C546" s="28"/>
      <c r="D546" s="28"/>
      <c r="E546" s="28"/>
      <c r="F546" s="28"/>
      <c r="G546" s="89"/>
      <c r="H546" s="89"/>
      <c r="I546" s="90"/>
      <c r="J546" s="89"/>
      <c r="K546" s="28"/>
      <c r="L546" s="28"/>
      <c r="M546" s="28"/>
      <c r="N546" s="28"/>
      <c r="O546" s="28"/>
      <c r="P546" s="28"/>
      <c r="Q546" s="28"/>
      <c r="R546" s="28"/>
      <c r="S546" s="28"/>
      <c r="T546" s="28"/>
      <c r="U546" s="3"/>
    </row>
    <row r="547" spans="1:21" ht="15.75" customHeight="1" x14ac:dyDescent="0.3"/>
    <row r="548" spans="1:21" ht="15.75" customHeight="1" x14ac:dyDescent="0.3"/>
    <row r="549" spans="1:21" ht="15.75" customHeight="1" x14ac:dyDescent="0.3"/>
    <row r="550" spans="1:21" ht="15.75" customHeight="1" x14ac:dyDescent="0.3"/>
    <row r="551" spans="1:21" ht="15.75" customHeight="1" x14ac:dyDescent="0.3"/>
    <row r="552" spans="1:21" ht="15.75" customHeight="1" x14ac:dyDescent="0.3"/>
    <row r="553" spans="1:21" ht="15.7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346" xr:uid="{00000000-0009-0000-0000-000019000000}">
    <filterColumn colId="3">
      <filters>
        <filter val="R$  0.42"/>
        <filter val="R$  1,098.66"/>
        <filter val="R$  1,178.00"/>
        <filter val="R$  1,372.20"/>
        <filter val="R$  1,423.62"/>
        <filter val="R$  1,430.00"/>
        <filter val="R$  1,633.97"/>
        <filter val="R$  1,639.01"/>
        <filter val="R$  1,752.00"/>
        <filter val="R$  100.00"/>
        <filter val="R$  11.86"/>
        <filter val="R$  117.00"/>
        <filter val="R$  131.49"/>
        <filter val="R$  15.57"/>
        <filter val="R$  158.40"/>
        <filter val="R$  18.00"/>
        <filter val="R$  184.00"/>
        <filter val="R$  190.00"/>
        <filter val="R$  2,206.60"/>
        <filter val="R$  2,379.50"/>
        <filter val="R$  2,759.50"/>
        <filter val="R$  200.00"/>
        <filter val="R$  225.93"/>
        <filter val="R$  241.98"/>
        <filter val="R$  251.32"/>
        <filter val="R$  264.02"/>
        <filter val="R$  28.50"/>
        <filter val="R$  29.70"/>
        <filter val="R$  3,688.05"/>
        <filter val="R$  300.00"/>
        <filter val="R$  306.18"/>
        <filter val="R$  310.00"/>
        <filter val="R$  32.99"/>
        <filter val="R$  36.00"/>
        <filter val="R$  365.42"/>
        <filter val="R$  383.01"/>
        <filter val="R$  396.00"/>
        <filter val="R$  4,923.86"/>
        <filter val="R$  41.10"/>
        <filter val="R$  410.00"/>
        <filter val="R$  413.50"/>
        <filter val="R$  423.85"/>
        <filter val="R$  448.33"/>
        <filter val="R$  45.80"/>
        <filter val="R$  454.60"/>
        <filter val="R$  47.03"/>
        <filter val="R$  475.20"/>
        <filter val="R$  48.00"/>
        <filter val="R$  48.79"/>
        <filter val="R$  50.00"/>
        <filter val="R$  524.70"/>
        <filter val="R$  53.00"/>
        <filter val="R$  536.74"/>
        <filter val="R$  537.00"/>
        <filter val="R$  56.90"/>
        <filter val="R$  58,730.10"/>
        <filter val="R$  6,500.00"/>
        <filter val="R$  6,868.29"/>
        <filter val="R$  60.00"/>
        <filter val="R$  618.55"/>
        <filter val="R$  65,598.39"/>
        <filter val="R$  65.00"/>
        <filter val="R$  650.00"/>
        <filter val="R$  69.39"/>
        <filter val="R$  7,037.00"/>
        <filter val="R$  7,235.63"/>
        <filter val="R$  700.00"/>
        <filter val="R$  72,635.39"/>
        <filter val="R$  73.73"/>
        <filter val="R$  752.00"/>
        <filter val="R$  753.64"/>
        <filter val="R$  78.90"/>
        <filter val="R$  80.00"/>
        <filter val="R$  810.81"/>
        <filter val="R$  84.90"/>
        <filter val="R$  99.00"/>
      </filters>
    </filterColumn>
  </autoFilter>
  <mergeCells count="10">
    <mergeCell ref="J4:J5"/>
    <mergeCell ref="I17:I21"/>
    <mergeCell ref="G17:G21"/>
    <mergeCell ref="G22:G28"/>
    <mergeCell ref="I22:I28"/>
    <mergeCell ref="B2:B3"/>
    <mergeCell ref="C2:F3"/>
    <mergeCell ref="B4:B5"/>
    <mergeCell ref="H4:H5"/>
    <mergeCell ref="I4:I5"/>
  </mergeCells>
  <dataValidations count="1">
    <dataValidation type="list" allowBlank="1" showErrorMessage="1" sqref="D7:D37 D39:D62 D64:D141 D143:D151 D154:D158 D160:D164 D166:D170 D172:D176 D178:D182 D184:D261 D264:D272 D274:D282 D284:D292 D294:D314 D316:D324 D326:D346" xr:uid="{00000000-0002-0000-1900-000001000000}">
      <formula1>"OK,Parcial,Pendente"</formula1>
    </dataValidation>
  </dataValidations>
  <hyperlinks>
    <hyperlink ref="I7" r:id="rId1" xr:uid="{00000000-0004-0000-1900-000000000000}"/>
    <hyperlink ref="I10" r:id="rId2" xr:uid="{00000000-0004-0000-1900-000001000000}"/>
    <hyperlink ref="I11" r:id="rId3" xr:uid="{00000000-0004-0000-1900-000002000000}"/>
    <hyperlink ref="I12" r:id="rId4" xr:uid="{00000000-0004-0000-1900-000003000000}"/>
    <hyperlink ref="I17" r:id="rId5" xr:uid="{00000000-0004-0000-1900-000004000000}"/>
    <hyperlink ref="I22" r:id="rId6" xr:uid="{00000000-0004-0000-1900-000005000000}"/>
    <hyperlink ref="I29" r:id="rId7" xr:uid="{00000000-0004-0000-1900-000006000000}"/>
    <hyperlink ref="I30" r:id="rId8" xr:uid="{00000000-0004-0000-1900-000007000000}"/>
    <hyperlink ref="I33" r:id="rId9" xr:uid="{00000000-0004-0000-1900-000008000000}"/>
    <hyperlink ref="I35" r:id="rId10" xr:uid="{00000000-0004-0000-1900-000009000000}"/>
    <hyperlink ref="I39" r:id="rId11" xr:uid="{00000000-0004-0000-1900-00000A000000}"/>
    <hyperlink ref="I40" r:id="rId12" xr:uid="{00000000-0004-0000-1900-00000B000000}"/>
    <hyperlink ref="I43" r:id="rId13" xr:uid="{00000000-0004-0000-1900-00000C000000}"/>
    <hyperlink ref="I46" r:id="rId14" xr:uid="{00000000-0004-0000-1900-00000D000000}"/>
    <hyperlink ref="I47" r:id="rId15" xr:uid="{00000000-0004-0000-1900-00000E000000}"/>
    <hyperlink ref="I48" r:id="rId16" xr:uid="{00000000-0004-0000-1900-00000F000000}"/>
    <hyperlink ref="I49" r:id="rId17" xr:uid="{00000000-0004-0000-1900-000010000000}"/>
    <hyperlink ref="I50" r:id="rId18" xr:uid="{00000000-0004-0000-1900-000011000000}"/>
    <hyperlink ref="I51" r:id="rId19" xr:uid="{00000000-0004-0000-1900-000012000000}"/>
    <hyperlink ref="I52" r:id="rId20" xr:uid="{00000000-0004-0000-1900-000013000000}"/>
    <hyperlink ref="I64" r:id="rId21" xr:uid="{00000000-0004-0000-1900-000014000000}"/>
    <hyperlink ref="I65" r:id="rId22" xr:uid="{00000000-0004-0000-1900-000015000000}"/>
    <hyperlink ref="I66" r:id="rId23" xr:uid="{00000000-0004-0000-1900-000016000000}"/>
    <hyperlink ref="I70" r:id="rId24" xr:uid="{00000000-0004-0000-1900-000017000000}"/>
    <hyperlink ref="I72" r:id="rId25" xr:uid="{00000000-0004-0000-1900-000018000000}"/>
    <hyperlink ref="I73" r:id="rId26" xr:uid="{00000000-0004-0000-1900-000019000000}"/>
    <hyperlink ref="I74" r:id="rId27" xr:uid="{00000000-0004-0000-1900-00001A000000}"/>
    <hyperlink ref="I80" r:id="rId28" xr:uid="{00000000-0004-0000-1900-00001B000000}"/>
    <hyperlink ref="I81" r:id="rId29" xr:uid="{00000000-0004-0000-1900-00001C000000}"/>
    <hyperlink ref="I82" r:id="rId30" xr:uid="{00000000-0004-0000-1900-00001D000000}"/>
    <hyperlink ref="I92" r:id="rId31" xr:uid="{00000000-0004-0000-1900-00001E000000}"/>
    <hyperlink ref="I93" r:id="rId32" xr:uid="{00000000-0004-0000-1900-00001F000000}"/>
    <hyperlink ref="I124" r:id="rId33" xr:uid="{00000000-0004-0000-1900-000020000000}"/>
    <hyperlink ref="I125" r:id="rId34" xr:uid="{00000000-0004-0000-1900-000021000000}"/>
    <hyperlink ref="I126" r:id="rId35" xr:uid="{00000000-0004-0000-1900-000022000000}"/>
    <hyperlink ref="I127" r:id="rId36" xr:uid="{00000000-0004-0000-1900-000023000000}"/>
    <hyperlink ref="I128" r:id="rId37" xr:uid="{00000000-0004-0000-1900-000024000000}"/>
    <hyperlink ref="I154" r:id="rId38" xr:uid="{00000000-0004-0000-1900-000025000000}"/>
    <hyperlink ref="I213" r:id="rId39" xr:uid="{00000000-0004-0000-1900-000026000000}"/>
    <hyperlink ref="I243" r:id="rId40" xr:uid="{00000000-0004-0000-1900-000027000000}"/>
    <hyperlink ref="I264" r:id="rId41" xr:uid="{00000000-0004-0000-1900-000028000000}"/>
    <hyperlink ref="I265" r:id="rId42" xr:uid="{00000000-0004-0000-1900-000029000000}"/>
    <hyperlink ref="I266" r:id="rId43" xr:uid="{00000000-0004-0000-1900-00002A000000}"/>
    <hyperlink ref="I267" r:id="rId44" xr:uid="{00000000-0004-0000-1900-00002B000000}"/>
    <hyperlink ref="I268" r:id="rId45" xr:uid="{00000000-0004-0000-1900-00002C000000}"/>
    <hyperlink ref="I294" r:id="rId46" xr:uid="{00000000-0004-0000-1900-00002D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900-000000000000}">
          <x14:formula1>
            <xm:f>Caixa!$B$5:$B$8</xm:f>
          </x14:formula1>
          <xm:sqref>H7:H15 H17:H33 H35:H37 H39:H62 H64:H89 H92:H106 H108:H111 H113:H115 H118:H122 H124:H141 H143:H151 H154:H158 H160:H164 H166:H170 H172:H176 H178:H182 H184:H211 H213:H221 H223:H231 H233:H241 H243:H251 H253:H261 H264:H272 H274:H282 H284:H292 H294:H314 H316:H324 H326:H346</xm:sqref>
        </x14:dataValidation>
        <x14:dataValidation type="list" allowBlank="1" showErrorMessage="1" xr:uid="{00000000-0002-0000-1900-000002000000}">
          <x14:formula1>
            <xm:f>'Plano de contas DG'!$C$43:$C$145</xm:f>
          </x14:formula1>
          <xm:sqref>J244</xm:sqref>
        </x14:dataValidation>
        <x14:dataValidation type="list" allowBlank="1" showErrorMessage="1" xr:uid="{00000000-0002-0000-1900-000003000000}">
          <x14:formula1>
            <xm:f>'Plano de contas DG'!$C$5:$C$145</xm:f>
          </x14:formula1>
          <xm:sqref>J6:J243 J245:J346</xm:sqref>
        </x14:dataValidation>
        <x14:dataValidation type="list" allowBlank="1" showErrorMessage="1" xr:uid="{00000000-0002-0000-1900-000004000000}">
          <x14:formula1>
            <xm:f>Caixa!$B$5:$B$7</xm:f>
          </x14:formula1>
          <xm:sqref>H16 H34 H90:H91 H107 H112 H116:H117 H123 H212 H222 H232 H242 H252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Z1001"/>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SUM(E6,E126,E154,E184,E189)</f>
        <v>20717.810000000001</v>
      </c>
      <c r="F4" s="18">
        <f t="shared" si="0"/>
        <v>47938.549999999996</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SUM(E7:E125)</f>
        <v>20717.810000000001</v>
      </c>
      <c r="F6" s="48">
        <f>SUMIF(D7:D125,"OK",F7:F125)+SUMIF(D7:D125,"Parcial",F7:F125)</f>
        <v>17975.55</v>
      </c>
      <c r="G6" s="107" t="s">
        <v>44</v>
      </c>
      <c r="H6" s="50"/>
      <c r="I6" s="50"/>
      <c r="J6" s="51">
        <f>(COUNTIF(D7:D125,"Pendente")+COUNTIF(D7:D125,"Parcial"))/COUNTA(B7:B125)</f>
        <v>0.22549019607843138</v>
      </c>
      <c r="K6" s="51">
        <f>IFERROR(-(X6/E6),"Pendente info")</f>
        <v>0.18068029391137383</v>
      </c>
      <c r="L6" s="91">
        <f>SUM(L7:L104)/COUNTA(B7:B104)</f>
        <v>0.1326530612244898</v>
      </c>
      <c r="M6" s="48">
        <f t="shared" ref="M6:U6" si="1">SUMIF($D$7:$D$125,"OK",M7:M125)+SUMIF($D$7:$D$125,"Parcial",M7:M125)</f>
        <v>9121.3400000000038</v>
      </c>
      <c r="N6" s="48">
        <f t="shared" si="1"/>
        <v>1941.0299999999993</v>
      </c>
      <c r="O6" s="48">
        <f t="shared" si="1"/>
        <v>948</v>
      </c>
      <c r="P6" s="48">
        <f t="shared" si="1"/>
        <v>166.03999999999996</v>
      </c>
      <c r="Q6" s="48">
        <f t="shared" si="1"/>
        <v>140</v>
      </c>
      <c r="R6" s="48">
        <f t="shared" si="1"/>
        <v>135</v>
      </c>
      <c r="S6" s="48">
        <f t="shared" si="1"/>
        <v>202</v>
      </c>
      <c r="T6" s="48">
        <f t="shared" si="1"/>
        <v>420</v>
      </c>
      <c r="U6" s="48">
        <f t="shared" si="1"/>
        <v>4772.1399999999994</v>
      </c>
      <c r="V6" s="47" t="s">
        <v>44</v>
      </c>
      <c r="W6" s="35" t="str">
        <f t="shared" ref="W6:W125" si="2">IF(F6=SUM(M6:U6),"OK","Diferente")</f>
        <v>Diferente</v>
      </c>
      <c r="X6" s="38">
        <f>SUM(X7:X125)</f>
        <v>-3743.3</v>
      </c>
      <c r="Y6" s="14">
        <f>SUM(M6:U6)-F6</f>
        <v>-129.99999999999636</v>
      </c>
      <c r="Z6" s="3"/>
    </row>
    <row r="7" spans="1:26" ht="14.4" hidden="1" outlineLevel="1" x14ac:dyDescent="0.3">
      <c r="A7" s="3"/>
      <c r="B7" s="99" t="s">
        <v>423</v>
      </c>
      <c r="C7" s="53"/>
      <c r="D7" s="53" t="s">
        <v>95</v>
      </c>
      <c r="E7" s="11"/>
      <c r="F7" s="92"/>
      <c r="G7" s="58"/>
      <c r="H7" s="93"/>
      <c r="I7" s="54"/>
      <c r="J7" s="55"/>
      <c r="K7" s="53"/>
      <c r="L7" s="53" t="str">
        <f t="shared" ref="L7:L125" si="3">IF(C7&gt;=13,1,"")</f>
        <v/>
      </c>
      <c r="M7" s="11"/>
      <c r="N7" s="11"/>
      <c r="O7" s="11"/>
      <c r="P7" s="11"/>
      <c r="Q7" s="11"/>
      <c r="R7" s="11"/>
      <c r="S7" s="11"/>
      <c r="T7" s="11"/>
      <c r="U7" s="11"/>
      <c r="V7" s="56"/>
      <c r="W7" s="35" t="str">
        <f t="shared" si="2"/>
        <v>OK</v>
      </c>
      <c r="X7" s="38" t="str">
        <f t="shared" ref="X7:X125" si="4">IF(W7="Diferente",F7-SUM(M7:U7),"")</f>
        <v/>
      </c>
      <c r="Y7" s="3"/>
      <c r="Z7" s="116"/>
    </row>
    <row r="8" spans="1:26" ht="14.4" hidden="1" outlineLevel="1" x14ac:dyDescent="0.3">
      <c r="A8" s="3"/>
      <c r="B8" s="99" t="s">
        <v>425</v>
      </c>
      <c r="C8" s="53"/>
      <c r="D8" s="53" t="s">
        <v>95</v>
      </c>
      <c r="E8" s="11"/>
      <c r="F8" s="92"/>
      <c r="G8" s="58"/>
      <c r="H8" s="54"/>
      <c r="I8" s="54"/>
      <c r="J8" s="55"/>
      <c r="K8" s="53"/>
      <c r="L8" s="53" t="str">
        <f t="shared" si="3"/>
        <v/>
      </c>
      <c r="M8" s="11"/>
      <c r="N8" s="11"/>
      <c r="O8" s="11"/>
      <c r="P8" s="11"/>
      <c r="Q8" s="11"/>
      <c r="R8" s="11"/>
      <c r="S8" s="11"/>
      <c r="T8" s="11"/>
      <c r="U8" s="11"/>
      <c r="V8" s="56"/>
      <c r="W8" s="35" t="str">
        <f t="shared" si="2"/>
        <v>OK</v>
      </c>
      <c r="X8" s="38" t="str">
        <f t="shared" si="4"/>
        <v/>
      </c>
      <c r="Y8" s="3"/>
      <c r="Z8" s="116"/>
    </row>
    <row r="9" spans="1:26" ht="14.4" hidden="1" outlineLevel="1" x14ac:dyDescent="0.3">
      <c r="A9" s="3"/>
      <c r="B9" s="99" t="s">
        <v>426</v>
      </c>
      <c r="C9" s="53"/>
      <c r="D9" s="53" t="s">
        <v>95</v>
      </c>
      <c r="E9" s="11"/>
      <c r="F9" s="92"/>
      <c r="G9" s="58"/>
      <c r="H9" s="54"/>
      <c r="I9" s="54"/>
      <c r="J9" s="55"/>
      <c r="K9" s="53"/>
      <c r="L9" s="53" t="str">
        <f t="shared" si="3"/>
        <v/>
      </c>
      <c r="M9" s="11"/>
      <c r="N9" s="11"/>
      <c r="O9" s="11"/>
      <c r="P9" s="11"/>
      <c r="Q9" s="11"/>
      <c r="R9" s="11"/>
      <c r="S9" s="11"/>
      <c r="T9" s="11"/>
      <c r="U9" s="11"/>
      <c r="V9" s="56"/>
      <c r="W9" s="35" t="str">
        <f t="shared" si="2"/>
        <v>OK</v>
      </c>
      <c r="X9" s="38" t="str">
        <f t="shared" si="4"/>
        <v/>
      </c>
      <c r="Y9" s="3"/>
      <c r="Z9" s="116"/>
    </row>
    <row r="10" spans="1:26" ht="14.4" hidden="1" outlineLevel="1" x14ac:dyDescent="0.3">
      <c r="A10" s="3"/>
      <c r="B10" s="99" t="s">
        <v>427</v>
      </c>
      <c r="C10" s="53"/>
      <c r="D10" s="53" t="s">
        <v>95</v>
      </c>
      <c r="E10" s="11"/>
      <c r="F10" s="92">
        <v>130</v>
      </c>
      <c r="G10" s="58"/>
      <c r="H10" s="54" t="s">
        <v>37</v>
      </c>
      <c r="I10" s="54"/>
      <c r="J10" s="55"/>
      <c r="K10" s="53"/>
      <c r="L10" s="53" t="str">
        <f t="shared" si="3"/>
        <v/>
      </c>
      <c r="M10" s="11"/>
      <c r="N10" s="11"/>
      <c r="O10" s="11"/>
      <c r="P10" s="11"/>
      <c r="Q10" s="11"/>
      <c r="R10" s="11"/>
      <c r="S10" s="11"/>
      <c r="T10" s="11"/>
      <c r="U10" s="11"/>
      <c r="V10" s="56"/>
      <c r="W10" s="35" t="str">
        <f t="shared" si="2"/>
        <v>Diferente</v>
      </c>
      <c r="X10" s="38">
        <f t="shared" si="4"/>
        <v>130</v>
      </c>
      <c r="Y10" s="3"/>
      <c r="Z10" s="116"/>
    </row>
    <row r="11" spans="1:26" ht="14.4" hidden="1" outlineLevel="1" x14ac:dyDescent="0.3">
      <c r="A11" s="3"/>
      <c r="B11" s="99" t="s">
        <v>428</v>
      </c>
      <c r="C11" s="53">
        <v>10</v>
      </c>
      <c r="D11" s="53" t="s">
        <v>95</v>
      </c>
      <c r="E11" s="11">
        <f t="shared" ref="E11:E12" si="5">SUM(M11:U11)</f>
        <v>489.43</v>
      </c>
      <c r="F11" s="148">
        <f t="shared" ref="F11:F12" si="6">E11</f>
        <v>489.43</v>
      </c>
      <c r="G11" s="58"/>
      <c r="H11" s="54" t="s">
        <v>37</v>
      </c>
      <c r="I11" s="54"/>
      <c r="J11" s="55"/>
      <c r="K11" s="53"/>
      <c r="L11" s="53" t="str">
        <f t="shared" si="3"/>
        <v/>
      </c>
      <c r="M11" s="11">
        <v>148</v>
      </c>
      <c r="N11" s="11">
        <v>24.57</v>
      </c>
      <c r="O11" s="11">
        <v>12</v>
      </c>
      <c r="P11" s="11">
        <v>3.86</v>
      </c>
      <c r="Q11" s="11">
        <v>5</v>
      </c>
      <c r="R11" s="11"/>
      <c r="S11" s="11"/>
      <c r="T11" s="11"/>
      <c r="U11" s="11">
        <v>296</v>
      </c>
      <c r="V11" s="56" t="s">
        <v>1856</v>
      </c>
      <c r="W11" s="35" t="str">
        <f t="shared" si="2"/>
        <v>OK</v>
      </c>
      <c r="X11" s="38" t="str">
        <f t="shared" si="4"/>
        <v/>
      </c>
      <c r="Y11" s="3"/>
      <c r="Z11" s="116"/>
    </row>
    <row r="12" spans="1:26" ht="14.4" hidden="1" outlineLevel="1" x14ac:dyDescent="0.3">
      <c r="A12" s="3"/>
      <c r="B12" s="99" t="s">
        <v>429</v>
      </c>
      <c r="C12" s="53">
        <v>10</v>
      </c>
      <c r="D12" s="53" t="s">
        <v>95</v>
      </c>
      <c r="E12" s="11">
        <f t="shared" si="5"/>
        <v>212.57</v>
      </c>
      <c r="F12" s="148">
        <f t="shared" si="6"/>
        <v>212.57</v>
      </c>
      <c r="G12" s="58"/>
      <c r="H12" s="54" t="s">
        <v>37</v>
      </c>
      <c r="I12" s="54"/>
      <c r="J12" s="55"/>
      <c r="K12" s="53"/>
      <c r="L12" s="53" t="str">
        <f t="shared" si="3"/>
        <v/>
      </c>
      <c r="M12" s="11">
        <v>148</v>
      </c>
      <c r="N12" s="11">
        <v>24.57</v>
      </c>
      <c r="O12" s="11">
        <v>12</v>
      </c>
      <c r="P12" s="11">
        <v>2</v>
      </c>
      <c r="Q12" s="11"/>
      <c r="R12" s="11"/>
      <c r="S12" s="11"/>
      <c r="T12" s="11"/>
      <c r="U12" s="11">
        <v>26</v>
      </c>
      <c r="V12" s="56" t="s">
        <v>1857</v>
      </c>
      <c r="W12" s="35" t="str">
        <f t="shared" si="2"/>
        <v>OK</v>
      </c>
      <c r="X12" s="38" t="str">
        <f t="shared" si="4"/>
        <v/>
      </c>
      <c r="Y12" s="3"/>
      <c r="Z12" s="116"/>
    </row>
    <row r="13" spans="1:26" ht="14.4" hidden="1" outlineLevel="1" x14ac:dyDescent="0.3">
      <c r="A13" s="3"/>
      <c r="B13" s="99" t="s">
        <v>430</v>
      </c>
      <c r="C13" s="53">
        <v>3</v>
      </c>
      <c r="D13" s="53" t="s">
        <v>130</v>
      </c>
      <c r="E13" s="11">
        <v>374.49</v>
      </c>
      <c r="F13" s="148">
        <f t="shared" ref="F13:F14" si="7">SUM(M13:U13)</f>
        <v>444.01</v>
      </c>
      <c r="G13" s="61" t="s">
        <v>1858</v>
      </c>
      <c r="H13" s="54" t="s">
        <v>37</v>
      </c>
      <c r="I13" s="54"/>
      <c r="J13" s="55"/>
      <c r="K13" s="53"/>
      <c r="L13" s="53" t="str">
        <f t="shared" si="3"/>
        <v/>
      </c>
      <c r="M13" s="11">
        <v>200</v>
      </c>
      <c r="N13" s="11">
        <v>24.57</v>
      </c>
      <c r="O13" s="11">
        <v>12</v>
      </c>
      <c r="P13" s="11">
        <v>1.44</v>
      </c>
      <c r="Q13" s="11">
        <v>10</v>
      </c>
      <c r="R13" s="11">
        <v>20</v>
      </c>
      <c r="S13" s="11">
        <v>50</v>
      </c>
      <c r="T13" s="11">
        <v>50</v>
      </c>
      <c r="U13" s="11">
        <v>76</v>
      </c>
      <c r="V13" s="56" t="s">
        <v>1859</v>
      </c>
      <c r="W13" s="35" t="str">
        <f t="shared" si="2"/>
        <v>OK</v>
      </c>
      <c r="X13" s="38" t="str">
        <f t="shared" si="4"/>
        <v/>
      </c>
      <c r="Y13" s="3"/>
      <c r="Z13" s="116"/>
    </row>
    <row r="14" spans="1:26" ht="14.4" hidden="1" outlineLevel="1" x14ac:dyDescent="0.3">
      <c r="A14" s="3"/>
      <c r="B14" s="99" t="s">
        <v>432</v>
      </c>
      <c r="C14" s="53">
        <v>3</v>
      </c>
      <c r="D14" s="53" t="s">
        <v>130</v>
      </c>
      <c r="E14" s="11">
        <v>313.28999999999996</v>
      </c>
      <c r="F14" s="148">
        <f t="shared" si="7"/>
        <v>395.39</v>
      </c>
      <c r="G14" s="61" t="s">
        <v>1860</v>
      </c>
      <c r="H14" s="54" t="s">
        <v>37</v>
      </c>
      <c r="I14" s="54"/>
      <c r="J14" s="55"/>
      <c r="K14" s="53"/>
      <c r="L14" s="53" t="str">
        <f t="shared" si="3"/>
        <v/>
      </c>
      <c r="M14" s="11">
        <v>180.38</v>
      </c>
      <c r="N14" s="11">
        <v>24.57</v>
      </c>
      <c r="O14" s="11">
        <v>12</v>
      </c>
      <c r="P14" s="11">
        <v>1.44</v>
      </c>
      <c r="Q14" s="11">
        <v>5</v>
      </c>
      <c r="R14" s="11"/>
      <c r="S14" s="11"/>
      <c r="T14" s="11">
        <v>50</v>
      </c>
      <c r="U14" s="11">
        <v>122</v>
      </c>
      <c r="V14" s="56" t="s">
        <v>1861</v>
      </c>
      <c r="W14" s="35" t="str">
        <f t="shared" si="2"/>
        <v>OK</v>
      </c>
      <c r="X14" s="38" t="str">
        <f t="shared" si="4"/>
        <v/>
      </c>
      <c r="Y14" s="3"/>
      <c r="Z14" s="116"/>
    </row>
    <row r="15" spans="1:26" ht="18" hidden="1" customHeight="1" outlineLevel="1" x14ac:dyDescent="0.3">
      <c r="A15" s="3"/>
      <c r="B15" s="99" t="s">
        <v>433</v>
      </c>
      <c r="C15" s="53">
        <v>18</v>
      </c>
      <c r="D15" s="53" t="s">
        <v>95</v>
      </c>
      <c r="E15" s="11">
        <f t="shared" ref="E15:E22" si="8">SUM(M15:U15)</f>
        <v>146</v>
      </c>
      <c r="F15" s="148">
        <f t="shared" ref="F15:F20" si="9">E15</f>
        <v>146</v>
      </c>
      <c r="G15" s="58"/>
      <c r="H15" s="54" t="s">
        <v>37</v>
      </c>
      <c r="I15" s="54"/>
      <c r="J15" s="55"/>
      <c r="K15" s="53"/>
      <c r="L15" s="53">
        <f t="shared" si="3"/>
        <v>1</v>
      </c>
      <c r="M15" s="11">
        <v>61.99</v>
      </c>
      <c r="N15" s="11">
        <v>24.57</v>
      </c>
      <c r="O15" s="11">
        <v>12</v>
      </c>
      <c r="P15" s="11">
        <v>1.44</v>
      </c>
      <c r="Q15" s="11">
        <v>0</v>
      </c>
      <c r="R15" s="11">
        <v>0</v>
      </c>
      <c r="S15" s="11">
        <v>0</v>
      </c>
      <c r="T15" s="11"/>
      <c r="U15" s="11">
        <v>46</v>
      </c>
      <c r="V15" s="56" t="s">
        <v>1862</v>
      </c>
      <c r="W15" s="35" t="str">
        <f t="shared" si="2"/>
        <v>OK</v>
      </c>
      <c r="X15" s="38" t="str">
        <f t="shared" si="4"/>
        <v/>
      </c>
      <c r="Y15" s="3"/>
      <c r="Z15" s="116"/>
    </row>
    <row r="16" spans="1:26" ht="18" hidden="1" customHeight="1" outlineLevel="1" x14ac:dyDescent="0.3">
      <c r="A16" s="3"/>
      <c r="B16" s="99" t="s">
        <v>1409</v>
      </c>
      <c r="C16" s="53">
        <v>18</v>
      </c>
      <c r="D16" s="53" t="s">
        <v>95</v>
      </c>
      <c r="E16" s="11">
        <f t="shared" si="8"/>
        <v>126</v>
      </c>
      <c r="F16" s="148">
        <f t="shared" si="9"/>
        <v>126</v>
      </c>
      <c r="G16" s="58"/>
      <c r="H16" s="54" t="s">
        <v>37</v>
      </c>
      <c r="I16" s="54"/>
      <c r="J16" s="55"/>
      <c r="K16" s="53"/>
      <c r="L16" s="53">
        <f t="shared" si="3"/>
        <v>1</v>
      </c>
      <c r="M16" s="11">
        <v>61.99</v>
      </c>
      <c r="N16" s="11">
        <v>24.57</v>
      </c>
      <c r="O16" s="11">
        <v>12</v>
      </c>
      <c r="P16" s="11">
        <v>1.44</v>
      </c>
      <c r="Q16" s="11">
        <v>0</v>
      </c>
      <c r="R16" s="11">
        <v>0</v>
      </c>
      <c r="S16" s="11"/>
      <c r="T16" s="11"/>
      <c r="U16" s="11">
        <v>26</v>
      </c>
      <c r="V16" s="56" t="s">
        <v>1857</v>
      </c>
      <c r="W16" s="35" t="str">
        <f t="shared" si="2"/>
        <v>OK</v>
      </c>
      <c r="X16" s="38" t="str">
        <f t="shared" si="4"/>
        <v/>
      </c>
      <c r="Y16" s="3"/>
      <c r="Z16" s="116"/>
    </row>
    <row r="17" spans="1:26" ht="14.4" hidden="1" outlineLevel="1" x14ac:dyDescent="0.3">
      <c r="A17" s="3"/>
      <c r="B17" s="99" t="s">
        <v>435</v>
      </c>
      <c r="C17" s="53">
        <v>9</v>
      </c>
      <c r="D17" s="53" t="s">
        <v>95</v>
      </c>
      <c r="E17" s="11">
        <f t="shared" si="8"/>
        <v>275.19</v>
      </c>
      <c r="F17" s="148">
        <f t="shared" si="9"/>
        <v>275.19</v>
      </c>
      <c r="G17" s="58"/>
      <c r="H17" s="54" t="s">
        <v>37</v>
      </c>
      <c r="I17" s="54"/>
      <c r="J17" s="55"/>
      <c r="K17" s="53"/>
      <c r="L17" s="53" t="str">
        <f t="shared" si="3"/>
        <v/>
      </c>
      <c r="M17" s="11">
        <v>191.18</v>
      </c>
      <c r="N17" s="11">
        <v>24.57</v>
      </c>
      <c r="O17" s="11">
        <v>12</v>
      </c>
      <c r="P17" s="11">
        <v>1.44</v>
      </c>
      <c r="Q17" s="11">
        <v>5</v>
      </c>
      <c r="R17" s="11"/>
      <c r="S17" s="11"/>
      <c r="T17" s="11"/>
      <c r="U17" s="11">
        <f>26+15</f>
        <v>41</v>
      </c>
      <c r="V17" s="56" t="s">
        <v>1857</v>
      </c>
      <c r="W17" s="35" t="str">
        <f t="shared" si="2"/>
        <v>OK</v>
      </c>
      <c r="X17" s="38" t="str">
        <f t="shared" si="4"/>
        <v/>
      </c>
      <c r="Y17" s="3"/>
      <c r="Z17" s="116"/>
    </row>
    <row r="18" spans="1:26" ht="14.4" hidden="1" outlineLevel="1" x14ac:dyDescent="0.3">
      <c r="A18" s="3"/>
      <c r="B18" s="99" t="s">
        <v>436</v>
      </c>
      <c r="C18" s="53">
        <v>9</v>
      </c>
      <c r="D18" s="53" t="s">
        <v>95</v>
      </c>
      <c r="E18" s="11">
        <f t="shared" si="8"/>
        <v>199.98999999999998</v>
      </c>
      <c r="F18" s="148">
        <f t="shared" si="9"/>
        <v>199.98999999999998</v>
      </c>
      <c r="G18" s="58"/>
      <c r="H18" s="54" t="s">
        <v>37</v>
      </c>
      <c r="I18" s="54"/>
      <c r="J18" s="55"/>
      <c r="K18" s="53"/>
      <c r="L18" s="53" t="str">
        <f t="shared" si="3"/>
        <v/>
      </c>
      <c r="M18" s="11">
        <v>135.97999999999999</v>
      </c>
      <c r="N18" s="11">
        <v>24.57</v>
      </c>
      <c r="O18" s="11">
        <v>12</v>
      </c>
      <c r="P18" s="11">
        <v>1.44</v>
      </c>
      <c r="Q18" s="11"/>
      <c r="R18" s="11"/>
      <c r="S18" s="11"/>
      <c r="T18" s="11"/>
      <c r="U18" s="11">
        <v>26</v>
      </c>
      <c r="V18" s="56" t="s">
        <v>1857</v>
      </c>
      <c r="W18" s="35" t="str">
        <f t="shared" si="2"/>
        <v>OK</v>
      </c>
      <c r="X18" s="38" t="str">
        <f t="shared" si="4"/>
        <v/>
      </c>
      <c r="Y18" s="3"/>
      <c r="Z18" s="116"/>
    </row>
    <row r="19" spans="1:26" ht="14.4" hidden="1" outlineLevel="1" x14ac:dyDescent="0.3">
      <c r="A19" s="3"/>
      <c r="B19" s="99" t="s">
        <v>437</v>
      </c>
      <c r="C19" s="53">
        <v>9</v>
      </c>
      <c r="D19" s="53" t="s">
        <v>95</v>
      </c>
      <c r="E19" s="11">
        <f t="shared" si="8"/>
        <v>467.28999999999996</v>
      </c>
      <c r="F19" s="148">
        <f t="shared" si="9"/>
        <v>467.28999999999996</v>
      </c>
      <c r="G19" s="58"/>
      <c r="H19" s="54" t="s">
        <v>37</v>
      </c>
      <c r="I19" s="54"/>
      <c r="J19" s="55"/>
      <c r="K19" s="53"/>
      <c r="L19" s="53" t="str">
        <f t="shared" si="3"/>
        <v/>
      </c>
      <c r="M19" s="11">
        <v>328.28</v>
      </c>
      <c r="N19" s="11">
        <v>24.57</v>
      </c>
      <c r="O19" s="11">
        <v>12</v>
      </c>
      <c r="P19" s="11">
        <v>11.44</v>
      </c>
      <c r="Q19" s="11">
        <v>5</v>
      </c>
      <c r="R19" s="11">
        <v>10</v>
      </c>
      <c r="S19" s="11"/>
      <c r="T19" s="11">
        <v>50</v>
      </c>
      <c r="U19" s="11">
        <v>26</v>
      </c>
      <c r="V19" s="56" t="s">
        <v>1857</v>
      </c>
      <c r="W19" s="35" t="str">
        <f t="shared" si="2"/>
        <v>OK</v>
      </c>
      <c r="X19" s="38" t="str">
        <f t="shared" si="4"/>
        <v/>
      </c>
      <c r="Y19" s="3"/>
      <c r="Z19" s="116"/>
    </row>
    <row r="20" spans="1:26" ht="14.4" hidden="1" outlineLevel="1" x14ac:dyDescent="0.3">
      <c r="A20" s="3"/>
      <c r="B20" s="99" t="s">
        <v>438</v>
      </c>
      <c r="C20" s="53">
        <v>9</v>
      </c>
      <c r="D20" s="53" t="s">
        <v>95</v>
      </c>
      <c r="E20" s="11">
        <f t="shared" si="8"/>
        <v>522.29</v>
      </c>
      <c r="F20" s="148">
        <f t="shared" si="9"/>
        <v>522.29</v>
      </c>
      <c r="G20" s="58"/>
      <c r="H20" s="54" t="s">
        <v>37</v>
      </c>
      <c r="I20" s="54"/>
      <c r="J20" s="55"/>
      <c r="K20" s="53"/>
      <c r="L20" s="53" t="str">
        <f t="shared" si="3"/>
        <v/>
      </c>
      <c r="M20" s="11">
        <v>328.28</v>
      </c>
      <c r="N20" s="11">
        <v>24.57</v>
      </c>
      <c r="O20" s="11">
        <v>12</v>
      </c>
      <c r="P20" s="11">
        <v>1.44</v>
      </c>
      <c r="Q20" s="11">
        <v>5</v>
      </c>
      <c r="R20" s="11">
        <v>10</v>
      </c>
      <c r="S20" s="11"/>
      <c r="T20" s="11">
        <v>50</v>
      </c>
      <c r="U20" s="11">
        <v>91</v>
      </c>
      <c r="V20" s="56" t="s">
        <v>1863</v>
      </c>
      <c r="W20" s="35" t="str">
        <f t="shared" si="2"/>
        <v>OK</v>
      </c>
      <c r="X20" s="38" t="str">
        <f t="shared" si="4"/>
        <v/>
      </c>
      <c r="Y20" s="3"/>
      <c r="Z20" s="116"/>
    </row>
    <row r="21" spans="1:26" ht="15.75" hidden="1" customHeight="1" outlineLevel="1" x14ac:dyDescent="0.3">
      <c r="A21" s="3"/>
      <c r="B21" s="99" t="s">
        <v>1410</v>
      </c>
      <c r="C21" s="53"/>
      <c r="D21" s="53" t="s">
        <v>105</v>
      </c>
      <c r="E21" s="11">
        <f t="shared" si="8"/>
        <v>239.99</v>
      </c>
      <c r="F21" s="148"/>
      <c r="G21" s="58"/>
      <c r="H21" s="54"/>
      <c r="I21" s="54"/>
      <c r="J21" s="55"/>
      <c r="K21" s="53"/>
      <c r="L21" s="53" t="str">
        <f t="shared" si="3"/>
        <v/>
      </c>
      <c r="M21" s="11">
        <v>120.98</v>
      </c>
      <c r="N21" s="11">
        <v>24.57</v>
      </c>
      <c r="O21" s="11">
        <v>12</v>
      </c>
      <c r="P21" s="11">
        <v>1.44</v>
      </c>
      <c r="Q21" s="11">
        <v>5</v>
      </c>
      <c r="R21" s="11">
        <v>5</v>
      </c>
      <c r="S21" s="11"/>
      <c r="T21" s="11">
        <v>30</v>
      </c>
      <c r="U21" s="11">
        <v>41</v>
      </c>
      <c r="V21" s="56" t="s">
        <v>1864</v>
      </c>
      <c r="W21" s="35" t="str">
        <f t="shared" si="2"/>
        <v>Diferente</v>
      </c>
      <c r="X21" s="38">
        <f t="shared" si="4"/>
        <v>-239.99</v>
      </c>
      <c r="Y21" s="3"/>
      <c r="Z21" s="116"/>
    </row>
    <row r="22" spans="1:26" ht="15.75" hidden="1" customHeight="1" outlineLevel="1" x14ac:dyDescent="0.3">
      <c r="A22" s="3"/>
      <c r="B22" s="99" t="s">
        <v>440</v>
      </c>
      <c r="C22" s="53"/>
      <c r="D22" s="53" t="s">
        <v>105</v>
      </c>
      <c r="E22" s="11">
        <f t="shared" si="8"/>
        <v>201.59</v>
      </c>
      <c r="F22" s="148"/>
      <c r="G22" s="58"/>
      <c r="H22" s="54"/>
      <c r="I22" s="54"/>
      <c r="J22" s="55"/>
      <c r="K22" s="53"/>
      <c r="L22" s="53" t="str">
        <f t="shared" si="3"/>
        <v/>
      </c>
      <c r="M22" s="11">
        <v>102.58</v>
      </c>
      <c r="N22" s="11">
        <v>24.57</v>
      </c>
      <c r="O22" s="11">
        <v>12</v>
      </c>
      <c r="P22" s="11">
        <v>1.44</v>
      </c>
      <c r="Q22" s="11">
        <v>5</v>
      </c>
      <c r="R22" s="11"/>
      <c r="S22" s="11"/>
      <c r="T22" s="11">
        <v>30</v>
      </c>
      <c r="U22" s="11">
        <v>26</v>
      </c>
      <c r="V22" s="56" t="s">
        <v>1857</v>
      </c>
      <c r="W22" s="35" t="str">
        <f t="shared" si="2"/>
        <v>Diferente</v>
      </c>
      <c r="X22" s="38">
        <f t="shared" si="4"/>
        <v>-201.59</v>
      </c>
      <c r="Y22" s="3"/>
      <c r="Z22" s="116"/>
    </row>
    <row r="23" spans="1:26" ht="15.75" hidden="1" customHeight="1" outlineLevel="1" x14ac:dyDescent="0.3">
      <c r="A23" s="3"/>
      <c r="B23" s="99" t="s">
        <v>443</v>
      </c>
      <c r="C23" s="53">
        <v>9</v>
      </c>
      <c r="D23" s="53" t="s">
        <v>95</v>
      </c>
      <c r="E23" s="11">
        <v>211</v>
      </c>
      <c r="F23" s="148">
        <f t="shared" ref="F23:F24" si="10">SUM(M23:U23)</f>
        <v>414</v>
      </c>
      <c r="G23" s="58"/>
      <c r="H23" s="54" t="s">
        <v>37</v>
      </c>
      <c r="I23" s="54"/>
      <c r="J23" s="55"/>
      <c r="K23" s="11"/>
      <c r="L23" s="53" t="str">
        <f t="shared" si="3"/>
        <v/>
      </c>
      <c r="M23" s="11">
        <f>131.99+203</f>
        <v>334.99</v>
      </c>
      <c r="N23" s="11">
        <v>24.57</v>
      </c>
      <c r="O23" s="11">
        <v>12</v>
      </c>
      <c r="P23" s="11">
        <v>6.44</v>
      </c>
      <c r="Q23" s="11"/>
      <c r="R23" s="11">
        <v>10</v>
      </c>
      <c r="S23" s="11"/>
      <c r="T23" s="11"/>
      <c r="U23" s="11">
        <v>26</v>
      </c>
      <c r="V23" s="56" t="s">
        <v>1857</v>
      </c>
      <c r="W23" s="35" t="str">
        <f t="shared" si="2"/>
        <v>OK</v>
      </c>
      <c r="X23" s="38" t="str">
        <f t="shared" si="4"/>
        <v/>
      </c>
      <c r="Y23" s="3"/>
      <c r="Z23" s="116"/>
    </row>
    <row r="24" spans="1:26" ht="15.75" hidden="1" customHeight="1" outlineLevel="1" x14ac:dyDescent="0.3">
      <c r="A24" s="3"/>
      <c r="B24" s="99" t="s">
        <v>444</v>
      </c>
      <c r="C24" s="53">
        <v>16</v>
      </c>
      <c r="D24" s="53" t="s">
        <v>95</v>
      </c>
      <c r="E24" s="11">
        <v>76</v>
      </c>
      <c r="F24" s="148">
        <f t="shared" si="10"/>
        <v>288</v>
      </c>
      <c r="G24" s="61" t="s">
        <v>1865</v>
      </c>
      <c r="H24" s="54" t="s">
        <v>37</v>
      </c>
      <c r="I24" s="54"/>
      <c r="J24" s="55"/>
      <c r="K24" s="11"/>
      <c r="L24" s="53">
        <f t="shared" si="3"/>
        <v>1</v>
      </c>
      <c r="M24" s="11">
        <f>11.43+(288-11.43-SUM(N24:U24))</f>
        <v>223.43</v>
      </c>
      <c r="N24" s="11">
        <v>24.57</v>
      </c>
      <c r="O24" s="11">
        <v>12</v>
      </c>
      <c r="P24" s="11">
        <v>2</v>
      </c>
      <c r="Q24" s="11"/>
      <c r="R24" s="11"/>
      <c r="S24" s="11"/>
      <c r="T24" s="11"/>
      <c r="U24" s="11">
        <v>26</v>
      </c>
      <c r="V24" s="56" t="s">
        <v>1857</v>
      </c>
      <c r="W24" s="35" t="str">
        <f t="shared" si="2"/>
        <v>OK</v>
      </c>
      <c r="X24" s="38" t="str">
        <f t="shared" si="4"/>
        <v/>
      </c>
      <c r="Y24" s="3"/>
      <c r="Z24" s="116"/>
    </row>
    <row r="25" spans="1:26" ht="15.75" hidden="1" customHeight="1" outlineLevel="1" x14ac:dyDescent="0.3">
      <c r="A25" s="3"/>
      <c r="B25" s="99" t="s">
        <v>445</v>
      </c>
      <c r="C25" s="53">
        <v>18</v>
      </c>
      <c r="D25" s="53" t="s">
        <v>95</v>
      </c>
      <c r="E25" s="11">
        <f t="shared" ref="E25:E40" si="11">SUM(M25:U25)</f>
        <v>271</v>
      </c>
      <c r="F25" s="148">
        <f t="shared" ref="F25:F28" si="12">E25</f>
        <v>271</v>
      </c>
      <c r="G25" s="58"/>
      <c r="H25" s="54" t="s">
        <v>37</v>
      </c>
      <c r="I25" s="54"/>
      <c r="J25" s="55"/>
      <c r="K25" s="11"/>
      <c r="L25" s="53">
        <f t="shared" si="3"/>
        <v>1</v>
      </c>
      <c r="M25" s="11">
        <v>131.99</v>
      </c>
      <c r="N25" s="11">
        <v>24.57</v>
      </c>
      <c r="O25" s="11">
        <v>12</v>
      </c>
      <c r="P25" s="11">
        <v>11.44</v>
      </c>
      <c r="Q25" s="11">
        <v>5</v>
      </c>
      <c r="R25" s="11">
        <v>5</v>
      </c>
      <c r="S25" s="11">
        <v>10</v>
      </c>
      <c r="T25" s="11">
        <v>30</v>
      </c>
      <c r="U25" s="11">
        <v>41</v>
      </c>
      <c r="V25" s="56" t="s">
        <v>1864</v>
      </c>
      <c r="W25" s="35" t="str">
        <f t="shared" si="2"/>
        <v>OK</v>
      </c>
      <c r="X25" s="38" t="str">
        <f t="shared" si="4"/>
        <v/>
      </c>
      <c r="Y25" s="3"/>
      <c r="Z25" s="116"/>
    </row>
    <row r="26" spans="1:26" ht="15.75" hidden="1" customHeight="1" outlineLevel="1" x14ac:dyDescent="0.3">
      <c r="A26" s="3"/>
      <c r="B26" s="99" t="s">
        <v>447</v>
      </c>
      <c r="C26" s="53">
        <v>18</v>
      </c>
      <c r="D26" s="53" t="s">
        <v>95</v>
      </c>
      <c r="E26" s="11">
        <f t="shared" si="11"/>
        <v>246</v>
      </c>
      <c r="F26" s="148">
        <f t="shared" si="12"/>
        <v>246</v>
      </c>
      <c r="G26" s="58"/>
      <c r="H26" s="54" t="s">
        <v>37</v>
      </c>
      <c r="I26" s="54"/>
      <c r="J26" s="55"/>
      <c r="K26" s="11"/>
      <c r="L26" s="53">
        <f t="shared" si="3"/>
        <v>1</v>
      </c>
      <c r="M26" s="11">
        <v>131.99</v>
      </c>
      <c r="N26" s="11">
        <v>24.57</v>
      </c>
      <c r="O26" s="11">
        <v>12</v>
      </c>
      <c r="P26" s="11">
        <v>1.44</v>
      </c>
      <c r="Q26" s="11">
        <v>5</v>
      </c>
      <c r="R26" s="11">
        <v>5</v>
      </c>
      <c r="S26" s="11">
        <v>10</v>
      </c>
      <c r="T26" s="11">
        <v>30</v>
      </c>
      <c r="U26" s="11">
        <v>26</v>
      </c>
      <c r="V26" s="56" t="s">
        <v>1857</v>
      </c>
      <c r="W26" s="35" t="str">
        <f t="shared" si="2"/>
        <v>OK</v>
      </c>
      <c r="X26" s="38" t="str">
        <f t="shared" si="4"/>
        <v/>
      </c>
      <c r="Y26" s="3"/>
      <c r="Z26" s="116"/>
    </row>
    <row r="27" spans="1:26" ht="15.75" hidden="1" customHeight="1" outlineLevel="1" x14ac:dyDescent="0.3">
      <c r="A27" s="3"/>
      <c r="B27" s="99" t="s">
        <v>1412</v>
      </c>
      <c r="C27" s="53">
        <v>10</v>
      </c>
      <c r="D27" s="53" t="s">
        <v>95</v>
      </c>
      <c r="E27" s="11">
        <f t="shared" si="11"/>
        <v>235.69</v>
      </c>
      <c r="F27" s="148">
        <f t="shared" si="12"/>
        <v>235.69</v>
      </c>
      <c r="G27" s="58"/>
      <c r="H27" s="54" t="s">
        <v>37</v>
      </c>
      <c r="I27" s="54"/>
      <c r="J27" s="55"/>
      <c r="K27" s="11"/>
      <c r="L27" s="53" t="str">
        <f t="shared" si="3"/>
        <v/>
      </c>
      <c r="M27" s="11">
        <v>116.68</v>
      </c>
      <c r="N27" s="11">
        <v>24.57</v>
      </c>
      <c r="O27" s="11">
        <v>12</v>
      </c>
      <c r="P27" s="11">
        <v>1.44</v>
      </c>
      <c r="Q27" s="11">
        <v>5</v>
      </c>
      <c r="R27" s="11">
        <v>10</v>
      </c>
      <c r="S27" s="11">
        <v>10</v>
      </c>
      <c r="T27" s="11">
        <v>30</v>
      </c>
      <c r="U27" s="11">
        <v>26</v>
      </c>
      <c r="V27" s="56" t="s">
        <v>1857</v>
      </c>
      <c r="W27" s="35" t="str">
        <f t="shared" si="2"/>
        <v>OK</v>
      </c>
      <c r="X27" s="38" t="str">
        <f t="shared" si="4"/>
        <v/>
      </c>
      <c r="Y27" s="3"/>
      <c r="Z27" s="116"/>
    </row>
    <row r="28" spans="1:26" ht="15.75" hidden="1" customHeight="1" outlineLevel="1" x14ac:dyDescent="0.3">
      <c r="A28" s="3"/>
      <c r="B28" s="99" t="s">
        <v>449</v>
      </c>
      <c r="C28" s="53">
        <v>10</v>
      </c>
      <c r="D28" s="53" t="s">
        <v>95</v>
      </c>
      <c r="E28" s="11">
        <f t="shared" si="11"/>
        <v>184.69</v>
      </c>
      <c r="F28" s="148">
        <f t="shared" si="12"/>
        <v>184.69</v>
      </c>
      <c r="G28" s="58"/>
      <c r="H28" s="54" t="s">
        <v>37</v>
      </c>
      <c r="I28" s="54"/>
      <c r="J28" s="55"/>
      <c r="K28" s="11"/>
      <c r="L28" s="53" t="str">
        <f t="shared" si="3"/>
        <v/>
      </c>
      <c r="M28" s="11">
        <v>70.680000000000007</v>
      </c>
      <c r="N28" s="11">
        <v>24.57</v>
      </c>
      <c r="O28" s="11">
        <v>12</v>
      </c>
      <c r="P28" s="11">
        <v>1.44</v>
      </c>
      <c r="Q28" s="11"/>
      <c r="R28" s="11">
        <v>10</v>
      </c>
      <c r="S28" s="11">
        <v>10</v>
      </c>
      <c r="T28" s="11">
        <v>30</v>
      </c>
      <c r="U28" s="11">
        <v>26</v>
      </c>
      <c r="V28" s="56" t="s">
        <v>1857</v>
      </c>
      <c r="W28" s="35" t="str">
        <f t="shared" si="2"/>
        <v>OK</v>
      </c>
      <c r="X28" s="38" t="str">
        <f t="shared" si="4"/>
        <v/>
      </c>
      <c r="Y28" s="3"/>
      <c r="Z28" s="116"/>
    </row>
    <row r="29" spans="1:26" ht="15.75" hidden="1" customHeight="1" outlineLevel="1" x14ac:dyDescent="0.3">
      <c r="A29" s="3"/>
      <c r="B29" s="99" t="s">
        <v>450</v>
      </c>
      <c r="C29" s="53"/>
      <c r="D29" s="53" t="s">
        <v>105</v>
      </c>
      <c r="E29" s="11">
        <f t="shared" si="11"/>
        <v>408.44</v>
      </c>
      <c r="F29" s="148"/>
      <c r="G29" s="58"/>
      <c r="H29" s="54"/>
      <c r="I29" s="54"/>
      <c r="J29" s="55"/>
      <c r="K29" s="11"/>
      <c r="L29" s="53" t="str">
        <f t="shared" si="3"/>
        <v/>
      </c>
      <c r="M29" s="11">
        <v>104.43</v>
      </c>
      <c r="N29" s="11">
        <v>24.57</v>
      </c>
      <c r="O29" s="11">
        <v>12</v>
      </c>
      <c r="P29" s="11">
        <v>1.44</v>
      </c>
      <c r="Q29" s="11">
        <v>5</v>
      </c>
      <c r="R29" s="11"/>
      <c r="S29" s="11">
        <v>10</v>
      </c>
      <c r="T29" s="11">
        <v>10</v>
      </c>
      <c r="U29" s="11">
        <v>241</v>
      </c>
      <c r="V29" s="56" t="s">
        <v>1866</v>
      </c>
      <c r="W29" s="35" t="str">
        <f t="shared" si="2"/>
        <v>Diferente</v>
      </c>
      <c r="X29" s="38">
        <f t="shared" si="4"/>
        <v>-408.44</v>
      </c>
      <c r="Y29" s="3"/>
      <c r="Z29" s="116"/>
    </row>
    <row r="30" spans="1:26" ht="15.75" hidden="1" customHeight="1" outlineLevel="1" x14ac:dyDescent="0.3">
      <c r="A30" s="3"/>
      <c r="B30" s="99" t="s">
        <v>451</v>
      </c>
      <c r="C30" s="53"/>
      <c r="D30" s="53" t="s">
        <v>105</v>
      </c>
      <c r="E30" s="11">
        <f t="shared" si="11"/>
        <v>193.44</v>
      </c>
      <c r="F30" s="148"/>
      <c r="G30" s="58"/>
      <c r="H30" s="54"/>
      <c r="I30" s="54"/>
      <c r="J30" s="55"/>
      <c r="K30" s="11"/>
      <c r="L30" s="53" t="str">
        <f t="shared" si="3"/>
        <v/>
      </c>
      <c r="M30" s="11">
        <v>104.43</v>
      </c>
      <c r="N30" s="11">
        <v>24.57</v>
      </c>
      <c r="O30" s="11">
        <v>12</v>
      </c>
      <c r="P30" s="11">
        <v>1.44</v>
      </c>
      <c r="Q30" s="11">
        <v>5</v>
      </c>
      <c r="R30" s="11"/>
      <c r="S30" s="11">
        <v>10</v>
      </c>
      <c r="T30" s="11">
        <v>10</v>
      </c>
      <c r="U30" s="11">
        <v>26</v>
      </c>
      <c r="V30" s="56" t="s">
        <v>1857</v>
      </c>
      <c r="W30" s="35" t="str">
        <f t="shared" si="2"/>
        <v>Diferente</v>
      </c>
      <c r="X30" s="38">
        <f t="shared" si="4"/>
        <v>-193.44</v>
      </c>
      <c r="Y30" s="3"/>
      <c r="Z30" s="116"/>
    </row>
    <row r="31" spans="1:26" ht="15.75" hidden="1" customHeight="1" outlineLevel="1" x14ac:dyDescent="0.3">
      <c r="A31" s="3"/>
      <c r="B31" s="99" t="s">
        <v>452</v>
      </c>
      <c r="C31" s="53">
        <v>11</v>
      </c>
      <c r="D31" s="53" t="s">
        <v>95</v>
      </c>
      <c r="E31" s="11">
        <f t="shared" si="11"/>
        <v>225.01</v>
      </c>
      <c r="F31" s="148">
        <f t="shared" ref="F31:F39" si="13">E31</f>
        <v>225.01</v>
      </c>
      <c r="G31" s="58"/>
      <c r="H31" s="54" t="s">
        <v>37</v>
      </c>
      <c r="I31" s="54"/>
      <c r="J31" s="55"/>
      <c r="K31" s="11"/>
      <c r="L31" s="53" t="str">
        <f t="shared" si="3"/>
        <v/>
      </c>
      <c r="M31" s="11">
        <v>156</v>
      </c>
      <c r="N31" s="11">
        <v>24.57</v>
      </c>
      <c r="O31" s="11">
        <v>12</v>
      </c>
      <c r="P31" s="11">
        <v>1.44</v>
      </c>
      <c r="Q31" s="11">
        <v>5</v>
      </c>
      <c r="R31" s="11"/>
      <c r="S31" s="11"/>
      <c r="T31" s="11"/>
      <c r="U31" s="11">
        <v>26</v>
      </c>
      <c r="V31" s="56" t="s">
        <v>1857</v>
      </c>
      <c r="W31" s="35" t="str">
        <f t="shared" si="2"/>
        <v>OK</v>
      </c>
      <c r="X31" s="38" t="str">
        <f t="shared" si="4"/>
        <v/>
      </c>
      <c r="Y31" s="3"/>
      <c r="Z31" s="116"/>
    </row>
    <row r="32" spans="1:26" ht="15.75" hidden="1" customHeight="1" outlineLevel="1" x14ac:dyDescent="0.3">
      <c r="A32" s="3"/>
      <c r="B32" s="99" t="s">
        <v>453</v>
      </c>
      <c r="C32" s="53">
        <v>11</v>
      </c>
      <c r="D32" s="53" t="s">
        <v>95</v>
      </c>
      <c r="E32" s="11">
        <f t="shared" si="11"/>
        <v>245.01</v>
      </c>
      <c r="F32" s="148">
        <f t="shared" si="13"/>
        <v>245.01</v>
      </c>
      <c r="G32" s="58"/>
      <c r="H32" s="54" t="s">
        <v>37</v>
      </c>
      <c r="I32" s="54"/>
      <c r="J32" s="55"/>
      <c r="K32" s="11"/>
      <c r="L32" s="53" t="str">
        <f t="shared" si="3"/>
        <v/>
      </c>
      <c r="M32" s="11">
        <v>156</v>
      </c>
      <c r="N32" s="11">
        <v>24.57</v>
      </c>
      <c r="O32" s="11">
        <v>12</v>
      </c>
      <c r="P32" s="11">
        <v>11.44</v>
      </c>
      <c r="Q32" s="11">
        <v>5</v>
      </c>
      <c r="R32" s="11">
        <v>10</v>
      </c>
      <c r="S32" s="11"/>
      <c r="T32" s="11"/>
      <c r="U32" s="11">
        <v>26</v>
      </c>
      <c r="V32" s="56" t="s">
        <v>1857</v>
      </c>
      <c r="W32" s="35" t="str">
        <f t="shared" si="2"/>
        <v>OK</v>
      </c>
      <c r="X32" s="38" t="str">
        <f t="shared" si="4"/>
        <v/>
      </c>
      <c r="Y32" s="3"/>
      <c r="Z32" s="116"/>
    </row>
    <row r="33" spans="1:26" ht="15.75" hidden="1" customHeight="1" outlineLevel="1" x14ac:dyDescent="0.3">
      <c r="A33" s="3"/>
      <c r="B33" s="99" t="s">
        <v>455</v>
      </c>
      <c r="C33" s="53">
        <v>9</v>
      </c>
      <c r="D33" s="53" t="s">
        <v>95</v>
      </c>
      <c r="E33" s="11">
        <f t="shared" si="11"/>
        <v>451.42999999999995</v>
      </c>
      <c r="F33" s="148">
        <f t="shared" si="13"/>
        <v>451.42999999999995</v>
      </c>
      <c r="G33" s="58"/>
      <c r="H33" s="54" t="s">
        <v>37</v>
      </c>
      <c r="I33" s="54"/>
      <c r="J33" s="55"/>
      <c r="K33" s="11"/>
      <c r="L33" s="53" t="str">
        <f t="shared" si="3"/>
        <v/>
      </c>
      <c r="M33" s="11">
        <v>132.19</v>
      </c>
      <c r="N33" s="11">
        <v>24.57</v>
      </c>
      <c r="O33" s="11">
        <v>12</v>
      </c>
      <c r="P33" s="11">
        <v>5</v>
      </c>
      <c r="Q33" s="11">
        <v>5</v>
      </c>
      <c r="R33" s="11">
        <v>10</v>
      </c>
      <c r="S33" s="11">
        <v>10</v>
      </c>
      <c r="T33" s="11">
        <v>30</v>
      </c>
      <c r="U33" s="11">
        <v>222.67</v>
      </c>
      <c r="V33" s="56" t="s">
        <v>1867</v>
      </c>
      <c r="W33" s="35" t="str">
        <f t="shared" si="2"/>
        <v>OK</v>
      </c>
      <c r="X33" s="38" t="str">
        <f t="shared" si="4"/>
        <v/>
      </c>
      <c r="Y33" s="3"/>
      <c r="Z33" s="116"/>
    </row>
    <row r="34" spans="1:26" ht="15.75" hidden="1" customHeight="1" outlineLevel="1" x14ac:dyDescent="0.3">
      <c r="A34" s="3"/>
      <c r="B34" s="99" t="s">
        <v>456</v>
      </c>
      <c r="C34" s="53">
        <v>8</v>
      </c>
      <c r="D34" s="53" t="s">
        <v>95</v>
      </c>
      <c r="E34" s="11">
        <f t="shared" si="11"/>
        <v>238.81</v>
      </c>
      <c r="F34" s="148">
        <f t="shared" si="13"/>
        <v>238.81</v>
      </c>
      <c r="G34" s="58"/>
      <c r="H34" s="54" t="s">
        <v>37</v>
      </c>
      <c r="I34" s="54"/>
      <c r="J34" s="55"/>
      <c r="K34" s="11"/>
      <c r="L34" s="53" t="str">
        <f t="shared" si="3"/>
        <v/>
      </c>
      <c r="M34" s="11">
        <v>74.739999999999995</v>
      </c>
      <c r="N34" s="11">
        <v>24.57</v>
      </c>
      <c r="O34" s="11">
        <v>12</v>
      </c>
      <c r="P34" s="11">
        <v>1.5</v>
      </c>
      <c r="Q34" s="11"/>
      <c r="R34" s="11"/>
      <c r="S34" s="11"/>
      <c r="T34" s="11"/>
      <c r="U34" s="11">
        <v>126</v>
      </c>
      <c r="V34" s="56" t="s">
        <v>1868</v>
      </c>
      <c r="W34" s="35" t="str">
        <f t="shared" si="2"/>
        <v>OK</v>
      </c>
      <c r="X34" s="38" t="str">
        <f t="shared" si="4"/>
        <v/>
      </c>
      <c r="Y34" s="3"/>
      <c r="Z34" s="116"/>
    </row>
    <row r="35" spans="1:26" ht="15.75" hidden="1" customHeight="1" outlineLevel="1" x14ac:dyDescent="0.3">
      <c r="A35" s="3"/>
      <c r="B35" s="99" t="s">
        <v>457</v>
      </c>
      <c r="C35" s="53">
        <v>8</v>
      </c>
      <c r="D35" s="53" t="s">
        <v>95</v>
      </c>
      <c r="E35" s="11">
        <f t="shared" si="11"/>
        <v>138.81</v>
      </c>
      <c r="F35" s="148">
        <f t="shared" si="13"/>
        <v>138.81</v>
      </c>
      <c r="G35" s="58"/>
      <c r="H35" s="54" t="s">
        <v>37</v>
      </c>
      <c r="I35" s="54"/>
      <c r="J35" s="55"/>
      <c r="K35" s="11"/>
      <c r="L35" s="53" t="str">
        <f t="shared" si="3"/>
        <v/>
      </c>
      <c r="M35" s="11">
        <v>74.739999999999995</v>
      </c>
      <c r="N35" s="11">
        <v>24.57</v>
      </c>
      <c r="O35" s="11">
        <v>12</v>
      </c>
      <c r="P35" s="11">
        <v>1.5</v>
      </c>
      <c r="Q35" s="11"/>
      <c r="R35" s="11"/>
      <c r="S35" s="11"/>
      <c r="T35" s="11"/>
      <c r="U35" s="11">
        <v>26</v>
      </c>
      <c r="V35" s="56" t="s">
        <v>1857</v>
      </c>
      <c r="W35" s="35" t="str">
        <f t="shared" si="2"/>
        <v>OK</v>
      </c>
      <c r="X35" s="38" t="str">
        <f t="shared" si="4"/>
        <v/>
      </c>
      <c r="Y35" s="3"/>
      <c r="Z35" s="116"/>
    </row>
    <row r="36" spans="1:26" ht="15.75" hidden="1" customHeight="1" outlineLevel="1" x14ac:dyDescent="0.3">
      <c r="A36" s="3"/>
      <c r="B36" s="99" t="s">
        <v>458</v>
      </c>
      <c r="C36" s="53">
        <v>8</v>
      </c>
      <c r="D36" s="53" t="s">
        <v>95</v>
      </c>
      <c r="E36" s="11">
        <f t="shared" si="11"/>
        <v>187.44</v>
      </c>
      <c r="F36" s="148">
        <f t="shared" si="13"/>
        <v>187.44</v>
      </c>
      <c r="G36" s="58"/>
      <c r="H36" s="54" t="s">
        <v>37</v>
      </c>
      <c r="I36" s="54"/>
      <c r="J36" s="55"/>
      <c r="K36" s="11"/>
      <c r="L36" s="53" t="str">
        <f t="shared" si="3"/>
        <v/>
      </c>
      <c r="M36" s="11">
        <v>103.43</v>
      </c>
      <c r="N36" s="11">
        <v>24.57</v>
      </c>
      <c r="O36" s="11">
        <v>12</v>
      </c>
      <c r="P36" s="11">
        <v>1.44</v>
      </c>
      <c r="Q36" s="11"/>
      <c r="R36" s="11">
        <v>5</v>
      </c>
      <c r="S36" s="11"/>
      <c r="T36" s="11"/>
      <c r="U36" s="11">
        <v>41</v>
      </c>
      <c r="V36" s="56" t="s">
        <v>1864</v>
      </c>
      <c r="W36" s="35" t="str">
        <f t="shared" si="2"/>
        <v>OK</v>
      </c>
      <c r="X36" s="38" t="str">
        <f t="shared" si="4"/>
        <v/>
      </c>
      <c r="Y36" s="3"/>
      <c r="Z36" s="116"/>
    </row>
    <row r="37" spans="1:26" ht="15.75" hidden="1" customHeight="1" outlineLevel="1" x14ac:dyDescent="0.3">
      <c r="A37" s="3"/>
      <c r="B37" s="99" t="s">
        <v>459</v>
      </c>
      <c r="C37" s="53">
        <v>8</v>
      </c>
      <c r="D37" s="53" t="s">
        <v>95</v>
      </c>
      <c r="E37" s="11">
        <f t="shared" si="11"/>
        <v>177.44</v>
      </c>
      <c r="F37" s="148">
        <f t="shared" si="13"/>
        <v>177.44</v>
      </c>
      <c r="G37" s="58"/>
      <c r="H37" s="54" t="s">
        <v>37</v>
      </c>
      <c r="I37" s="54"/>
      <c r="J37" s="55"/>
      <c r="K37" s="11"/>
      <c r="L37" s="53" t="str">
        <f t="shared" si="3"/>
        <v/>
      </c>
      <c r="M37" s="11">
        <v>103.43</v>
      </c>
      <c r="N37" s="11">
        <v>24.57</v>
      </c>
      <c r="O37" s="11">
        <v>12</v>
      </c>
      <c r="P37" s="11">
        <v>1.44</v>
      </c>
      <c r="Q37" s="11">
        <v>5</v>
      </c>
      <c r="R37" s="11">
        <v>5</v>
      </c>
      <c r="S37" s="11"/>
      <c r="T37" s="11"/>
      <c r="U37" s="11">
        <v>26</v>
      </c>
      <c r="V37" s="56" t="s">
        <v>1857</v>
      </c>
      <c r="W37" s="35" t="str">
        <f t="shared" si="2"/>
        <v>OK</v>
      </c>
      <c r="X37" s="38" t="str">
        <f t="shared" si="4"/>
        <v/>
      </c>
      <c r="Y37" s="3"/>
      <c r="Z37" s="116"/>
    </row>
    <row r="38" spans="1:26" ht="15.75" hidden="1" customHeight="1" outlineLevel="1" x14ac:dyDescent="0.3">
      <c r="A38" s="3"/>
      <c r="B38" s="99" t="s">
        <v>460</v>
      </c>
      <c r="C38" s="53">
        <v>8</v>
      </c>
      <c r="D38" s="53" t="s">
        <v>95</v>
      </c>
      <c r="E38" s="11">
        <f t="shared" si="11"/>
        <v>177.44</v>
      </c>
      <c r="F38" s="148">
        <f t="shared" si="13"/>
        <v>177.44</v>
      </c>
      <c r="G38" s="58"/>
      <c r="H38" s="54" t="s">
        <v>37</v>
      </c>
      <c r="I38" s="54"/>
      <c r="J38" s="55"/>
      <c r="K38" s="11"/>
      <c r="L38" s="53" t="str">
        <f t="shared" si="3"/>
        <v/>
      </c>
      <c r="M38" s="11">
        <v>103.43</v>
      </c>
      <c r="N38" s="11">
        <v>24.57</v>
      </c>
      <c r="O38" s="11">
        <v>12</v>
      </c>
      <c r="P38" s="11">
        <v>1.44</v>
      </c>
      <c r="Q38" s="11">
        <v>5</v>
      </c>
      <c r="R38" s="11">
        <v>5</v>
      </c>
      <c r="S38" s="11"/>
      <c r="T38" s="11"/>
      <c r="U38" s="11">
        <v>26</v>
      </c>
      <c r="V38" s="56" t="s">
        <v>1857</v>
      </c>
      <c r="W38" s="35" t="str">
        <f t="shared" si="2"/>
        <v>OK</v>
      </c>
      <c r="X38" s="38" t="str">
        <f t="shared" si="4"/>
        <v/>
      </c>
      <c r="Y38" s="3"/>
      <c r="Z38" s="116"/>
    </row>
    <row r="39" spans="1:26" ht="15.75" hidden="1" customHeight="1" outlineLevel="1" x14ac:dyDescent="0.3">
      <c r="A39" s="3"/>
      <c r="B39" s="99" t="s">
        <v>461</v>
      </c>
      <c r="C39" s="53">
        <v>8</v>
      </c>
      <c r="D39" s="53" t="s">
        <v>95</v>
      </c>
      <c r="E39" s="11">
        <f t="shared" si="11"/>
        <v>95.59</v>
      </c>
      <c r="F39" s="148">
        <f t="shared" si="13"/>
        <v>95.59</v>
      </c>
      <c r="G39" s="58"/>
      <c r="H39" s="54" t="s">
        <v>37</v>
      </c>
      <c r="I39" s="54"/>
      <c r="J39" s="55"/>
      <c r="K39" s="11"/>
      <c r="L39" s="53" t="str">
        <f t="shared" si="3"/>
        <v/>
      </c>
      <c r="M39" s="11">
        <v>31.58</v>
      </c>
      <c r="N39" s="11">
        <v>24.57</v>
      </c>
      <c r="O39" s="11">
        <v>12</v>
      </c>
      <c r="P39" s="11">
        <v>1.44</v>
      </c>
      <c r="Q39" s="11"/>
      <c r="R39" s="11"/>
      <c r="S39" s="11"/>
      <c r="T39" s="11"/>
      <c r="U39" s="11">
        <v>26</v>
      </c>
      <c r="V39" s="56" t="s">
        <v>1857</v>
      </c>
      <c r="W39" s="35" t="str">
        <f t="shared" si="2"/>
        <v>OK</v>
      </c>
      <c r="X39" s="38" t="str">
        <f t="shared" si="4"/>
        <v/>
      </c>
      <c r="Y39" s="3"/>
      <c r="Z39" s="116"/>
    </row>
    <row r="40" spans="1:26" ht="15.75" hidden="1" customHeight="1" outlineLevel="1" x14ac:dyDescent="0.3">
      <c r="A40" s="3"/>
      <c r="B40" s="99" t="s">
        <v>462</v>
      </c>
      <c r="C40" s="53"/>
      <c r="D40" s="53" t="s">
        <v>105</v>
      </c>
      <c r="E40" s="11">
        <f t="shared" si="11"/>
        <v>356</v>
      </c>
      <c r="F40" s="148"/>
      <c r="G40" s="58"/>
      <c r="H40" s="54"/>
      <c r="I40" s="54"/>
      <c r="J40" s="55"/>
      <c r="K40" s="11"/>
      <c r="L40" s="53" t="str">
        <f t="shared" si="3"/>
        <v/>
      </c>
      <c r="M40" s="11">
        <v>151.99</v>
      </c>
      <c r="N40" s="11">
        <v>24.57</v>
      </c>
      <c r="O40" s="11">
        <v>12</v>
      </c>
      <c r="P40" s="11">
        <v>1.44</v>
      </c>
      <c r="Q40" s="11"/>
      <c r="R40" s="11">
        <v>5</v>
      </c>
      <c r="S40" s="11">
        <v>5</v>
      </c>
      <c r="T40" s="11"/>
      <c r="U40" s="11">
        <v>156</v>
      </c>
      <c r="V40" s="56" t="s">
        <v>1869</v>
      </c>
      <c r="W40" s="35" t="str">
        <f t="shared" si="2"/>
        <v>Diferente</v>
      </c>
      <c r="X40" s="38">
        <f t="shared" si="4"/>
        <v>-356</v>
      </c>
      <c r="Y40" s="3"/>
      <c r="Z40" s="116"/>
    </row>
    <row r="41" spans="1:26" ht="15.75" hidden="1" customHeight="1" outlineLevel="1" x14ac:dyDescent="0.3">
      <c r="A41" s="3"/>
      <c r="B41" s="99" t="s">
        <v>465</v>
      </c>
      <c r="C41" s="53"/>
      <c r="D41" s="53" t="s">
        <v>95</v>
      </c>
      <c r="E41" s="11"/>
      <c r="F41" s="148"/>
      <c r="G41" s="58"/>
      <c r="H41" s="54"/>
      <c r="I41" s="54"/>
      <c r="J41" s="55"/>
      <c r="K41" s="11"/>
      <c r="L41" s="53" t="str">
        <f t="shared" si="3"/>
        <v/>
      </c>
      <c r="M41" s="11"/>
      <c r="N41" s="11"/>
      <c r="O41" s="11"/>
      <c r="P41" s="11"/>
      <c r="Q41" s="11"/>
      <c r="R41" s="11"/>
      <c r="S41" s="11"/>
      <c r="T41" s="11"/>
      <c r="U41" s="11"/>
      <c r="V41" s="56" t="s">
        <v>1864</v>
      </c>
      <c r="W41" s="35" t="str">
        <f t="shared" si="2"/>
        <v>OK</v>
      </c>
      <c r="X41" s="38" t="str">
        <f t="shared" si="4"/>
        <v/>
      </c>
      <c r="Y41" s="3"/>
      <c r="Z41" s="116"/>
    </row>
    <row r="42" spans="1:26" ht="15.75" hidden="1" customHeight="1" outlineLevel="1" x14ac:dyDescent="0.3">
      <c r="A42" s="3"/>
      <c r="B42" s="99" t="s">
        <v>466</v>
      </c>
      <c r="C42" s="53"/>
      <c r="D42" s="53" t="s">
        <v>95</v>
      </c>
      <c r="E42" s="11"/>
      <c r="F42" s="148"/>
      <c r="G42" s="58"/>
      <c r="H42" s="54"/>
      <c r="I42" s="54"/>
      <c r="J42" s="55"/>
      <c r="K42" s="11"/>
      <c r="L42" s="53" t="str">
        <f t="shared" si="3"/>
        <v/>
      </c>
      <c r="M42" s="11"/>
      <c r="N42" s="11"/>
      <c r="O42" s="11"/>
      <c r="P42" s="11"/>
      <c r="Q42" s="11"/>
      <c r="R42" s="11"/>
      <c r="S42" s="11"/>
      <c r="T42" s="11"/>
      <c r="U42" s="11"/>
      <c r="V42" s="56" t="s">
        <v>1870</v>
      </c>
      <c r="W42" s="35" t="str">
        <f t="shared" si="2"/>
        <v>OK</v>
      </c>
      <c r="X42" s="38" t="str">
        <f t="shared" si="4"/>
        <v/>
      </c>
      <c r="Y42" s="3"/>
      <c r="Z42" s="116"/>
    </row>
    <row r="43" spans="1:26" ht="15.75" hidden="1" customHeight="1" outlineLevel="1" x14ac:dyDescent="0.3">
      <c r="A43" s="3"/>
      <c r="B43" s="99" t="s">
        <v>467</v>
      </c>
      <c r="C43" s="53"/>
      <c r="D43" s="53" t="s">
        <v>105</v>
      </c>
      <c r="E43" s="11">
        <f t="shared" ref="E43:E51" si="14">SUM(M43:U43)</f>
        <v>393.65999999999997</v>
      </c>
      <c r="F43" s="148"/>
      <c r="G43" s="58"/>
      <c r="H43" s="54"/>
      <c r="I43" s="54"/>
      <c r="J43" s="55"/>
      <c r="K43" s="11"/>
      <c r="L43" s="53" t="str">
        <f t="shared" si="3"/>
        <v/>
      </c>
      <c r="M43" s="11">
        <v>118.98</v>
      </c>
      <c r="N43" s="11">
        <v>24.57</v>
      </c>
      <c r="O43" s="11">
        <v>12</v>
      </c>
      <c r="P43" s="11">
        <v>11.44</v>
      </c>
      <c r="Q43" s="11">
        <v>5</v>
      </c>
      <c r="R43" s="11">
        <v>10</v>
      </c>
      <c r="S43" s="11"/>
      <c r="T43" s="11"/>
      <c r="U43" s="11">
        <v>211.67</v>
      </c>
      <c r="V43" s="56" t="s">
        <v>1871</v>
      </c>
      <c r="W43" s="35" t="str">
        <f t="shared" si="2"/>
        <v>Diferente</v>
      </c>
      <c r="X43" s="38">
        <f t="shared" si="4"/>
        <v>-393.65999999999997</v>
      </c>
      <c r="Y43" s="3"/>
      <c r="Z43" s="116"/>
    </row>
    <row r="44" spans="1:26" ht="15.75" hidden="1" customHeight="1" outlineLevel="1" x14ac:dyDescent="0.3">
      <c r="A44" s="3"/>
      <c r="B44" s="99" t="s">
        <v>468</v>
      </c>
      <c r="C44" s="53"/>
      <c r="D44" s="53" t="s">
        <v>105</v>
      </c>
      <c r="E44" s="11">
        <f t="shared" si="14"/>
        <v>167.74</v>
      </c>
      <c r="F44" s="148"/>
      <c r="G44" s="58"/>
      <c r="H44" s="54"/>
      <c r="I44" s="54"/>
      <c r="J44" s="55"/>
      <c r="K44" s="11"/>
      <c r="L44" s="53" t="str">
        <f t="shared" si="3"/>
        <v/>
      </c>
      <c r="M44" s="11">
        <v>55.73</v>
      </c>
      <c r="N44" s="11">
        <v>24.57</v>
      </c>
      <c r="O44" s="11">
        <v>12</v>
      </c>
      <c r="P44" s="11">
        <v>1.44</v>
      </c>
      <c r="Q44" s="11"/>
      <c r="R44" s="11"/>
      <c r="S44" s="11"/>
      <c r="T44" s="11"/>
      <c r="U44" s="11">
        <v>74</v>
      </c>
      <c r="V44" s="56" t="s">
        <v>1872</v>
      </c>
      <c r="W44" s="35" t="str">
        <f t="shared" si="2"/>
        <v>Diferente</v>
      </c>
      <c r="X44" s="38">
        <f t="shared" si="4"/>
        <v>-167.74</v>
      </c>
      <c r="Y44" s="3"/>
      <c r="Z44" s="116"/>
    </row>
    <row r="45" spans="1:26" ht="15.75" hidden="1" customHeight="1" outlineLevel="1" x14ac:dyDescent="0.3">
      <c r="A45" s="3"/>
      <c r="B45" s="99" t="s">
        <v>469</v>
      </c>
      <c r="C45" s="53">
        <v>9</v>
      </c>
      <c r="D45" s="53" t="s">
        <v>95</v>
      </c>
      <c r="E45" s="11">
        <f t="shared" si="14"/>
        <v>120.75999999999999</v>
      </c>
      <c r="F45" s="148">
        <f t="shared" ref="F45:F49" si="15">E45</f>
        <v>120.75999999999999</v>
      </c>
      <c r="G45" s="58"/>
      <c r="H45" s="54" t="s">
        <v>37</v>
      </c>
      <c r="I45" s="54"/>
      <c r="J45" s="55"/>
      <c r="K45" s="11"/>
      <c r="L45" s="53" t="str">
        <f t="shared" si="3"/>
        <v/>
      </c>
      <c r="M45" s="11">
        <v>58.19</v>
      </c>
      <c r="N45" s="11">
        <v>24.57</v>
      </c>
      <c r="O45" s="11">
        <v>12</v>
      </c>
      <c r="P45" s="11" t="s">
        <v>44</v>
      </c>
      <c r="Q45" s="11" t="s">
        <v>44</v>
      </c>
      <c r="R45" s="11" t="s">
        <v>44</v>
      </c>
      <c r="S45" s="11" t="s">
        <v>44</v>
      </c>
      <c r="T45" s="11"/>
      <c r="U45" s="11">
        <v>26</v>
      </c>
      <c r="V45" s="56" t="s">
        <v>1857</v>
      </c>
      <c r="W45" s="35" t="str">
        <f t="shared" si="2"/>
        <v>OK</v>
      </c>
      <c r="X45" s="38" t="str">
        <f t="shared" si="4"/>
        <v/>
      </c>
      <c r="Y45" s="3"/>
      <c r="Z45" s="116"/>
    </row>
    <row r="46" spans="1:26" ht="15.75" hidden="1" customHeight="1" outlineLevel="1" x14ac:dyDescent="0.3">
      <c r="A46" s="3"/>
      <c r="B46" s="99" t="s">
        <v>470</v>
      </c>
      <c r="C46" s="53">
        <v>9</v>
      </c>
      <c r="D46" s="53" t="s">
        <v>95</v>
      </c>
      <c r="E46" s="11">
        <f t="shared" si="14"/>
        <v>96.45</v>
      </c>
      <c r="F46" s="148">
        <f t="shared" si="15"/>
        <v>96.45</v>
      </c>
      <c r="G46" s="58"/>
      <c r="H46" s="54" t="s">
        <v>37</v>
      </c>
      <c r="I46" s="54"/>
      <c r="J46" s="55"/>
      <c r="K46" s="11"/>
      <c r="L46" s="53" t="str">
        <f t="shared" si="3"/>
        <v/>
      </c>
      <c r="M46" s="11">
        <v>33.880000000000003</v>
      </c>
      <c r="N46" s="11">
        <v>24.57</v>
      </c>
      <c r="O46" s="11">
        <v>12</v>
      </c>
      <c r="P46" s="11" t="s">
        <v>44</v>
      </c>
      <c r="Q46" s="11"/>
      <c r="R46" s="11" t="s">
        <v>44</v>
      </c>
      <c r="S46" s="11"/>
      <c r="T46" s="11"/>
      <c r="U46" s="11">
        <v>26</v>
      </c>
      <c r="V46" s="56" t="s">
        <v>1857</v>
      </c>
      <c r="W46" s="35" t="str">
        <f t="shared" si="2"/>
        <v>OK</v>
      </c>
      <c r="X46" s="38" t="str">
        <f t="shared" si="4"/>
        <v/>
      </c>
      <c r="Y46" s="3"/>
      <c r="Z46" s="116"/>
    </row>
    <row r="47" spans="1:26" ht="15.75" hidden="1" customHeight="1" outlineLevel="1" x14ac:dyDescent="0.3">
      <c r="A47" s="3"/>
      <c r="B47" s="99" t="s">
        <v>471</v>
      </c>
      <c r="C47" s="53">
        <v>24</v>
      </c>
      <c r="D47" s="53" t="s">
        <v>95</v>
      </c>
      <c r="E47" s="11">
        <f t="shared" si="14"/>
        <v>182.69</v>
      </c>
      <c r="F47" s="148">
        <f t="shared" si="15"/>
        <v>182.69</v>
      </c>
      <c r="G47" s="58"/>
      <c r="H47" s="54" t="s">
        <v>37</v>
      </c>
      <c r="I47" s="54"/>
      <c r="J47" s="55"/>
      <c r="K47" s="11"/>
      <c r="L47" s="53">
        <f t="shared" si="3"/>
        <v>1</v>
      </c>
      <c r="M47" s="11">
        <v>93.62</v>
      </c>
      <c r="N47" s="11">
        <v>24.57</v>
      </c>
      <c r="O47" s="11">
        <v>12</v>
      </c>
      <c r="P47" s="11">
        <v>1.5</v>
      </c>
      <c r="Q47" s="11"/>
      <c r="R47" s="11"/>
      <c r="S47" s="11">
        <v>10</v>
      </c>
      <c r="T47" s="11"/>
      <c r="U47" s="11">
        <v>41</v>
      </c>
      <c r="V47" s="56" t="s">
        <v>1864</v>
      </c>
      <c r="W47" s="35" t="str">
        <f t="shared" si="2"/>
        <v>OK</v>
      </c>
      <c r="X47" s="38" t="str">
        <f t="shared" si="4"/>
        <v/>
      </c>
      <c r="Y47" s="3"/>
      <c r="Z47" s="116"/>
    </row>
    <row r="48" spans="1:26" ht="15.75" hidden="1" customHeight="1" outlineLevel="1" x14ac:dyDescent="0.3">
      <c r="A48" s="3"/>
      <c r="B48" s="99" t="s">
        <v>473</v>
      </c>
      <c r="C48" s="53">
        <v>24</v>
      </c>
      <c r="D48" s="53" t="s">
        <v>95</v>
      </c>
      <c r="E48" s="11">
        <f t="shared" si="14"/>
        <v>157.69</v>
      </c>
      <c r="F48" s="148">
        <f t="shared" si="15"/>
        <v>157.69</v>
      </c>
      <c r="G48" s="58"/>
      <c r="H48" s="54" t="s">
        <v>37</v>
      </c>
      <c r="I48" s="54"/>
      <c r="J48" s="55"/>
      <c r="K48" s="11"/>
      <c r="L48" s="53">
        <f t="shared" si="3"/>
        <v>1</v>
      </c>
      <c r="M48" s="11">
        <v>93.62</v>
      </c>
      <c r="N48" s="11">
        <v>24.57</v>
      </c>
      <c r="O48" s="11">
        <v>12</v>
      </c>
      <c r="P48" s="11">
        <v>1.5</v>
      </c>
      <c r="Q48" s="11"/>
      <c r="R48" s="11"/>
      <c r="S48" s="11"/>
      <c r="T48" s="11"/>
      <c r="U48" s="11">
        <v>26</v>
      </c>
      <c r="V48" s="56" t="s">
        <v>1857</v>
      </c>
      <c r="W48" s="35" t="str">
        <f t="shared" si="2"/>
        <v>OK</v>
      </c>
      <c r="X48" s="38" t="str">
        <f t="shared" si="4"/>
        <v/>
      </c>
      <c r="Y48" s="3"/>
      <c r="Z48" s="116"/>
    </row>
    <row r="49" spans="1:26" ht="15.75" hidden="1" customHeight="1" outlineLevel="1" x14ac:dyDescent="0.3">
      <c r="A49" s="3"/>
      <c r="B49" s="99" t="s">
        <v>474</v>
      </c>
      <c r="C49" s="53">
        <v>11</v>
      </c>
      <c r="D49" s="53" t="s">
        <v>95</v>
      </c>
      <c r="E49" s="11">
        <f t="shared" si="14"/>
        <v>208.44</v>
      </c>
      <c r="F49" s="148">
        <f t="shared" si="15"/>
        <v>208.44</v>
      </c>
      <c r="G49" s="58"/>
      <c r="H49" s="54" t="s">
        <v>37</v>
      </c>
      <c r="I49" s="54"/>
      <c r="J49" s="55"/>
      <c r="K49" s="11"/>
      <c r="L49" s="53" t="str">
        <f t="shared" si="3"/>
        <v/>
      </c>
      <c r="M49" s="11">
        <v>139.43</v>
      </c>
      <c r="N49" s="11">
        <v>24.57</v>
      </c>
      <c r="O49" s="11">
        <v>12</v>
      </c>
      <c r="P49" s="11">
        <v>1.44</v>
      </c>
      <c r="Q49" s="11">
        <v>5</v>
      </c>
      <c r="R49" s="11"/>
      <c r="S49" s="11"/>
      <c r="T49" s="11"/>
      <c r="U49" s="11">
        <v>26</v>
      </c>
      <c r="V49" s="56" t="s">
        <v>1857</v>
      </c>
      <c r="W49" s="35" t="str">
        <f t="shared" si="2"/>
        <v>OK</v>
      </c>
      <c r="X49" s="38" t="str">
        <f t="shared" si="4"/>
        <v/>
      </c>
      <c r="Y49" s="3"/>
      <c r="Z49" s="116"/>
    </row>
    <row r="50" spans="1:26" ht="15.75" hidden="1" customHeight="1" outlineLevel="1" x14ac:dyDescent="0.3">
      <c r="A50" s="3"/>
      <c r="B50" s="99" t="s">
        <v>475</v>
      </c>
      <c r="C50" s="53"/>
      <c r="D50" s="53" t="s">
        <v>105</v>
      </c>
      <c r="E50" s="11">
        <f t="shared" si="14"/>
        <v>272.28999999999996</v>
      </c>
      <c r="F50" s="148"/>
      <c r="G50" s="58"/>
      <c r="H50" s="54"/>
      <c r="I50" s="54"/>
      <c r="J50" s="55"/>
      <c r="K50" s="11"/>
      <c r="L50" s="53" t="str">
        <f t="shared" si="3"/>
        <v/>
      </c>
      <c r="M50" s="11">
        <v>98.28</v>
      </c>
      <c r="N50" s="11">
        <v>24.57</v>
      </c>
      <c r="O50" s="11">
        <v>12</v>
      </c>
      <c r="P50" s="11">
        <v>1.44</v>
      </c>
      <c r="Q50" s="11"/>
      <c r="R50" s="11">
        <v>10</v>
      </c>
      <c r="S50" s="11"/>
      <c r="T50" s="11">
        <v>100</v>
      </c>
      <c r="U50" s="11">
        <v>26</v>
      </c>
      <c r="V50" s="56" t="s">
        <v>1857</v>
      </c>
      <c r="W50" s="35" t="str">
        <f t="shared" si="2"/>
        <v>Diferente</v>
      </c>
      <c r="X50" s="38">
        <f t="shared" si="4"/>
        <v>-272.28999999999996</v>
      </c>
      <c r="Y50" s="3"/>
      <c r="Z50" s="116"/>
    </row>
    <row r="51" spans="1:26" ht="15.75" hidden="1" customHeight="1" outlineLevel="1" x14ac:dyDescent="0.3">
      <c r="A51" s="3"/>
      <c r="B51" s="99" t="s">
        <v>477</v>
      </c>
      <c r="C51" s="53"/>
      <c r="D51" s="53" t="s">
        <v>105</v>
      </c>
      <c r="E51" s="11">
        <f t="shared" si="14"/>
        <v>172.29</v>
      </c>
      <c r="F51" s="148"/>
      <c r="G51" s="58"/>
      <c r="H51" s="54"/>
      <c r="I51" s="54"/>
      <c r="J51" s="55"/>
      <c r="K51" s="11"/>
      <c r="L51" s="53" t="str">
        <f t="shared" si="3"/>
        <v/>
      </c>
      <c r="M51" s="11">
        <v>98.28</v>
      </c>
      <c r="N51" s="11">
        <v>24.57</v>
      </c>
      <c r="O51" s="11">
        <v>12</v>
      </c>
      <c r="P51" s="11">
        <v>1.44</v>
      </c>
      <c r="Q51" s="11"/>
      <c r="R51" s="11">
        <v>10</v>
      </c>
      <c r="S51" s="11"/>
      <c r="T51" s="11"/>
      <c r="U51" s="11">
        <v>26</v>
      </c>
      <c r="V51" s="56" t="s">
        <v>1857</v>
      </c>
      <c r="W51" s="35" t="str">
        <f t="shared" si="2"/>
        <v>Diferente</v>
      </c>
      <c r="X51" s="38">
        <f t="shared" si="4"/>
        <v>-172.29</v>
      </c>
      <c r="Y51" s="3"/>
      <c r="Z51" s="116"/>
    </row>
    <row r="52" spans="1:26" ht="15.75" hidden="1" customHeight="1" outlineLevel="1" x14ac:dyDescent="0.3">
      <c r="A52" s="3"/>
      <c r="B52" s="99" t="s">
        <v>478</v>
      </c>
      <c r="C52" s="53">
        <v>15</v>
      </c>
      <c r="D52" s="53" t="s">
        <v>130</v>
      </c>
      <c r="E52" s="11">
        <v>198</v>
      </c>
      <c r="F52" s="148">
        <f>SUM(M52:U52)</f>
        <v>109</v>
      </c>
      <c r="G52" s="61" t="s">
        <v>1873</v>
      </c>
      <c r="H52" s="54" t="s">
        <v>37</v>
      </c>
      <c r="I52" s="54"/>
      <c r="J52" s="55"/>
      <c r="K52" s="11"/>
      <c r="L52" s="53">
        <f t="shared" si="3"/>
        <v>1</v>
      </c>
      <c r="M52" s="11">
        <v>13.93</v>
      </c>
      <c r="N52" s="11">
        <v>24.57</v>
      </c>
      <c r="O52" s="11">
        <v>12</v>
      </c>
      <c r="P52" s="11">
        <v>1.5</v>
      </c>
      <c r="Q52" s="11">
        <v>5</v>
      </c>
      <c r="R52" s="11"/>
      <c r="S52" s="11"/>
      <c r="T52" s="11"/>
      <c r="U52" s="11">
        <f>141-89</f>
        <v>52</v>
      </c>
      <c r="V52" s="80" t="s">
        <v>1874</v>
      </c>
      <c r="W52" s="35" t="str">
        <f t="shared" si="2"/>
        <v>OK</v>
      </c>
      <c r="X52" s="38" t="str">
        <f t="shared" si="4"/>
        <v/>
      </c>
      <c r="Y52" s="3"/>
      <c r="Z52" s="116"/>
    </row>
    <row r="53" spans="1:26" ht="15.75" hidden="1" customHeight="1" outlineLevel="1" x14ac:dyDescent="0.3">
      <c r="A53" s="3"/>
      <c r="B53" s="99" t="s">
        <v>479</v>
      </c>
      <c r="C53" s="53">
        <v>9</v>
      </c>
      <c r="D53" s="53" t="s">
        <v>95</v>
      </c>
      <c r="E53" s="11">
        <f t="shared" ref="E53:E91" si="16">SUM(M53:U53)</f>
        <v>166.5</v>
      </c>
      <c r="F53" s="148">
        <f t="shared" ref="F53:F55" si="17">E53</f>
        <v>166.5</v>
      </c>
      <c r="G53" s="58"/>
      <c r="H53" s="54" t="s">
        <v>37</v>
      </c>
      <c r="I53" s="54"/>
      <c r="J53" s="55"/>
      <c r="K53" s="11"/>
      <c r="L53" s="53" t="str">
        <f t="shared" si="3"/>
        <v/>
      </c>
      <c r="M53" s="11">
        <v>93.43</v>
      </c>
      <c r="N53" s="11">
        <v>24.57</v>
      </c>
      <c r="O53" s="11">
        <v>12</v>
      </c>
      <c r="P53" s="11">
        <v>1.5</v>
      </c>
      <c r="Q53" s="11"/>
      <c r="R53" s="11">
        <v>0</v>
      </c>
      <c r="S53" s="11">
        <v>4</v>
      </c>
      <c r="T53" s="11">
        <v>5</v>
      </c>
      <c r="U53" s="11">
        <v>26</v>
      </c>
      <c r="V53" s="56" t="s">
        <v>1857</v>
      </c>
      <c r="W53" s="35" t="str">
        <f t="shared" si="2"/>
        <v>OK</v>
      </c>
      <c r="X53" s="38" t="str">
        <f t="shared" si="4"/>
        <v/>
      </c>
      <c r="Y53" s="3"/>
      <c r="Z53" s="116"/>
    </row>
    <row r="54" spans="1:26" ht="15.75" hidden="1" customHeight="1" outlineLevel="1" x14ac:dyDescent="0.3">
      <c r="A54" s="3"/>
      <c r="B54" s="99" t="s">
        <v>480</v>
      </c>
      <c r="C54" s="53">
        <v>9</v>
      </c>
      <c r="D54" s="53" t="s">
        <v>95</v>
      </c>
      <c r="E54" s="11">
        <f t="shared" si="16"/>
        <v>180.5</v>
      </c>
      <c r="F54" s="148">
        <f t="shared" si="17"/>
        <v>180.5</v>
      </c>
      <c r="G54" s="58"/>
      <c r="H54" s="54" t="s">
        <v>37</v>
      </c>
      <c r="I54" s="54"/>
      <c r="J54" s="55"/>
      <c r="K54" s="11"/>
      <c r="L54" s="53" t="str">
        <f t="shared" si="3"/>
        <v/>
      </c>
      <c r="M54" s="11">
        <v>93.43</v>
      </c>
      <c r="N54" s="11">
        <v>24.57</v>
      </c>
      <c r="O54" s="11">
        <v>12</v>
      </c>
      <c r="P54" s="11">
        <v>1.5</v>
      </c>
      <c r="Q54" s="11"/>
      <c r="R54" s="11">
        <v>0</v>
      </c>
      <c r="S54" s="11">
        <v>3</v>
      </c>
      <c r="T54" s="11">
        <v>5</v>
      </c>
      <c r="U54" s="11">
        <v>41</v>
      </c>
      <c r="V54" s="56" t="s">
        <v>1864</v>
      </c>
      <c r="W54" s="35" t="str">
        <f t="shared" si="2"/>
        <v>OK</v>
      </c>
      <c r="X54" s="38" t="str">
        <f t="shared" si="4"/>
        <v/>
      </c>
      <c r="Y54" s="3"/>
      <c r="Z54" s="116"/>
    </row>
    <row r="55" spans="1:26" ht="21" hidden="1" customHeight="1" outlineLevel="1" x14ac:dyDescent="0.3">
      <c r="A55" s="3"/>
      <c r="B55" s="99" t="s">
        <v>482</v>
      </c>
      <c r="C55" s="53">
        <v>8</v>
      </c>
      <c r="D55" s="53" t="s">
        <v>95</v>
      </c>
      <c r="E55" s="11">
        <f t="shared" si="16"/>
        <v>88.37</v>
      </c>
      <c r="F55" s="148">
        <f t="shared" si="17"/>
        <v>88.37</v>
      </c>
      <c r="G55" s="58"/>
      <c r="H55" s="54" t="s">
        <v>37</v>
      </c>
      <c r="I55" s="54"/>
      <c r="J55" s="55"/>
      <c r="K55" s="11"/>
      <c r="L55" s="53" t="str">
        <f t="shared" si="3"/>
        <v/>
      </c>
      <c r="M55" s="11">
        <v>19.36</v>
      </c>
      <c r="N55" s="11">
        <v>24.57</v>
      </c>
      <c r="O55" s="11">
        <v>12</v>
      </c>
      <c r="P55" s="11">
        <v>1.44</v>
      </c>
      <c r="Q55" s="11">
        <v>5</v>
      </c>
      <c r="R55" s="11"/>
      <c r="S55" s="11"/>
      <c r="T55" s="11"/>
      <c r="U55" s="11">
        <v>26</v>
      </c>
      <c r="V55" s="56" t="s">
        <v>1857</v>
      </c>
      <c r="W55" s="35" t="str">
        <f t="shared" si="2"/>
        <v>OK</v>
      </c>
      <c r="X55" s="38" t="str">
        <f t="shared" si="4"/>
        <v/>
      </c>
      <c r="Y55" s="3"/>
      <c r="Z55" s="116"/>
    </row>
    <row r="56" spans="1:26" ht="21" hidden="1" customHeight="1" outlineLevel="1" x14ac:dyDescent="0.3">
      <c r="A56" s="3"/>
      <c r="B56" s="99" t="s">
        <v>483</v>
      </c>
      <c r="C56" s="53"/>
      <c r="D56" s="53" t="s">
        <v>105</v>
      </c>
      <c r="E56" s="11">
        <f t="shared" si="16"/>
        <v>249.47</v>
      </c>
      <c r="F56" s="148"/>
      <c r="G56" s="58"/>
      <c r="H56" s="54"/>
      <c r="I56" s="54"/>
      <c r="J56" s="55"/>
      <c r="K56" s="11"/>
      <c r="L56" s="53" t="str">
        <f t="shared" si="3"/>
        <v/>
      </c>
      <c r="M56" s="11">
        <v>0</v>
      </c>
      <c r="N56" s="11">
        <v>24.57</v>
      </c>
      <c r="O56" s="11">
        <v>12</v>
      </c>
      <c r="P56" s="11">
        <v>0</v>
      </c>
      <c r="Q56" s="11">
        <v>0</v>
      </c>
      <c r="R56" s="11"/>
      <c r="S56" s="11"/>
      <c r="T56" s="11"/>
      <c r="U56" s="11">
        <v>212.9</v>
      </c>
      <c r="V56" s="56" t="s">
        <v>1875</v>
      </c>
      <c r="W56" s="35" t="str">
        <f t="shared" si="2"/>
        <v>Diferente</v>
      </c>
      <c r="X56" s="38">
        <f t="shared" si="4"/>
        <v>-249.47</v>
      </c>
      <c r="Y56" s="3"/>
      <c r="Z56" s="116"/>
    </row>
    <row r="57" spans="1:26" ht="15.75" hidden="1" customHeight="1" outlineLevel="1" x14ac:dyDescent="0.3">
      <c r="A57" s="3"/>
      <c r="B57" s="99" t="s">
        <v>484</v>
      </c>
      <c r="C57" s="53"/>
      <c r="D57" s="53" t="s">
        <v>105</v>
      </c>
      <c r="E57" s="11">
        <f t="shared" si="16"/>
        <v>62.57</v>
      </c>
      <c r="F57" s="148"/>
      <c r="G57" s="58"/>
      <c r="H57" s="54"/>
      <c r="I57" s="54"/>
      <c r="J57" s="55"/>
      <c r="K57" s="11"/>
      <c r="L57" s="53" t="str">
        <f t="shared" si="3"/>
        <v/>
      </c>
      <c r="M57" s="11">
        <v>0</v>
      </c>
      <c r="N57" s="11">
        <v>24.57</v>
      </c>
      <c r="O57" s="11">
        <v>12</v>
      </c>
      <c r="P57" s="11">
        <v>0</v>
      </c>
      <c r="Q57" s="11">
        <v>0</v>
      </c>
      <c r="R57" s="11"/>
      <c r="S57" s="11"/>
      <c r="T57" s="11"/>
      <c r="U57" s="11">
        <v>26</v>
      </c>
      <c r="V57" s="56" t="s">
        <v>1857</v>
      </c>
      <c r="W57" s="35" t="str">
        <f t="shared" si="2"/>
        <v>Diferente</v>
      </c>
      <c r="X57" s="38">
        <f t="shared" si="4"/>
        <v>-62.57</v>
      </c>
      <c r="Y57" s="3"/>
      <c r="Z57" s="116"/>
    </row>
    <row r="58" spans="1:26" ht="15.75" hidden="1" customHeight="1" outlineLevel="1" x14ac:dyDescent="0.3">
      <c r="A58" s="3"/>
      <c r="B58" s="99" t="s">
        <v>485</v>
      </c>
      <c r="C58" s="53">
        <v>10</v>
      </c>
      <c r="D58" s="53" t="s">
        <v>95</v>
      </c>
      <c r="E58" s="11">
        <f t="shared" si="16"/>
        <v>160</v>
      </c>
      <c r="F58" s="148">
        <f>E58</f>
        <v>160</v>
      </c>
      <c r="G58" s="58"/>
      <c r="H58" s="54" t="s">
        <v>37</v>
      </c>
      <c r="I58" s="54"/>
      <c r="J58" s="55"/>
      <c r="K58" s="11"/>
      <c r="L58" s="53" t="str">
        <f t="shared" si="3"/>
        <v/>
      </c>
      <c r="M58" s="11">
        <v>61.99</v>
      </c>
      <c r="N58" s="11">
        <v>24.57</v>
      </c>
      <c r="O58" s="11">
        <v>12</v>
      </c>
      <c r="P58" s="11">
        <v>1.44</v>
      </c>
      <c r="Q58" s="11"/>
      <c r="R58" s="11"/>
      <c r="S58" s="11"/>
      <c r="T58" s="11"/>
      <c r="U58" s="11">
        <v>60</v>
      </c>
      <c r="V58" s="56" t="s">
        <v>1876</v>
      </c>
      <c r="W58" s="35" t="str">
        <f t="shared" si="2"/>
        <v>OK</v>
      </c>
      <c r="X58" s="38" t="str">
        <f t="shared" si="4"/>
        <v/>
      </c>
      <c r="Y58" s="3"/>
      <c r="Z58" s="116"/>
    </row>
    <row r="59" spans="1:26" ht="15.75" hidden="1" customHeight="1" outlineLevel="1" x14ac:dyDescent="0.3">
      <c r="A59" s="3"/>
      <c r="B59" s="99" t="s">
        <v>489</v>
      </c>
      <c r="C59" s="53"/>
      <c r="D59" s="53" t="s">
        <v>105</v>
      </c>
      <c r="E59" s="11">
        <f t="shared" si="16"/>
        <v>279.07</v>
      </c>
      <c r="F59" s="148"/>
      <c r="G59" s="58"/>
      <c r="H59" s="54"/>
      <c r="I59" s="54"/>
      <c r="J59" s="55"/>
      <c r="K59" s="11"/>
      <c r="L59" s="53" t="str">
        <f t="shared" si="3"/>
        <v/>
      </c>
      <c r="M59" s="11">
        <v>100</v>
      </c>
      <c r="N59" s="11">
        <v>24.57</v>
      </c>
      <c r="O59" s="11">
        <v>12</v>
      </c>
      <c r="P59" s="11">
        <v>1.5</v>
      </c>
      <c r="Q59" s="11"/>
      <c r="R59" s="11"/>
      <c r="S59" s="11"/>
      <c r="T59" s="11"/>
      <c r="U59" s="11">
        <v>141</v>
      </c>
      <c r="V59" s="56" t="s">
        <v>1877</v>
      </c>
      <c r="W59" s="35" t="str">
        <f t="shared" si="2"/>
        <v>Diferente</v>
      </c>
      <c r="X59" s="38">
        <f t="shared" si="4"/>
        <v>-279.07</v>
      </c>
      <c r="Y59" s="3"/>
      <c r="Z59" s="116"/>
    </row>
    <row r="60" spans="1:26" ht="15.75" hidden="1" customHeight="1" outlineLevel="1" x14ac:dyDescent="0.3">
      <c r="A60" s="3"/>
      <c r="B60" s="99" t="s">
        <v>1422</v>
      </c>
      <c r="C60" s="53">
        <v>8</v>
      </c>
      <c r="D60" s="53" t="s">
        <v>95</v>
      </c>
      <c r="E60" s="11">
        <f t="shared" si="16"/>
        <v>361.82</v>
      </c>
      <c r="F60" s="148">
        <f t="shared" ref="F60:F61" si="18">E60</f>
        <v>361.82</v>
      </c>
      <c r="G60" s="58"/>
      <c r="H60" s="54" t="s">
        <v>37</v>
      </c>
      <c r="I60" s="54"/>
      <c r="J60" s="55"/>
      <c r="K60" s="11"/>
      <c r="L60" s="53" t="str">
        <f t="shared" si="3"/>
        <v/>
      </c>
      <c r="M60" s="11">
        <v>122.25</v>
      </c>
      <c r="N60" s="11">
        <v>24.57</v>
      </c>
      <c r="O60" s="11">
        <v>12</v>
      </c>
      <c r="P60" s="11">
        <v>10</v>
      </c>
      <c r="Q60" s="11">
        <v>5</v>
      </c>
      <c r="R60" s="11">
        <v>5</v>
      </c>
      <c r="S60" s="11">
        <v>15</v>
      </c>
      <c r="T60" s="11">
        <v>25</v>
      </c>
      <c r="U60" s="11">
        <f>141+2</f>
        <v>143</v>
      </c>
      <c r="V60" s="56" t="s">
        <v>1878</v>
      </c>
      <c r="W60" s="35" t="str">
        <f t="shared" si="2"/>
        <v>OK</v>
      </c>
      <c r="X60" s="38" t="str">
        <f t="shared" si="4"/>
        <v/>
      </c>
      <c r="Y60" s="3"/>
      <c r="Z60" s="116"/>
    </row>
    <row r="61" spans="1:26" ht="15.75" hidden="1" customHeight="1" outlineLevel="1" x14ac:dyDescent="0.3">
      <c r="A61" s="3"/>
      <c r="B61" s="99" t="s">
        <v>491</v>
      </c>
      <c r="C61" s="53">
        <v>8</v>
      </c>
      <c r="D61" s="53" t="s">
        <v>95</v>
      </c>
      <c r="E61" s="11">
        <f t="shared" si="16"/>
        <v>344.82</v>
      </c>
      <c r="F61" s="148">
        <f t="shared" si="18"/>
        <v>344.82</v>
      </c>
      <c r="G61" s="58"/>
      <c r="H61" s="54" t="s">
        <v>37</v>
      </c>
      <c r="I61" s="54"/>
      <c r="J61" s="55"/>
      <c r="K61" s="11"/>
      <c r="L61" s="53" t="str">
        <f t="shared" si="3"/>
        <v/>
      </c>
      <c r="M61" s="11">
        <v>122.25</v>
      </c>
      <c r="N61" s="11">
        <v>24.57</v>
      </c>
      <c r="O61" s="11">
        <v>12</v>
      </c>
      <c r="P61" s="11">
        <v>10</v>
      </c>
      <c r="Q61" s="11">
        <v>5</v>
      </c>
      <c r="R61" s="11">
        <v>5</v>
      </c>
      <c r="S61" s="11">
        <v>15</v>
      </c>
      <c r="T61" s="11">
        <v>25</v>
      </c>
      <c r="U61" s="11">
        <v>126</v>
      </c>
      <c r="V61" s="56" t="s">
        <v>1879</v>
      </c>
      <c r="W61" s="35" t="str">
        <f t="shared" si="2"/>
        <v>OK</v>
      </c>
      <c r="X61" s="38" t="str">
        <f t="shared" si="4"/>
        <v/>
      </c>
      <c r="Y61" s="3"/>
      <c r="Z61" s="116"/>
    </row>
    <row r="62" spans="1:26" ht="15.75" hidden="1" customHeight="1" outlineLevel="1" x14ac:dyDescent="0.3">
      <c r="A62" s="3"/>
      <c r="B62" s="99" t="s">
        <v>492</v>
      </c>
      <c r="C62" s="53"/>
      <c r="D62" s="53" t="s">
        <v>105</v>
      </c>
      <c r="E62" s="11">
        <f t="shared" si="16"/>
        <v>222.44</v>
      </c>
      <c r="F62" s="148"/>
      <c r="G62" s="58"/>
      <c r="H62" s="54"/>
      <c r="I62" s="54"/>
      <c r="J62" s="55"/>
      <c r="K62" s="11"/>
      <c r="L62" s="53" t="str">
        <f t="shared" si="3"/>
        <v/>
      </c>
      <c r="M62" s="11">
        <v>113.43</v>
      </c>
      <c r="N62" s="11">
        <v>24.57</v>
      </c>
      <c r="O62" s="11">
        <v>12</v>
      </c>
      <c r="P62" s="11">
        <v>1.44</v>
      </c>
      <c r="Q62" s="11">
        <v>5</v>
      </c>
      <c r="R62" s="11">
        <v>20</v>
      </c>
      <c r="S62" s="11">
        <v>5</v>
      </c>
      <c r="T62" s="11"/>
      <c r="U62" s="11">
        <v>41</v>
      </c>
      <c r="V62" s="56" t="s">
        <v>1864</v>
      </c>
      <c r="W62" s="35" t="str">
        <f t="shared" si="2"/>
        <v>Diferente</v>
      </c>
      <c r="X62" s="38">
        <f t="shared" si="4"/>
        <v>-222.44</v>
      </c>
      <c r="Y62" s="3"/>
      <c r="Z62" s="116"/>
    </row>
    <row r="63" spans="1:26" ht="15.75" hidden="1" customHeight="1" outlineLevel="1" x14ac:dyDescent="0.3">
      <c r="A63" s="3"/>
      <c r="B63" s="99" t="s">
        <v>494</v>
      </c>
      <c r="C63" s="53">
        <v>8</v>
      </c>
      <c r="D63" s="53" t="s">
        <v>95</v>
      </c>
      <c r="E63" s="11">
        <f t="shared" si="16"/>
        <v>288.5</v>
      </c>
      <c r="F63" s="148">
        <f t="shared" ref="F63:F72" si="19">E63</f>
        <v>288.5</v>
      </c>
      <c r="G63" s="58"/>
      <c r="H63" s="54" t="s">
        <v>37</v>
      </c>
      <c r="I63" s="54"/>
      <c r="J63" s="55"/>
      <c r="K63" s="11"/>
      <c r="L63" s="53" t="str">
        <f t="shared" si="3"/>
        <v/>
      </c>
      <c r="M63" s="11">
        <v>81.93</v>
      </c>
      <c r="N63" s="11">
        <v>24.57</v>
      </c>
      <c r="O63" s="11">
        <v>12</v>
      </c>
      <c r="P63" s="11">
        <v>1.5</v>
      </c>
      <c r="Q63" s="11"/>
      <c r="R63" s="11"/>
      <c r="S63" s="11"/>
      <c r="T63" s="11"/>
      <c r="U63" s="11">
        <v>168.5</v>
      </c>
      <c r="V63" s="56" t="s">
        <v>1880</v>
      </c>
      <c r="W63" s="35" t="str">
        <f t="shared" si="2"/>
        <v>OK</v>
      </c>
      <c r="X63" s="38" t="str">
        <f t="shared" si="4"/>
        <v/>
      </c>
      <c r="Y63" s="3"/>
      <c r="Z63" s="116"/>
    </row>
    <row r="64" spans="1:26" ht="15.75" hidden="1" customHeight="1" outlineLevel="1" x14ac:dyDescent="0.3">
      <c r="A64" s="3"/>
      <c r="B64" s="99" t="s">
        <v>495</v>
      </c>
      <c r="C64" s="53">
        <v>13</v>
      </c>
      <c r="D64" s="53" t="s">
        <v>95</v>
      </c>
      <c r="E64" s="11">
        <f t="shared" si="16"/>
        <v>78</v>
      </c>
      <c r="F64" s="148">
        <f t="shared" si="19"/>
        <v>78</v>
      </c>
      <c r="G64" s="58"/>
      <c r="H64" s="54" t="s">
        <v>37</v>
      </c>
      <c r="I64" s="54"/>
      <c r="J64" s="55"/>
      <c r="K64" s="11"/>
      <c r="L64" s="53">
        <f t="shared" si="3"/>
        <v>1</v>
      </c>
      <c r="M64" s="11">
        <v>13.93</v>
      </c>
      <c r="N64" s="11">
        <v>24.57</v>
      </c>
      <c r="O64" s="11">
        <v>12</v>
      </c>
      <c r="P64" s="11">
        <v>1.5</v>
      </c>
      <c r="Q64" s="11"/>
      <c r="R64" s="11"/>
      <c r="S64" s="11"/>
      <c r="T64" s="11"/>
      <c r="U64" s="11">
        <v>26</v>
      </c>
      <c r="V64" s="56" t="s">
        <v>1857</v>
      </c>
      <c r="W64" s="35" t="str">
        <f t="shared" si="2"/>
        <v>OK</v>
      </c>
      <c r="X64" s="38" t="str">
        <f t="shared" si="4"/>
        <v/>
      </c>
      <c r="Y64" s="3"/>
      <c r="Z64" s="116"/>
    </row>
    <row r="65" spans="1:26" ht="15.75" hidden="1" customHeight="1" outlineLevel="1" x14ac:dyDescent="0.3">
      <c r="A65" s="3"/>
      <c r="B65" s="99" t="s">
        <v>496</v>
      </c>
      <c r="C65" s="53">
        <v>13</v>
      </c>
      <c r="D65" s="53" t="s">
        <v>95</v>
      </c>
      <c r="E65" s="11">
        <f t="shared" si="16"/>
        <v>78</v>
      </c>
      <c r="F65" s="148">
        <f t="shared" si="19"/>
        <v>78</v>
      </c>
      <c r="G65" s="58"/>
      <c r="H65" s="54" t="s">
        <v>37</v>
      </c>
      <c r="I65" s="54"/>
      <c r="J65" s="55"/>
      <c r="K65" s="11"/>
      <c r="L65" s="53">
        <f t="shared" si="3"/>
        <v>1</v>
      </c>
      <c r="M65" s="11">
        <v>13.93</v>
      </c>
      <c r="N65" s="11">
        <v>24.57</v>
      </c>
      <c r="O65" s="11">
        <v>12</v>
      </c>
      <c r="P65" s="11">
        <v>1.5</v>
      </c>
      <c r="Q65" s="11"/>
      <c r="R65" s="11"/>
      <c r="S65" s="11"/>
      <c r="T65" s="11"/>
      <c r="U65" s="11">
        <v>26</v>
      </c>
      <c r="V65" s="56" t="s">
        <v>1857</v>
      </c>
      <c r="W65" s="35" t="str">
        <f t="shared" si="2"/>
        <v>OK</v>
      </c>
      <c r="X65" s="38" t="str">
        <f t="shared" si="4"/>
        <v/>
      </c>
      <c r="Y65" s="3"/>
      <c r="Z65" s="116"/>
    </row>
    <row r="66" spans="1:26" ht="28.5" hidden="1" customHeight="1" outlineLevel="1" x14ac:dyDescent="0.3">
      <c r="A66" s="3"/>
      <c r="B66" s="99" t="s">
        <v>497</v>
      </c>
      <c r="C66" s="53">
        <v>10</v>
      </c>
      <c r="D66" s="53" t="s">
        <v>95</v>
      </c>
      <c r="E66" s="11">
        <f t="shared" si="16"/>
        <v>241</v>
      </c>
      <c r="F66" s="148">
        <f t="shared" si="19"/>
        <v>241</v>
      </c>
      <c r="G66" s="58"/>
      <c r="H66" s="54" t="s">
        <v>37</v>
      </c>
      <c r="I66" s="54"/>
      <c r="J66" s="55"/>
      <c r="K66" s="11"/>
      <c r="L66" s="53" t="str">
        <f t="shared" si="3"/>
        <v/>
      </c>
      <c r="M66" s="11">
        <v>56.93</v>
      </c>
      <c r="N66" s="11">
        <v>24.57</v>
      </c>
      <c r="O66" s="11">
        <v>12</v>
      </c>
      <c r="P66" s="11">
        <v>1.5</v>
      </c>
      <c r="Q66" s="11">
        <v>5</v>
      </c>
      <c r="R66" s="11"/>
      <c r="S66" s="11"/>
      <c r="T66" s="11"/>
      <c r="U66" s="11">
        <v>141</v>
      </c>
      <c r="V66" s="56" t="s">
        <v>1881</v>
      </c>
      <c r="W66" s="35" t="str">
        <f t="shared" si="2"/>
        <v>OK</v>
      </c>
      <c r="X66" s="38" t="str">
        <f t="shared" si="4"/>
        <v/>
      </c>
      <c r="Y66" s="3"/>
      <c r="Z66" s="116"/>
    </row>
    <row r="67" spans="1:26" ht="15.75" hidden="1" customHeight="1" outlineLevel="1" x14ac:dyDescent="0.3">
      <c r="A67" s="3"/>
      <c r="B67" s="99" t="s">
        <v>498</v>
      </c>
      <c r="C67" s="53">
        <v>12</v>
      </c>
      <c r="D67" s="53" t="s">
        <v>95</v>
      </c>
      <c r="E67" s="11">
        <f t="shared" si="16"/>
        <v>376</v>
      </c>
      <c r="F67" s="148">
        <f t="shared" si="19"/>
        <v>376</v>
      </c>
      <c r="G67" s="58"/>
      <c r="H67" s="54" t="s">
        <v>37</v>
      </c>
      <c r="I67" s="54"/>
      <c r="J67" s="55"/>
      <c r="K67" s="11"/>
      <c r="L67" s="53" t="str">
        <f t="shared" si="3"/>
        <v/>
      </c>
      <c r="M67" s="11">
        <v>148.43</v>
      </c>
      <c r="N67" s="11">
        <v>24.57</v>
      </c>
      <c r="O67" s="11">
        <v>12</v>
      </c>
      <c r="P67" s="11">
        <v>5</v>
      </c>
      <c r="Q67" s="11">
        <v>10</v>
      </c>
      <c r="R67" s="11"/>
      <c r="S67" s="11"/>
      <c r="T67" s="11"/>
      <c r="U67" s="11">
        <v>176</v>
      </c>
      <c r="V67" s="56" t="s">
        <v>1882</v>
      </c>
      <c r="W67" s="35" t="str">
        <f t="shared" si="2"/>
        <v>OK</v>
      </c>
      <c r="X67" s="38" t="str">
        <f t="shared" si="4"/>
        <v/>
      </c>
      <c r="Y67" s="3"/>
      <c r="Z67" s="116"/>
    </row>
    <row r="68" spans="1:26" ht="15.75" hidden="1" customHeight="1" outlineLevel="1" x14ac:dyDescent="0.3">
      <c r="A68" s="3"/>
      <c r="B68" s="99" t="s">
        <v>499</v>
      </c>
      <c r="C68" s="53">
        <v>9</v>
      </c>
      <c r="D68" s="53" t="s">
        <v>95</v>
      </c>
      <c r="E68" s="11">
        <f t="shared" si="16"/>
        <v>83.39</v>
      </c>
      <c r="F68" s="148">
        <f t="shared" si="19"/>
        <v>83.39</v>
      </c>
      <c r="G68" s="58"/>
      <c r="H68" s="54" t="s">
        <v>37</v>
      </c>
      <c r="I68" s="54"/>
      <c r="J68" s="55"/>
      <c r="K68" s="11"/>
      <c r="L68" s="53" t="str">
        <f t="shared" si="3"/>
        <v/>
      </c>
      <c r="M68" s="11">
        <v>19.32</v>
      </c>
      <c r="N68" s="11">
        <v>24.57</v>
      </c>
      <c r="O68" s="11">
        <v>12</v>
      </c>
      <c r="P68" s="11">
        <v>1.5</v>
      </c>
      <c r="Q68" s="11"/>
      <c r="R68" s="11"/>
      <c r="S68" s="11"/>
      <c r="T68" s="11"/>
      <c r="U68" s="11">
        <v>26</v>
      </c>
      <c r="V68" s="56" t="s">
        <v>1857</v>
      </c>
      <c r="W68" s="35" t="str">
        <f t="shared" si="2"/>
        <v>OK</v>
      </c>
      <c r="X68" s="38" t="str">
        <f t="shared" si="4"/>
        <v/>
      </c>
      <c r="Y68" s="3"/>
      <c r="Z68" s="116"/>
    </row>
    <row r="69" spans="1:26" ht="15.75" hidden="1" customHeight="1" outlineLevel="1" x14ac:dyDescent="0.3">
      <c r="A69" s="3"/>
      <c r="B69" s="99" t="s">
        <v>501</v>
      </c>
      <c r="C69" s="53">
        <v>8</v>
      </c>
      <c r="D69" s="53" t="s">
        <v>95</v>
      </c>
      <c r="E69" s="11">
        <f t="shared" si="16"/>
        <v>130.43</v>
      </c>
      <c r="F69" s="148">
        <f t="shared" si="19"/>
        <v>130.43</v>
      </c>
      <c r="G69" s="58"/>
      <c r="H69" s="54" t="s">
        <v>37</v>
      </c>
      <c r="I69" s="54"/>
      <c r="J69" s="55"/>
      <c r="K69" s="11"/>
      <c r="L69" s="53" t="str">
        <f t="shared" si="3"/>
        <v/>
      </c>
      <c r="M69" s="11">
        <v>50.86</v>
      </c>
      <c r="N69" s="11">
        <v>24.57</v>
      </c>
      <c r="O69" s="11">
        <v>12</v>
      </c>
      <c r="P69" s="11">
        <v>2</v>
      </c>
      <c r="Q69" s="11">
        <v>5</v>
      </c>
      <c r="R69" s="11"/>
      <c r="S69" s="11"/>
      <c r="T69" s="11"/>
      <c r="U69" s="11">
        <v>36</v>
      </c>
      <c r="V69" s="56" t="s">
        <v>1883</v>
      </c>
      <c r="W69" s="35" t="str">
        <f t="shared" si="2"/>
        <v>OK</v>
      </c>
      <c r="X69" s="38" t="str">
        <f t="shared" si="4"/>
        <v/>
      </c>
      <c r="Y69" s="3"/>
      <c r="Z69" s="116"/>
    </row>
    <row r="70" spans="1:26" ht="15.75" hidden="1" customHeight="1" outlineLevel="1" x14ac:dyDescent="0.3">
      <c r="A70" s="3"/>
      <c r="B70" s="99" t="s">
        <v>502</v>
      </c>
      <c r="C70" s="53">
        <v>8</v>
      </c>
      <c r="D70" s="53" t="s">
        <v>95</v>
      </c>
      <c r="E70" s="11">
        <f t="shared" si="16"/>
        <v>119.57</v>
      </c>
      <c r="F70" s="148">
        <f t="shared" si="19"/>
        <v>119.57</v>
      </c>
      <c r="G70" s="58"/>
      <c r="H70" s="54" t="s">
        <v>37</v>
      </c>
      <c r="I70" s="54"/>
      <c r="J70" s="55"/>
      <c r="K70" s="11"/>
      <c r="L70" s="53" t="str">
        <f t="shared" si="3"/>
        <v/>
      </c>
      <c r="M70" s="11">
        <v>50</v>
      </c>
      <c r="N70" s="11">
        <v>24.57</v>
      </c>
      <c r="O70" s="11">
        <v>12</v>
      </c>
      <c r="P70" s="11">
        <v>2</v>
      </c>
      <c r="Q70" s="11">
        <v>5</v>
      </c>
      <c r="R70" s="11"/>
      <c r="S70" s="11"/>
      <c r="T70" s="11"/>
      <c r="U70" s="11">
        <v>26</v>
      </c>
      <c r="V70" s="56" t="s">
        <v>1857</v>
      </c>
      <c r="W70" s="35" t="str">
        <f t="shared" si="2"/>
        <v>OK</v>
      </c>
      <c r="X70" s="38" t="str">
        <f t="shared" si="4"/>
        <v/>
      </c>
      <c r="Y70" s="3"/>
      <c r="Z70" s="116"/>
    </row>
    <row r="71" spans="1:26" ht="15.75" hidden="1" customHeight="1" outlineLevel="1" x14ac:dyDescent="0.3">
      <c r="A71" s="3"/>
      <c r="B71" s="99" t="s">
        <v>503</v>
      </c>
      <c r="C71" s="53">
        <v>9</v>
      </c>
      <c r="D71" s="53" t="s">
        <v>95</v>
      </c>
      <c r="E71" s="11">
        <f t="shared" si="16"/>
        <v>157.69</v>
      </c>
      <c r="F71" s="148">
        <f t="shared" si="19"/>
        <v>157.69</v>
      </c>
      <c r="G71" s="58"/>
      <c r="H71" s="54" t="s">
        <v>37</v>
      </c>
      <c r="I71" s="54"/>
      <c r="J71" s="55"/>
      <c r="K71" s="11"/>
      <c r="L71" s="53" t="str">
        <f t="shared" si="3"/>
        <v/>
      </c>
      <c r="M71" s="11">
        <v>93.62</v>
      </c>
      <c r="N71" s="11">
        <v>24.57</v>
      </c>
      <c r="O71" s="11">
        <v>12</v>
      </c>
      <c r="P71" s="11">
        <v>1.5</v>
      </c>
      <c r="Q71" s="11"/>
      <c r="R71" s="11"/>
      <c r="S71" s="11"/>
      <c r="T71" s="11"/>
      <c r="U71" s="11">
        <v>26</v>
      </c>
      <c r="V71" s="56" t="s">
        <v>1857</v>
      </c>
      <c r="W71" s="35" t="str">
        <f t="shared" si="2"/>
        <v>OK</v>
      </c>
      <c r="X71" s="38" t="str">
        <f t="shared" si="4"/>
        <v/>
      </c>
      <c r="Y71" s="3"/>
      <c r="Z71" s="116"/>
    </row>
    <row r="72" spans="1:26" ht="15.75" hidden="1" customHeight="1" outlineLevel="1" x14ac:dyDescent="0.3">
      <c r="A72" s="3"/>
      <c r="B72" s="99" t="s">
        <v>504</v>
      </c>
      <c r="C72" s="53">
        <v>9</v>
      </c>
      <c r="D72" s="53" t="s">
        <v>95</v>
      </c>
      <c r="E72" s="11">
        <f t="shared" si="16"/>
        <v>157.69</v>
      </c>
      <c r="F72" s="148">
        <f t="shared" si="19"/>
        <v>157.69</v>
      </c>
      <c r="G72" s="58"/>
      <c r="H72" s="54" t="s">
        <v>37</v>
      </c>
      <c r="I72" s="54"/>
      <c r="J72" s="55"/>
      <c r="K72" s="11"/>
      <c r="L72" s="53" t="str">
        <f t="shared" si="3"/>
        <v/>
      </c>
      <c r="M72" s="11">
        <v>93.62</v>
      </c>
      <c r="N72" s="11">
        <v>24.57</v>
      </c>
      <c r="O72" s="11">
        <v>12</v>
      </c>
      <c r="P72" s="11">
        <v>1.5</v>
      </c>
      <c r="Q72" s="11"/>
      <c r="R72" s="11"/>
      <c r="S72" s="11"/>
      <c r="T72" s="11"/>
      <c r="U72" s="11">
        <v>26</v>
      </c>
      <c r="V72" s="56" t="s">
        <v>1857</v>
      </c>
      <c r="W72" s="35" t="str">
        <f t="shared" si="2"/>
        <v>OK</v>
      </c>
      <c r="X72" s="38" t="str">
        <f t="shared" si="4"/>
        <v/>
      </c>
      <c r="Y72" s="3"/>
      <c r="Z72" s="116"/>
    </row>
    <row r="73" spans="1:26" ht="15.75" hidden="1" customHeight="1" outlineLevel="1" x14ac:dyDescent="0.3">
      <c r="A73" s="3"/>
      <c r="B73" s="99" t="s">
        <v>505</v>
      </c>
      <c r="C73" s="53"/>
      <c r="D73" s="53" t="s">
        <v>105</v>
      </c>
      <c r="E73" s="11">
        <f t="shared" si="16"/>
        <v>169.57</v>
      </c>
      <c r="F73" s="148"/>
      <c r="G73" s="58"/>
      <c r="H73" s="54"/>
      <c r="I73" s="54"/>
      <c r="J73" s="55"/>
      <c r="K73" s="11"/>
      <c r="L73" s="53" t="str">
        <f t="shared" si="3"/>
        <v/>
      </c>
      <c r="M73" s="11">
        <v>100</v>
      </c>
      <c r="N73" s="11">
        <v>24.57</v>
      </c>
      <c r="O73" s="11">
        <v>12</v>
      </c>
      <c r="P73" s="11">
        <v>2</v>
      </c>
      <c r="Q73" s="11"/>
      <c r="R73" s="11"/>
      <c r="S73" s="11">
        <v>5</v>
      </c>
      <c r="T73" s="11"/>
      <c r="U73" s="11">
        <v>26</v>
      </c>
      <c r="V73" s="56" t="s">
        <v>1857</v>
      </c>
      <c r="W73" s="35" t="str">
        <f t="shared" si="2"/>
        <v>Diferente</v>
      </c>
      <c r="X73" s="38">
        <f t="shared" si="4"/>
        <v>-169.57</v>
      </c>
      <c r="Y73" s="3"/>
      <c r="Z73" s="116"/>
    </row>
    <row r="74" spans="1:26" ht="15.75" hidden="1" customHeight="1" outlineLevel="1" x14ac:dyDescent="0.3">
      <c r="A74" s="3"/>
      <c r="B74" s="99" t="s">
        <v>507</v>
      </c>
      <c r="C74" s="53"/>
      <c r="D74" s="53" t="s">
        <v>105</v>
      </c>
      <c r="E74" s="11">
        <f t="shared" si="16"/>
        <v>169.57</v>
      </c>
      <c r="F74" s="148"/>
      <c r="G74" s="58"/>
      <c r="H74" s="54"/>
      <c r="I74" s="54"/>
      <c r="J74" s="55"/>
      <c r="K74" s="11"/>
      <c r="L74" s="53" t="str">
        <f t="shared" si="3"/>
        <v/>
      </c>
      <c r="M74" s="11">
        <v>100</v>
      </c>
      <c r="N74" s="11">
        <v>24.57</v>
      </c>
      <c r="O74" s="11">
        <v>12</v>
      </c>
      <c r="P74" s="11">
        <v>2</v>
      </c>
      <c r="Q74" s="11"/>
      <c r="R74" s="11"/>
      <c r="S74" s="11">
        <v>5</v>
      </c>
      <c r="T74" s="11"/>
      <c r="U74" s="11">
        <v>26</v>
      </c>
      <c r="V74" s="56" t="s">
        <v>1857</v>
      </c>
      <c r="W74" s="35" t="str">
        <f t="shared" si="2"/>
        <v>Diferente</v>
      </c>
      <c r="X74" s="38">
        <f t="shared" si="4"/>
        <v>-169.57</v>
      </c>
      <c r="Y74" s="3"/>
      <c r="Z74" s="116"/>
    </row>
    <row r="75" spans="1:26" ht="15.75" hidden="1" customHeight="1" outlineLevel="1" x14ac:dyDescent="0.3">
      <c r="A75" s="3"/>
      <c r="B75" s="99" t="s">
        <v>493</v>
      </c>
      <c r="C75" s="53"/>
      <c r="D75" s="53" t="s">
        <v>105</v>
      </c>
      <c r="E75" s="11">
        <f t="shared" si="16"/>
        <v>91.67</v>
      </c>
      <c r="F75" s="148"/>
      <c r="G75" s="58"/>
      <c r="H75" s="54"/>
      <c r="I75" s="54"/>
      <c r="J75" s="55"/>
      <c r="K75" s="11"/>
      <c r="L75" s="53" t="str">
        <f t="shared" si="3"/>
        <v/>
      </c>
      <c r="M75" s="11">
        <v>27.66</v>
      </c>
      <c r="N75" s="11">
        <v>24.57</v>
      </c>
      <c r="O75" s="11">
        <v>12</v>
      </c>
      <c r="P75" s="11">
        <v>1.44</v>
      </c>
      <c r="Q75" s="11"/>
      <c r="R75" s="11"/>
      <c r="S75" s="11"/>
      <c r="T75" s="11"/>
      <c r="U75" s="11">
        <v>26</v>
      </c>
      <c r="V75" s="56" t="s">
        <v>1857</v>
      </c>
      <c r="W75" s="35" t="str">
        <f t="shared" si="2"/>
        <v>Diferente</v>
      </c>
      <c r="X75" s="38">
        <f t="shared" si="4"/>
        <v>-91.67</v>
      </c>
      <c r="Y75" s="3"/>
      <c r="Z75" s="116"/>
    </row>
    <row r="76" spans="1:26" ht="15.75" hidden="1" customHeight="1" outlineLevel="1" x14ac:dyDescent="0.3">
      <c r="A76" s="3"/>
      <c r="B76" s="99" t="s">
        <v>1424</v>
      </c>
      <c r="C76" s="53">
        <v>9</v>
      </c>
      <c r="D76" s="53" t="s">
        <v>95</v>
      </c>
      <c r="E76" s="11">
        <f t="shared" si="16"/>
        <v>391</v>
      </c>
      <c r="F76" s="148">
        <f t="shared" ref="F76:F86" si="20">E76</f>
        <v>391</v>
      </c>
      <c r="G76" s="58"/>
      <c r="H76" s="54" t="s">
        <v>37</v>
      </c>
      <c r="I76" s="54"/>
      <c r="J76" s="55"/>
      <c r="K76" s="11"/>
      <c r="L76" s="53" t="str">
        <f t="shared" si="3"/>
        <v/>
      </c>
      <c r="M76" s="11">
        <v>196.43</v>
      </c>
      <c r="N76" s="11">
        <v>24.57</v>
      </c>
      <c r="O76" s="11">
        <v>12</v>
      </c>
      <c r="P76" s="11">
        <v>2</v>
      </c>
      <c r="Q76" s="11"/>
      <c r="R76" s="11"/>
      <c r="S76" s="11">
        <v>5</v>
      </c>
      <c r="T76" s="11">
        <v>10</v>
      </c>
      <c r="U76" s="11">
        <v>141</v>
      </c>
      <c r="V76" s="56" t="s">
        <v>1878</v>
      </c>
      <c r="W76" s="35" t="str">
        <f t="shared" si="2"/>
        <v>OK</v>
      </c>
      <c r="X76" s="38" t="str">
        <f t="shared" si="4"/>
        <v/>
      </c>
      <c r="Y76" s="3"/>
      <c r="Z76" s="116"/>
    </row>
    <row r="77" spans="1:26" ht="15.75" hidden="1" customHeight="1" outlineLevel="1" x14ac:dyDescent="0.3">
      <c r="A77" s="3"/>
      <c r="B77" s="99" t="s">
        <v>1425</v>
      </c>
      <c r="C77" s="53">
        <v>9</v>
      </c>
      <c r="D77" s="53" t="s">
        <v>95</v>
      </c>
      <c r="E77" s="11">
        <f t="shared" si="16"/>
        <v>273.19</v>
      </c>
      <c r="F77" s="148">
        <f t="shared" si="20"/>
        <v>273.19</v>
      </c>
      <c r="G77" s="58"/>
      <c r="H77" s="54" t="s">
        <v>37</v>
      </c>
      <c r="I77" s="54"/>
      <c r="J77" s="55"/>
      <c r="K77" s="11"/>
      <c r="L77" s="53" t="str">
        <f t="shared" si="3"/>
        <v/>
      </c>
      <c r="M77" s="11">
        <v>93.62</v>
      </c>
      <c r="N77" s="11">
        <v>24.57</v>
      </c>
      <c r="O77" s="11">
        <v>12</v>
      </c>
      <c r="P77" s="11">
        <v>2</v>
      </c>
      <c r="Q77" s="11"/>
      <c r="R77" s="11"/>
      <c r="S77" s="11">
        <v>0</v>
      </c>
      <c r="T77" s="11">
        <v>0</v>
      </c>
      <c r="U77" s="11">
        <v>141</v>
      </c>
      <c r="V77" s="56" t="s">
        <v>1878</v>
      </c>
      <c r="W77" s="35" t="str">
        <f t="shared" si="2"/>
        <v>OK</v>
      </c>
      <c r="X77" s="38" t="str">
        <f t="shared" si="4"/>
        <v/>
      </c>
      <c r="Y77" s="3"/>
      <c r="Z77" s="116"/>
    </row>
    <row r="78" spans="1:26" ht="15.75" hidden="1" customHeight="1" outlineLevel="1" x14ac:dyDescent="0.3">
      <c r="A78" s="3"/>
      <c r="B78" s="99" t="s">
        <v>509</v>
      </c>
      <c r="C78" s="53">
        <v>8</v>
      </c>
      <c r="D78" s="53" t="s">
        <v>95</v>
      </c>
      <c r="E78" s="11">
        <f t="shared" si="16"/>
        <v>288</v>
      </c>
      <c r="F78" s="148">
        <f t="shared" si="20"/>
        <v>288</v>
      </c>
      <c r="G78" s="58"/>
      <c r="H78" s="54" t="s">
        <v>37</v>
      </c>
      <c r="I78" s="54"/>
      <c r="J78" s="55"/>
      <c r="K78" s="11"/>
      <c r="L78" s="53" t="str">
        <f t="shared" si="3"/>
        <v/>
      </c>
      <c r="M78" s="11">
        <v>138.43</v>
      </c>
      <c r="N78" s="11">
        <v>24.57</v>
      </c>
      <c r="O78" s="11">
        <v>12</v>
      </c>
      <c r="P78" s="11">
        <v>2</v>
      </c>
      <c r="Q78" s="11">
        <v>5</v>
      </c>
      <c r="R78" s="11">
        <v>5</v>
      </c>
      <c r="S78" s="11">
        <v>10</v>
      </c>
      <c r="T78" s="11"/>
      <c r="U78" s="11">
        <v>91</v>
      </c>
      <c r="V78" s="56" t="s">
        <v>1884</v>
      </c>
      <c r="W78" s="35" t="str">
        <f t="shared" si="2"/>
        <v>OK</v>
      </c>
      <c r="X78" s="38" t="str">
        <f t="shared" si="4"/>
        <v/>
      </c>
      <c r="Y78" s="3"/>
      <c r="Z78" s="116"/>
    </row>
    <row r="79" spans="1:26" ht="15.75" hidden="1" customHeight="1" outlineLevel="1" x14ac:dyDescent="0.3">
      <c r="A79" s="3"/>
      <c r="B79" s="99" t="s">
        <v>510</v>
      </c>
      <c r="C79" s="53">
        <v>8</v>
      </c>
      <c r="D79" s="53" t="s">
        <v>95</v>
      </c>
      <c r="E79" s="11">
        <f t="shared" si="16"/>
        <v>223</v>
      </c>
      <c r="F79" s="148">
        <f t="shared" si="20"/>
        <v>223</v>
      </c>
      <c r="G79" s="58"/>
      <c r="H79" s="54" t="s">
        <v>37</v>
      </c>
      <c r="I79" s="54"/>
      <c r="J79" s="55"/>
      <c r="K79" s="11"/>
      <c r="L79" s="53" t="str">
        <f t="shared" si="3"/>
        <v/>
      </c>
      <c r="M79" s="11">
        <v>138.43</v>
      </c>
      <c r="N79" s="11">
        <v>24.57</v>
      </c>
      <c r="O79" s="11">
        <v>12</v>
      </c>
      <c r="P79" s="11">
        <v>2</v>
      </c>
      <c r="Q79" s="11">
        <v>5</v>
      </c>
      <c r="R79" s="11">
        <v>5</v>
      </c>
      <c r="S79" s="11">
        <v>10</v>
      </c>
      <c r="T79" s="11"/>
      <c r="U79" s="11">
        <v>26</v>
      </c>
      <c r="V79" s="56" t="s">
        <v>1857</v>
      </c>
      <c r="W79" s="35" t="str">
        <f t="shared" si="2"/>
        <v>OK</v>
      </c>
      <c r="X79" s="38" t="str">
        <f t="shared" si="4"/>
        <v/>
      </c>
      <c r="Y79" s="3"/>
      <c r="Z79" s="116"/>
    </row>
    <row r="80" spans="1:26" ht="15.75" hidden="1" customHeight="1" outlineLevel="1" x14ac:dyDescent="0.3">
      <c r="A80" s="3"/>
      <c r="B80" s="99" t="s">
        <v>513</v>
      </c>
      <c r="C80" s="53">
        <v>9</v>
      </c>
      <c r="D80" s="53" t="s">
        <v>95</v>
      </c>
      <c r="E80" s="11">
        <f t="shared" si="16"/>
        <v>189.57</v>
      </c>
      <c r="F80" s="148">
        <f t="shared" si="20"/>
        <v>189.57</v>
      </c>
      <c r="G80" s="58"/>
      <c r="H80" s="54" t="s">
        <v>38</v>
      </c>
      <c r="I80" s="54"/>
      <c r="J80" s="55"/>
      <c r="K80" s="11"/>
      <c r="L80" s="53" t="str">
        <f t="shared" si="3"/>
        <v/>
      </c>
      <c r="M80" s="11">
        <v>120</v>
      </c>
      <c r="N80" s="11">
        <v>24.57</v>
      </c>
      <c r="O80" s="11">
        <v>12</v>
      </c>
      <c r="P80" s="11">
        <v>2</v>
      </c>
      <c r="Q80" s="11"/>
      <c r="R80" s="11"/>
      <c r="S80" s="11">
        <v>5</v>
      </c>
      <c r="T80" s="11"/>
      <c r="U80" s="11">
        <v>26</v>
      </c>
      <c r="V80" s="56" t="s">
        <v>1857</v>
      </c>
      <c r="W80" s="35" t="str">
        <f t="shared" si="2"/>
        <v>OK</v>
      </c>
      <c r="X80" s="38" t="str">
        <f t="shared" si="4"/>
        <v/>
      </c>
      <c r="Y80" s="3"/>
      <c r="Z80" s="116"/>
    </row>
    <row r="81" spans="1:26" ht="15.75" hidden="1" customHeight="1" outlineLevel="1" x14ac:dyDescent="0.3">
      <c r="A81" s="3"/>
      <c r="B81" s="99" t="s">
        <v>514</v>
      </c>
      <c r="C81" s="53">
        <v>9</v>
      </c>
      <c r="D81" s="53" t="s">
        <v>95</v>
      </c>
      <c r="E81" s="11">
        <f t="shared" si="16"/>
        <v>204.57</v>
      </c>
      <c r="F81" s="148">
        <f t="shared" si="20"/>
        <v>204.57</v>
      </c>
      <c r="G81" s="58"/>
      <c r="H81" s="54" t="s">
        <v>38</v>
      </c>
      <c r="I81" s="54"/>
      <c r="J81" s="55"/>
      <c r="K81" s="11"/>
      <c r="L81" s="53" t="str">
        <f t="shared" si="3"/>
        <v/>
      </c>
      <c r="M81" s="11">
        <v>120</v>
      </c>
      <c r="N81" s="11">
        <v>24.57</v>
      </c>
      <c r="O81" s="11">
        <v>12</v>
      </c>
      <c r="P81" s="11">
        <v>2</v>
      </c>
      <c r="Q81" s="11"/>
      <c r="R81" s="11"/>
      <c r="S81" s="11">
        <v>5</v>
      </c>
      <c r="T81" s="11"/>
      <c r="U81" s="11">
        <v>41</v>
      </c>
      <c r="V81" s="56" t="s">
        <v>1864</v>
      </c>
      <c r="W81" s="35" t="str">
        <f t="shared" si="2"/>
        <v>OK</v>
      </c>
      <c r="X81" s="38" t="str">
        <f t="shared" si="4"/>
        <v/>
      </c>
      <c r="Y81" s="3"/>
      <c r="Z81" s="116"/>
    </row>
    <row r="82" spans="1:26" ht="15.75" hidden="1" customHeight="1" outlineLevel="1" x14ac:dyDescent="0.3">
      <c r="A82" s="3"/>
      <c r="B82" s="99" t="s">
        <v>515</v>
      </c>
      <c r="C82" s="53">
        <v>14</v>
      </c>
      <c r="D82" s="53" t="s">
        <v>95</v>
      </c>
      <c r="E82" s="11">
        <f t="shared" si="16"/>
        <v>178</v>
      </c>
      <c r="F82" s="148">
        <f t="shared" si="20"/>
        <v>178</v>
      </c>
      <c r="G82" s="58"/>
      <c r="H82" s="54" t="s">
        <v>37</v>
      </c>
      <c r="I82" s="54"/>
      <c r="J82" s="55"/>
      <c r="K82" s="11"/>
      <c r="L82" s="53">
        <f t="shared" si="3"/>
        <v>1</v>
      </c>
      <c r="M82" s="11">
        <v>108.43</v>
      </c>
      <c r="N82" s="11">
        <v>24.57</v>
      </c>
      <c r="O82" s="11">
        <v>12</v>
      </c>
      <c r="P82" s="11">
        <v>2</v>
      </c>
      <c r="Q82" s="11"/>
      <c r="R82" s="11"/>
      <c r="S82" s="11">
        <v>5</v>
      </c>
      <c r="T82" s="11"/>
      <c r="U82" s="11">
        <v>26</v>
      </c>
      <c r="V82" s="56" t="s">
        <v>1857</v>
      </c>
      <c r="W82" s="35" t="str">
        <f t="shared" si="2"/>
        <v>OK</v>
      </c>
      <c r="X82" s="38" t="str">
        <f t="shared" si="4"/>
        <v/>
      </c>
      <c r="Y82" s="3"/>
      <c r="Z82" s="116"/>
    </row>
    <row r="83" spans="1:26" ht="15.75" hidden="1" customHeight="1" outlineLevel="1" x14ac:dyDescent="0.3">
      <c r="A83" s="3"/>
      <c r="B83" s="99" t="s">
        <v>516</v>
      </c>
      <c r="C83" s="53">
        <v>9</v>
      </c>
      <c r="D83" s="53" t="s">
        <v>95</v>
      </c>
      <c r="E83" s="11">
        <f t="shared" si="16"/>
        <v>202.5</v>
      </c>
      <c r="F83" s="148">
        <f t="shared" si="20"/>
        <v>202.5</v>
      </c>
      <c r="G83" s="58"/>
      <c r="H83" s="54" t="s">
        <v>37</v>
      </c>
      <c r="I83" s="54"/>
      <c r="J83" s="55"/>
      <c r="K83" s="11"/>
      <c r="L83" s="53" t="str">
        <f t="shared" si="3"/>
        <v/>
      </c>
      <c r="M83" s="11">
        <v>88.43</v>
      </c>
      <c r="N83" s="11">
        <v>24.57</v>
      </c>
      <c r="O83" s="11">
        <v>12</v>
      </c>
      <c r="P83" s="11">
        <v>1.5</v>
      </c>
      <c r="Q83" s="11"/>
      <c r="R83" s="11"/>
      <c r="S83" s="11"/>
      <c r="T83" s="11"/>
      <c r="U83" s="11">
        <v>76</v>
      </c>
      <c r="V83" s="56" t="s">
        <v>1885</v>
      </c>
      <c r="W83" s="35" t="str">
        <f t="shared" si="2"/>
        <v>OK</v>
      </c>
      <c r="X83" s="38" t="str">
        <f t="shared" si="4"/>
        <v/>
      </c>
      <c r="Y83" s="3"/>
      <c r="Z83" s="116"/>
    </row>
    <row r="84" spans="1:26" ht="15.75" hidden="1" customHeight="1" outlineLevel="1" x14ac:dyDescent="0.3">
      <c r="A84" s="3"/>
      <c r="B84" s="99" t="s">
        <v>517</v>
      </c>
      <c r="C84" s="53">
        <v>9</v>
      </c>
      <c r="D84" s="53" t="s">
        <v>95</v>
      </c>
      <c r="E84" s="11">
        <f t="shared" si="16"/>
        <v>202.5</v>
      </c>
      <c r="F84" s="148">
        <f t="shared" si="20"/>
        <v>202.5</v>
      </c>
      <c r="G84" s="58"/>
      <c r="H84" s="54" t="s">
        <v>37</v>
      </c>
      <c r="I84" s="54"/>
      <c r="J84" s="55"/>
      <c r="K84" s="11"/>
      <c r="L84" s="53" t="str">
        <f t="shared" si="3"/>
        <v/>
      </c>
      <c r="M84" s="11">
        <v>88.43</v>
      </c>
      <c r="N84" s="11">
        <v>24.57</v>
      </c>
      <c r="O84" s="11">
        <v>12</v>
      </c>
      <c r="P84" s="11">
        <v>1.5</v>
      </c>
      <c r="Q84" s="11"/>
      <c r="R84" s="11"/>
      <c r="S84" s="11"/>
      <c r="T84" s="11"/>
      <c r="U84" s="11">
        <v>76</v>
      </c>
      <c r="V84" s="56" t="s">
        <v>1885</v>
      </c>
      <c r="W84" s="35" t="str">
        <f t="shared" si="2"/>
        <v>OK</v>
      </c>
      <c r="X84" s="38" t="str">
        <f t="shared" si="4"/>
        <v/>
      </c>
      <c r="Y84" s="3"/>
      <c r="Z84" s="116"/>
    </row>
    <row r="85" spans="1:26" ht="15.75" hidden="1" customHeight="1" outlineLevel="1" x14ac:dyDescent="0.3">
      <c r="A85" s="3"/>
      <c r="B85" s="99" t="s">
        <v>518</v>
      </c>
      <c r="C85" s="53">
        <v>8</v>
      </c>
      <c r="D85" s="53" t="s">
        <v>95</v>
      </c>
      <c r="E85" s="11">
        <f t="shared" si="16"/>
        <v>285.47000000000003</v>
      </c>
      <c r="F85" s="148">
        <f t="shared" si="20"/>
        <v>285.47000000000003</v>
      </c>
      <c r="G85" s="58"/>
      <c r="H85" s="54" t="s">
        <v>37</v>
      </c>
      <c r="I85" s="54"/>
      <c r="J85" s="55"/>
      <c r="K85" s="11"/>
      <c r="L85" s="53" t="str">
        <f t="shared" si="3"/>
        <v/>
      </c>
      <c r="M85" s="11">
        <v>93.93</v>
      </c>
      <c r="N85" s="11">
        <v>24.57</v>
      </c>
      <c r="O85" s="11">
        <v>12</v>
      </c>
      <c r="P85" s="11">
        <v>1.5</v>
      </c>
      <c r="Q85" s="11">
        <v>5</v>
      </c>
      <c r="R85" s="11"/>
      <c r="S85" s="11">
        <v>10</v>
      </c>
      <c r="T85" s="11"/>
      <c r="U85" s="11">
        <v>138.47</v>
      </c>
      <c r="V85" s="56" t="s">
        <v>1886</v>
      </c>
      <c r="W85" s="35" t="str">
        <f t="shared" si="2"/>
        <v>OK</v>
      </c>
      <c r="X85" s="38" t="str">
        <f t="shared" si="4"/>
        <v/>
      </c>
      <c r="Y85" s="3"/>
      <c r="Z85" s="116"/>
    </row>
    <row r="86" spans="1:26" ht="15.75" hidden="1" customHeight="1" outlineLevel="1" x14ac:dyDescent="0.3">
      <c r="A86" s="3"/>
      <c r="B86" s="99" t="s">
        <v>519</v>
      </c>
      <c r="C86" s="53">
        <v>11</v>
      </c>
      <c r="D86" s="53" t="s">
        <v>95</v>
      </c>
      <c r="E86" s="11">
        <f t="shared" si="16"/>
        <v>278</v>
      </c>
      <c r="F86" s="148">
        <f t="shared" si="20"/>
        <v>278</v>
      </c>
      <c r="G86" s="58"/>
      <c r="H86" s="54" t="s">
        <v>37</v>
      </c>
      <c r="I86" s="54"/>
      <c r="J86" s="55"/>
      <c r="K86" s="11"/>
      <c r="L86" s="53" t="str">
        <f t="shared" si="3"/>
        <v/>
      </c>
      <c r="M86" s="11">
        <v>108.43</v>
      </c>
      <c r="N86" s="11">
        <v>24.57</v>
      </c>
      <c r="O86" s="11">
        <v>12</v>
      </c>
      <c r="P86" s="11">
        <v>2</v>
      </c>
      <c r="Q86" s="11"/>
      <c r="R86" s="11"/>
      <c r="S86" s="11">
        <v>5</v>
      </c>
      <c r="T86" s="11"/>
      <c r="U86" s="11">
        <v>126</v>
      </c>
      <c r="V86" s="56" t="s">
        <v>1887</v>
      </c>
      <c r="W86" s="35" t="str">
        <f t="shared" si="2"/>
        <v>OK</v>
      </c>
      <c r="X86" s="38" t="str">
        <f t="shared" si="4"/>
        <v/>
      </c>
      <c r="Y86" s="3"/>
      <c r="Z86" s="116"/>
    </row>
    <row r="87" spans="1:26" ht="15.75" hidden="1" customHeight="1" outlineLevel="1" x14ac:dyDescent="0.3">
      <c r="A87" s="3"/>
      <c r="B87" s="99" t="s">
        <v>524</v>
      </c>
      <c r="C87" s="53"/>
      <c r="D87" s="53" t="s">
        <v>105</v>
      </c>
      <c r="E87" s="11">
        <f t="shared" si="16"/>
        <v>108.5</v>
      </c>
      <c r="F87" s="148"/>
      <c r="G87" s="58"/>
      <c r="H87" s="54"/>
      <c r="I87" s="54"/>
      <c r="J87" s="55"/>
      <c r="K87" s="11"/>
      <c r="L87" s="53" t="str">
        <f t="shared" si="3"/>
        <v/>
      </c>
      <c r="M87" s="11">
        <v>13.43</v>
      </c>
      <c r="N87" s="11">
        <v>24.57</v>
      </c>
      <c r="O87" s="11">
        <v>12</v>
      </c>
      <c r="P87" s="11"/>
      <c r="Q87" s="11"/>
      <c r="R87" s="11"/>
      <c r="S87" s="11"/>
      <c r="T87" s="11"/>
      <c r="U87" s="11">
        <v>58.5</v>
      </c>
      <c r="V87" s="56" t="s">
        <v>1888</v>
      </c>
      <c r="W87" s="35" t="str">
        <f t="shared" si="2"/>
        <v>Diferente</v>
      </c>
      <c r="X87" s="38">
        <f t="shared" si="4"/>
        <v>-108.5</v>
      </c>
      <c r="Y87" s="3"/>
      <c r="Z87" s="116"/>
    </row>
    <row r="88" spans="1:26" ht="15.75" hidden="1" customHeight="1" outlineLevel="1" x14ac:dyDescent="0.3">
      <c r="A88" s="3"/>
      <c r="B88" s="99" t="s">
        <v>520</v>
      </c>
      <c r="C88" s="53">
        <v>10</v>
      </c>
      <c r="D88" s="53" t="s">
        <v>95</v>
      </c>
      <c r="E88" s="11">
        <f t="shared" si="16"/>
        <v>226</v>
      </c>
      <c r="F88" s="148">
        <f>E88</f>
        <v>226</v>
      </c>
      <c r="G88" s="58"/>
      <c r="H88" s="54" t="s">
        <v>37</v>
      </c>
      <c r="I88" s="54"/>
      <c r="J88" s="55"/>
      <c r="K88" s="11"/>
      <c r="L88" s="53" t="str">
        <f t="shared" si="3"/>
        <v/>
      </c>
      <c r="M88" s="11">
        <v>113.43</v>
      </c>
      <c r="N88" s="11">
        <v>24.57</v>
      </c>
      <c r="O88" s="11">
        <v>12</v>
      </c>
      <c r="P88" s="11"/>
      <c r="Q88" s="11"/>
      <c r="R88" s="11"/>
      <c r="S88" s="11"/>
      <c r="T88" s="11"/>
      <c r="U88" s="11">
        <v>76</v>
      </c>
      <c r="V88" s="56" t="s">
        <v>1885</v>
      </c>
      <c r="W88" s="35" t="str">
        <f t="shared" si="2"/>
        <v>OK</v>
      </c>
      <c r="X88" s="38" t="str">
        <f t="shared" si="4"/>
        <v/>
      </c>
      <c r="Y88" s="3"/>
      <c r="Z88" s="116"/>
    </row>
    <row r="89" spans="1:26" ht="15.75" hidden="1" customHeight="1" outlineLevel="1" x14ac:dyDescent="0.3">
      <c r="A89" s="3"/>
      <c r="B89" s="99" t="s">
        <v>521</v>
      </c>
      <c r="C89" s="53"/>
      <c r="D89" s="53" t="s">
        <v>105</v>
      </c>
      <c r="E89" s="11">
        <f t="shared" si="16"/>
        <v>24</v>
      </c>
      <c r="F89" s="148"/>
      <c r="G89" s="58"/>
      <c r="H89" s="54"/>
      <c r="I89" s="54"/>
      <c r="J89" s="55"/>
      <c r="K89" s="11"/>
      <c r="L89" s="53" t="str">
        <f t="shared" si="3"/>
        <v/>
      </c>
      <c r="M89" s="11">
        <v>-12.57</v>
      </c>
      <c r="N89" s="11">
        <v>24.57</v>
      </c>
      <c r="O89" s="11">
        <v>12</v>
      </c>
      <c r="P89" s="11"/>
      <c r="Q89" s="11"/>
      <c r="R89" s="11"/>
      <c r="S89" s="11"/>
      <c r="T89" s="11"/>
      <c r="U89" s="11"/>
      <c r="V89" s="56"/>
      <c r="W89" s="35" t="str">
        <f t="shared" si="2"/>
        <v>Diferente</v>
      </c>
      <c r="X89" s="38">
        <f t="shared" si="4"/>
        <v>-24</v>
      </c>
      <c r="Y89" s="3"/>
      <c r="Z89" s="116"/>
    </row>
    <row r="90" spans="1:26" ht="15.75" hidden="1" customHeight="1" outlineLevel="1" x14ac:dyDescent="0.3">
      <c r="A90" s="3"/>
      <c r="B90" s="99" t="s">
        <v>523</v>
      </c>
      <c r="C90" s="53">
        <v>8</v>
      </c>
      <c r="D90" s="53" t="s">
        <v>95</v>
      </c>
      <c r="E90" s="11">
        <f t="shared" si="16"/>
        <v>183.5</v>
      </c>
      <c r="F90" s="148">
        <f>E90</f>
        <v>183.5</v>
      </c>
      <c r="G90" s="58"/>
      <c r="H90" s="54" t="s">
        <v>37</v>
      </c>
      <c r="I90" s="54"/>
      <c r="J90" s="55"/>
      <c r="K90" s="11"/>
      <c r="L90" s="53" t="str">
        <f t="shared" si="3"/>
        <v/>
      </c>
      <c r="M90" s="11">
        <v>88.43</v>
      </c>
      <c r="N90" s="11">
        <v>24.57</v>
      </c>
      <c r="O90" s="11">
        <v>12</v>
      </c>
      <c r="P90" s="11"/>
      <c r="Q90" s="11"/>
      <c r="R90" s="11"/>
      <c r="S90" s="11"/>
      <c r="T90" s="11"/>
      <c r="U90" s="11">
        <v>58.5</v>
      </c>
      <c r="V90" s="56" t="s">
        <v>1888</v>
      </c>
      <c r="W90" s="35" t="str">
        <f t="shared" si="2"/>
        <v>OK</v>
      </c>
      <c r="X90" s="38" t="str">
        <f t="shared" si="4"/>
        <v/>
      </c>
      <c r="Y90" s="3"/>
      <c r="Z90" s="116"/>
    </row>
    <row r="91" spans="1:26" ht="15.75" hidden="1" customHeight="1" outlineLevel="1" x14ac:dyDescent="0.3">
      <c r="A91" s="3"/>
      <c r="B91" s="99" t="s">
        <v>527</v>
      </c>
      <c r="C91" s="53"/>
      <c r="D91" s="53" t="s">
        <v>105</v>
      </c>
      <c r="E91" s="11">
        <f t="shared" si="16"/>
        <v>91</v>
      </c>
      <c r="F91" s="148"/>
      <c r="G91" s="58"/>
      <c r="H91" s="54"/>
      <c r="I91" s="54"/>
      <c r="J91" s="55"/>
      <c r="K91" s="11"/>
      <c r="L91" s="53" t="str">
        <f t="shared" si="3"/>
        <v/>
      </c>
      <c r="M91" s="11">
        <v>26.43</v>
      </c>
      <c r="N91" s="11">
        <v>24.57</v>
      </c>
      <c r="O91" s="11">
        <v>12</v>
      </c>
      <c r="P91" s="11">
        <v>2</v>
      </c>
      <c r="Q91" s="11"/>
      <c r="R91" s="11"/>
      <c r="S91" s="11"/>
      <c r="T91" s="11"/>
      <c r="U91" s="11">
        <v>26</v>
      </c>
      <c r="V91" s="56" t="s">
        <v>1857</v>
      </c>
      <c r="W91" s="35" t="str">
        <f t="shared" si="2"/>
        <v>Diferente</v>
      </c>
      <c r="X91" s="38">
        <f t="shared" si="4"/>
        <v>-91</v>
      </c>
      <c r="Y91" s="3"/>
      <c r="Z91" s="116"/>
    </row>
    <row r="92" spans="1:26" ht="15.75" hidden="1" customHeight="1" outlineLevel="1" x14ac:dyDescent="0.3">
      <c r="A92" s="3"/>
      <c r="B92" s="99" t="s">
        <v>528</v>
      </c>
      <c r="C92" s="53">
        <v>7</v>
      </c>
      <c r="D92" s="53" t="s">
        <v>95</v>
      </c>
      <c r="E92" s="11">
        <v>180</v>
      </c>
      <c r="F92" s="148">
        <f t="shared" ref="F92:F93" si="21">SUM(M92:U92)</f>
        <v>703.42000000000007</v>
      </c>
      <c r="G92" s="61" t="s">
        <v>1889</v>
      </c>
      <c r="H92" s="54" t="s">
        <v>37</v>
      </c>
      <c r="I92" s="54"/>
      <c r="J92" s="55"/>
      <c r="K92" s="11"/>
      <c r="L92" s="53" t="str">
        <f t="shared" si="3"/>
        <v/>
      </c>
      <c r="M92" s="11">
        <f>100.43*3+163.42</f>
        <v>464.71000000000004</v>
      </c>
      <c r="N92" s="11">
        <f t="shared" ref="N92:N93" si="22">24.57*3</f>
        <v>73.710000000000008</v>
      </c>
      <c r="O92" s="11">
        <v>36</v>
      </c>
      <c r="P92" s="11">
        <v>6</v>
      </c>
      <c r="Q92" s="11"/>
      <c r="R92" s="11"/>
      <c r="S92" s="11"/>
      <c r="T92" s="11"/>
      <c r="U92" s="11">
        <f>41+30+52</f>
        <v>123</v>
      </c>
      <c r="V92" s="56" t="s">
        <v>1864</v>
      </c>
      <c r="W92" s="35" t="str">
        <f t="shared" si="2"/>
        <v>OK</v>
      </c>
      <c r="X92" s="38" t="str">
        <f t="shared" si="4"/>
        <v/>
      </c>
      <c r="Y92" s="3"/>
      <c r="Z92" s="116"/>
    </row>
    <row r="93" spans="1:26" ht="15.75" hidden="1" customHeight="1" outlineLevel="1" x14ac:dyDescent="0.3">
      <c r="A93" s="3"/>
      <c r="B93" s="99" t="s">
        <v>1890</v>
      </c>
      <c r="C93" s="53">
        <v>7</v>
      </c>
      <c r="D93" s="53" t="s">
        <v>95</v>
      </c>
      <c r="E93" s="11">
        <f t="shared" ref="E93:E108" si="23">SUM(M93:U93)</f>
        <v>296.58</v>
      </c>
      <c r="F93" s="148">
        <f t="shared" si="21"/>
        <v>296.58</v>
      </c>
      <c r="G93" s="61" t="s">
        <v>1889</v>
      </c>
      <c r="H93" s="54" t="s">
        <v>37</v>
      </c>
      <c r="I93" s="54"/>
      <c r="J93" s="55"/>
      <c r="K93" s="11"/>
      <c r="L93" s="53" t="str">
        <f t="shared" si="3"/>
        <v/>
      </c>
      <c r="M93" s="11">
        <f>(150-N93-O93-P93)*3</f>
        <v>102.86999999999998</v>
      </c>
      <c r="N93" s="11">
        <f t="shared" si="22"/>
        <v>73.710000000000008</v>
      </c>
      <c r="O93" s="11">
        <v>36</v>
      </c>
      <c r="P93" s="11">
        <v>6</v>
      </c>
      <c r="Q93" s="11"/>
      <c r="R93" s="11"/>
      <c r="S93" s="11"/>
      <c r="T93" s="11"/>
      <c r="U93" s="11">
        <f>26*3</f>
        <v>78</v>
      </c>
      <c r="V93" s="56"/>
      <c r="W93" s="35" t="str">
        <f t="shared" si="2"/>
        <v>OK</v>
      </c>
      <c r="X93" s="38" t="str">
        <f t="shared" si="4"/>
        <v/>
      </c>
      <c r="Y93" s="3"/>
      <c r="Z93" s="116"/>
    </row>
    <row r="94" spans="1:26" ht="15.75" hidden="1" customHeight="1" outlineLevel="1" x14ac:dyDescent="0.3">
      <c r="A94" s="3"/>
      <c r="B94" s="99" t="s">
        <v>713</v>
      </c>
      <c r="C94" s="53">
        <v>8</v>
      </c>
      <c r="D94" s="53" t="s">
        <v>95</v>
      </c>
      <c r="E94" s="11">
        <f t="shared" si="23"/>
        <v>96</v>
      </c>
      <c r="F94" s="148">
        <f t="shared" ref="F94:F105" si="24">E94</f>
        <v>96</v>
      </c>
      <c r="G94" s="58"/>
      <c r="H94" s="54" t="s">
        <v>37</v>
      </c>
      <c r="I94" s="54"/>
      <c r="J94" s="55"/>
      <c r="K94" s="11"/>
      <c r="L94" s="53" t="str">
        <f t="shared" si="3"/>
        <v/>
      </c>
      <c r="M94" s="11">
        <v>31.43</v>
      </c>
      <c r="N94" s="11">
        <v>24.57</v>
      </c>
      <c r="O94" s="11">
        <v>12</v>
      </c>
      <c r="P94" s="11">
        <v>2</v>
      </c>
      <c r="Q94" s="11"/>
      <c r="R94" s="11"/>
      <c r="S94" s="11"/>
      <c r="T94" s="11"/>
      <c r="U94" s="11">
        <v>26</v>
      </c>
      <c r="V94" s="56" t="s">
        <v>1857</v>
      </c>
      <c r="W94" s="35" t="str">
        <f t="shared" si="2"/>
        <v>OK</v>
      </c>
      <c r="X94" s="38" t="str">
        <f t="shared" si="4"/>
        <v/>
      </c>
      <c r="Y94" s="3"/>
      <c r="Z94" s="116"/>
    </row>
    <row r="95" spans="1:26" ht="15.75" hidden="1" customHeight="1" outlineLevel="1" x14ac:dyDescent="0.3">
      <c r="A95" s="3"/>
      <c r="B95" s="99" t="s">
        <v>896</v>
      </c>
      <c r="C95" s="53">
        <v>15</v>
      </c>
      <c r="D95" s="53" t="s">
        <v>95</v>
      </c>
      <c r="E95" s="11">
        <f t="shared" si="23"/>
        <v>305.57</v>
      </c>
      <c r="F95" s="148">
        <f t="shared" si="24"/>
        <v>305.57</v>
      </c>
      <c r="G95" s="58"/>
      <c r="H95" s="54" t="s">
        <v>37</v>
      </c>
      <c r="I95" s="54"/>
      <c r="J95" s="55"/>
      <c r="K95" s="11"/>
      <c r="L95" s="53">
        <f t="shared" si="3"/>
        <v>1</v>
      </c>
      <c r="M95" s="11">
        <v>94</v>
      </c>
      <c r="N95" s="11">
        <v>24.57</v>
      </c>
      <c r="O95" s="11">
        <v>12</v>
      </c>
      <c r="P95" s="11">
        <v>0</v>
      </c>
      <c r="Q95" s="11"/>
      <c r="R95" s="11"/>
      <c r="S95" s="11"/>
      <c r="T95" s="11"/>
      <c r="U95" s="11">
        <v>175</v>
      </c>
      <c r="V95" s="56" t="s">
        <v>1891</v>
      </c>
      <c r="W95" s="35" t="str">
        <f t="shared" si="2"/>
        <v>OK</v>
      </c>
      <c r="X95" s="38" t="str">
        <f t="shared" si="4"/>
        <v/>
      </c>
      <c r="Y95" s="3"/>
      <c r="Z95" s="116"/>
    </row>
    <row r="96" spans="1:26" ht="15.75" hidden="1" customHeight="1" outlineLevel="1" x14ac:dyDescent="0.3">
      <c r="A96" s="3"/>
      <c r="B96" s="99" t="s">
        <v>897</v>
      </c>
      <c r="C96" s="71">
        <v>15</v>
      </c>
      <c r="D96" s="53" t="s">
        <v>95</v>
      </c>
      <c r="E96" s="11">
        <f t="shared" si="23"/>
        <v>156.57</v>
      </c>
      <c r="F96" s="148">
        <f t="shared" si="24"/>
        <v>156.57</v>
      </c>
      <c r="G96" s="58"/>
      <c r="H96" s="54" t="s">
        <v>37</v>
      </c>
      <c r="I96" s="54"/>
      <c r="J96" s="55"/>
      <c r="K96" s="11"/>
      <c r="L96" s="53">
        <f t="shared" si="3"/>
        <v>1</v>
      </c>
      <c r="M96" s="11">
        <v>94</v>
      </c>
      <c r="N96" s="11">
        <v>24.57</v>
      </c>
      <c r="O96" s="11">
        <v>12</v>
      </c>
      <c r="P96" s="11">
        <v>0</v>
      </c>
      <c r="Q96" s="11"/>
      <c r="R96" s="11"/>
      <c r="S96" s="11"/>
      <c r="T96" s="11"/>
      <c r="U96" s="11">
        <v>26</v>
      </c>
      <c r="V96" s="56" t="s">
        <v>1857</v>
      </c>
      <c r="W96" s="35" t="str">
        <f t="shared" si="2"/>
        <v>OK</v>
      </c>
      <c r="X96" s="38" t="str">
        <f t="shared" si="4"/>
        <v/>
      </c>
      <c r="Y96" s="3"/>
      <c r="Z96" s="116"/>
    </row>
    <row r="97" spans="1:26" ht="15.75" hidden="1" customHeight="1" outlineLevel="1" x14ac:dyDescent="0.3">
      <c r="A97" s="3"/>
      <c r="B97" s="99" t="s">
        <v>1317</v>
      </c>
      <c r="C97" s="53">
        <v>9</v>
      </c>
      <c r="D97" s="53" t="s">
        <v>95</v>
      </c>
      <c r="E97" s="11">
        <f t="shared" si="23"/>
        <v>220.8</v>
      </c>
      <c r="F97" s="148">
        <f t="shared" si="24"/>
        <v>220.8</v>
      </c>
      <c r="G97" s="58"/>
      <c r="H97" s="54" t="s">
        <v>37</v>
      </c>
      <c r="I97" s="54"/>
      <c r="J97" s="55"/>
      <c r="K97" s="11"/>
      <c r="L97" s="53" t="str">
        <f t="shared" si="3"/>
        <v/>
      </c>
      <c r="M97" s="11">
        <v>68.23</v>
      </c>
      <c r="N97" s="11">
        <v>24.57</v>
      </c>
      <c r="O97" s="11">
        <v>12</v>
      </c>
      <c r="P97" s="11">
        <v>2</v>
      </c>
      <c r="Q97" s="11"/>
      <c r="R97" s="11"/>
      <c r="S97" s="11"/>
      <c r="T97" s="11"/>
      <c r="U97" s="11">
        <v>114</v>
      </c>
      <c r="V97" s="56" t="s">
        <v>1892</v>
      </c>
      <c r="W97" s="35" t="str">
        <f t="shared" si="2"/>
        <v>OK</v>
      </c>
      <c r="X97" s="38" t="str">
        <f t="shared" si="4"/>
        <v/>
      </c>
      <c r="Y97" s="3"/>
      <c r="Z97" s="116"/>
    </row>
    <row r="98" spans="1:26" ht="15.75" hidden="1" customHeight="1" outlineLevel="1" x14ac:dyDescent="0.3">
      <c r="A98" s="3"/>
      <c r="B98" s="99" t="s">
        <v>1319</v>
      </c>
      <c r="C98" s="53">
        <v>9</v>
      </c>
      <c r="D98" s="53" t="s">
        <v>95</v>
      </c>
      <c r="E98" s="11">
        <f t="shared" si="23"/>
        <v>271</v>
      </c>
      <c r="F98" s="148">
        <f t="shared" si="24"/>
        <v>271</v>
      </c>
      <c r="G98" s="58"/>
      <c r="H98" s="54" t="s">
        <v>37</v>
      </c>
      <c r="I98" s="54"/>
      <c r="J98" s="55"/>
      <c r="K98" s="11"/>
      <c r="L98" s="53" t="str">
        <f t="shared" si="3"/>
        <v/>
      </c>
      <c r="M98" s="11">
        <v>93.43</v>
      </c>
      <c r="N98" s="11">
        <v>24.57</v>
      </c>
      <c r="O98" s="11">
        <v>12</v>
      </c>
      <c r="P98" s="11">
        <v>0</v>
      </c>
      <c r="Q98" s="11"/>
      <c r="R98" s="11"/>
      <c r="S98" s="11"/>
      <c r="T98" s="11"/>
      <c r="U98" s="11">
        <v>141</v>
      </c>
      <c r="V98" s="56" t="s">
        <v>1893</v>
      </c>
      <c r="W98" s="35" t="str">
        <f t="shared" si="2"/>
        <v>OK</v>
      </c>
      <c r="X98" s="38" t="str">
        <f t="shared" si="4"/>
        <v/>
      </c>
      <c r="Y98" s="3"/>
      <c r="Z98" s="116"/>
    </row>
    <row r="99" spans="1:26" ht="15.75" hidden="1" customHeight="1" outlineLevel="1" x14ac:dyDescent="0.3">
      <c r="A99" s="3"/>
      <c r="B99" s="99" t="s">
        <v>487</v>
      </c>
      <c r="C99" s="53">
        <v>1</v>
      </c>
      <c r="D99" s="53" t="s">
        <v>95</v>
      </c>
      <c r="E99" s="11">
        <f t="shared" si="23"/>
        <v>90</v>
      </c>
      <c r="F99" s="148">
        <f t="shared" si="24"/>
        <v>90</v>
      </c>
      <c r="G99" s="58"/>
      <c r="H99" s="54" t="s">
        <v>37</v>
      </c>
      <c r="I99" s="54"/>
      <c r="J99" s="55"/>
      <c r="K99" s="11"/>
      <c r="L99" s="53" t="str">
        <f t="shared" si="3"/>
        <v/>
      </c>
      <c r="M99" s="11">
        <v>33.43</v>
      </c>
      <c r="N99" s="11">
        <v>24.57</v>
      </c>
      <c r="O99" s="11">
        <v>12</v>
      </c>
      <c r="P99" s="11">
        <v>0</v>
      </c>
      <c r="Q99" s="11"/>
      <c r="R99" s="11"/>
      <c r="S99" s="11"/>
      <c r="T99" s="11"/>
      <c r="U99" s="11">
        <v>20</v>
      </c>
      <c r="V99" s="56" t="s">
        <v>1894</v>
      </c>
      <c r="W99" s="35" t="str">
        <f t="shared" si="2"/>
        <v>OK</v>
      </c>
      <c r="X99" s="38" t="str">
        <f t="shared" si="4"/>
        <v/>
      </c>
      <c r="Y99" s="3"/>
      <c r="Z99" s="3"/>
    </row>
    <row r="100" spans="1:26" ht="15.75" hidden="1" customHeight="1" outlineLevel="1" x14ac:dyDescent="0.3">
      <c r="A100" s="3"/>
      <c r="B100" s="99" t="s">
        <v>1428</v>
      </c>
      <c r="C100" s="53">
        <v>8</v>
      </c>
      <c r="D100" s="53" t="s">
        <v>95</v>
      </c>
      <c r="E100" s="11">
        <f t="shared" si="23"/>
        <v>166</v>
      </c>
      <c r="F100" s="148">
        <f t="shared" si="24"/>
        <v>166</v>
      </c>
      <c r="G100" s="58"/>
      <c r="H100" s="54" t="s">
        <v>37</v>
      </c>
      <c r="I100" s="54"/>
      <c r="J100" s="55"/>
      <c r="K100" s="53"/>
      <c r="L100" s="53" t="str">
        <f t="shared" si="3"/>
        <v/>
      </c>
      <c r="M100" s="11">
        <v>88.43</v>
      </c>
      <c r="N100" s="11">
        <v>24.57</v>
      </c>
      <c r="O100" s="11">
        <v>12</v>
      </c>
      <c r="P100" s="11">
        <v>0</v>
      </c>
      <c r="Q100" s="11"/>
      <c r="R100" s="11"/>
      <c r="S100" s="11"/>
      <c r="T100" s="11"/>
      <c r="U100" s="11">
        <v>41</v>
      </c>
      <c r="V100" s="56" t="s">
        <v>1864</v>
      </c>
      <c r="W100" s="35" t="str">
        <f t="shared" si="2"/>
        <v>OK</v>
      </c>
      <c r="X100" s="38" t="str">
        <f t="shared" si="4"/>
        <v/>
      </c>
      <c r="Y100" s="3"/>
      <c r="Z100" s="3"/>
    </row>
    <row r="101" spans="1:26" ht="15.75" hidden="1" customHeight="1" outlineLevel="1" x14ac:dyDescent="0.3">
      <c r="A101" s="3"/>
      <c r="B101" s="99" t="s">
        <v>1429</v>
      </c>
      <c r="C101" s="53">
        <v>8</v>
      </c>
      <c r="D101" s="53" t="s">
        <v>95</v>
      </c>
      <c r="E101" s="11">
        <f t="shared" si="23"/>
        <v>151</v>
      </c>
      <c r="F101" s="148">
        <f t="shared" si="24"/>
        <v>151</v>
      </c>
      <c r="G101" s="58"/>
      <c r="H101" s="54" t="s">
        <v>37</v>
      </c>
      <c r="I101" s="54"/>
      <c r="J101" s="55"/>
      <c r="K101" s="53"/>
      <c r="L101" s="53" t="str">
        <f t="shared" si="3"/>
        <v/>
      </c>
      <c r="M101" s="11">
        <v>88.43</v>
      </c>
      <c r="N101" s="11">
        <v>24.57</v>
      </c>
      <c r="O101" s="11">
        <v>12</v>
      </c>
      <c r="P101" s="11">
        <v>0</v>
      </c>
      <c r="Q101" s="11"/>
      <c r="R101" s="11"/>
      <c r="S101" s="11"/>
      <c r="T101" s="11"/>
      <c r="U101" s="11">
        <v>26</v>
      </c>
      <c r="V101" s="56" t="s">
        <v>1857</v>
      </c>
      <c r="W101" s="35" t="str">
        <f t="shared" si="2"/>
        <v>OK</v>
      </c>
      <c r="X101" s="38" t="str">
        <f t="shared" si="4"/>
        <v/>
      </c>
      <c r="Y101" s="3"/>
      <c r="Z101" s="3"/>
    </row>
    <row r="102" spans="1:26" ht="15.75" hidden="1" customHeight="1" outlineLevel="1" x14ac:dyDescent="0.3">
      <c r="A102" s="3"/>
      <c r="B102" s="99" t="s">
        <v>1430</v>
      </c>
      <c r="C102" s="53">
        <v>3</v>
      </c>
      <c r="D102" s="53" t="s">
        <v>95</v>
      </c>
      <c r="E102" s="11">
        <f t="shared" si="23"/>
        <v>65</v>
      </c>
      <c r="F102" s="148">
        <f t="shared" si="24"/>
        <v>65</v>
      </c>
      <c r="G102" s="58"/>
      <c r="H102" s="54" t="s">
        <v>37</v>
      </c>
      <c r="I102" s="54"/>
      <c r="J102" s="55"/>
      <c r="K102" s="53"/>
      <c r="L102" s="53" t="str">
        <f t="shared" si="3"/>
        <v/>
      </c>
      <c r="M102" s="11">
        <f>33.43-5</f>
        <v>28.43</v>
      </c>
      <c r="N102" s="11">
        <v>24.57</v>
      </c>
      <c r="O102" s="11">
        <v>12</v>
      </c>
      <c r="P102" s="11">
        <v>0</v>
      </c>
      <c r="Q102" s="11"/>
      <c r="R102" s="11"/>
      <c r="S102" s="11"/>
      <c r="T102" s="11"/>
      <c r="U102" s="11"/>
      <c r="V102" s="56"/>
      <c r="W102" s="35" t="str">
        <f t="shared" si="2"/>
        <v>OK</v>
      </c>
      <c r="X102" s="38" t="str">
        <f t="shared" si="4"/>
        <v/>
      </c>
      <c r="Y102" s="3"/>
      <c r="Z102" s="3"/>
    </row>
    <row r="103" spans="1:26" ht="15.75" hidden="1" customHeight="1" outlineLevel="1" x14ac:dyDescent="0.3">
      <c r="A103" s="3"/>
      <c r="B103" s="99" t="s">
        <v>1740</v>
      </c>
      <c r="C103" s="53">
        <v>6</v>
      </c>
      <c r="D103" s="53" t="s">
        <v>95</v>
      </c>
      <c r="E103" s="11">
        <f t="shared" si="23"/>
        <v>222</v>
      </c>
      <c r="F103" s="12">
        <f t="shared" si="24"/>
        <v>222</v>
      </c>
      <c r="G103" s="58"/>
      <c r="H103" s="54" t="s">
        <v>37</v>
      </c>
      <c r="I103" s="54"/>
      <c r="J103" s="55"/>
      <c r="K103" s="53"/>
      <c r="L103" s="53" t="str">
        <f t="shared" si="3"/>
        <v/>
      </c>
      <c r="M103" s="11">
        <v>113.43</v>
      </c>
      <c r="N103" s="11">
        <v>24.57</v>
      </c>
      <c r="O103" s="11">
        <v>12</v>
      </c>
      <c r="P103" s="11">
        <v>0</v>
      </c>
      <c r="Q103" s="11"/>
      <c r="R103" s="11"/>
      <c r="S103" s="11"/>
      <c r="T103" s="11"/>
      <c r="U103" s="11">
        <v>72</v>
      </c>
      <c r="V103" s="56" t="s">
        <v>1857</v>
      </c>
      <c r="W103" s="35" t="str">
        <f t="shared" si="2"/>
        <v>OK</v>
      </c>
      <c r="X103" s="38" t="str">
        <f t="shared" si="4"/>
        <v/>
      </c>
      <c r="Y103" s="3"/>
      <c r="Z103" s="3"/>
    </row>
    <row r="104" spans="1:26" ht="15.75" hidden="1" customHeight="1" outlineLevel="1" x14ac:dyDescent="0.3">
      <c r="A104" s="3"/>
      <c r="B104" s="99" t="s">
        <v>1741</v>
      </c>
      <c r="C104" s="53">
        <v>6</v>
      </c>
      <c r="D104" s="53" t="s">
        <v>95</v>
      </c>
      <c r="E104" s="11">
        <f t="shared" si="23"/>
        <v>222</v>
      </c>
      <c r="F104" s="12">
        <f t="shared" si="24"/>
        <v>222</v>
      </c>
      <c r="G104" s="58"/>
      <c r="H104" s="54" t="s">
        <v>37</v>
      </c>
      <c r="I104" s="54"/>
      <c r="J104" s="55"/>
      <c r="K104" s="53"/>
      <c r="L104" s="53" t="str">
        <f t="shared" si="3"/>
        <v/>
      </c>
      <c r="M104" s="11">
        <v>113.43</v>
      </c>
      <c r="N104" s="11">
        <v>24.57</v>
      </c>
      <c r="O104" s="11">
        <v>12</v>
      </c>
      <c r="P104" s="11">
        <v>0</v>
      </c>
      <c r="Q104" s="11"/>
      <c r="R104" s="11"/>
      <c r="S104" s="11"/>
      <c r="T104" s="11"/>
      <c r="U104" s="11">
        <v>72</v>
      </c>
      <c r="V104" s="56" t="s">
        <v>1857</v>
      </c>
      <c r="W104" s="35" t="str">
        <f t="shared" si="2"/>
        <v>OK</v>
      </c>
      <c r="X104" s="38" t="str">
        <f t="shared" si="4"/>
        <v/>
      </c>
      <c r="Y104" s="3"/>
      <c r="Z104" s="3"/>
    </row>
    <row r="105" spans="1:26" ht="15.75" hidden="1" customHeight="1" outlineLevel="1" x14ac:dyDescent="0.3">
      <c r="A105" s="3"/>
      <c r="B105" s="99" t="s">
        <v>1742</v>
      </c>
      <c r="C105" s="53">
        <v>24</v>
      </c>
      <c r="D105" s="53" t="s">
        <v>95</v>
      </c>
      <c r="E105" s="11">
        <f t="shared" si="23"/>
        <v>170</v>
      </c>
      <c r="F105" s="12">
        <f t="shared" si="24"/>
        <v>170</v>
      </c>
      <c r="G105" s="58"/>
      <c r="H105" s="54" t="s">
        <v>37</v>
      </c>
      <c r="I105" s="54"/>
      <c r="J105" s="55"/>
      <c r="K105" s="53"/>
      <c r="L105" s="53">
        <f t="shared" si="3"/>
        <v>1</v>
      </c>
      <c r="M105" s="11">
        <f>113.43-6</f>
        <v>107.43</v>
      </c>
      <c r="N105" s="11">
        <v>24.57</v>
      </c>
      <c r="O105" s="11">
        <v>12</v>
      </c>
      <c r="P105" s="11">
        <v>0</v>
      </c>
      <c r="Q105" s="11"/>
      <c r="R105" s="11"/>
      <c r="S105" s="11"/>
      <c r="T105" s="11"/>
      <c r="U105" s="11">
        <v>26</v>
      </c>
      <c r="V105" s="56" t="s">
        <v>1857</v>
      </c>
      <c r="W105" s="35" t="str">
        <f t="shared" si="2"/>
        <v>OK</v>
      </c>
      <c r="X105" s="38" t="str">
        <f t="shared" si="4"/>
        <v/>
      </c>
      <c r="Y105" s="3"/>
      <c r="Z105" s="3"/>
    </row>
    <row r="106" spans="1:26" ht="15.75" hidden="1" customHeight="1" outlineLevel="1" x14ac:dyDescent="0.3">
      <c r="A106" s="3"/>
      <c r="B106" s="99" t="s">
        <v>1895</v>
      </c>
      <c r="C106" s="53"/>
      <c r="D106" s="53" t="s">
        <v>105</v>
      </c>
      <c r="E106" s="11">
        <f t="shared" si="23"/>
        <v>0</v>
      </c>
      <c r="F106" s="12"/>
      <c r="G106" s="58"/>
      <c r="H106" s="54"/>
      <c r="I106" s="54"/>
      <c r="J106" s="55"/>
      <c r="K106" s="53"/>
      <c r="L106" s="53" t="str">
        <f t="shared" si="3"/>
        <v/>
      </c>
      <c r="M106" s="11"/>
      <c r="N106" s="11"/>
      <c r="O106" s="11"/>
      <c r="P106" s="11"/>
      <c r="Q106" s="11"/>
      <c r="R106" s="11"/>
      <c r="S106" s="11"/>
      <c r="T106" s="11"/>
      <c r="U106" s="11"/>
      <c r="V106" s="53"/>
      <c r="W106" s="35" t="str">
        <f t="shared" si="2"/>
        <v>OK</v>
      </c>
      <c r="X106" s="38" t="str">
        <f t="shared" si="4"/>
        <v/>
      </c>
      <c r="Y106" s="3"/>
      <c r="Z106" s="3"/>
    </row>
    <row r="107" spans="1:26" ht="15.75" hidden="1" customHeight="1" outlineLevel="1" x14ac:dyDescent="0.3">
      <c r="A107" s="3"/>
      <c r="B107" s="99" t="s">
        <v>1896</v>
      </c>
      <c r="C107" s="53">
        <v>8</v>
      </c>
      <c r="D107" s="53" t="s">
        <v>95</v>
      </c>
      <c r="E107" s="11">
        <f t="shared" si="23"/>
        <v>120</v>
      </c>
      <c r="F107" s="12">
        <f t="shared" ref="F107:F108" si="25">E107</f>
        <v>120</v>
      </c>
      <c r="G107" s="58"/>
      <c r="H107" s="54" t="s">
        <v>37</v>
      </c>
      <c r="I107" s="54"/>
      <c r="J107" s="55" t="s">
        <v>97</v>
      </c>
      <c r="K107" s="53"/>
      <c r="L107" s="53" t="str">
        <f t="shared" si="3"/>
        <v/>
      </c>
      <c r="M107" s="11">
        <f>120-SUM(N107:O107)</f>
        <v>83.43</v>
      </c>
      <c r="N107" s="11">
        <v>24.57</v>
      </c>
      <c r="O107" s="11">
        <v>12</v>
      </c>
      <c r="P107" s="11"/>
      <c r="Q107" s="11"/>
      <c r="R107" s="11"/>
      <c r="S107" s="11"/>
      <c r="T107" s="11"/>
      <c r="U107" s="11"/>
      <c r="V107" s="53"/>
      <c r="W107" s="35" t="str">
        <f t="shared" si="2"/>
        <v>OK</v>
      </c>
      <c r="X107" s="38" t="str">
        <f t="shared" si="4"/>
        <v/>
      </c>
      <c r="Y107" s="3"/>
      <c r="Z107" s="3"/>
    </row>
    <row r="108" spans="1:26" ht="69.75" hidden="1" customHeight="1" outlineLevel="1" x14ac:dyDescent="0.3">
      <c r="A108" s="3"/>
      <c r="B108" s="99" t="s">
        <v>482</v>
      </c>
      <c r="C108" s="53">
        <v>15</v>
      </c>
      <c r="D108" s="53" t="s">
        <v>95</v>
      </c>
      <c r="E108" s="11">
        <f t="shared" si="23"/>
        <v>722.48</v>
      </c>
      <c r="F108" s="12">
        <f t="shared" si="25"/>
        <v>722.48</v>
      </c>
      <c r="G108" s="58"/>
      <c r="H108" s="54" t="s">
        <v>38</v>
      </c>
      <c r="I108" s="54"/>
      <c r="J108" s="55" t="s">
        <v>97</v>
      </c>
      <c r="K108" s="53"/>
      <c r="L108" s="53">
        <f t="shared" si="3"/>
        <v>1</v>
      </c>
      <c r="M108" s="11">
        <v>722.48</v>
      </c>
      <c r="N108" s="11"/>
      <c r="O108" s="11"/>
      <c r="P108" s="11"/>
      <c r="Q108" s="11"/>
      <c r="R108" s="11"/>
      <c r="S108" s="11"/>
      <c r="T108" s="11"/>
      <c r="U108" s="11"/>
      <c r="V108" s="53"/>
      <c r="W108" s="35" t="str">
        <f t="shared" si="2"/>
        <v>OK</v>
      </c>
      <c r="X108" s="38" t="str">
        <f t="shared" si="4"/>
        <v/>
      </c>
      <c r="Y108" s="3"/>
      <c r="Z108" s="3"/>
    </row>
    <row r="109" spans="1:26" ht="15.75" hidden="1" customHeight="1" outlineLevel="1" x14ac:dyDescent="0.3">
      <c r="A109" s="3"/>
      <c r="B109" s="9"/>
      <c r="C109" s="53"/>
      <c r="D109" s="53"/>
      <c r="E109" s="11"/>
      <c r="F109" s="12"/>
      <c r="G109" s="58"/>
      <c r="H109" s="54"/>
      <c r="I109" s="54"/>
      <c r="J109" s="55" t="s">
        <v>97</v>
      </c>
      <c r="K109" s="53"/>
      <c r="L109" s="53" t="str">
        <f t="shared" si="3"/>
        <v/>
      </c>
      <c r="M109" s="11"/>
      <c r="N109" s="11"/>
      <c r="O109" s="11"/>
      <c r="P109" s="11"/>
      <c r="Q109" s="11"/>
      <c r="R109" s="11"/>
      <c r="S109" s="11"/>
      <c r="T109" s="11"/>
      <c r="U109" s="11"/>
      <c r="V109" s="53"/>
      <c r="W109" s="35" t="str">
        <f t="shared" si="2"/>
        <v>OK</v>
      </c>
      <c r="X109" s="38" t="str">
        <f t="shared" si="4"/>
        <v/>
      </c>
      <c r="Y109" s="3"/>
      <c r="Z109" s="3"/>
    </row>
    <row r="110" spans="1:26" ht="15.75" hidden="1" customHeight="1" outlineLevel="1" x14ac:dyDescent="0.3">
      <c r="A110" s="3"/>
      <c r="B110" s="9"/>
      <c r="C110" s="53"/>
      <c r="D110" s="53"/>
      <c r="E110" s="11"/>
      <c r="F110" s="12"/>
      <c r="G110" s="58"/>
      <c r="H110" s="54"/>
      <c r="I110" s="54"/>
      <c r="J110" s="55" t="s">
        <v>97</v>
      </c>
      <c r="K110" s="53"/>
      <c r="L110" s="53" t="str">
        <f t="shared" si="3"/>
        <v/>
      </c>
      <c r="M110" s="11"/>
      <c r="N110" s="11"/>
      <c r="O110" s="11"/>
      <c r="P110" s="11"/>
      <c r="Q110" s="11"/>
      <c r="R110" s="11"/>
      <c r="S110" s="11"/>
      <c r="T110" s="11"/>
      <c r="U110" s="11"/>
      <c r="V110" s="53"/>
      <c r="W110" s="35" t="str">
        <f t="shared" si="2"/>
        <v>OK</v>
      </c>
      <c r="X110" s="38" t="str">
        <f t="shared" si="4"/>
        <v/>
      </c>
      <c r="Y110" s="3"/>
      <c r="Z110" s="3"/>
    </row>
    <row r="111" spans="1:26" ht="15.75" hidden="1" customHeight="1" outlineLevel="1" x14ac:dyDescent="0.3">
      <c r="A111" s="3"/>
      <c r="B111" s="9"/>
      <c r="C111" s="53"/>
      <c r="D111" s="53"/>
      <c r="E111" s="11"/>
      <c r="F111" s="12"/>
      <c r="G111" s="58"/>
      <c r="H111" s="54"/>
      <c r="I111" s="54"/>
      <c r="J111" s="55" t="s">
        <v>97</v>
      </c>
      <c r="K111" s="53"/>
      <c r="L111" s="53" t="str">
        <f t="shared" si="3"/>
        <v/>
      </c>
      <c r="M111" s="11"/>
      <c r="N111" s="11"/>
      <c r="O111" s="11"/>
      <c r="P111" s="11"/>
      <c r="Q111" s="11"/>
      <c r="R111" s="11"/>
      <c r="S111" s="11"/>
      <c r="T111" s="11"/>
      <c r="U111" s="11"/>
      <c r="V111" s="53"/>
      <c r="W111" s="35" t="str">
        <f t="shared" si="2"/>
        <v>OK</v>
      </c>
      <c r="X111" s="38" t="str">
        <f t="shared" si="4"/>
        <v/>
      </c>
      <c r="Y111" s="3"/>
      <c r="Z111" s="3"/>
    </row>
    <row r="112" spans="1:26" ht="15.75" hidden="1" customHeight="1" outlineLevel="1" x14ac:dyDescent="0.3">
      <c r="A112" s="3"/>
      <c r="B112" s="9"/>
      <c r="C112" s="53"/>
      <c r="D112" s="53"/>
      <c r="E112" s="11"/>
      <c r="F112" s="12"/>
      <c r="G112" s="58"/>
      <c r="H112" s="54"/>
      <c r="I112" s="54"/>
      <c r="J112" s="55" t="s">
        <v>97</v>
      </c>
      <c r="K112" s="53"/>
      <c r="L112" s="53" t="str">
        <f t="shared" si="3"/>
        <v/>
      </c>
      <c r="M112" s="11"/>
      <c r="N112" s="11"/>
      <c r="O112" s="11"/>
      <c r="P112" s="11"/>
      <c r="Q112" s="11"/>
      <c r="R112" s="11"/>
      <c r="S112" s="11"/>
      <c r="T112" s="11"/>
      <c r="U112" s="11"/>
      <c r="V112" s="53"/>
      <c r="W112" s="35" t="str">
        <f t="shared" si="2"/>
        <v>OK</v>
      </c>
      <c r="X112" s="38" t="str">
        <f t="shared" si="4"/>
        <v/>
      </c>
      <c r="Y112" s="3"/>
      <c r="Z112" s="3"/>
    </row>
    <row r="113" spans="1:26" ht="15.75" hidden="1" customHeight="1" outlineLevel="1" x14ac:dyDescent="0.3">
      <c r="A113" s="3"/>
      <c r="B113" s="9"/>
      <c r="C113" s="53"/>
      <c r="D113" s="53"/>
      <c r="E113" s="11"/>
      <c r="F113" s="12"/>
      <c r="G113" s="58"/>
      <c r="H113" s="54"/>
      <c r="I113" s="54"/>
      <c r="J113" s="55" t="s">
        <v>97</v>
      </c>
      <c r="K113" s="53"/>
      <c r="L113" s="53" t="str">
        <f t="shared" si="3"/>
        <v/>
      </c>
      <c r="M113" s="11"/>
      <c r="N113" s="11"/>
      <c r="O113" s="11"/>
      <c r="P113" s="11"/>
      <c r="Q113" s="11"/>
      <c r="R113" s="11"/>
      <c r="S113" s="11"/>
      <c r="T113" s="11"/>
      <c r="U113" s="11"/>
      <c r="V113" s="53"/>
      <c r="W113" s="35" t="str">
        <f t="shared" si="2"/>
        <v>OK</v>
      </c>
      <c r="X113" s="38" t="str">
        <f t="shared" si="4"/>
        <v/>
      </c>
      <c r="Y113" s="3"/>
      <c r="Z113" s="3"/>
    </row>
    <row r="114" spans="1:26" ht="15.75" hidden="1" customHeight="1" outlineLevel="1" x14ac:dyDescent="0.3">
      <c r="A114" s="3"/>
      <c r="B114" s="9"/>
      <c r="C114" s="53"/>
      <c r="D114" s="53"/>
      <c r="E114" s="11"/>
      <c r="F114" s="12"/>
      <c r="G114" s="58"/>
      <c r="H114" s="54"/>
      <c r="I114" s="54"/>
      <c r="J114" s="55" t="s">
        <v>97</v>
      </c>
      <c r="K114" s="53"/>
      <c r="L114" s="53" t="str">
        <f t="shared" si="3"/>
        <v/>
      </c>
      <c r="M114" s="11"/>
      <c r="N114" s="11"/>
      <c r="O114" s="11"/>
      <c r="P114" s="11"/>
      <c r="Q114" s="11"/>
      <c r="R114" s="11"/>
      <c r="S114" s="11"/>
      <c r="T114" s="11"/>
      <c r="U114" s="11"/>
      <c r="V114" s="53"/>
      <c r="W114" s="35" t="str">
        <f t="shared" si="2"/>
        <v>OK</v>
      </c>
      <c r="X114" s="38" t="str">
        <f t="shared" si="4"/>
        <v/>
      </c>
      <c r="Y114" s="3"/>
      <c r="Z114" s="3"/>
    </row>
    <row r="115" spans="1:26" ht="15.75" hidden="1" customHeight="1" outlineLevel="1" x14ac:dyDescent="0.3">
      <c r="A115" s="3"/>
      <c r="B115" s="9"/>
      <c r="C115" s="53"/>
      <c r="D115" s="53"/>
      <c r="E115" s="11"/>
      <c r="F115" s="12"/>
      <c r="G115" s="58"/>
      <c r="H115" s="54"/>
      <c r="I115" s="54"/>
      <c r="J115" s="55" t="s">
        <v>97</v>
      </c>
      <c r="K115" s="53"/>
      <c r="L115" s="53" t="str">
        <f t="shared" si="3"/>
        <v/>
      </c>
      <c r="M115" s="11"/>
      <c r="N115" s="11"/>
      <c r="O115" s="11"/>
      <c r="P115" s="11"/>
      <c r="Q115" s="11"/>
      <c r="R115" s="11"/>
      <c r="S115" s="11"/>
      <c r="T115" s="11"/>
      <c r="U115" s="11"/>
      <c r="V115" s="53"/>
      <c r="W115" s="35" t="str">
        <f t="shared" si="2"/>
        <v>OK</v>
      </c>
      <c r="X115" s="38" t="str">
        <f t="shared" si="4"/>
        <v/>
      </c>
      <c r="Y115" s="3"/>
      <c r="Z115" s="3"/>
    </row>
    <row r="116" spans="1:26" ht="15.75" hidden="1" customHeight="1" outlineLevel="1" x14ac:dyDescent="0.3">
      <c r="A116" s="3"/>
      <c r="B116" s="9"/>
      <c r="C116" s="53"/>
      <c r="D116" s="53"/>
      <c r="E116" s="11"/>
      <c r="F116" s="12"/>
      <c r="G116" s="58"/>
      <c r="H116" s="54"/>
      <c r="I116" s="54"/>
      <c r="J116" s="55" t="s">
        <v>97</v>
      </c>
      <c r="K116" s="53"/>
      <c r="L116" s="53" t="str">
        <f t="shared" si="3"/>
        <v/>
      </c>
      <c r="M116" s="11"/>
      <c r="N116" s="11"/>
      <c r="O116" s="11"/>
      <c r="P116" s="11"/>
      <c r="Q116" s="11"/>
      <c r="R116" s="11"/>
      <c r="S116" s="11"/>
      <c r="T116" s="11"/>
      <c r="U116" s="11"/>
      <c r="V116" s="53"/>
      <c r="W116" s="35" t="str">
        <f t="shared" si="2"/>
        <v>OK</v>
      </c>
      <c r="X116" s="38" t="str">
        <f t="shared" si="4"/>
        <v/>
      </c>
      <c r="Y116" s="3"/>
      <c r="Z116" s="3"/>
    </row>
    <row r="117" spans="1:26" ht="15.75" hidden="1" customHeight="1" outlineLevel="1" x14ac:dyDescent="0.3">
      <c r="A117" s="3"/>
      <c r="B117" s="9"/>
      <c r="C117" s="53"/>
      <c r="D117" s="53"/>
      <c r="E117" s="11"/>
      <c r="F117" s="12"/>
      <c r="G117" s="58"/>
      <c r="H117" s="54"/>
      <c r="I117" s="54"/>
      <c r="J117" s="55" t="s">
        <v>97</v>
      </c>
      <c r="K117" s="53"/>
      <c r="L117" s="53" t="str">
        <f t="shared" si="3"/>
        <v/>
      </c>
      <c r="M117" s="11"/>
      <c r="N117" s="11"/>
      <c r="O117" s="11"/>
      <c r="P117" s="11"/>
      <c r="Q117" s="11"/>
      <c r="R117" s="11"/>
      <c r="S117" s="11"/>
      <c r="T117" s="11"/>
      <c r="U117" s="11"/>
      <c r="V117" s="53"/>
      <c r="W117" s="35" t="str">
        <f t="shared" si="2"/>
        <v>OK</v>
      </c>
      <c r="X117" s="38" t="str">
        <f t="shared" si="4"/>
        <v/>
      </c>
      <c r="Y117" s="3"/>
      <c r="Z117" s="3"/>
    </row>
    <row r="118" spans="1:26" ht="15.75" hidden="1" customHeight="1" outlineLevel="1" x14ac:dyDescent="0.3">
      <c r="A118" s="3"/>
      <c r="B118" s="9"/>
      <c r="C118" s="53"/>
      <c r="D118" s="53"/>
      <c r="E118" s="11"/>
      <c r="F118" s="11"/>
      <c r="G118" s="58"/>
      <c r="H118" s="54"/>
      <c r="I118" s="54"/>
      <c r="J118" s="55" t="s">
        <v>97</v>
      </c>
      <c r="K118" s="53"/>
      <c r="L118" s="53" t="str">
        <f t="shared" si="3"/>
        <v/>
      </c>
      <c r="M118" s="11"/>
      <c r="N118" s="11"/>
      <c r="O118" s="11"/>
      <c r="P118" s="11"/>
      <c r="Q118" s="11"/>
      <c r="R118" s="11"/>
      <c r="S118" s="11"/>
      <c r="T118" s="11"/>
      <c r="U118" s="11"/>
      <c r="V118" s="53"/>
      <c r="W118" s="35" t="str">
        <f t="shared" si="2"/>
        <v>OK</v>
      </c>
      <c r="X118" s="38" t="str">
        <f t="shared" si="4"/>
        <v/>
      </c>
      <c r="Y118" s="3"/>
      <c r="Z118" s="3"/>
    </row>
    <row r="119" spans="1:26" ht="15.75" hidden="1" customHeight="1" outlineLevel="1" x14ac:dyDescent="0.3">
      <c r="A119" s="3"/>
      <c r="B119" s="9"/>
      <c r="C119" s="53"/>
      <c r="D119" s="53"/>
      <c r="E119" s="11"/>
      <c r="F119" s="11"/>
      <c r="G119" s="58"/>
      <c r="H119" s="54"/>
      <c r="I119" s="54"/>
      <c r="J119" s="55"/>
      <c r="K119" s="53"/>
      <c r="L119" s="53" t="str">
        <f t="shared" si="3"/>
        <v/>
      </c>
      <c r="M119" s="11"/>
      <c r="N119" s="11"/>
      <c r="O119" s="11"/>
      <c r="P119" s="11"/>
      <c r="Q119" s="11"/>
      <c r="R119" s="11"/>
      <c r="S119" s="11"/>
      <c r="T119" s="11"/>
      <c r="U119" s="11"/>
      <c r="V119" s="53"/>
      <c r="W119" s="35" t="str">
        <f t="shared" si="2"/>
        <v>OK</v>
      </c>
      <c r="X119" s="38" t="str">
        <f t="shared" si="4"/>
        <v/>
      </c>
      <c r="Y119" s="3"/>
      <c r="Z119" s="3"/>
    </row>
    <row r="120" spans="1:26" ht="15.75" hidden="1" customHeight="1" outlineLevel="1" x14ac:dyDescent="0.3">
      <c r="A120" s="3"/>
      <c r="B120" s="9"/>
      <c r="C120" s="53"/>
      <c r="D120" s="53"/>
      <c r="E120" s="11"/>
      <c r="F120" s="11"/>
      <c r="G120" s="58"/>
      <c r="H120" s="54"/>
      <c r="I120" s="54"/>
      <c r="J120" s="55"/>
      <c r="K120" s="53"/>
      <c r="L120" s="53" t="str">
        <f t="shared" si="3"/>
        <v/>
      </c>
      <c r="M120" s="11"/>
      <c r="N120" s="11"/>
      <c r="O120" s="11"/>
      <c r="P120" s="11"/>
      <c r="Q120" s="11"/>
      <c r="R120" s="11"/>
      <c r="S120" s="11"/>
      <c r="T120" s="11"/>
      <c r="U120" s="11"/>
      <c r="V120" s="53"/>
      <c r="W120" s="35" t="str">
        <f t="shared" si="2"/>
        <v>OK</v>
      </c>
      <c r="X120" s="38" t="str">
        <f t="shared" si="4"/>
        <v/>
      </c>
      <c r="Y120" s="3"/>
      <c r="Z120" s="3"/>
    </row>
    <row r="121" spans="1:26" ht="15.75" hidden="1" customHeight="1" outlineLevel="1" x14ac:dyDescent="0.3">
      <c r="A121" s="3"/>
      <c r="B121" s="9"/>
      <c r="C121" s="53"/>
      <c r="D121" s="53"/>
      <c r="E121" s="11"/>
      <c r="F121" s="11"/>
      <c r="G121" s="58"/>
      <c r="H121" s="54"/>
      <c r="I121" s="54"/>
      <c r="J121" s="55"/>
      <c r="K121" s="53"/>
      <c r="L121" s="53" t="str">
        <f t="shared" si="3"/>
        <v/>
      </c>
      <c r="M121" s="11"/>
      <c r="N121" s="11"/>
      <c r="O121" s="11"/>
      <c r="P121" s="11"/>
      <c r="Q121" s="11"/>
      <c r="R121" s="11"/>
      <c r="S121" s="11"/>
      <c r="T121" s="11"/>
      <c r="U121" s="11"/>
      <c r="V121" s="53"/>
      <c r="W121" s="35" t="str">
        <f t="shared" si="2"/>
        <v>OK</v>
      </c>
      <c r="X121" s="38" t="str">
        <f t="shared" si="4"/>
        <v/>
      </c>
      <c r="Y121" s="3"/>
      <c r="Z121" s="3"/>
    </row>
    <row r="122" spans="1:26" ht="15.75" hidden="1" customHeight="1" outlineLevel="1" x14ac:dyDescent="0.3">
      <c r="A122" s="3"/>
      <c r="B122" s="9"/>
      <c r="C122" s="53"/>
      <c r="D122" s="53"/>
      <c r="E122" s="11"/>
      <c r="F122" s="11"/>
      <c r="G122" s="58"/>
      <c r="H122" s="54"/>
      <c r="I122" s="54"/>
      <c r="J122" s="55"/>
      <c r="K122" s="53"/>
      <c r="L122" s="53" t="str">
        <f t="shared" si="3"/>
        <v/>
      </c>
      <c r="M122" s="11"/>
      <c r="N122" s="11"/>
      <c r="O122" s="11"/>
      <c r="P122" s="11"/>
      <c r="Q122" s="11"/>
      <c r="R122" s="11"/>
      <c r="S122" s="11"/>
      <c r="T122" s="11"/>
      <c r="U122" s="11"/>
      <c r="V122" s="53"/>
      <c r="W122" s="35" t="str">
        <f t="shared" si="2"/>
        <v>OK</v>
      </c>
      <c r="X122" s="38" t="str">
        <f t="shared" si="4"/>
        <v/>
      </c>
      <c r="Y122" s="3"/>
      <c r="Z122" s="3"/>
    </row>
    <row r="123" spans="1:26" ht="15.75" hidden="1" customHeight="1" outlineLevel="1" x14ac:dyDescent="0.3">
      <c r="A123" s="3"/>
      <c r="B123" s="9"/>
      <c r="C123" s="53"/>
      <c r="D123" s="53"/>
      <c r="E123" s="11"/>
      <c r="F123" s="11"/>
      <c r="G123" s="58"/>
      <c r="H123" s="54"/>
      <c r="I123" s="54"/>
      <c r="J123" s="55"/>
      <c r="K123" s="53"/>
      <c r="L123" s="53" t="str">
        <f t="shared" si="3"/>
        <v/>
      </c>
      <c r="M123" s="11"/>
      <c r="N123" s="11"/>
      <c r="O123" s="11"/>
      <c r="P123" s="11"/>
      <c r="Q123" s="11"/>
      <c r="R123" s="11"/>
      <c r="S123" s="11"/>
      <c r="T123" s="11"/>
      <c r="U123" s="11"/>
      <c r="V123" s="53"/>
      <c r="W123" s="35" t="str">
        <f t="shared" si="2"/>
        <v>OK</v>
      </c>
      <c r="X123" s="38" t="str">
        <f t="shared" si="4"/>
        <v/>
      </c>
      <c r="Y123" s="3"/>
      <c r="Z123" s="3"/>
    </row>
    <row r="124" spans="1:26" ht="15.75" hidden="1" customHeight="1" outlineLevel="1" x14ac:dyDescent="0.3">
      <c r="A124" s="3"/>
      <c r="B124" s="9"/>
      <c r="C124" s="53"/>
      <c r="D124" s="53"/>
      <c r="E124" s="11"/>
      <c r="F124" s="11"/>
      <c r="G124" s="58"/>
      <c r="H124" s="54"/>
      <c r="I124" s="54"/>
      <c r="J124" s="55"/>
      <c r="K124" s="53"/>
      <c r="L124" s="53" t="str">
        <f t="shared" si="3"/>
        <v/>
      </c>
      <c r="M124" s="11"/>
      <c r="N124" s="11"/>
      <c r="O124" s="11"/>
      <c r="P124" s="11"/>
      <c r="Q124" s="11"/>
      <c r="R124" s="11"/>
      <c r="S124" s="11"/>
      <c r="T124" s="11"/>
      <c r="U124" s="11"/>
      <c r="V124" s="53"/>
      <c r="W124" s="35" t="str">
        <f t="shared" si="2"/>
        <v>OK</v>
      </c>
      <c r="X124" s="38" t="str">
        <f t="shared" si="4"/>
        <v/>
      </c>
      <c r="Y124" s="3"/>
      <c r="Z124" s="3"/>
    </row>
    <row r="125" spans="1:26" ht="15.75" hidden="1" customHeight="1" outlineLevel="1" x14ac:dyDescent="0.3">
      <c r="A125" s="3"/>
      <c r="B125" s="9"/>
      <c r="C125" s="53"/>
      <c r="D125" s="53"/>
      <c r="E125" s="11"/>
      <c r="F125" s="11"/>
      <c r="G125" s="58"/>
      <c r="H125" s="54"/>
      <c r="I125" s="54"/>
      <c r="J125" s="55"/>
      <c r="K125" s="53"/>
      <c r="L125" s="53" t="str">
        <f t="shared" si="3"/>
        <v/>
      </c>
      <c r="M125" s="11"/>
      <c r="N125" s="11"/>
      <c r="O125" s="11"/>
      <c r="P125" s="11"/>
      <c r="Q125" s="11"/>
      <c r="R125" s="11"/>
      <c r="S125" s="11"/>
      <c r="T125" s="11"/>
      <c r="U125" s="11"/>
      <c r="V125" s="53"/>
      <c r="W125" s="35" t="str">
        <f t="shared" si="2"/>
        <v>OK</v>
      </c>
      <c r="X125" s="38" t="str">
        <f t="shared" si="4"/>
        <v/>
      </c>
      <c r="Y125" s="3"/>
      <c r="Z125" s="3"/>
    </row>
    <row r="126" spans="1:26" ht="19.5" customHeight="1" collapsed="1" x14ac:dyDescent="0.3">
      <c r="A126" s="3"/>
      <c r="B126" s="64" t="s">
        <v>63</v>
      </c>
      <c r="C126" s="47" t="s">
        <v>44</v>
      </c>
      <c r="D126" s="47" t="s">
        <v>44</v>
      </c>
      <c r="E126" s="48">
        <f t="shared" ref="E126:F126" si="26">SUM(E127,E130,,E134,E139,E146)</f>
        <v>0</v>
      </c>
      <c r="F126" s="48">
        <f t="shared" si="26"/>
        <v>8734.619999999999</v>
      </c>
      <c r="G126" s="49" t="s">
        <v>44</v>
      </c>
      <c r="H126" s="65"/>
      <c r="I126" s="65"/>
      <c r="J126" s="3"/>
      <c r="K126" s="3"/>
      <c r="L126" s="3"/>
      <c r="M126" s="3"/>
      <c r="N126" s="3"/>
      <c r="O126" s="3"/>
      <c r="P126" s="3"/>
      <c r="Q126" s="3"/>
      <c r="R126" s="3"/>
      <c r="S126" s="3"/>
      <c r="T126" s="3"/>
      <c r="U126" s="3"/>
      <c r="V126" s="3"/>
      <c r="W126" s="35"/>
      <c r="X126" s="32"/>
      <c r="Y126" s="3"/>
      <c r="Z126" s="3"/>
    </row>
    <row r="127" spans="1:26" ht="15.75" hidden="1" customHeight="1" outlineLevel="1" x14ac:dyDescent="0.3">
      <c r="A127" s="3"/>
      <c r="B127" s="66" t="s">
        <v>231</v>
      </c>
      <c r="C127" s="67" t="s">
        <v>44</v>
      </c>
      <c r="D127" s="67" t="s">
        <v>44</v>
      </c>
      <c r="E127" s="68">
        <f>SUM(E128:E129)</f>
        <v>0</v>
      </c>
      <c r="F127" s="68">
        <f>SUMIF(D128:D129,"OK",F128:F129)</f>
        <v>361.81</v>
      </c>
      <c r="G127" s="69" t="s">
        <v>44</v>
      </c>
      <c r="H127" s="70"/>
      <c r="I127" s="70"/>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9" t="s">
        <v>232</v>
      </c>
      <c r="C128" s="53">
        <v>1</v>
      </c>
      <c r="D128" s="53" t="s">
        <v>95</v>
      </c>
      <c r="E128" s="11">
        <v>0</v>
      </c>
      <c r="F128" s="12">
        <v>361.81</v>
      </c>
      <c r="G128" s="61"/>
      <c r="H128" s="54" t="s">
        <v>37</v>
      </c>
      <c r="I128" s="54"/>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9" t="s">
        <v>62</v>
      </c>
      <c r="C129" s="53"/>
      <c r="D129" s="53"/>
      <c r="E129" s="11">
        <v>0</v>
      </c>
      <c r="F129" s="11">
        <v>0</v>
      </c>
      <c r="G129" s="58"/>
      <c r="H129" s="54"/>
      <c r="I129" s="54"/>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66" t="s">
        <v>233</v>
      </c>
      <c r="C130" s="67" t="s">
        <v>44</v>
      </c>
      <c r="D130" s="67" t="s">
        <v>44</v>
      </c>
      <c r="E130" s="68">
        <f>SUM(E131:E133)</f>
        <v>0</v>
      </c>
      <c r="F130" s="68">
        <f>SUMIF(D131:D133,"OK",F131:F133)</f>
        <v>620.14</v>
      </c>
      <c r="G130" s="69" t="s">
        <v>44</v>
      </c>
      <c r="H130" s="70"/>
      <c r="I130" s="70"/>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9" t="s">
        <v>1162</v>
      </c>
      <c r="C131" s="53">
        <v>13</v>
      </c>
      <c r="D131" s="53" t="s">
        <v>95</v>
      </c>
      <c r="E131" s="11">
        <v>0</v>
      </c>
      <c r="F131" s="12">
        <f>10</f>
        <v>10</v>
      </c>
      <c r="G131" s="60" t="s">
        <v>1897</v>
      </c>
      <c r="H131" s="54" t="s">
        <v>37</v>
      </c>
      <c r="I131" s="54"/>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9" t="s">
        <v>530</v>
      </c>
      <c r="C132" s="53" t="s">
        <v>1898</v>
      </c>
      <c r="D132" s="53" t="s">
        <v>95</v>
      </c>
      <c r="E132" s="11">
        <v>0</v>
      </c>
      <c r="F132" s="11">
        <f>3126.5-F138-38.5</f>
        <v>490.5</v>
      </c>
      <c r="G132" s="60" t="s">
        <v>1899</v>
      </c>
      <c r="H132" s="54" t="s">
        <v>39</v>
      </c>
      <c r="I132" s="54"/>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9" t="s">
        <v>533</v>
      </c>
      <c r="C133" s="53" t="s">
        <v>1900</v>
      </c>
      <c r="D133" s="53" t="s">
        <v>95</v>
      </c>
      <c r="E133" s="11">
        <v>0</v>
      </c>
      <c r="F133" s="11">
        <f>16+95.81+3.83+4</f>
        <v>119.64</v>
      </c>
      <c r="G133" s="60" t="s">
        <v>1901</v>
      </c>
      <c r="H133" s="54" t="s">
        <v>38</v>
      </c>
      <c r="I133" s="54"/>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66" t="s">
        <v>652</v>
      </c>
      <c r="C134" s="67" t="s">
        <v>44</v>
      </c>
      <c r="D134" s="67" t="s">
        <v>44</v>
      </c>
      <c r="E134" s="68">
        <f>SUM(E135:E138)</f>
        <v>0</v>
      </c>
      <c r="F134" s="68">
        <f>SUMIF(D135:D138,"OK",F135:F138)</f>
        <v>3304.67</v>
      </c>
      <c r="G134" s="69" t="s">
        <v>44</v>
      </c>
      <c r="H134" s="70"/>
      <c r="I134" s="70"/>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9" t="s">
        <v>716</v>
      </c>
      <c r="C135" s="53"/>
      <c r="D135" s="53"/>
      <c r="E135" s="11">
        <v>0</v>
      </c>
      <c r="F135" s="11">
        <v>0</v>
      </c>
      <c r="G135" s="60"/>
      <c r="H135" s="54"/>
      <c r="I135" s="54"/>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532</v>
      </c>
      <c r="C136" s="53"/>
      <c r="D136" s="53"/>
      <c r="E136" s="11">
        <v>0</v>
      </c>
      <c r="F136" s="11">
        <v>0</v>
      </c>
      <c r="G136" s="61"/>
      <c r="H136" s="54"/>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9" t="s">
        <v>533</v>
      </c>
      <c r="C137" s="53" t="s">
        <v>1902</v>
      </c>
      <c r="D137" s="53" t="s">
        <v>95</v>
      </c>
      <c r="E137" s="11">
        <v>0</v>
      </c>
      <c r="F137" s="11">
        <v>707.17</v>
      </c>
      <c r="G137" s="60"/>
      <c r="H137" s="54" t="s">
        <v>38</v>
      </c>
      <c r="I137" s="54"/>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9" t="s">
        <v>530</v>
      </c>
      <c r="C138" s="53" t="s">
        <v>1902</v>
      </c>
      <c r="D138" s="53" t="s">
        <v>95</v>
      </c>
      <c r="E138" s="11">
        <v>0</v>
      </c>
      <c r="F138" s="11">
        <f>2597.5</f>
        <v>2597.5</v>
      </c>
      <c r="G138" s="60"/>
      <c r="H138" s="54" t="s">
        <v>39</v>
      </c>
      <c r="I138" s="54"/>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66" t="s">
        <v>902</v>
      </c>
      <c r="C139" s="67" t="s">
        <v>44</v>
      </c>
      <c r="D139" s="67" t="s">
        <v>44</v>
      </c>
      <c r="E139" s="68">
        <f>SUM(E140:E145)</f>
        <v>0</v>
      </c>
      <c r="F139" s="68">
        <f>SUMIF(D140:D145,"OK",F140:F145)</f>
        <v>0</v>
      </c>
      <c r="G139" s="69" t="s">
        <v>44</v>
      </c>
      <c r="H139" s="70"/>
      <c r="I139" s="70"/>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9" t="s">
        <v>1037</v>
      </c>
      <c r="C140" s="53"/>
      <c r="D140" s="53"/>
      <c r="E140" s="11">
        <v>0</v>
      </c>
      <c r="F140" s="11">
        <v>0</v>
      </c>
      <c r="G140" s="58"/>
      <c r="H140" s="54"/>
      <c r="I140" s="54"/>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905</v>
      </c>
      <c r="C141" s="53"/>
      <c r="D141" s="53"/>
      <c r="E141" s="11">
        <v>0</v>
      </c>
      <c r="F141" s="11">
        <v>0</v>
      </c>
      <c r="G141" s="58"/>
      <c r="H141" s="54"/>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906</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1041</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9" t="s">
        <v>908</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9" t="s">
        <v>909</v>
      </c>
      <c r="C145" s="53"/>
      <c r="D145" s="53"/>
      <c r="E145" s="11">
        <v>0</v>
      </c>
      <c r="F145" s="11">
        <v>0</v>
      </c>
      <c r="G145" s="58"/>
      <c r="H145" s="54"/>
      <c r="I145" s="54"/>
      <c r="J145" s="3"/>
      <c r="K145" s="3"/>
      <c r="L145" s="3"/>
      <c r="M145" s="3"/>
      <c r="N145" s="3"/>
      <c r="O145" s="3"/>
      <c r="P145" s="3"/>
      <c r="Q145" s="3"/>
      <c r="R145" s="3"/>
      <c r="S145" s="3"/>
      <c r="T145" s="3"/>
      <c r="U145" s="3"/>
      <c r="V145" s="3"/>
      <c r="W145" s="35"/>
      <c r="X145" s="32"/>
      <c r="Y145" s="3"/>
      <c r="Z145" s="3"/>
    </row>
    <row r="146" spans="1:26" ht="15.75" hidden="1" customHeight="1" outlineLevel="1" x14ac:dyDescent="0.3">
      <c r="A146" s="3"/>
      <c r="B146" s="66" t="s">
        <v>690</v>
      </c>
      <c r="C146" s="67" t="s">
        <v>44</v>
      </c>
      <c r="D146" s="67" t="s">
        <v>44</v>
      </c>
      <c r="E146" s="68">
        <f>SUM(E147:E152)</f>
        <v>0</v>
      </c>
      <c r="F146" s="68">
        <f>SUMIF(D147:D153,"OK",F147:F153)</f>
        <v>4448</v>
      </c>
      <c r="G146" s="69" t="s">
        <v>44</v>
      </c>
      <c r="H146" s="70"/>
      <c r="I146" s="70"/>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1903</v>
      </c>
      <c r="C147" s="53"/>
      <c r="D147" s="53" t="s">
        <v>95</v>
      </c>
      <c r="E147" s="11">
        <v>0</v>
      </c>
      <c r="F147" s="11">
        <f>65+65+220+100+130+65+65+130+130+130+130+260+65+65+165+65+230+195+130+65+130+130+65+230+180+165+65+15+130+130+65</f>
        <v>3775</v>
      </c>
      <c r="G147" s="60"/>
      <c r="H147" s="54" t="s">
        <v>38</v>
      </c>
      <c r="I147" s="54"/>
      <c r="J147" s="3"/>
      <c r="K147" s="3"/>
      <c r="L147" s="3"/>
      <c r="M147" s="3"/>
      <c r="N147" s="3"/>
      <c r="O147" s="3"/>
      <c r="P147" s="3"/>
      <c r="Q147" s="3"/>
      <c r="R147" s="3"/>
      <c r="S147" s="3"/>
      <c r="T147" s="3"/>
      <c r="U147" s="3"/>
      <c r="V147" s="3"/>
      <c r="W147" s="35"/>
      <c r="X147" s="32"/>
      <c r="Y147" s="3"/>
      <c r="Z147" s="3"/>
    </row>
    <row r="148" spans="1:26" ht="15.75" hidden="1" customHeight="1" outlineLevel="1" x14ac:dyDescent="0.3">
      <c r="A148" s="3"/>
      <c r="B148" s="9" t="s">
        <v>1904</v>
      </c>
      <c r="C148" s="53">
        <v>19</v>
      </c>
      <c r="D148" s="53" t="s">
        <v>95</v>
      </c>
      <c r="E148" s="11">
        <v>0</v>
      </c>
      <c r="F148" s="11">
        <f>108+523+42</f>
        <v>673</v>
      </c>
      <c r="G148" s="60"/>
      <c r="H148" s="54" t="s">
        <v>38</v>
      </c>
      <c r="I148" s="54"/>
      <c r="J148" s="3"/>
      <c r="K148" s="3"/>
      <c r="L148" s="3"/>
      <c r="M148" s="3"/>
      <c r="N148" s="3"/>
      <c r="O148" s="3"/>
      <c r="P148" s="3"/>
      <c r="Q148" s="3"/>
      <c r="R148" s="3"/>
      <c r="S148" s="3"/>
      <c r="T148" s="3"/>
      <c r="U148" s="3"/>
      <c r="V148" s="3"/>
      <c r="W148" s="35"/>
      <c r="X148" s="32"/>
      <c r="Y148" s="3"/>
      <c r="Z148" s="3"/>
    </row>
    <row r="149" spans="1:26" ht="15.75" hidden="1" customHeight="1" outlineLevel="1" x14ac:dyDescent="0.3">
      <c r="A149" s="3"/>
      <c r="B149" s="9" t="s">
        <v>43</v>
      </c>
      <c r="C149" s="53"/>
      <c r="D149" s="53"/>
      <c r="E149" s="11">
        <v>0</v>
      </c>
      <c r="F149" s="11">
        <v>0</v>
      </c>
      <c r="G149" s="60"/>
      <c r="H149" s="54"/>
      <c r="I149" s="54"/>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9" t="s">
        <v>43</v>
      </c>
      <c r="C150" s="53"/>
      <c r="D150" s="53"/>
      <c r="E150" s="11">
        <v>0</v>
      </c>
      <c r="F150" s="11">
        <v>0</v>
      </c>
      <c r="G150" s="60"/>
      <c r="H150" s="54"/>
      <c r="I150" s="54"/>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43</v>
      </c>
      <c r="C151" s="53"/>
      <c r="D151" s="53"/>
      <c r="E151" s="11">
        <v>0</v>
      </c>
      <c r="F151" s="11">
        <v>0</v>
      </c>
      <c r="G151" s="60"/>
      <c r="H151" s="54"/>
      <c r="I151" s="54"/>
      <c r="J151" s="3"/>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43</v>
      </c>
      <c r="C152" s="53"/>
      <c r="D152" s="53"/>
      <c r="E152" s="11">
        <v>0</v>
      </c>
      <c r="F152" s="11">
        <v>0</v>
      </c>
      <c r="G152" s="60"/>
      <c r="H152" s="54"/>
      <c r="I152" s="54"/>
      <c r="J152" s="116"/>
      <c r="K152" s="3"/>
      <c r="L152" s="3"/>
      <c r="M152" s="3"/>
      <c r="N152" s="3"/>
      <c r="O152" s="3"/>
      <c r="P152" s="3"/>
      <c r="Q152" s="3"/>
      <c r="R152" s="3"/>
      <c r="S152" s="3"/>
      <c r="T152" s="3"/>
      <c r="U152" s="3"/>
      <c r="V152" s="3"/>
      <c r="W152" s="35"/>
      <c r="X152" s="32"/>
      <c r="Y152" s="3"/>
      <c r="Z152" s="3"/>
    </row>
    <row r="153" spans="1:26" ht="15.75" hidden="1" customHeight="1" outlineLevel="1" x14ac:dyDescent="0.3">
      <c r="A153" s="3"/>
      <c r="B153" s="9" t="s">
        <v>43</v>
      </c>
      <c r="C153" s="53"/>
      <c r="D153" s="53"/>
      <c r="E153" s="11">
        <v>0</v>
      </c>
      <c r="F153" s="11">
        <v>0</v>
      </c>
      <c r="G153" s="60"/>
      <c r="H153" s="54"/>
      <c r="I153" s="54"/>
      <c r="J153" s="3"/>
      <c r="K153" s="3"/>
      <c r="L153" s="3"/>
      <c r="M153" s="3"/>
      <c r="N153" s="3"/>
      <c r="O153" s="3"/>
      <c r="P153" s="3"/>
      <c r="Q153" s="3"/>
      <c r="R153" s="3"/>
      <c r="S153" s="3"/>
      <c r="T153" s="3"/>
      <c r="U153" s="3"/>
      <c r="V153" s="3"/>
      <c r="W153" s="35"/>
      <c r="X153" s="32"/>
      <c r="Y153" s="3"/>
      <c r="Z153" s="3"/>
    </row>
    <row r="154" spans="1:26" ht="19.5" customHeight="1" collapsed="1" x14ac:dyDescent="0.3">
      <c r="A154" s="3"/>
      <c r="B154" s="64" t="s">
        <v>240</v>
      </c>
      <c r="C154" s="47" t="s">
        <v>44</v>
      </c>
      <c r="D154" s="47" t="s">
        <v>44</v>
      </c>
      <c r="E154" s="48">
        <f t="shared" ref="E154:F154" si="27">SUM(E155,E160,E165,E169)</f>
        <v>0</v>
      </c>
      <c r="F154" s="48">
        <f t="shared" si="27"/>
        <v>18441.68</v>
      </c>
      <c r="G154" s="49" t="s">
        <v>44</v>
      </c>
      <c r="H154" s="65"/>
      <c r="I154" s="65"/>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66" t="s">
        <v>241</v>
      </c>
      <c r="C155" s="67" t="s">
        <v>44</v>
      </c>
      <c r="D155" s="67" t="s">
        <v>44</v>
      </c>
      <c r="E155" s="68">
        <f>SUM(E156:E159)</f>
        <v>0</v>
      </c>
      <c r="F155" s="68">
        <f>SUMIF(D156:D159,"OK",F156:F159)</f>
        <v>890.33999999999992</v>
      </c>
      <c r="G155" s="69" t="s">
        <v>44</v>
      </c>
      <c r="H155" s="70"/>
      <c r="I155" s="70"/>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242</v>
      </c>
      <c r="C156" s="53"/>
      <c r="D156" s="53"/>
      <c r="E156" s="11">
        <v>0</v>
      </c>
      <c r="F156" s="11">
        <v>0</v>
      </c>
      <c r="G156" s="61"/>
      <c r="H156" s="54" t="s">
        <v>37</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243</v>
      </c>
      <c r="C157" s="53"/>
      <c r="D157" s="53"/>
      <c r="E157" s="11">
        <v>0</v>
      </c>
      <c r="F157" s="11">
        <v>0</v>
      </c>
      <c r="G157" s="58"/>
      <c r="H157" s="54" t="s">
        <v>36</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244</v>
      </c>
      <c r="C158" s="53" t="s">
        <v>1905</v>
      </c>
      <c r="D158" s="53" t="s">
        <v>95</v>
      </c>
      <c r="E158" s="11">
        <v>0</v>
      </c>
      <c r="F158" s="12">
        <f>30+10+50+5+5+10+50+10+10+10+20+50+14.84+10+50+20+5+10+10+10+10+465+25.5</f>
        <v>890.33999999999992</v>
      </c>
      <c r="G158" s="58"/>
      <c r="H158" s="54" t="s">
        <v>37</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9" t="s">
        <v>245</v>
      </c>
      <c r="C159" s="53"/>
      <c r="D159" s="53"/>
      <c r="E159" s="11">
        <v>0</v>
      </c>
      <c r="F159" s="11">
        <v>0</v>
      </c>
      <c r="G159" s="120"/>
      <c r="H159" s="54" t="s">
        <v>36</v>
      </c>
      <c r="I159" s="54"/>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66" t="s">
        <v>246</v>
      </c>
      <c r="C160" s="67" t="s">
        <v>44</v>
      </c>
      <c r="D160" s="67" t="s">
        <v>44</v>
      </c>
      <c r="E160" s="68">
        <f>SUM(E161:E164)</f>
        <v>0</v>
      </c>
      <c r="F160" s="68">
        <f>SUMIF(D161:D164,"OK",F161:F164)</f>
        <v>550</v>
      </c>
      <c r="G160" s="69" t="s">
        <v>44</v>
      </c>
      <c r="H160" s="70"/>
      <c r="I160" s="70"/>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242</v>
      </c>
      <c r="C161" s="53"/>
      <c r="D161" s="53"/>
      <c r="E161" s="11">
        <v>0</v>
      </c>
      <c r="F161" s="11">
        <v>0</v>
      </c>
      <c r="G161" s="60"/>
      <c r="H161" s="54" t="s">
        <v>37</v>
      </c>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243</v>
      </c>
      <c r="C162" s="53"/>
      <c r="D162" s="53"/>
      <c r="E162" s="11">
        <v>0</v>
      </c>
      <c r="F162" s="11">
        <v>0</v>
      </c>
      <c r="G162" s="58"/>
      <c r="H162" s="54" t="s">
        <v>36</v>
      </c>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9" t="s">
        <v>244</v>
      </c>
      <c r="C163" s="53">
        <v>18</v>
      </c>
      <c r="D163" s="53" t="s">
        <v>95</v>
      </c>
      <c r="E163" s="11">
        <v>0</v>
      </c>
      <c r="F163" s="12">
        <f>20+30+10+30+10+20+10+10+50+20+10+20+10+40+10+10+10+10+10+30+20+40+20+30+10+20+20+10+10</f>
        <v>550</v>
      </c>
      <c r="G163" s="58"/>
      <c r="H163" s="54" t="s">
        <v>37</v>
      </c>
      <c r="I163" s="54"/>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9" t="s">
        <v>245</v>
      </c>
      <c r="C164" s="53"/>
      <c r="D164" s="53"/>
      <c r="E164" s="11">
        <v>0</v>
      </c>
      <c r="F164" s="11">
        <v>0</v>
      </c>
      <c r="G164" s="58"/>
      <c r="H164" s="54" t="s">
        <v>36</v>
      </c>
      <c r="I164" s="54"/>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66" t="s">
        <v>247</v>
      </c>
      <c r="C165" s="67" t="s">
        <v>44</v>
      </c>
      <c r="D165" s="67" t="s">
        <v>44</v>
      </c>
      <c r="E165" s="68">
        <f>SUM(E166:E168)</f>
        <v>0</v>
      </c>
      <c r="F165" s="68">
        <f>SUMIF(D166:D168,"OK",F166:F168)</f>
        <v>0</v>
      </c>
      <c r="G165" s="69" t="s">
        <v>44</v>
      </c>
      <c r="H165" s="70"/>
      <c r="I165" s="70"/>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43</v>
      </c>
      <c r="C166" s="71"/>
      <c r="D166" s="53"/>
      <c r="E166" s="11">
        <v>0</v>
      </c>
      <c r="F166" s="11">
        <v>0</v>
      </c>
      <c r="G166" s="60"/>
      <c r="H166" s="54" t="s">
        <v>37</v>
      </c>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43</v>
      </c>
      <c r="C167" s="71"/>
      <c r="D167" s="53"/>
      <c r="E167" s="11">
        <v>0</v>
      </c>
      <c r="F167" s="11">
        <v>0</v>
      </c>
      <c r="G167" s="60"/>
      <c r="H167" s="54" t="s">
        <v>37</v>
      </c>
      <c r="I167" s="54"/>
      <c r="J167" s="3"/>
      <c r="K167" s="3"/>
      <c r="L167" s="3"/>
      <c r="M167" s="3"/>
      <c r="N167" s="3"/>
      <c r="O167" s="3"/>
      <c r="P167" s="3"/>
      <c r="Q167" s="3"/>
      <c r="R167" s="3"/>
      <c r="S167" s="3"/>
      <c r="T167" s="3"/>
      <c r="U167" s="3"/>
      <c r="V167" s="3"/>
      <c r="W167" s="35"/>
      <c r="X167" s="32"/>
      <c r="Y167" s="3"/>
      <c r="Z167" s="3"/>
    </row>
    <row r="168" spans="1:26" ht="15.75" hidden="1" customHeight="1" outlineLevel="1" x14ac:dyDescent="0.3">
      <c r="A168" s="3"/>
      <c r="B168" s="9" t="s">
        <v>43</v>
      </c>
      <c r="C168" s="53"/>
      <c r="D168" s="53"/>
      <c r="E168" s="11">
        <v>0</v>
      </c>
      <c r="F168" s="11">
        <v>0</v>
      </c>
      <c r="G168" s="60"/>
      <c r="H168" s="54" t="s">
        <v>38</v>
      </c>
      <c r="I168" s="54"/>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66" t="s">
        <v>62</v>
      </c>
      <c r="C169" s="67" t="s">
        <v>44</v>
      </c>
      <c r="D169" s="67" t="s">
        <v>44</v>
      </c>
      <c r="E169" s="68">
        <f>SUM(E170:E183)</f>
        <v>0</v>
      </c>
      <c r="F169" s="68">
        <f>SUMIF(D170:D183,"OK",F170:F183)</f>
        <v>17001.34</v>
      </c>
      <c r="G169" s="69" t="s">
        <v>44</v>
      </c>
      <c r="H169" s="70"/>
      <c r="I169" s="70"/>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1906</v>
      </c>
      <c r="C170" s="53">
        <v>3</v>
      </c>
      <c r="D170" s="53" t="s">
        <v>95</v>
      </c>
      <c r="E170" s="11">
        <v>0</v>
      </c>
      <c r="F170" s="11">
        <v>10000</v>
      </c>
      <c r="G170" s="60"/>
      <c r="H170" s="54" t="s">
        <v>38</v>
      </c>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1907</v>
      </c>
      <c r="C171" s="71" t="s">
        <v>1908</v>
      </c>
      <c r="D171" s="53" t="s">
        <v>95</v>
      </c>
      <c r="E171" s="11">
        <v>0</v>
      </c>
      <c r="F171" s="12">
        <f>50+50+50+100+50</f>
        <v>300</v>
      </c>
      <c r="G171" s="61"/>
      <c r="H171" s="54" t="s">
        <v>37</v>
      </c>
      <c r="I171" s="54"/>
      <c r="J171" s="3"/>
      <c r="K171" s="3"/>
      <c r="L171" s="3"/>
      <c r="M171" s="3"/>
      <c r="N171" s="3"/>
      <c r="O171" s="3"/>
      <c r="P171" s="3"/>
      <c r="Q171" s="3"/>
      <c r="R171" s="3"/>
      <c r="S171" s="3"/>
      <c r="T171" s="3"/>
      <c r="U171" s="3"/>
      <c r="V171" s="3"/>
      <c r="W171" s="35"/>
      <c r="X171" s="32"/>
      <c r="Y171" s="3"/>
      <c r="Z171" s="3"/>
    </row>
    <row r="172" spans="1:26" ht="15.75" hidden="1" customHeight="1" outlineLevel="1" x14ac:dyDescent="0.3">
      <c r="A172" s="3"/>
      <c r="B172" s="9" t="s">
        <v>1907</v>
      </c>
      <c r="C172" s="53">
        <v>30</v>
      </c>
      <c r="D172" s="53" t="s">
        <v>95</v>
      </c>
      <c r="E172" s="11">
        <v>0</v>
      </c>
      <c r="F172" s="11">
        <v>50</v>
      </c>
      <c r="G172" s="60"/>
      <c r="H172" s="54" t="s">
        <v>38</v>
      </c>
      <c r="I172" s="54"/>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1909</v>
      </c>
      <c r="C173" s="53">
        <v>26</v>
      </c>
      <c r="D173" s="53" t="s">
        <v>95</v>
      </c>
      <c r="E173" s="11">
        <v>0</v>
      </c>
      <c r="F173" s="11">
        <v>6651.34</v>
      </c>
      <c r="G173" s="61"/>
      <c r="H173" s="54" t="s">
        <v>38</v>
      </c>
      <c r="I173" s="54"/>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62</v>
      </c>
      <c r="C180" s="53"/>
      <c r="D180" s="53"/>
      <c r="E180" s="11">
        <v>0</v>
      </c>
      <c r="F180" s="11">
        <v>0</v>
      </c>
      <c r="G180" s="60"/>
      <c r="H180" s="54"/>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62</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62</v>
      </c>
      <c r="C182" s="53"/>
      <c r="D182" s="53"/>
      <c r="E182" s="11">
        <v>0</v>
      </c>
      <c r="F182" s="11">
        <v>0</v>
      </c>
      <c r="G182" s="60"/>
      <c r="H182" s="54"/>
      <c r="I182" s="54"/>
      <c r="J182" s="3"/>
      <c r="K182" s="3"/>
      <c r="L182" s="3"/>
      <c r="M182" s="3"/>
      <c r="N182" s="3"/>
      <c r="O182" s="3"/>
      <c r="P182" s="3"/>
      <c r="Q182" s="3"/>
      <c r="R182" s="3"/>
      <c r="S182" s="3"/>
      <c r="T182" s="3"/>
      <c r="U182" s="3"/>
      <c r="V182" s="3"/>
      <c r="W182" s="35"/>
      <c r="X182" s="32"/>
      <c r="Y182" s="3"/>
      <c r="Z182" s="3"/>
    </row>
    <row r="183" spans="1:26" ht="15.75" hidden="1" customHeight="1" outlineLevel="1" x14ac:dyDescent="0.3">
      <c r="A183" s="3"/>
      <c r="B183" s="9" t="s">
        <v>62</v>
      </c>
      <c r="C183" s="53"/>
      <c r="D183" s="53"/>
      <c r="E183" s="11">
        <v>0</v>
      </c>
      <c r="F183" s="11">
        <v>0</v>
      </c>
      <c r="G183" s="60"/>
      <c r="H183" s="54"/>
      <c r="I183" s="54"/>
      <c r="J183" s="3"/>
      <c r="K183" s="3"/>
      <c r="L183" s="3"/>
      <c r="M183" s="3"/>
      <c r="N183" s="3"/>
      <c r="O183" s="3"/>
      <c r="P183" s="3"/>
      <c r="Q183" s="3"/>
      <c r="R183" s="3"/>
      <c r="S183" s="3"/>
      <c r="T183" s="3"/>
      <c r="U183" s="3"/>
      <c r="V183" s="3"/>
      <c r="W183" s="35"/>
      <c r="X183" s="32"/>
      <c r="Y183" s="3"/>
      <c r="Z183" s="3"/>
    </row>
    <row r="184" spans="1:26" ht="19.5" customHeight="1" collapsed="1" x14ac:dyDescent="0.3">
      <c r="A184" s="3"/>
      <c r="B184" s="64" t="s">
        <v>64</v>
      </c>
      <c r="C184" s="47" t="s">
        <v>44</v>
      </c>
      <c r="D184" s="47" t="s">
        <v>44</v>
      </c>
      <c r="E184" s="48">
        <f>SUM(E185:E188)</f>
        <v>0</v>
      </c>
      <c r="F184" s="48">
        <f>SUMIF(D185:D188,"OK",F185:F188)</f>
        <v>2786</v>
      </c>
      <c r="G184" s="49" t="s">
        <v>44</v>
      </c>
      <c r="H184" s="65"/>
      <c r="I184" s="65"/>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644</v>
      </c>
      <c r="C185" s="53">
        <v>24</v>
      </c>
      <c r="D185" s="53" t="s">
        <v>95</v>
      </c>
      <c r="E185" s="11">
        <v>0</v>
      </c>
      <c r="F185" s="12">
        <v>250</v>
      </c>
      <c r="G185" s="62" t="s">
        <v>1910</v>
      </c>
      <c r="H185" s="54" t="s">
        <v>37</v>
      </c>
      <c r="I185" s="54"/>
      <c r="J185" s="3"/>
      <c r="K185" s="3"/>
      <c r="L185" s="3"/>
      <c r="M185" s="3"/>
      <c r="N185" s="3"/>
      <c r="O185" s="3"/>
      <c r="P185" s="3"/>
      <c r="Q185" s="3"/>
      <c r="R185" s="3"/>
      <c r="S185" s="3"/>
      <c r="T185" s="3"/>
      <c r="U185" s="3"/>
      <c r="V185" s="3"/>
      <c r="W185" s="35"/>
      <c r="X185" s="32"/>
      <c r="Y185" s="3"/>
      <c r="Z185" s="3"/>
    </row>
    <row r="186" spans="1:26" ht="15.75" hidden="1" customHeight="1" outlineLevel="1" x14ac:dyDescent="0.3">
      <c r="A186" s="3"/>
      <c r="B186" s="9" t="s">
        <v>1911</v>
      </c>
      <c r="C186" s="53">
        <v>1</v>
      </c>
      <c r="D186" s="53" t="s">
        <v>95</v>
      </c>
      <c r="E186" s="11">
        <v>0</v>
      </c>
      <c r="F186" s="11">
        <f>70+80</f>
        <v>150</v>
      </c>
      <c r="G186" s="62" t="s">
        <v>1912</v>
      </c>
      <c r="H186" s="54" t="s">
        <v>37</v>
      </c>
      <c r="I186" s="54"/>
      <c r="J186" s="3"/>
      <c r="K186" s="3"/>
      <c r="L186" s="3"/>
      <c r="M186" s="3"/>
      <c r="N186" s="3"/>
      <c r="O186" s="3"/>
      <c r="P186" s="3"/>
      <c r="Q186" s="3"/>
      <c r="R186" s="3"/>
      <c r="S186" s="3"/>
      <c r="T186" s="3"/>
      <c r="U186" s="3"/>
      <c r="V186" s="3"/>
      <c r="W186" s="35"/>
      <c r="X186" s="32"/>
      <c r="Y186" s="3"/>
      <c r="Z186" s="3"/>
    </row>
    <row r="187" spans="1:26" ht="15.75" hidden="1" customHeight="1" outlineLevel="1" x14ac:dyDescent="0.3">
      <c r="A187" s="3"/>
      <c r="B187" s="9" t="s">
        <v>1911</v>
      </c>
      <c r="C187" s="53">
        <v>1</v>
      </c>
      <c r="D187" s="53" t="s">
        <v>95</v>
      </c>
      <c r="E187" s="11">
        <v>0</v>
      </c>
      <c r="F187" s="11">
        <f>70+70+70+210+70+105+150+70+70+70+70+140+70+210+70+140+171+35+35+150+70+70+70</f>
        <v>2256</v>
      </c>
      <c r="G187" s="58"/>
      <c r="H187" s="54" t="s">
        <v>38</v>
      </c>
      <c r="I187" s="54"/>
      <c r="J187" s="3"/>
      <c r="K187" s="3"/>
      <c r="L187" s="3"/>
      <c r="M187" s="3"/>
      <c r="N187" s="3"/>
      <c r="O187" s="3"/>
      <c r="P187" s="3"/>
      <c r="Q187" s="3"/>
      <c r="R187" s="3"/>
      <c r="S187" s="3"/>
      <c r="T187" s="3"/>
      <c r="U187" s="3"/>
      <c r="V187" s="3"/>
      <c r="W187" s="35"/>
      <c r="X187" s="32"/>
      <c r="Y187" s="3"/>
      <c r="Z187" s="3"/>
    </row>
    <row r="188" spans="1:26" ht="15.75" hidden="1" customHeight="1" outlineLevel="1" x14ac:dyDescent="0.3">
      <c r="A188" s="3"/>
      <c r="B188" s="9" t="s">
        <v>1913</v>
      </c>
      <c r="C188" s="53">
        <v>15</v>
      </c>
      <c r="D188" s="53" t="s">
        <v>95</v>
      </c>
      <c r="E188" s="11">
        <v>0</v>
      </c>
      <c r="F188" s="11">
        <f>50+50+30</f>
        <v>130</v>
      </c>
      <c r="G188" s="57" t="s">
        <v>1914</v>
      </c>
      <c r="H188" s="54" t="s">
        <v>38</v>
      </c>
      <c r="I188" s="54"/>
      <c r="J188" s="3"/>
      <c r="K188" s="3"/>
      <c r="L188" s="3"/>
      <c r="M188" s="3"/>
      <c r="N188" s="3"/>
      <c r="O188" s="3"/>
      <c r="P188" s="3"/>
      <c r="Q188" s="3"/>
      <c r="R188" s="3"/>
      <c r="S188" s="3"/>
      <c r="T188" s="3"/>
      <c r="U188" s="3"/>
      <c r="V188" s="3"/>
      <c r="W188" s="35"/>
      <c r="X188" s="32"/>
      <c r="Y188" s="3"/>
      <c r="Z188" s="3"/>
    </row>
    <row r="189" spans="1:26" ht="19.5" customHeight="1" collapsed="1" x14ac:dyDescent="0.3">
      <c r="A189" s="3"/>
      <c r="B189" s="64" t="s">
        <v>260</v>
      </c>
      <c r="C189" s="47" t="s">
        <v>44</v>
      </c>
      <c r="D189" s="47" t="s">
        <v>44</v>
      </c>
      <c r="E189" s="48">
        <f>SUM(E190:E196)</f>
        <v>0</v>
      </c>
      <c r="F189" s="48">
        <f>SUMIF(D190:D196,"OK",F190:F196)</f>
        <v>0.7</v>
      </c>
      <c r="G189" s="49" t="s">
        <v>44</v>
      </c>
      <c r="H189" s="65"/>
      <c r="I189" s="65"/>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261</v>
      </c>
      <c r="C190" s="53"/>
      <c r="D190" s="53"/>
      <c r="E190" s="11">
        <v>0</v>
      </c>
      <c r="F190" s="11">
        <v>0</v>
      </c>
      <c r="G190" s="58"/>
      <c r="H190" s="54" t="s">
        <v>37</v>
      </c>
      <c r="I190" s="54"/>
      <c r="J190" s="3"/>
      <c r="K190" s="3"/>
      <c r="L190" s="3"/>
      <c r="M190" s="3"/>
      <c r="N190" s="3"/>
      <c r="O190" s="3"/>
      <c r="P190" s="3"/>
      <c r="Q190" s="3"/>
      <c r="R190" s="3"/>
      <c r="S190" s="3"/>
      <c r="T190" s="3"/>
      <c r="U190" s="3"/>
      <c r="V190" s="3"/>
      <c r="W190" s="35"/>
      <c r="X190" s="32"/>
      <c r="Y190" s="3"/>
      <c r="Z190" s="3"/>
    </row>
    <row r="191" spans="1:26" ht="15.75" hidden="1" customHeight="1" outlineLevel="1" x14ac:dyDescent="0.3">
      <c r="A191" s="3"/>
      <c r="B191" s="9" t="s">
        <v>262</v>
      </c>
      <c r="C191" s="53" t="s">
        <v>642</v>
      </c>
      <c r="D191" s="53" t="s">
        <v>95</v>
      </c>
      <c r="E191" s="11">
        <v>0</v>
      </c>
      <c r="F191" s="11">
        <f>0.7</f>
        <v>0.7</v>
      </c>
      <c r="G191" s="60"/>
      <c r="H191" s="54" t="s">
        <v>38</v>
      </c>
      <c r="I191" s="54"/>
      <c r="J191" s="3"/>
      <c r="K191" s="3"/>
      <c r="L191" s="3"/>
      <c r="M191" s="3"/>
      <c r="N191" s="3"/>
      <c r="O191" s="3"/>
      <c r="P191" s="3"/>
      <c r="Q191" s="3"/>
      <c r="R191" s="3"/>
      <c r="S191" s="3"/>
      <c r="T191" s="3"/>
      <c r="U191" s="3"/>
      <c r="V191" s="3"/>
      <c r="W191" s="35"/>
      <c r="X191" s="32"/>
      <c r="Y191" s="3"/>
      <c r="Z191" s="3"/>
    </row>
    <row r="192" spans="1:26" ht="15.75" hidden="1" customHeight="1" outlineLevel="1" x14ac:dyDescent="0.3">
      <c r="A192" s="3"/>
      <c r="B192" s="9" t="s">
        <v>264</v>
      </c>
      <c r="C192" s="53"/>
      <c r="D192" s="53"/>
      <c r="E192" s="11">
        <v>0</v>
      </c>
      <c r="F192" s="11">
        <v>0</v>
      </c>
      <c r="G192" s="58"/>
      <c r="H192" s="54" t="s">
        <v>235</v>
      </c>
      <c r="I192" s="54"/>
      <c r="J192" s="3"/>
      <c r="K192" s="3"/>
      <c r="L192" s="3"/>
      <c r="M192" s="3"/>
      <c r="N192" s="3"/>
      <c r="O192" s="3"/>
      <c r="P192" s="3"/>
      <c r="Q192" s="3"/>
      <c r="R192" s="3"/>
      <c r="S192" s="3"/>
      <c r="T192" s="3"/>
      <c r="U192" s="3"/>
      <c r="V192" s="3"/>
      <c r="W192" s="35"/>
      <c r="X192" s="32"/>
      <c r="Y192" s="3"/>
      <c r="Z192" s="3"/>
    </row>
    <row r="193" spans="1:26" ht="15.75" hidden="1" customHeight="1" outlineLevel="1" x14ac:dyDescent="0.3">
      <c r="A193" s="3"/>
      <c r="B193" s="9" t="s">
        <v>265</v>
      </c>
      <c r="C193" s="53"/>
      <c r="D193" s="53"/>
      <c r="E193" s="11">
        <v>0</v>
      </c>
      <c r="F193" s="11">
        <v>0</v>
      </c>
      <c r="G193" s="58"/>
      <c r="H193" s="54" t="s">
        <v>266</v>
      </c>
      <c r="I193" s="54"/>
      <c r="J193" s="3"/>
      <c r="K193" s="3"/>
      <c r="L193" s="3"/>
      <c r="M193" s="3"/>
      <c r="N193" s="3"/>
      <c r="O193" s="3"/>
      <c r="P193" s="3"/>
      <c r="Q193" s="3"/>
      <c r="R193" s="3"/>
      <c r="S193" s="3"/>
      <c r="T193" s="3"/>
      <c r="U193" s="3"/>
      <c r="V193" s="3"/>
      <c r="W193" s="35"/>
      <c r="X193" s="32"/>
      <c r="Y193" s="3"/>
      <c r="Z193" s="3"/>
    </row>
    <row r="194" spans="1:26" ht="15.75" hidden="1" customHeight="1" outlineLevel="1" x14ac:dyDescent="0.3">
      <c r="A194" s="3"/>
      <c r="B194" s="9" t="s">
        <v>552</v>
      </c>
      <c r="C194" s="53"/>
      <c r="D194" s="53"/>
      <c r="E194" s="11">
        <v>0</v>
      </c>
      <c r="F194" s="11">
        <v>0</v>
      </c>
      <c r="G194" s="58"/>
      <c r="H194" s="54" t="s">
        <v>39</v>
      </c>
      <c r="I194" s="54"/>
      <c r="J194" s="3"/>
      <c r="K194" s="3"/>
      <c r="L194" s="3"/>
      <c r="M194" s="3"/>
      <c r="N194" s="3"/>
      <c r="O194" s="3"/>
      <c r="P194" s="3"/>
      <c r="Q194" s="3"/>
      <c r="R194" s="3"/>
      <c r="S194" s="3"/>
      <c r="T194" s="3"/>
      <c r="U194" s="3"/>
      <c r="V194" s="3"/>
      <c r="W194" s="35"/>
      <c r="X194" s="32"/>
      <c r="Y194" s="3"/>
      <c r="Z194" s="3"/>
    </row>
    <row r="195" spans="1:26" ht="15.75" hidden="1" customHeight="1" outlineLevel="1" x14ac:dyDescent="0.3">
      <c r="A195" s="3"/>
      <c r="B195" s="9" t="s">
        <v>1581</v>
      </c>
      <c r="C195" s="53"/>
      <c r="D195" s="53"/>
      <c r="E195" s="11">
        <v>0</v>
      </c>
      <c r="F195" s="11">
        <v>0</v>
      </c>
      <c r="G195" s="58"/>
      <c r="H195" s="54" t="s">
        <v>38</v>
      </c>
      <c r="I195" s="54"/>
      <c r="J195" s="3"/>
      <c r="K195" s="3"/>
      <c r="L195" s="3"/>
      <c r="M195" s="3"/>
      <c r="N195" s="3"/>
      <c r="O195" s="3"/>
      <c r="P195" s="3"/>
      <c r="Q195" s="3"/>
      <c r="R195" s="3"/>
      <c r="S195" s="3"/>
      <c r="T195" s="3"/>
      <c r="U195" s="3"/>
      <c r="V195" s="3"/>
      <c r="W195" s="35"/>
      <c r="X195" s="32"/>
      <c r="Y195" s="3"/>
      <c r="Z195" s="3"/>
    </row>
    <row r="196" spans="1:26" ht="15.75" hidden="1" customHeight="1" outlineLevel="1" x14ac:dyDescent="0.3">
      <c r="A196" s="3"/>
      <c r="B196" s="9" t="s">
        <v>917</v>
      </c>
      <c r="C196" s="53"/>
      <c r="D196" s="53"/>
      <c r="E196" s="11">
        <v>0</v>
      </c>
      <c r="F196" s="11">
        <v>0</v>
      </c>
      <c r="G196" s="58"/>
      <c r="H196" s="54"/>
      <c r="I196" s="54"/>
      <c r="J196" s="3"/>
      <c r="K196" s="3"/>
      <c r="L196" s="3"/>
      <c r="M196" s="3"/>
      <c r="N196" s="3"/>
      <c r="O196" s="3"/>
      <c r="P196" s="3"/>
      <c r="Q196" s="3"/>
      <c r="R196" s="3"/>
      <c r="S196" s="3"/>
      <c r="T196" s="3"/>
      <c r="U196" s="3"/>
      <c r="V196" s="3"/>
      <c r="W196" s="35"/>
      <c r="X196" s="32"/>
      <c r="Y196" s="3"/>
      <c r="Z196" s="3"/>
    </row>
    <row r="197" spans="1:26" ht="15.75" customHeight="1" collapsed="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6" ht="15.75" customHeight="1" x14ac:dyDescent="0.3">
      <c r="A198" s="3"/>
      <c r="B198" s="3"/>
      <c r="C198" s="28"/>
      <c r="D198" s="28"/>
      <c r="E198" s="28"/>
      <c r="F198" s="101"/>
      <c r="G198" s="112"/>
      <c r="H198" s="28"/>
      <c r="I198" s="28"/>
      <c r="J198" s="28"/>
      <c r="K198" s="28"/>
      <c r="L198" s="28"/>
      <c r="M198" s="28"/>
      <c r="N198" s="28"/>
      <c r="O198" s="28"/>
      <c r="P198" s="28"/>
      <c r="Q198" s="28"/>
      <c r="R198" s="28"/>
      <c r="S198" s="28"/>
      <c r="T198" s="28"/>
      <c r="U198" s="28"/>
      <c r="V198" s="28"/>
      <c r="W198" s="35"/>
      <c r="X198" s="32"/>
    </row>
    <row r="199" spans="1:26"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6"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6"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6"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6"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6"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6"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6"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6"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6"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c r="A392" s="3"/>
      <c r="B392" s="3"/>
      <c r="C392" s="28"/>
      <c r="D392" s="28"/>
      <c r="E392" s="28"/>
      <c r="F392" s="28"/>
      <c r="G392" s="112"/>
      <c r="H392" s="28"/>
      <c r="I392" s="28"/>
      <c r="J392" s="28"/>
      <c r="K392" s="28"/>
      <c r="L392" s="28"/>
      <c r="M392" s="28"/>
      <c r="N392" s="28"/>
      <c r="O392" s="28"/>
      <c r="P392" s="28"/>
      <c r="Q392" s="28"/>
      <c r="R392" s="28"/>
      <c r="S392" s="28"/>
      <c r="T392" s="28"/>
      <c r="U392" s="28"/>
      <c r="V392" s="28"/>
      <c r="W392" s="35"/>
      <c r="X392" s="32"/>
    </row>
    <row r="393" spans="1:24" ht="15.75" customHeight="1" x14ac:dyDescent="0.3">
      <c r="A393" s="3"/>
      <c r="B393" s="3"/>
      <c r="C393" s="28"/>
      <c r="D393" s="28"/>
      <c r="E393" s="28"/>
      <c r="F393" s="28"/>
      <c r="G393" s="112"/>
      <c r="H393" s="28"/>
      <c r="I393" s="28"/>
      <c r="J393" s="28"/>
      <c r="K393" s="28"/>
      <c r="L393" s="28"/>
      <c r="M393" s="28"/>
      <c r="N393" s="28"/>
      <c r="O393" s="28"/>
      <c r="P393" s="28"/>
      <c r="Q393" s="28"/>
      <c r="R393" s="28"/>
      <c r="S393" s="28"/>
      <c r="T393" s="28"/>
      <c r="U393" s="28"/>
      <c r="V393" s="28"/>
      <c r="W393" s="35"/>
      <c r="X393" s="32"/>
    </row>
    <row r="394" spans="1:24" ht="15.75" customHeight="1" x14ac:dyDescent="0.3">
      <c r="A394" s="3"/>
      <c r="B394" s="3"/>
      <c r="C394" s="28"/>
      <c r="D394" s="28"/>
      <c r="E394" s="28"/>
      <c r="F394" s="28"/>
      <c r="G394" s="112"/>
      <c r="H394" s="28"/>
      <c r="I394" s="28"/>
      <c r="J394" s="28"/>
      <c r="K394" s="28"/>
      <c r="L394" s="28"/>
      <c r="M394" s="28"/>
      <c r="N394" s="28"/>
      <c r="O394" s="28"/>
      <c r="P394" s="28"/>
      <c r="Q394" s="28"/>
      <c r="R394" s="28"/>
      <c r="S394" s="28"/>
      <c r="T394" s="28"/>
      <c r="U394" s="28"/>
      <c r="V394" s="28"/>
      <c r="W394" s="35"/>
      <c r="X394" s="32"/>
    </row>
    <row r="395" spans="1:24" ht="15.75" customHeight="1" x14ac:dyDescent="0.3">
      <c r="A395" s="3"/>
      <c r="B395" s="3"/>
      <c r="C395" s="28"/>
      <c r="D395" s="28"/>
      <c r="E395" s="28"/>
      <c r="F395" s="28"/>
      <c r="G395" s="112"/>
      <c r="H395" s="28"/>
      <c r="I395" s="28"/>
      <c r="J395" s="28"/>
      <c r="K395" s="28"/>
      <c r="L395" s="28"/>
      <c r="M395" s="28"/>
      <c r="N395" s="28"/>
      <c r="O395" s="28"/>
      <c r="P395" s="28"/>
      <c r="Q395" s="28"/>
      <c r="R395" s="28"/>
      <c r="S395" s="28"/>
      <c r="T395" s="28"/>
      <c r="U395" s="28"/>
      <c r="V395" s="28"/>
      <c r="W395" s="35"/>
      <c r="X395" s="32"/>
    </row>
    <row r="396" spans="1:24" ht="15.75" customHeight="1" x14ac:dyDescent="0.3">
      <c r="A396" s="3"/>
      <c r="B396" s="3"/>
      <c r="C396" s="28"/>
      <c r="D396" s="28"/>
      <c r="E396" s="28"/>
      <c r="F396" s="28"/>
      <c r="G396" s="112"/>
      <c r="H396" s="28"/>
      <c r="I396" s="28"/>
      <c r="J396" s="28"/>
      <c r="K396" s="28"/>
      <c r="L396" s="28"/>
      <c r="M396" s="28"/>
      <c r="N396" s="28"/>
      <c r="O396" s="28"/>
      <c r="P396" s="28"/>
      <c r="Q396" s="28"/>
      <c r="R396" s="28"/>
      <c r="S396" s="28"/>
      <c r="T396" s="28"/>
      <c r="U396" s="28"/>
      <c r="V396" s="28"/>
      <c r="W396" s="35"/>
      <c r="X396" s="32"/>
    </row>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autoFilter ref="C5:F196" xr:uid="{00000000-0009-0000-0000-00001A000000}"/>
  <mergeCells count="4">
    <mergeCell ref="B2:B3"/>
    <mergeCell ref="B4:B5"/>
    <mergeCell ref="H4:H5"/>
    <mergeCell ref="I4:I5"/>
  </mergeCells>
  <conditionalFormatting sqref="W6:W125">
    <cfRule type="cellIs" dxfId="9" priority="1" operator="equal">
      <formula>"Diferente"</formula>
    </cfRule>
    <cfRule type="cellIs" dxfId="8" priority="2" operator="equal">
      <formula>"OK"</formula>
    </cfRule>
  </conditionalFormatting>
  <dataValidations count="1">
    <dataValidation type="list" allowBlank="1" showErrorMessage="1" sqref="D7:D125 D128:D129 D131:D133 D135:D138 D140:D145 D147:D153 D156:D159 D161:D164 D166:D168 D170:D183 D185:D188 D190:D196" xr:uid="{00000000-0002-0000-1A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'Plano de contas DG'!$C$5:$C$38</xm:f>
          </x14:formula1>
          <xm:sqref>I6:I196</xm:sqref>
        </x14:dataValidation>
        <x14:dataValidation type="list" allowBlank="1" showErrorMessage="1" xr:uid="{00000000-0002-0000-1A00-000001000000}">
          <x14:formula1>
            <xm:f>Caixa!$B$5:$B$8</xm:f>
          </x14:formula1>
          <xm:sqref>H7:H125 H128:H129 H131:H133 H135:H138 H140:H145 H147:H153 H156:H159 H161:H164 H166:H168 H170:H183 H185:H188 H190:H196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filterMode="1">
    <tabColor theme="5"/>
  </sheetPr>
  <dimension ref="A1:Z1004"/>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hidden="1"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25" customHeight="1" x14ac:dyDescent="0.3">
      <c r="A2" s="3"/>
      <c r="B2" s="231" t="s">
        <v>270</v>
      </c>
      <c r="C2" s="232"/>
      <c r="D2" s="206"/>
      <c r="E2" s="206"/>
      <c r="F2" s="207"/>
      <c r="G2" s="73"/>
      <c r="H2" s="73"/>
      <c r="I2" s="74"/>
      <c r="J2" s="73"/>
      <c r="K2" s="28"/>
      <c r="L2" s="28"/>
      <c r="M2" s="28"/>
      <c r="N2" s="28"/>
      <c r="O2" s="28"/>
      <c r="P2" s="28"/>
      <c r="Q2" s="28"/>
      <c r="R2" s="28"/>
      <c r="S2" s="28"/>
      <c r="T2" s="28"/>
      <c r="U2" s="3"/>
    </row>
    <row r="3" spans="1:26" ht="14.25" customHeight="1" x14ac:dyDescent="0.3">
      <c r="A3" s="3"/>
      <c r="B3" s="202"/>
      <c r="C3" s="233"/>
      <c r="D3" s="234"/>
      <c r="E3" s="234"/>
      <c r="F3" s="235"/>
      <c r="G3" s="73"/>
      <c r="H3" s="73"/>
      <c r="I3" s="74"/>
      <c r="J3" s="73"/>
      <c r="K3" s="28"/>
      <c r="L3" s="28"/>
      <c r="M3" s="28"/>
      <c r="N3" s="28"/>
      <c r="O3" s="28"/>
      <c r="P3" s="28"/>
      <c r="Q3" s="28"/>
      <c r="R3" s="28"/>
      <c r="S3" s="28"/>
      <c r="T3" s="28"/>
      <c r="U3" s="3"/>
    </row>
    <row r="4" spans="1:26" ht="14.25" customHeight="1" x14ac:dyDescent="0.3">
      <c r="A4" s="3"/>
      <c r="B4" s="220" t="s">
        <v>74</v>
      </c>
      <c r="C4" s="39" t="s">
        <v>44</v>
      </c>
      <c r="D4" s="39" t="s">
        <v>44</v>
      </c>
      <c r="E4" s="18">
        <f>SUBTOTAL(9,E16,E63,E38,E155,E180,E186,E90,E6,E34,E265,E328,E215,E225,E235,E245,E255,E119)</f>
        <v>0</v>
      </c>
      <c r="F4" s="18">
        <f>SUBTOTAL(9,F16,F63,F38,F145,F155,F180,F186,F90,F6,F34,F265,F328,F215,F225,F235,F245,F255,F119)</f>
        <v>72525.08</v>
      </c>
      <c r="G4" s="39" t="s">
        <v>44</v>
      </c>
      <c r="H4" s="230" t="s">
        <v>1</v>
      </c>
      <c r="I4" s="236" t="s">
        <v>271</v>
      </c>
      <c r="J4" s="230" t="s">
        <v>75</v>
      </c>
      <c r="K4" s="28"/>
      <c r="L4" s="28"/>
      <c r="M4" s="28"/>
      <c r="N4" s="28"/>
      <c r="O4" s="28"/>
      <c r="P4" s="28"/>
      <c r="Q4" s="28"/>
      <c r="R4" s="28"/>
      <c r="S4" s="28"/>
      <c r="T4" s="28"/>
      <c r="U4" s="3"/>
      <c r="W4" s="3"/>
      <c r="X4" s="3"/>
      <c r="Y4" s="3"/>
      <c r="Z4" s="3"/>
    </row>
    <row r="5" spans="1:26" ht="14.25" customHeight="1"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1441.9</v>
      </c>
      <c r="G6" s="78"/>
      <c r="H6" s="78"/>
      <c r="I6" s="79"/>
      <c r="J6" s="78"/>
      <c r="K6" s="28"/>
      <c r="L6" s="28"/>
      <c r="M6" s="28"/>
      <c r="N6" s="28"/>
      <c r="O6" s="28"/>
      <c r="P6" s="28"/>
      <c r="Q6" s="28"/>
      <c r="R6" s="28"/>
      <c r="S6" s="28"/>
      <c r="T6" s="28"/>
      <c r="U6" s="3"/>
      <c r="W6" s="3"/>
      <c r="X6" s="3"/>
      <c r="Y6" s="3"/>
      <c r="Z6" s="3"/>
    </row>
    <row r="7" spans="1:26" ht="14.4" outlineLevel="1" x14ac:dyDescent="0.3">
      <c r="A7" s="3"/>
      <c r="B7" s="9" t="s">
        <v>274</v>
      </c>
      <c r="C7" s="53">
        <v>2</v>
      </c>
      <c r="D7" s="53" t="s">
        <v>95</v>
      </c>
      <c r="E7" s="11">
        <v>0</v>
      </c>
      <c r="F7" s="11">
        <v>753.64</v>
      </c>
      <c r="G7" s="80"/>
      <c r="H7" s="56" t="s">
        <v>37</v>
      </c>
      <c r="I7" s="102" t="s">
        <v>1915</v>
      </c>
      <c r="J7" s="56"/>
      <c r="K7" s="28"/>
      <c r="L7" s="28"/>
      <c r="M7" s="28"/>
      <c r="N7" s="28"/>
      <c r="O7" s="28"/>
      <c r="P7" s="28"/>
      <c r="Q7" s="28"/>
      <c r="R7" s="28"/>
      <c r="S7" s="28"/>
      <c r="T7" s="28"/>
      <c r="U7" s="3"/>
      <c r="W7" s="3"/>
      <c r="X7" s="3"/>
      <c r="Y7" s="3"/>
      <c r="Z7" s="3"/>
    </row>
    <row r="8" spans="1:26" ht="14.4" outlineLevel="1" x14ac:dyDescent="0.3">
      <c r="A8" s="3"/>
      <c r="B8" s="9" t="s">
        <v>274</v>
      </c>
      <c r="C8" s="53">
        <v>8</v>
      </c>
      <c r="D8" s="53" t="s">
        <v>95</v>
      </c>
      <c r="E8" s="11">
        <v>0</v>
      </c>
      <c r="F8" s="11">
        <v>100</v>
      </c>
      <c r="G8" s="80" t="s">
        <v>1339</v>
      </c>
      <c r="H8" s="56" t="s">
        <v>37</v>
      </c>
      <c r="I8" s="102" t="s">
        <v>1916</v>
      </c>
      <c r="J8" s="56"/>
      <c r="K8" s="28"/>
      <c r="L8" s="28"/>
      <c r="M8" s="28"/>
      <c r="N8" s="28"/>
      <c r="O8" s="28"/>
      <c r="P8" s="28"/>
      <c r="Q8" s="28"/>
      <c r="R8" s="28"/>
      <c r="S8" s="28"/>
      <c r="T8" s="28"/>
      <c r="U8" s="3"/>
      <c r="W8" s="3"/>
      <c r="X8" s="3"/>
      <c r="Y8" s="3"/>
      <c r="Z8" s="3"/>
    </row>
    <row r="9" spans="1:26" ht="14.4" outlineLevel="1" x14ac:dyDescent="0.3">
      <c r="A9" s="3"/>
      <c r="B9" s="9" t="s">
        <v>274</v>
      </c>
      <c r="C9" s="53">
        <v>27</v>
      </c>
      <c r="D9" s="53" t="s">
        <v>95</v>
      </c>
      <c r="E9" s="11">
        <v>0</v>
      </c>
      <c r="F9" s="11">
        <v>100</v>
      </c>
      <c r="G9" s="80" t="s">
        <v>1339</v>
      </c>
      <c r="H9" s="56" t="s">
        <v>37</v>
      </c>
      <c r="I9" s="102" t="s">
        <v>1917</v>
      </c>
      <c r="J9" s="56"/>
      <c r="K9" s="28"/>
      <c r="L9" s="28"/>
      <c r="M9" s="28"/>
      <c r="N9" s="28"/>
      <c r="O9" s="28"/>
      <c r="P9" s="28"/>
      <c r="Q9" s="28"/>
      <c r="R9" s="28"/>
      <c r="S9" s="28"/>
      <c r="T9" s="28"/>
      <c r="U9" s="3"/>
      <c r="W9" s="3"/>
      <c r="X9" s="3"/>
      <c r="Y9" s="3"/>
      <c r="Z9" s="3"/>
    </row>
    <row r="10" spans="1:26" ht="14.4" outlineLevel="1" x14ac:dyDescent="0.3">
      <c r="A10" s="3"/>
      <c r="B10" s="9" t="s">
        <v>282</v>
      </c>
      <c r="C10" s="53">
        <v>14</v>
      </c>
      <c r="D10" s="53" t="s">
        <v>95</v>
      </c>
      <c r="E10" s="11">
        <v>0</v>
      </c>
      <c r="F10" s="11">
        <f>306.18</f>
        <v>306.18</v>
      </c>
      <c r="G10" s="80" t="s">
        <v>1918</v>
      </c>
      <c r="H10" s="56" t="s">
        <v>37</v>
      </c>
      <c r="I10" s="102" t="s">
        <v>1919</v>
      </c>
      <c r="J10" s="80"/>
      <c r="K10" s="28"/>
      <c r="L10" s="28"/>
      <c r="M10" s="28"/>
      <c r="N10" s="28"/>
      <c r="O10" s="28"/>
      <c r="P10" s="28"/>
      <c r="Q10" s="28"/>
      <c r="R10" s="28"/>
      <c r="S10" s="28"/>
      <c r="T10" s="28"/>
      <c r="U10" s="3"/>
      <c r="W10" s="3"/>
      <c r="X10" s="3"/>
      <c r="Y10" s="3"/>
      <c r="Z10" s="3"/>
    </row>
    <row r="11" spans="1:26" ht="14.4" outlineLevel="1" x14ac:dyDescent="0.3">
      <c r="A11" s="3"/>
      <c r="B11" s="9" t="s">
        <v>282</v>
      </c>
      <c r="C11" s="53">
        <v>14</v>
      </c>
      <c r="D11" s="53" t="s">
        <v>95</v>
      </c>
      <c r="E11" s="11">
        <v>0</v>
      </c>
      <c r="F11" s="11">
        <v>69.39</v>
      </c>
      <c r="G11" s="80" t="s">
        <v>738</v>
      </c>
      <c r="H11" s="56" t="s">
        <v>37</v>
      </c>
      <c r="I11" s="102" t="s">
        <v>1920</v>
      </c>
      <c r="J11" s="80"/>
      <c r="K11" s="28"/>
      <c r="L11" s="28"/>
      <c r="M11" s="28"/>
      <c r="N11" s="28"/>
      <c r="O11" s="28"/>
      <c r="P11" s="28"/>
      <c r="Q11" s="28"/>
      <c r="R11" s="28"/>
      <c r="S11" s="28"/>
      <c r="T11" s="28"/>
      <c r="U11" s="3"/>
      <c r="W11" s="3"/>
      <c r="X11" s="3"/>
      <c r="Y11" s="3"/>
      <c r="Z11" s="3"/>
    </row>
    <row r="12" spans="1:26" ht="14.4" outlineLevel="1" x14ac:dyDescent="0.3">
      <c r="A12" s="3"/>
      <c r="B12" s="9" t="s">
        <v>282</v>
      </c>
      <c r="C12" s="53">
        <v>14</v>
      </c>
      <c r="D12" s="53" t="s">
        <v>95</v>
      </c>
      <c r="E12" s="11">
        <v>0</v>
      </c>
      <c r="F12" s="11">
        <v>48.79</v>
      </c>
      <c r="G12" s="80" t="s">
        <v>1921</v>
      </c>
      <c r="H12" s="56" t="s">
        <v>37</v>
      </c>
      <c r="I12" s="102" t="s">
        <v>1922</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44"/>
      <c r="J13" s="80"/>
      <c r="K13" s="28"/>
      <c r="L13" s="28"/>
      <c r="M13" s="28"/>
      <c r="N13" s="28"/>
      <c r="O13" s="28"/>
      <c r="P13" s="28"/>
      <c r="Q13" s="28"/>
      <c r="R13" s="28"/>
      <c r="S13" s="28"/>
      <c r="T13" s="28"/>
      <c r="U13" s="3"/>
      <c r="W13" s="3"/>
      <c r="X13" s="3"/>
      <c r="Y13" s="3"/>
      <c r="Z13" s="3"/>
    </row>
    <row r="14" spans="1:26" ht="14.4" outlineLevel="1" x14ac:dyDescent="0.3">
      <c r="A14" s="3"/>
      <c r="B14" s="9" t="s">
        <v>560</v>
      </c>
      <c r="C14" s="53">
        <v>18</v>
      </c>
      <c r="D14" s="53" t="s">
        <v>95</v>
      </c>
      <c r="E14" s="11">
        <v>0</v>
      </c>
      <c r="F14" s="11">
        <v>63.9</v>
      </c>
      <c r="G14" s="80"/>
      <c r="H14" s="56" t="s">
        <v>37</v>
      </c>
      <c r="I14" s="102" t="s">
        <v>1923</v>
      </c>
      <c r="J14" s="80"/>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80"/>
      <c r="H15" s="56"/>
      <c r="I15" s="144"/>
      <c r="J15" s="56"/>
      <c r="K15" s="28"/>
      <c r="L15" s="28"/>
      <c r="M15" s="28"/>
      <c r="N15" s="28"/>
      <c r="O15" s="28"/>
      <c r="P15" s="28"/>
      <c r="Q15" s="28"/>
      <c r="R15" s="28"/>
      <c r="S15" s="28"/>
      <c r="T15" s="28"/>
      <c r="U15" s="3"/>
      <c r="W15" s="3"/>
      <c r="X15" s="3"/>
      <c r="Y15" s="3"/>
      <c r="Z15" s="3"/>
    </row>
    <row r="16" spans="1:26" ht="20.399999999999999" x14ac:dyDescent="0.3">
      <c r="A16" s="3"/>
      <c r="B16" s="75" t="s">
        <v>288</v>
      </c>
      <c r="C16" s="76" t="s">
        <v>44</v>
      </c>
      <c r="D16" s="76" t="s">
        <v>44</v>
      </c>
      <c r="E16" s="77">
        <f>SUM(E17:E33)</f>
        <v>0</v>
      </c>
      <c r="F16" s="77">
        <f>SUMIF(D17:D33,"OK",F17:F33)</f>
        <v>8939.35</v>
      </c>
      <c r="G16" s="78"/>
      <c r="H16" s="78"/>
      <c r="I16" s="79"/>
      <c r="J16" s="78"/>
      <c r="K16" s="28"/>
      <c r="L16" s="28"/>
      <c r="M16" s="28"/>
      <c r="N16" s="28"/>
      <c r="O16" s="28"/>
      <c r="P16" s="28"/>
      <c r="Q16" s="28"/>
      <c r="R16" s="28"/>
      <c r="S16" s="28"/>
      <c r="T16" s="28"/>
      <c r="U16" s="3"/>
    </row>
    <row r="17" spans="1:22" ht="14.4" outlineLevel="1" x14ac:dyDescent="0.3">
      <c r="A17" s="3"/>
      <c r="B17" s="9" t="s">
        <v>562</v>
      </c>
      <c r="C17" s="53">
        <v>21</v>
      </c>
      <c r="D17" s="53" t="s">
        <v>95</v>
      </c>
      <c r="E17" s="11">
        <v>0</v>
      </c>
      <c r="F17" s="11">
        <v>1438</v>
      </c>
      <c r="G17" s="242" t="s">
        <v>1181</v>
      </c>
      <c r="H17" s="56" t="s">
        <v>37</v>
      </c>
      <c r="I17" s="239" t="s">
        <v>1924</v>
      </c>
      <c r="J17" s="56"/>
      <c r="K17" s="28"/>
      <c r="L17" s="28"/>
      <c r="M17" s="28"/>
      <c r="N17" s="28"/>
      <c r="O17" s="28"/>
      <c r="P17" s="28"/>
      <c r="Q17" s="28"/>
      <c r="R17" s="28"/>
      <c r="S17" s="28"/>
      <c r="T17" s="28"/>
      <c r="U17" s="3"/>
    </row>
    <row r="18" spans="1:22" ht="14.4" outlineLevel="1" x14ac:dyDescent="0.3">
      <c r="A18" s="3"/>
      <c r="B18" s="9" t="s">
        <v>564</v>
      </c>
      <c r="C18" s="53">
        <v>21</v>
      </c>
      <c r="D18" s="53" t="s">
        <v>95</v>
      </c>
      <c r="E18" s="11">
        <v>0</v>
      </c>
      <c r="F18" s="11">
        <v>819</v>
      </c>
      <c r="G18" s="213"/>
      <c r="H18" s="56" t="s">
        <v>37</v>
      </c>
      <c r="I18" s="213"/>
      <c r="J18" s="56"/>
      <c r="K18" s="28"/>
      <c r="L18" s="28"/>
      <c r="M18" s="28"/>
      <c r="N18" s="28"/>
      <c r="O18" s="28"/>
      <c r="P18" s="28"/>
      <c r="Q18" s="28"/>
      <c r="R18" s="28"/>
      <c r="S18" s="28"/>
      <c r="T18" s="28"/>
      <c r="U18" s="3"/>
    </row>
    <row r="19" spans="1:22" ht="14.4" outlineLevel="1" x14ac:dyDescent="0.3">
      <c r="A19" s="3"/>
      <c r="B19" s="9" t="s">
        <v>565</v>
      </c>
      <c r="C19" s="53">
        <v>21</v>
      </c>
      <c r="D19" s="53" t="s">
        <v>95</v>
      </c>
      <c r="E19" s="11">
        <v>0</v>
      </c>
      <c r="F19" s="11">
        <v>100</v>
      </c>
      <c r="G19" s="213"/>
      <c r="H19" s="56" t="s">
        <v>37</v>
      </c>
      <c r="I19" s="213"/>
      <c r="J19" s="56"/>
      <c r="K19" s="28"/>
      <c r="L19" s="28"/>
      <c r="M19" s="28"/>
      <c r="N19" s="28"/>
      <c r="O19" s="28"/>
      <c r="P19" s="28"/>
      <c r="Q19" s="28"/>
      <c r="R19" s="28"/>
      <c r="S19" s="28"/>
      <c r="T19" s="28"/>
      <c r="U19" s="3"/>
    </row>
    <row r="20" spans="1:22" ht="14.4" outlineLevel="1" x14ac:dyDescent="0.3">
      <c r="A20" s="3"/>
      <c r="B20" s="9" t="s">
        <v>566</v>
      </c>
      <c r="C20" s="53">
        <v>21</v>
      </c>
      <c r="D20" s="53" t="s">
        <v>95</v>
      </c>
      <c r="E20" s="11">
        <v>0</v>
      </c>
      <c r="F20" s="11">
        <v>100</v>
      </c>
      <c r="G20" s="213"/>
      <c r="H20" s="56" t="s">
        <v>37</v>
      </c>
      <c r="I20" s="213"/>
      <c r="J20" s="56"/>
      <c r="K20" s="28"/>
      <c r="L20" s="28"/>
      <c r="M20" s="28"/>
      <c r="N20" s="28"/>
      <c r="O20" s="28"/>
      <c r="P20" s="28"/>
      <c r="Q20" s="28"/>
      <c r="R20" s="28"/>
      <c r="S20" s="28"/>
      <c r="T20" s="28"/>
      <c r="U20" s="3"/>
    </row>
    <row r="21" spans="1:22" ht="14.4" outlineLevel="1" x14ac:dyDescent="0.3">
      <c r="A21" s="3"/>
      <c r="B21" s="9" t="s">
        <v>567</v>
      </c>
      <c r="C21" s="53">
        <v>21</v>
      </c>
      <c r="D21" s="53" t="s">
        <v>95</v>
      </c>
      <c r="E21" s="11">
        <v>0</v>
      </c>
      <c r="F21" s="11">
        <v>400</v>
      </c>
      <c r="G21" s="214"/>
      <c r="H21" s="56" t="s">
        <v>37</v>
      </c>
      <c r="I21" s="214"/>
      <c r="J21" s="56"/>
      <c r="K21" s="28"/>
      <c r="L21" s="28"/>
      <c r="M21" s="28"/>
      <c r="N21" s="28"/>
      <c r="O21" s="28"/>
      <c r="P21" s="28"/>
      <c r="Q21" s="28"/>
      <c r="R21" s="28"/>
      <c r="S21" s="28"/>
      <c r="T21" s="28"/>
      <c r="U21" s="3"/>
    </row>
    <row r="22" spans="1:22" ht="14.4" outlineLevel="1" x14ac:dyDescent="0.3">
      <c r="A22" s="3"/>
      <c r="B22" s="9" t="s">
        <v>568</v>
      </c>
      <c r="C22" s="53">
        <v>27</v>
      </c>
      <c r="D22" s="53" t="s">
        <v>95</v>
      </c>
      <c r="E22" s="11">
        <v>0</v>
      </c>
      <c r="F22" s="11">
        <v>160</v>
      </c>
      <c r="G22" s="237" t="s">
        <v>1925</v>
      </c>
      <c r="H22" s="56" t="s">
        <v>37</v>
      </c>
      <c r="I22" s="239" t="s">
        <v>1926</v>
      </c>
      <c r="J22" s="56"/>
      <c r="K22" s="28"/>
      <c r="L22" s="28"/>
      <c r="M22" s="28"/>
      <c r="N22" s="28"/>
      <c r="O22" s="28"/>
      <c r="P22" s="28"/>
      <c r="Q22" s="28"/>
      <c r="R22" s="28"/>
      <c r="S22" s="28"/>
      <c r="T22" s="28"/>
      <c r="U22" s="3"/>
      <c r="V22" s="14"/>
    </row>
    <row r="23" spans="1:22" ht="14.4" outlineLevel="1" x14ac:dyDescent="0.3">
      <c r="A23" s="3"/>
      <c r="B23" s="9" t="s">
        <v>571</v>
      </c>
      <c r="C23" s="53">
        <v>27</v>
      </c>
      <c r="D23" s="53" t="s">
        <v>95</v>
      </c>
      <c r="E23" s="11">
        <v>0</v>
      </c>
      <c r="F23" s="11">
        <v>480</v>
      </c>
      <c r="G23" s="213"/>
      <c r="H23" s="56" t="s">
        <v>37</v>
      </c>
      <c r="I23" s="213"/>
      <c r="J23" s="56"/>
      <c r="K23" s="28"/>
      <c r="L23" s="28"/>
      <c r="M23" s="28"/>
      <c r="N23" s="28"/>
      <c r="O23" s="28"/>
      <c r="P23" s="28"/>
      <c r="Q23" s="28"/>
      <c r="R23" s="28"/>
      <c r="S23" s="28"/>
      <c r="T23" s="28"/>
      <c r="U23" s="3"/>
      <c r="V23" s="14"/>
    </row>
    <row r="24" spans="1:22" ht="14.4" outlineLevel="1" x14ac:dyDescent="0.3">
      <c r="A24" s="3"/>
      <c r="B24" s="9" t="s">
        <v>572</v>
      </c>
      <c r="C24" s="53">
        <v>27</v>
      </c>
      <c r="D24" s="53" t="s">
        <v>95</v>
      </c>
      <c r="E24" s="11">
        <v>0</v>
      </c>
      <c r="F24" s="11">
        <v>530</v>
      </c>
      <c r="G24" s="213"/>
      <c r="H24" s="56" t="s">
        <v>37</v>
      </c>
      <c r="I24" s="213"/>
      <c r="J24" s="56"/>
      <c r="K24" s="28"/>
      <c r="L24" s="28"/>
      <c r="M24" s="28"/>
      <c r="N24" s="28"/>
      <c r="O24" s="28"/>
      <c r="P24" s="28"/>
      <c r="Q24" s="28"/>
      <c r="R24" s="28"/>
      <c r="S24" s="28"/>
      <c r="T24" s="28"/>
      <c r="U24" s="3"/>
      <c r="V24" s="14"/>
    </row>
    <row r="25" spans="1:22" ht="14.4" outlineLevel="1" x14ac:dyDescent="0.3">
      <c r="A25" s="3"/>
      <c r="B25" s="9" t="s">
        <v>573</v>
      </c>
      <c r="C25" s="53">
        <v>27</v>
      </c>
      <c r="D25" s="53" t="s">
        <v>95</v>
      </c>
      <c r="E25" s="11">
        <v>0</v>
      </c>
      <c r="F25" s="11">
        <v>30</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outlineLevel="1" x14ac:dyDescent="0.3">
      <c r="A28" s="3"/>
      <c r="B28" s="9" t="s">
        <v>1927</v>
      </c>
      <c r="C28" s="53">
        <v>27</v>
      </c>
      <c r="D28" s="53" t="s">
        <v>95</v>
      </c>
      <c r="E28" s="11">
        <v>0</v>
      </c>
      <c r="F28" s="11">
        <v>890</v>
      </c>
      <c r="G28" s="214"/>
      <c r="H28" s="56" t="s">
        <v>37</v>
      </c>
      <c r="I28" s="214"/>
      <c r="J28" s="56"/>
      <c r="K28" s="28"/>
      <c r="L28" s="28"/>
      <c r="M28" s="28"/>
      <c r="N28" s="28"/>
      <c r="O28" s="28"/>
      <c r="P28" s="28"/>
      <c r="Q28" s="28"/>
      <c r="R28" s="28"/>
      <c r="S28" s="28"/>
      <c r="T28" s="28"/>
      <c r="U28" s="3"/>
      <c r="V28" s="14"/>
    </row>
    <row r="29" spans="1:22" ht="14.4" outlineLevel="1" x14ac:dyDescent="0.3">
      <c r="A29" s="3"/>
      <c r="B29" s="9" t="s">
        <v>293</v>
      </c>
      <c r="C29" s="53">
        <v>21</v>
      </c>
      <c r="D29" s="53" t="s">
        <v>95</v>
      </c>
      <c r="E29" s="11">
        <v>0</v>
      </c>
      <c r="F29" s="11">
        <v>117</v>
      </c>
      <c r="G29" s="56"/>
      <c r="H29" s="56" t="s">
        <v>37</v>
      </c>
      <c r="I29" s="102" t="s">
        <v>1928</v>
      </c>
      <c r="J29" s="56"/>
      <c r="K29" s="28"/>
      <c r="L29" s="28"/>
      <c r="M29" s="28"/>
      <c r="N29" s="28"/>
      <c r="O29" s="28"/>
      <c r="P29" s="28"/>
      <c r="Q29" s="28"/>
      <c r="R29" s="28"/>
      <c r="S29" s="28"/>
      <c r="T29" s="28"/>
      <c r="U29" s="3"/>
      <c r="V29" s="14"/>
    </row>
    <row r="30" spans="1:22" ht="14.4" outlineLevel="1" x14ac:dyDescent="0.3">
      <c r="A30" s="3"/>
      <c r="B30" s="9" t="s">
        <v>295</v>
      </c>
      <c r="C30" s="53">
        <v>14</v>
      </c>
      <c r="D30" s="53" t="s">
        <v>95</v>
      </c>
      <c r="E30" s="11">
        <v>0</v>
      </c>
      <c r="F30" s="11">
        <f>2383.26-80</f>
        <v>2303.2600000000002</v>
      </c>
      <c r="G30" s="80" t="s">
        <v>1929</v>
      </c>
      <c r="H30" s="56" t="s">
        <v>37</v>
      </c>
      <c r="I30" s="102" t="s">
        <v>1930</v>
      </c>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44"/>
      <c r="J31" s="56"/>
      <c r="K31" s="28"/>
      <c r="L31" s="28"/>
      <c r="M31" s="28"/>
      <c r="N31" s="28"/>
      <c r="O31" s="28"/>
      <c r="P31" s="28"/>
      <c r="Q31" s="28"/>
      <c r="R31" s="28"/>
      <c r="S31" s="28"/>
      <c r="T31" s="28"/>
      <c r="U31" s="3"/>
    </row>
    <row r="32" spans="1:22" ht="14.4" outlineLevel="1" x14ac:dyDescent="0.3">
      <c r="A32" s="3"/>
      <c r="B32" s="9" t="s">
        <v>295</v>
      </c>
      <c r="C32" s="53">
        <v>31</v>
      </c>
      <c r="D32" s="53" t="s">
        <v>95</v>
      </c>
      <c r="E32" s="11">
        <v>0</v>
      </c>
      <c r="F32" s="11">
        <f>1652.09-80</f>
        <v>1572.09</v>
      </c>
      <c r="G32" s="80" t="s">
        <v>1931</v>
      </c>
      <c r="H32" s="56" t="s">
        <v>37</v>
      </c>
      <c r="I32" s="102" t="s">
        <v>1932</v>
      </c>
      <c r="J32" s="56"/>
      <c r="K32" s="28"/>
      <c r="L32" s="28"/>
      <c r="M32" s="28"/>
      <c r="N32" s="28"/>
      <c r="O32" s="28"/>
      <c r="P32" s="28"/>
      <c r="Q32" s="28"/>
      <c r="R32" s="28"/>
      <c r="S32" s="28"/>
      <c r="T32" s="28"/>
      <c r="U32" s="3"/>
    </row>
    <row r="33" spans="1:26" ht="14.4" hidden="1"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20.399999999999999" x14ac:dyDescent="0.3">
      <c r="A34" s="3"/>
      <c r="B34" s="75" t="s">
        <v>301</v>
      </c>
      <c r="C34" s="76" t="s">
        <v>44</v>
      </c>
      <c r="D34" s="76" t="s">
        <v>44</v>
      </c>
      <c r="E34" s="77">
        <f>SUM(E35:E37)</f>
        <v>0</v>
      </c>
      <c r="F34" s="77">
        <f>SUMIF(D35:D37,"OK",F35:F37)</f>
        <v>0.16</v>
      </c>
      <c r="G34" s="78"/>
      <c r="H34" s="78"/>
      <c r="I34" s="79"/>
      <c r="J34" s="78"/>
      <c r="K34" s="28"/>
      <c r="L34" s="28"/>
      <c r="M34" s="28"/>
      <c r="N34" s="28"/>
      <c r="O34" s="28"/>
      <c r="P34" s="28"/>
      <c r="Q34" s="28"/>
      <c r="R34" s="28"/>
      <c r="S34" s="28"/>
      <c r="T34" s="28"/>
      <c r="U34" s="3"/>
      <c r="W34" s="3"/>
      <c r="X34" s="3"/>
      <c r="Y34" s="3"/>
      <c r="Z34" s="3"/>
    </row>
    <row r="35" spans="1:26" ht="14.4" outlineLevel="1" x14ac:dyDescent="0.3">
      <c r="A35" s="3"/>
      <c r="B35" s="9" t="s">
        <v>584</v>
      </c>
      <c r="C35" s="53">
        <v>22</v>
      </c>
      <c r="D35" s="53" t="s">
        <v>95</v>
      </c>
      <c r="E35" s="11">
        <v>0</v>
      </c>
      <c r="F35" s="11">
        <f>0.16</f>
        <v>0.16</v>
      </c>
      <c r="G35" s="60"/>
      <c r="H35" s="56" t="s">
        <v>38</v>
      </c>
      <c r="I35" s="102" t="s">
        <v>1933</v>
      </c>
      <c r="J35" s="56"/>
      <c r="K35" s="28"/>
      <c r="L35" s="28"/>
      <c r="M35" s="28"/>
      <c r="N35" s="28"/>
      <c r="O35" s="28"/>
      <c r="P35" s="28"/>
      <c r="Q35" s="28"/>
      <c r="R35" s="28"/>
      <c r="S35" s="28"/>
      <c r="T35" s="28"/>
      <c r="U35" s="3"/>
      <c r="W35" s="3"/>
      <c r="X35" s="3"/>
      <c r="Y35" s="3"/>
      <c r="Z35" s="3"/>
    </row>
    <row r="36" spans="1:26" ht="14.4" hidden="1" outlineLevel="1" x14ac:dyDescent="0.3">
      <c r="A36" s="3"/>
      <c r="B36" s="9" t="s">
        <v>1786</v>
      </c>
      <c r="C36" s="53"/>
      <c r="D36" s="53"/>
      <c r="E36" s="11">
        <v>0</v>
      </c>
      <c r="F36" s="11">
        <v>0</v>
      </c>
      <c r="G36" s="58"/>
      <c r="H36" s="56"/>
      <c r="I36" s="144"/>
      <c r="J36" s="56"/>
      <c r="K36" s="28"/>
      <c r="L36" s="28"/>
      <c r="M36" s="28"/>
      <c r="N36" s="28"/>
      <c r="O36" s="28"/>
      <c r="P36" s="28"/>
      <c r="Q36" s="28"/>
      <c r="R36" s="28"/>
      <c r="S36" s="28"/>
      <c r="T36" s="28"/>
      <c r="U36" s="3"/>
      <c r="W36" s="3"/>
      <c r="X36" s="3"/>
      <c r="Y36" s="3"/>
      <c r="Z36" s="3"/>
    </row>
    <row r="37" spans="1:26" ht="14.4" hidden="1" outlineLevel="1" x14ac:dyDescent="0.3">
      <c r="A37" s="3"/>
      <c r="B37" s="9" t="s">
        <v>1786</v>
      </c>
      <c r="C37" s="53"/>
      <c r="D37" s="53"/>
      <c r="E37" s="11">
        <v>0</v>
      </c>
      <c r="F37" s="11">
        <v>0</v>
      </c>
      <c r="G37" s="56"/>
      <c r="H37" s="56"/>
      <c r="I37" s="144"/>
      <c r="J37" s="56"/>
      <c r="K37" s="28"/>
      <c r="L37" s="28"/>
      <c r="M37" s="28"/>
      <c r="N37" s="28"/>
      <c r="O37" s="28"/>
      <c r="P37" s="28"/>
      <c r="Q37" s="28"/>
      <c r="R37" s="28"/>
      <c r="S37" s="28"/>
      <c r="T37" s="28"/>
      <c r="U37" s="3"/>
      <c r="W37" s="3"/>
      <c r="X37" s="3"/>
      <c r="Y37" s="3"/>
      <c r="Z37" s="3"/>
    </row>
    <row r="38" spans="1:26" ht="20.399999999999999" x14ac:dyDescent="0.3">
      <c r="A38" s="3"/>
      <c r="B38" s="75" t="s">
        <v>307</v>
      </c>
      <c r="C38" s="76" t="s">
        <v>44</v>
      </c>
      <c r="D38" s="76" t="s">
        <v>44</v>
      </c>
      <c r="E38" s="77">
        <f>SUM(E39:E62)</f>
        <v>0</v>
      </c>
      <c r="F38" s="77">
        <f>SUMIF(D39:D62,"OK",F39:F62)</f>
        <v>11516.880000000001</v>
      </c>
      <c r="G38" s="78"/>
      <c r="H38" s="78"/>
      <c r="I38" s="79"/>
      <c r="J38" s="78"/>
      <c r="K38" s="28"/>
      <c r="L38" s="28"/>
      <c r="M38" s="28"/>
      <c r="N38" s="28"/>
      <c r="O38" s="28"/>
      <c r="P38" s="28"/>
      <c r="Q38" s="28"/>
      <c r="R38" s="28"/>
      <c r="S38" s="28"/>
      <c r="T38" s="28"/>
      <c r="U38" s="3"/>
      <c r="W38" s="3"/>
      <c r="X38" s="3"/>
      <c r="Y38" s="3"/>
      <c r="Z38" s="3"/>
    </row>
    <row r="39" spans="1:26" ht="14.4" outlineLevel="1" x14ac:dyDescent="0.3">
      <c r="A39" s="3"/>
      <c r="B39" s="9" t="s">
        <v>308</v>
      </c>
      <c r="C39" s="53">
        <v>20</v>
      </c>
      <c r="D39" s="53" t="s">
        <v>95</v>
      </c>
      <c r="E39" s="11">
        <v>0</v>
      </c>
      <c r="F39" s="11">
        <v>1826.94</v>
      </c>
      <c r="G39" s="56"/>
      <c r="H39" s="56" t="s">
        <v>37</v>
      </c>
      <c r="I39" s="102" t="s">
        <v>1934</v>
      </c>
      <c r="J39" s="56"/>
      <c r="K39" s="28"/>
      <c r="L39" s="28"/>
      <c r="M39" s="28"/>
      <c r="N39" s="28"/>
      <c r="O39" s="28"/>
      <c r="P39" s="28"/>
      <c r="Q39" s="28"/>
      <c r="R39" s="28"/>
      <c r="S39" s="28"/>
      <c r="T39" s="28"/>
      <c r="U39" s="3"/>
      <c r="W39" s="3"/>
      <c r="X39" s="3"/>
      <c r="Y39" s="3"/>
      <c r="Z39" s="3"/>
    </row>
    <row r="40" spans="1:26" ht="14.4" outlineLevel="1" x14ac:dyDescent="0.3">
      <c r="A40" s="3"/>
      <c r="B40" s="9" t="s">
        <v>590</v>
      </c>
      <c r="C40" s="53">
        <v>19</v>
      </c>
      <c r="D40" s="53" t="s">
        <v>95</v>
      </c>
      <c r="E40" s="11">
        <v>0</v>
      </c>
      <c r="F40" s="11">
        <v>650</v>
      </c>
      <c r="G40" s="56"/>
      <c r="H40" s="56" t="s">
        <v>37</v>
      </c>
      <c r="I40" s="102" t="s">
        <v>1935</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44"/>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outlineLevel="1" x14ac:dyDescent="0.3">
      <c r="A43" s="3"/>
      <c r="B43" s="9" t="s">
        <v>315</v>
      </c>
      <c r="C43" s="53">
        <v>13</v>
      </c>
      <c r="D43" s="53" t="s">
        <v>95</v>
      </c>
      <c r="E43" s="11">
        <v>0</v>
      </c>
      <c r="F43" s="11">
        <v>84.9</v>
      </c>
      <c r="G43" s="56"/>
      <c r="H43" s="56" t="s">
        <v>37</v>
      </c>
      <c r="I43" s="102" t="s">
        <v>1936</v>
      </c>
      <c r="J43" s="56"/>
      <c r="K43" s="28"/>
      <c r="L43" s="28"/>
      <c r="M43" s="28"/>
      <c r="N43" s="28"/>
      <c r="O43" s="28"/>
      <c r="P43" s="28"/>
      <c r="Q43" s="28"/>
      <c r="R43" s="28"/>
      <c r="S43" s="28"/>
      <c r="T43" s="28"/>
      <c r="U43" s="3"/>
      <c r="W43" s="3"/>
      <c r="X43" s="3"/>
      <c r="Y43" s="3"/>
      <c r="Z43" s="3"/>
    </row>
    <row r="44" spans="1:26" ht="14.4" hidden="1" outlineLevel="1" x14ac:dyDescent="0.3">
      <c r="A44" s="3"/>
      <c r="B44" s="9" t="s">
        <v>317</v>
      </c>
      <c r="C44" s="53"/>
      <c r="D44" s="53"/>
      <c r="E44" s="11">
        <v>0</v>
      </c>
      <c r="F44" s="11">
        <v>0</v>
      </c>
      <c r="G44" s="80"/>
      <c r="H44" s="56"/>
      <c r="I44" s="144"/>
      <c r="J44" s="56"/>
      <c r="K44" s="28"/>
      <c r="L44" s="28"/>
      <c r="M44" s="28"/>
      <c r="N44" s="28"/>
      <c r="O44" s="28"/>
      <c r="P44" s="28"/>
      <c r="Q44" s="28"/>
      <c r="R44" s="28"/>
      <c r="S44" s="28"/>
      <c r="T44" s="28"/>
      <c r="U44" s="3"/>
      <c r="W44" s="3"/>
      <c r="X44" s="3"/>
      <c r="Y44" s="3"/>
      <c r="Z44" s="3"/>
    </row>
    <row r="45" spans="1:26" ht="14.4" hidden="1" outlineLevel="1" x14ac:dyDescent="0.3">
      <c r="A45" s="3"/>
      <c r="B45" s="9" t="s">
        <v>317</v>
      </c>
      <c r="C45" s="53"/>
      <c r="D45" s="53"/>
      <c r="E45" s="11">
        <v>0</v>
      </c>
      <c r="F45" s="11">
        <v>0</v>
      </c>
      <c r="G45" s="56"/>
      <c r="H45" s="56"/>
      <c r="I45" s="144"/>
      <c r="J45" s="56"/>
      <c r="K45" s="28"/>
      <c r="L45" s="28"/>
      <c r="M45" s="28"/>
      <c r="N45" s="28"/>
      <c r="O45" s="28"/>
      <c r="P45" s="28"/>
      <c r="Q45" s="28"/>
      <c r="R45" s="28"/>
      <c r="S45" s="28"/>
      <c r="T45" s="28"/>
      <c r="U45" s="3"/>
      <c r="W45" s="3"/>
      <c r="X45" s="3"/>
      <c r="Y45" s="3"/>
      <c r="Z45" s="3"/>
    </row>
    <row r="46" spans="1:26" ht="14.4" outlineLevel="1" x14ac:dyDescent="0.3">
      <c r="A46" s="3"/>
      <c r="B46" s="9" t="s">
        <v>1194</v>
      </c>
      <c r="C46" s="53">
        <v>9</v>
      </c>
      <c r="D46" s="53" t="s">
        <v>95</v>
      </c>
      <c r="E46" s="11">
        <v>0</v>
      </c>
      <c r="F46" s="11">
        <v>264.02</v>
      </c>
      <c r="G46" s="56" t="s">
        <v>597</v>
      </c>
      <c r="H46" s="56" t="s">
        <v>37</v>
      </c>
      <c r="I46" s="102" t="s">
        <v>1937</v>
      </c>
      <c r="J46" s="56"/>
      <c r="K46" s="28"/>
      <c r="L46" s="28"/>
      <c r="M46" s="28"/>
      <c r="N46" s="28"/>
      <c r="O46" s="28"/>
      <c r="P46" s="28"/>
      <c r="Q46" s="28"/>
      <c r="R46" s="28"/>
      <c r="S46" s="28"/>
      <c r="T46" s="28"/>
      <c r="U46" s="3"/>
      <c r="W46" s="3"/>
      <c r="X46" s="3"/>
      <c r="Y46" s="3"/>
      <c r="Z46" s="3"/>
    </row>
    <row r="47" spans="1:26" ht="14.4" outlineLevel="1" x14ac:dyDescent="0.3">
      <c r="A47" s="3"/>
      <c r="B47" s="9" t="s">
        <v>1197</v>
      </c>
      <c r="C47" s="53">
        <v>2</v>
      </c>
      <c r="D47" s="53" t="s">
        <v>95</v>
      </c>
      <c r="E47" s="11">
        <v>0</v>
      </c>
      <c r="F47" s="11">
        <v>448.33</v>
      </c>
      <c r="G47" s="80" t="s">
        <v>1938</v>
      </c>
      <c r="H47" s="56" t="s">
        <v>37</v>
      </c>
      <c r="I47" s="102" t="s">
        <v>1939</v>
      </c>
      <c r="J47" s="56"/>
      <c r="K47" s="28"/>
      <c r="L47" s="28"/>
      <c r="M47" s="28"/>
      <c r="N47" s="28"/>
      <c r="O47" s="28"/>
      <c r="P47" s="28"/>
      <c r="Q47" s="28"/>
      <c r="R47" s="28"/>
      <c r="S47" s="28"/>
      <c r="T47" s="28"/>
      <c r="U47" s="3"/>
      <c r="W47" s="3"/>
      <c r="X47" s="3"/>
      <c r="Y47" s="3"/>
      <c r="Z47" s="3"/>
    </row>
    <row r="48" spans="1:26" ht="14.4" outlineLevel="1" x14ac:dyDescent="0.3">
      <c r="A48" s="3"/>
      <c r="B48" s="9" t="s">
        <v>1799</v>
      </c>
      <c r="C48" s="53">
        <v>2</v>
      </c>
      <c r="D48" s="53" t="s">
        <v>95</v>
      </c>
      <c r="E48" s="11">
        <v>0</v>
      </c>
      <c r="F48" s="11">
        <v>365.42</v>
      </c>
      <c r="G48" s="56" t="s">
        <v>1350</v>
      </c>
      <c r="H48" s="56" t="s">
        <v>37</v>
      </c>
      <c r="I48" s="102" t="s">
        <v>1940</v>
      </c>
      <c r="J48" s="56"/>
      <c r="K48" s="28"/>
      <c r="L48" s="28"/>
      <c r="M48" s="28"/>
      <c r="N48" s="28"/>
      <c r="O48" s="28"/>
      <c r="P48" s="28"/>
      <c r="Q48" s="28"/>
      <c r="R48" s="28"/>
      <c r="S48" s="28"/>
      <c r="T48" s="28"/>
      <c r="U48" s="3"/>
      <c r="W48" s="3"/>
      <c r="X48" s="3"/>
      <c r="Y48" s="3"/>
      <c r="Z48" s="3"/>
    </row>
    <row r="49" spans="1:26" ht="14.4" outlineLevel="1" x14ac:dyDescent="0.3">
      <c r="A49" s="3"/>
      <c r="B49" s="9" t="s">
        <v>1801</v>
      </c>
      <c r="C49" s="53">
        <v>6</v>
      </c>
      <c r="D49" s="53" t="s">
        <v>95</v>
      </c>
      <c r="E49" s="11">
        <v>0</v>
      </c>
      <c r="F49" s="11">
        <v>225.93</v>
      </c>
      <c r="G49" s="56" t="s">
        <v>1941</v>
      </c>
      <c r="H49" s="56" t="s">
        <v>37</v>
      </c>
      <c r="I49" s="102" t="s">
        <v>1942</v>
      </c>
      <c r="J49" s="56"/>
      <c r="K49" s="28"/>
      <c r="L49" s="28"/>
      <c r="M49" s="28"/>
      <c r="N49" s="28"/>
      <c r="O49" s="28"/>
      <c r="P49" s="28"/>
      <c r="Q49" s="28"/>
      <c r="R49" s="28"/>
      <c r="S49" s="28"/>
      <c r="T49" s="28"/>
      <c r="U49" s="3"/>
      <c r="W49" s="3"/>
      <c r="X49" s="3"/>
      <c r="Y49" s="3"/>
      <c r="Z49" s="3"/>
    </row>
    <row r="50" spans="1:26" ht="14.4" outlineLevel="1" x14ac:dyDescent="0.3">
      <c r="A50" s="3"/>
      <c r="B50" s="9" t="s">
        <v>1943</v>
      </c>
      <c r="C50" s="53">
        <v>29</v>
      </c>
      <c r="D50" s="53" t="s">
        <v>95</v>
      </c>
      <c r="E50" s="11">
        <v>0</v>
      </c>
      <c r="F50" s="11">
        <v>1000</v>
      </c>
      <c r="G50" s="80" t="s">
        <v>1944</v>
      </c>
      <c r="H50" s="56" t="s">
        <v>37</v>
      </c>
      <c r="I50" s="102" t="s">
        <v>1945</v>
      </c>
      <c r="J50" s="56"/>
      <c r="K50" s="28"/>
      <c r="L50" s="28"/>
      <c r="M50" s="28"/>
      <c r="N50" s="28"/>
      <c r="O50" s="28"/>
      <c r="P50" s="28"/>
      <c r="Q50" s="28"/>
      <c r="R50" s="28"/>
      <c r="S50" s="28"/>
      <c r="T50" s="28"/>
      <c r="U50" s="3"/>
      <c r="W50" s="3"/>
      <c r="X50" s="3"/>
      <c r="Y50" s="3"/>
      <c r="Z50" s="3"/>
    </row>
    <row r="51" spans="1:26" ht="14.4" outlineLevel="1" x14ac:dyDescent="0.3">
      <c r="A51" s="3"/>
      <c r="B51" s="9" t="s">
        <v>1946</v>
      </c>
      <c r="C51" s="53">
        <v>27</v>
      </c>
      <c r="D51" s="53" t="s">
        <v>95</v>
      </c>
      <c r="E51" s="11">
        <v>0</v>
      </c>
      <c r="F51" s="11">
        <v>6651.34</v>
      </c>
      <c r="G51" s="56"/>
      <c r="H51" s="56" t="s">
        <v>38</v>
      </c>
      <c r="I51" s="102" t="s">
        <v>1947</v>
      </c>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56"/>
      <c r="H52" s="56"/>
      <c r="I52" s="102"/>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17"/>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44"/>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44"/>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44"/>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44"/>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44"/>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44"/>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44"/>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44"/>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44"/>
      <c r="J62" s="56"/>
      <c r="K62" s="28"/>
      <c r="L62" s="28"/>
      <c r="M62" s="28"/>
      <c r="N62" s="28"/>
      <c r="O62" s="28"/>
      <c r="P62" s="28"/>
      <c r="Q62" s="28"/>
      <c r="R62" s="28"/>
      <c r="S62" s="28"/>
      <c r="T62" s="28"/>
      <c r="U62" s="3"/>
      <c r="W62" s="3"/>
      <c r="X62" s="3"/>
      <c r="Y62" s="3"/>
      <c r="Z62" s="3"/>
    </row>
    <row r="63" spans="1:26" ht="20.399999999999999" x14ac:dyDescent="0.3">
      <c r="A63" s="3"/>
      <c r="B63" s="75" t="s">
        <v>330</v>
      </c>
      <c r="C63" s="76" t="s">
        <v>44</v>
      </c>
      <c r="D63" s="76" t="s">
        <v>44</v>
      </c>
      <c r="E63" s="77">
        <f>SUM(E64:E89)</f>
        <v>0</v>
      </c>
      <c r="F63" s="77">
        <f>SUMIF(D64:D89,"OK",F64:F89)</f>
        <v>2081.8000000000002</v>
      </c>
      <c r="G63" s="78"/>
      <c r="H63" s="78"/>
      <c r="I63" s="79"/>
      <c r="J63" s="78"/>
      <c r="K63" s="28"/>
      <c r="L63" s="28"/>
      <c r="M63" s="28"/>
      <c r="N63" s="28"/>
      <c r="O63" s="28"/>
      <c r="P63" s="28"/>
      <c r="Q63" s="28"/>
      <c r="R63" s="28"/>
      <c r="S63" s="28"/>
      <c r="T63" s="28"/>
      <c r="U63" s="3"/>
    </row>
    <row r="64" spans="1:26" ht="14.4" hidden="1" outlineLevel="1" x14ac:dyDescent="0.3">
      <c r="A64" s="3"/>
      <c r="B64" s="9" t="s">
        <v>1200</v>
      </c>
      <c r="C64" s="71"/>
      <c r="D64" s="53"/>
      <c r="E64" s="11">
        <v>0</v>
      </c>
      <c r="F64" s="11">
        <v>0</v>
      </c>
      <c r="G64" s="56"/>
      <c r="H64" s="56"/>
      <c r="I64" s="145"/>
      <c r="J64" s="80"/>
      <c r="K64" s="28"/>
      <c r="L64" s="28"/>
      <c r="M64" s="28"/>
      <c r="N64" s="28"/>
      <c r="O64" s="28"/>
      <c r="P64" s="28"/>
      <c r="Q64" s="28"/>
      <c r="R64" s="28"/>
      <c r="S64" s="28"/>
      <c r="T64" s="28"/>
      <c r="U64" s="3"/>
      <c r="V64" s="14"/>
    </row>
    <row r="65" spans="1:22" ht="14.4" hidden="1" outlineLevel="1" x14ac:dyDescent="0.3">
      <c r="A65" s="3"/>
      <c r="B65" s="9" t="s">
        <v>1200</v>
      </c>
      <c r="C65" s="71"/>
      <c r="D65" s="53"/>
      <c r="E65" s="11">
        <v>0</v>
      </c>
      <c r="F65" s="11">
        <v>0</v>
      </c>
      <c r="G65" s="56"/>
      <c r="H65" s="56"/>
      <c r="I65" s="145"/>
      <c r="J65" s="80"/>
      <c r="K65" s="28"/>
      <c r="L65" s="28"/>
      <c r="M65" s="28"/>
      <c r="N65" s="28"/>
      <c r="O65" s="28"/>
      <c r="P65" s="28"/>
      <c r="Q65" s="28"/>
      <c r="R65" s="28"/>
      <c r="S65" s="28"/>
      <c r="T65" s="28"/>
      <c r="U65" s="3"/>
      <c r="V65" s="14"/>
    </row>
    <row r="66" spans="1:22" ht="14.4" hidden="1" outlineLevel="1" x14ac:dyDescent="0.3">
      <c r="A66" s="3"/>
      <c r="B66" s="9" t="s">
        <v>1200</v>
      </c>
      <c r="C66" s="71"/>
      <c r="D66" s="53"/>
      <c r="E66" s="11">
        <v>0</v>
      </c>
      <c r="F66" s="11">
        <v>0</v>
      </c>
      <c r="G66" s="56"/>
      <c r="H66" s="56"/>
      <c r="I66" s="145"/>
      <c r="J66" s="80"/>
      <c r="K66" s="28"/>
      <c r="L66" s="28"/>
      <c r="M66" s="28"/>
      <c r="N66" s="28"/>
      <c r="O66" s="28"/>
      <c r="P66" s="28"/>
      <c r="Q66" s="28"/>
      <c r="R66" s="28"/>
      <c r="S66" s="28"/>
      <c r="T66" s="28"/>
      <c r="U66" s="3"/>
      <c r="V66" s="14"/>
    </row>
    <row r="67" spans="1:22" ht="14.4" hidden="1" outlineLevel="1" x14ac:dyDescent="0.3">
      <c r="A67" s="3"/>
      <c r="B67" s="9" t="s">
        <v>1200</v>
      </c>
      <c r="C67" s="71"/>
      <c r="D67" s="53"/>
      <c r="E67" s="11">
        <v>0</v>
      </c>
      <c r="F67" s="11">
        <v>0</v>
      </c>
      <c r="G67" s="56"/>
      <c r="H67" s="56"/>
      <c r="I67" s="145"/>
      <c r="J67" s="80"/>
      <c r="K67" s="28"/>
      <c r="L67" s="28"/>
      <c r="M67" s="28"/>
      <c r="N67" s="28"/>
      <c r="O67" s="28"/>
      <c r="P67" s="28"/>
      <c r="Q67" s="28"/>
      <c r="R67" s="28"/>
      <c r="S67" s="28"/>
      <c r="T67" s="28"/>
      <c r="U67" s="3"/>
      <c r="V67" s="14"/>
    </row>
    <row r="68" spans="1:22" ht="14.4" hidden="1" outlineLevel="1" x14ac:dyDescent="0.3">
      <c r="A68" s="3"/>
      <c r="B68" s="9" t="s">
        <v>1200</v>
      </c>
      <c r="C68" s="71"/>
      <c r="D68" s="53"/>
      <c r="E68" s="11">
        <v>0</v>
      </c>
      <c r="F68" s="11">
        <v>0</v>
      </c>
      <c r="G68" s="56"/>
      <c r="H68" s="56"/>
      <c r="I68" s="145"/>
      <c r="J68" s="80"/>
      <c r="K68" s="28"/>
      <c r="L68" s="28"/>
      <c r="M68" s="28"/>
      <c r="N68" s="28"/>
      <c r="O68" s="28"/>
      <c r="P68" s="28"/>
      <c r="Q68" s="28"/>
      <c r="R68" s="28"/>
      <c r="S68" s="28"/>
      <c r="T68" s="28"/>
      <c r="U68" s="3"/>
      <c r="V68" s="14"/>
    </row>
    <row r="69" spans="1:22" ht="14.4" hidden="1" outlineLevel="1" x14ac:dyDescent="0.3">
      <c r="A69" s="3"/>
      <c r="B69" s="9" t="s">
        <v>1948</v>
      </c>
      <c r="C69" s="71"/>
      <c r="D69" s="53"/>
      <c r="E69" s="11">
        <v>0</v>
      </c>
      <c r="F69" s="11">
        <v>0</v>
      </c>
      <c r="G69" s="56"/>
      <c r="H69" s="56"/>
      <c r="I69" s="102"/>
      <c r="J69" s="80"/>
      <c r="K69" s="28"/>
      <c r="L69" s="28"/>
      <c r="M69" s="28"/>
      <c r="N69" s="28"/>
      <c r="O69" s="28"/>
      <c r="P69" s="28"/>
      <c r="Q69" s="28"/>
      <c r="R69" s="28"/>
      <c r="S69" s="28"/>
      <c r="T69" s="28"/>
      <c r="U69" s="3"/>
      <c r="V69" s="14"/>
    </row>
    <row r="70" spans="1:22" ht="14.4" hidden="1" outlineLevel="1" x14ac:dyDescent="0.3">
      <c r="A70" s="3"/>
      <c r="B70" s="9" t="s">
        <v>1948</v>
      </c>
      <c r="C70" s="71"/>
      <c r="D70" s="53"/>
      <c r="E70" s="11">
        <v>0</v>
      </c>
      <c r="F70" s="11">
        <v>0</v>
      </c>
      <c r="G70" s="56"/>
      <c r="H70" s="56"/>
      <c r="I70" s="102"/>
      <c r="J70" s="80"/>
      <c r="K70" s="28"/>
      <c r="L70" s="28"/>
      <c r="M70" s="28"/>
      <c r="N70" s="28"/>
      <c r="O70" s="28"/>
      <c r="P70" s="28"/>
      <c r="Q70" s="28"/>
      <c r="R70" s="28"/>
      <c r="S70" s="28"/>
      <c r="T70" s="28"/>
      <c r="U70" s="3"/>
      <c r="V70" s="14"/>
    </row>
    <row r="71" spans="1:22" ht="14.4" outlineLevel="1" x14ac:dyDescent="0.3">
      <c r="A71" s="3"/>
      <c r="B71" s="9" t="s">
        <v>1203</v>
      </c>
      <c r="C71" s="71">
        <v>19</v>
      </c>
      <c r="D71" s="53" t="s">
        <v>95</v>
      </c>
      <c r="E71" s="11">
        <v>0</v>
      </c>
      <c r="F71" s="11">
        <v>930.32</v>
      </c>
      <c r="G71" s="56"/>
      <c r="H71" s="56" t="s">
        <v>37</v>
      </c>
      <c r="I71" s="102" t="s">
        <v>1949</v>
      </c>
      <c r="J71" s="80"/>
      <c r="K71" s="28"/>
      <c r="L71" s="28"/>
      <c r="M71" s="28"/>
      <c r="N71" s="28"/>
      <c r="O71" s="28"/>
      <c r="P71" s="28"/>
      <c r="Q71" s="28"/>
      <c r="R71" s="28"/>
      <c r="S71" s="28"/>
      <c r="T71" s="28"/>
      <c r="U71" s="3"/>
      <c r="V71" s="14"/>
    </row>
    <row r="72" spans="1:22" ht="14.4" outlineLevel="1" x14ac:dyDescent="0.3">
      <c r="A72" s="3"/>
      <c r="B72" s="9" t="s">
        <v>1203</v>
      </c>
      <c r="C72" s="71">
        <v>19</v>
      </c>
      <c r="D72" s="53" t="s">
        <v>95</v>
      </c>
      <c r="E72" s="11">
        <v>0</v>
      </c>
      <c r="F72" s="11">
        <v>32</v>
      </c>
      <c r="G72" s="56"/>
      <c r="H72" s="56" t="s">
        <v>37</v>
      </c>
      <c r="I72" s="102" t="s">
        <v>1950</v>
      </c>
      <c r="J72" s="80"/>
      <c r="K72" s="28"/>
      <c r="L72" s="28"/>
      <c r="M72" s="28"/>
      <c r="N72" s="28"/>
      <c r="O72" s="28"/>
      <c r="P72" s="28"/>
      <c r="Q72" s="28"/>
      <c r="R72" s="28"/>
      <c r="S72" s="28"/>
      <c r="T72" s="28"/>
      <c r="U72" s="3"/>
      <c r="V72" s="14"/>
    </row>
    <row r="73" spans="1:22" ht="14.4" outlineLevel="1" x14ac:dyDescent="0.3">
      <c r="A73" s="3"/>
      <c r="B73" s="9" t="s">
        <v>1203</v>
      </c>
      <c r="C73" s="71">
        <v>22</v>
      </c>
      <c r="D73" s="53" t="s">
        <v>95</v>
      </c>
      <c r="E73" s="11">
        <v>0</v>
      </c>
      <c r="F73" s="11">
        <v>70</v>
      </c>
      <c r="G73" s="56" t="s">
        <v>788</v>
      </c>
      <c r="H73" s="56" t="s">
        <v>37</v>
      </c>
      <c r="I73" s="102" t="s">
        <v>1951</v>
      </c>
      <c r="J73" s="80"/>
      <c r="K73" s="28"/>
      <c r="L73" s="28"/>
      <c r="M73" s="28"/>
      <c r="N73" s="28"/>
      <c r="O73" s="28"/>
      <c r="P73" s="28"/>
      <c r="Q73" s="28"/>
      <c r="R73" s="28"/>
      <c r="S73" s="28"/>
      <c r="T73" s="28"/>
      <c r="U73" s="3"/>
      <c r="V73" s="14"/>
    </row>
    <row r="74" spans="1:22" ht="14.4" hidden="1" outlineLevel="1" x14ac:dyDescent="0.3">
      <c r="A74" s="3"/>
      <c r="B74" s="9" t="s">
        <v>1203</v>
      </c>
      <c r="C74" s="71"/>
      <c r="D74" s="53"/>
      <c r="E74" s="11">
        <v>0</v>
      </c>
      <c r="F74" s="11">
        <v>0</v>
      </c>
      <c r="G74" s="56"/>
      <c r="H74" s="56"/>
      <c r="I74" s="102"/>
      <c r="J74" s="80"/>
      <c r="K74" s="28"/>
      <c r="L74" s="28"/>
      <c r="M74" s="28"/>
      <c r="N74" s="28"/>
      <c r="O74" s="28"/>
      <c r="P74" s="28"/>
      <c r="Q74" s="28"/>
      <c r="R74" s="28"/>
      <c r="S74" s="28"/>
      <c r="T74" s="28"/>
      <c r="U74" s="3"/>
      <c r="V74" s="14"/>
    </row>
    <row r="75" spans="1:22" ht="14.4" hidden="1" outlineLevel="1" x14ac:dyDescent="0.3">
      <c r="A75" s="3"/>
      <c r="B75" s="9" t="s">
        <v>1203</v>
      </c>
      <c r="C75" s="71"/>
      <c r="D75" s="53"/>
      <c r="E75" s="11">
        <v>0</v>
      </c>
      <c r="F75" s="11">
        <v>0</v>
      </c>
      <c r="G75" s="56"/>
      <c r="H75" s="56"/>
      <c r="I75" s="102"/>
      <c r="J75" s="80"/>
      <c r="K75" s="28"/>
      <c r="L75" s="28"/>
      <c r="M75" s="28"/>
      <c r="N75" s="28"/>
      <c r="O75" s="28"/>
      <c r="P75" s="28"/>
      <c r="Q75" s="28"/>
      <c r="R75" s="28"/>
      <c r="S75" s="28"/>
      <c r="T75" s="28"/>
      <c r="U75" s="3"/>
      <c r="V75" s="14"/>
    </row>
    <row r="76" spans="1:22" ht="14.4" hidden="1" outlineLevel="1" x14ac:dyDescent="0.3">
      <c r="A76" s="3"/>
      <c r="B76" s="9" t="s">
        <v>1203</v>
      </c>
      <c r="C76" s="71"/>
      <c r="D76" s="53"/>
      <c r="E76" s="11">
        <v>0</v>
      </c>
      <c r="F76" s="11">
        <v>0</v>
      </c>
      <c r="G76" s="56"/>
      <c r="H76" s="56"/>
      <c r="I76" s="102"/>
      <c r="J76" s="80"/>
      <c r="K76" s="28"/>
      <c r="L76" s="28"/>
      <c r="M76" s="28"/>
      <c r="N76" s="28"/>
      <c r="O76" s="28"/>
      <c r="P76" s="28"/>
      <c r="Q76" s="28"/>
      <c r="R76" s="28"/>
      <c r="S76" s="28"/>
      <c r="T76" s="28"/>
      <c r="U76" s="3"/>
      <c r="V76" s="14"/>
    </row>
    <row r="77" spans="1:22" ht="14.4" hidden="1" outlineLevel="1" x14ac:dyDescent="0.3">
      <c r="A77" s="3"/>
      <c r="B77" s="9" t="s">
        <v>331</v>
      </c>
      <c r="C77" s="71"/>
      <c r="D77" s="53"/>
      <c r="E77" s="11">
        <v>0</v>
      </c>
      <c r="F77" s="11">
        <v>0</v>
      </c>
      <c r="G77" s="56"/>
      <c r="H77" s="56"/>
      <c r="I77" s="102"/>
      <c r="J77" s="80"/>
      <c r="K77" s="28"/>
      <c r="L77" s="28"/>
      <c r="M77" s="28"/>
      <c r="N77" s="28"/>
      <c r="O77" s="28"/>
      <c r="P77" s="28"/>
      <c r="Q77" s="28"/>
      <c r="R77" s="28"/>
      <c r="S77" s="28"/>
      <c r="T77" s="28"/>
      <c r="U77" s="3"/>
      <c r="V77" s="14"/>
    </row>
    <row r="78" spans="1:22" ht="14.4" hidden="1" outlineLevel="1" x14ac:dyDescent="0.3">
      <c r="A78" s="3"/>
      <c r="B78" s="9" t="s">
        <v>331</v>
      </c>
      <c r="C78" s="71"/>
      <c r="D78" s="53"/>
      <c r="E78" s="11">
        <v>0</v>
      </c>
      <c r="F78" s="11">
        <v>0</v>
      </c>
      <c r="G78" s="56"/>
      <c r="H78" s="56"/>
      <c r="I78" s="102"/>
      <c r="J78" s="80"/>
      <c r="K78" s="28"/>
      <c r="L78" s="28"/>
      <c r="M78" s="28"/>
      <c r="N78" s="28"/>
      <c r="O78" s="28"/>
      <c r="P78" s="28"/>
      <c r="Q78" s="28"/>
      <c r="R78" s="28"/>
      <c r="S78" s="28"/>
      <c r="T78" s="28"/>
      <c r="U78" s="3"/>
      <c r="V78" s="14"/>
    </row>
    <row r="79" spans="1:22" ht="14.4" hidden="1" outlineLevel="1" x14ac:dyDescent="0.3">
      <c r="A79" s="3"/>
      <c r="B79" s="9" t="s">
        <v>331</v>
      </c>
      <c r="C79" s="71"/>
      <c r="D79" s="53"/>
      <c r="E79" s="11">
        <v>0</v>
      </c>
      <c r="F79" s="11">
        <v>0</v>
      </c>
      <c r="G79" s="56"/>
      <c r="H79" s="56"/>
      <c r="I79" s="102"/>
      <c r="J79" s="80"/>
      <c r="K79" s="28"/>
      <c r="L79" s="28"/>
      <c r="M79" s="28"/>
      <c r="N79" s="28"/>
      <c r="O79" s="28"/>
      <c r="P79" s="28"/>
      <c r="Q79" s="28"/>
      <c r="R79" s="28"/>
      <c r="S79" s="28"/>
      <c r="T79" s="28"/>
      <c r="U79" s="3"/>
      <c r="V79" s="14"/>
    </row>
    <row r="80" spans="1:22" ht="14.4" outlineLevel="1" x14ac:dyDescent="0.3">
      <c r="A80" s="3"/>
      <c r="B80" s="9" t="s">
        <v>335</v>
      </c>
      <c r="C80" s="53">
        <v>9</v>
      </c>
      <c r="D80" s="53" t="s">
        <v>95</v>
      </c>
      <c r="E80" s="11">
        <v>0</v>
      </c>
      <c r="F80" s="11">
        <v>200</v>
      </c>
      <c r="G80" s="80"/>
      <c r="H80" s="56" t="s">
        <v>37</v>
      </c>
      <c r="I80" s="102" t="s">
        <v>1952</v>
      </c>
      <c r="J80" s="56"/>
      <c r="K80" s="28"/>
      <c r="L80" s="28"/>
      <c r="M80" s="28"/>
      <c r="N80" s="28"/>
      <c r="O80" s="28"/>
      <c r="P80" s="28"/>
      <c r="Q80" s="28"/>
      <c r="R80" s="28"/>
      <c r="S80" s="28"/>
      <c r="T80" s="28"/>
      <c r="U80" s="3"/>
    </row>
    <row r="81" spans="1:26" ht="14.4" outlineLevel="1" x14ac:dyDescent="0.3">
      <c r="A81" s="3"/>
      <c r="B81" s="9" t="s">
        <v>335</v>
      </c>
      <c r="C81" s="53">
        <v>14</v>
      </c>
      <c r="D81" s="53" t="s">
        <v>95</v>
      </c>
      <c r="E81" s="11">
        <v>0</v>
      </c>
      <c r="F81" s="11">
        <v>176</v>
      </c>
      <c r="G81" s="56"/>
      <c r="H81" s="56" t="s">
        <v>37</v>
      </c>
      <c r="I81" s="102" t="s">
        <v>1953</v>
      </c>
      <c r="J81" s="56"/>
      <c r="K81" s="28"/>
      <c r="L81" s="28"/>
      <c r="M81" s="28"/>
      <c r="N81" s="28"/>
      <c r="O81" s="28"/>
      <c r="P81" s="28"/>
      <c r="Q81" s="28"/>
      <c r="R81" s="28"/>
      <c r="S81" s="28"/>
      <c r="T81" s="28"/>
      <c r="U81" s="3"/>
    </row>
    <row r="82" spans="1:26" ht="14.4" hidden="1" outlineLevel="1" x14ac:dyDescent="0.3">
      <c r="A82" s="3"/>
      <c r="B82" s="9" t="s">
        <v>628</v>
      </c>
      <c r="C82" s="71"/>
      <c r="D82" s="53"/>
      <c r="E82" s="11">
        <v>0</v>
      </c>
      <c r="F82" s="11">
        <v>0</v>
      </c>
      <c r="G82" s="56"/>
      <c r="H82" s="56"/>
      <c r="I82" s="145"/>
      <c r="J82" s="80"/>
      <c r="K82" s="28"/>
      <c r="L82" s="28"/>
      <c r="M82" s="28"/>
      <c r="N82" s="28"/>
      <c r="O82" s="28"/>
      <c r="P82" s="28"/>
      <c r="Q82" s="28"/>
      <c r="R82" s="28"/>
      <c r="S82" s="28"/>
      <c r="T82" s="28"/>
      <c r="U82" s="3"/>
    </row>
    <row r="83" spans="1:26" ht="14.4" outlineLevel="1" x14ac:dyDescent="0.3">
      <c r="A83" s="3"/>
      <c r="B83" s="9" t="s">
        <v>630</v>
      </c>
      <c r="C83" s="71">
        <v>19</v>
      </c>
      <c r="D83" s="53" t="s">
        <v>95</v>
      </c>
      <c r="E83" s="11">
        <v>0</v>
      </c>
      <c r="F83" s="11">
        <v>160.30000000000001</v>
      </c>
      <c r="G83" s="56"/>
      <c r="H83" s="56" t="s">
        <v>37</v>
      </c>
      <c r="I83" s="102" t="s">
        <v>1954</v>
      </c>
      <c r="J83" s="80"/>
      <c r="K83" s="28"/>
      <c r="L83" s="28"/>
      <c r="M83" s="28"/>
      <c r="N83" s="28"/>
      <c r="O83" s="28"/>
      <c r="P83" s="28"/>
      <c r="Q83" s="28"/>
      <c r="R83" s="28"/>
      <c r="S83" s="28"/>
      <c r="T83" s="28"/>
      <c r="U83" s="3"/>
    </row>
    <row r="84" spans="1:26" ht="14.4" outlineLevel="1" x14ac:dyDescent="0.3">
      <c r="A84" s="3"/>
      <c r="B84" s="9" t="s">
        <v>1955</v>
      </c>
      <c r="C84" s="71">
        <v>30</v>
      </c>
      <c r="D84" s="53" t="s">
        <v>95</v>
      </c>
      <c r="E84" s="11">
        <v>0</v>
      </c>
      <c r="F84" s="11">
        <v>103.11</v>
      </c>
      <c r="G84" s="56"/>
      <c r="H84" s="56" t="s">
        <v>37</v>
      </c>
      <c r="I84" s="102" t="s">
        <v>1956</v>
      </c>
      <c r="J84" s="80"/>
      <c r="K84" s="28"/>
      <c r="L84" s="28"/>
      <c r="M84" s="28"/>
      <c r="N84" s="28"/>
      <c r="O84" s="28"/>
      <c r="P84" s="28"/>
      <c r="Q84" s="28"/>
      <c r="R84" s="28"/>
      <c r="S84" s="28"/>
      <c r="T84" s="28"/>
      <c r="U84" s="3"/>
    </row>
    <row r="85" spans="1:26" ht="14.4" outlineLevel="1" x14ac:dyDescent="0.3">
      <c r="A85" s="3"/>
      <c r="B85" s="9" t="s">
        <v>1955</v>
      </c>
      <c r="C85" s="71">
        <v>30</v>
      </c>
      <c r="D85" s="53" t="s">
        <v>95</v>
      </c>
      <c r="E85" s="11">
        <v>0</v>
      </c>
      <c r="F85" s="11">
        <v>40.43</v>
      </c>
      <c r="G85" s="56"/>
      <c r="H85" s="56" t="s">
        <v>37</v>
      </c>
      <c r="I85" s="102" t="s">
        <v>1957</v>
      </c>
      <c r="J85" s="80"/>
      <c r="K85" s="28"/>
      <c r="L85" s="28"/>
      <c r="M85" s="28"/>
      <c r="N85" s="28"/>
      <c r="O85" s="28"/>
      <c r="P85" s="28"/>
      <c r="Q85" s="28"/>
      <c r="R85" s="28"/>
      <c r="S85" s="28"/>
      <c r="T85" s="28"/>
      <c r="U85" s="3"/>
    </row>
    <row r="86" spans="1:26" ht="14.4" outlineLevel="1" x14ac:dyDescent="0.3">
      <c r="A86" s="3"/>
      <c r="B86" s="9" t="s">
        <v>1958</v>
      </c>
      <c r="C86" s="71">
        <v>1</v>
      </c>
      <c r="D86" s="53" t="s">
        <v>95</v>
      </c>
      <c r="E86" s="11">
        <v>0</v>
      </c>
      <c r="F86" s="11">
        <v>369.64</v>
      </c>
      <c r="G86" s="56"/>
      <c r="H86" s="56" t="s">
        <v>37</v>
      </c>
      <c r="I86" s="102" t="s">
        <v>1959</v>
      </c>
      <c r="J86" s="80"/>
      <c r="K86" s="28"/>
      <c r="L86" s="28"/>
      <c r="M86" s="28"/>
      <c r="N86" s="28"/>
      <c r="O86" s="28"/>
      <c r="P86" s="28"/>
      <c r="Q86" s="28"/>
      <c r="R86" s="28"/>
      <c r="S86" s="28"/>
      <c r="T86" s="28"/>
      <c r="U86" s="3"/>
    </row>
    <row r="87" spans="1:26" ht="14.4" hidden="1" outlineLevel="1" x14ac:dyDescent="0.3">
      <c r="A87" s="3"/>
      <c r="B87" s="9" t="s">
        <v>1612</v>
      </c>
      <c r="C87" s="71"/>
      <c r="D87" s="53"/>
      <c r="E87" s="11">
        <v>0</v>
      </c>
      <c r="F87" s="11">
        <v>0</v>
      </c>
      <c r="G87" s="56"/>
      <c r="H87" s="56"/>
      <c r="I87" s="144"/>
      <c r="J87" s="56"/>
      <c r="K87" s="28"/>
      <c r="L87" s="28"/>
      <c r="M87" s="28"/>
      <c r="N87" s="28"/>
      <c r="O87" s="28"/>
      <c r="P87" s="28"/>
      <c r="Q87" s="28"/>
      <c r="R87" s="28"/>
      <c r="S87" s="28"/>
      <c r="T87" s="28"/>
      <c r="U87" s="3"/>
      <c r="W87" s="3"/>
      <c r="X87" s="3"/>
      <c r="Y87" s="3"/>
      <c r="Z87" s="3"/>
    </row>
    <row r="88" spans="1:26" ht="14.4" hidden="1" outlineLevel="1" x14ac:dyDescent="0.3">
      <c r="A88" s="3"/>
      <c r="B88" s="9" t="s">
        <v>331</v>
      </c>
      <c r="C88" s="53"/>
      <c r="D88" s="53"/>
      <c r="E88" s="11">
        <v>0</v>
      </c>
      <c r="F88" s="11">
        <v>0</v>
      </c>
      <c r="G88" s="56"/>
      <c r="H88" s="56"/>
      <c r="I88" s="102"/>
      <c r="J88" s="56"/>
      <c r="K88" s="28"/>
      <c r="L88" s="28"/>
      <c r="M88" s="28"/>
      <c r="N88" s="28"/>
      <c r="O88" s="28"/>
      <c r="P88" s="28"/>
      <c r="Q88" s="28"/>
      <c r="R88" s="28"/>
      <c r="S88" s="28"/>
      <c r="T88" s="28"/>
      <c r="U88" s="3"/>
      <c r="W88" s="3"/>
      <c r="X88" s="3"/>
      <c r="Y88" s="3"/>
      <c r="Z88" s="3"/>
    </row>
    <row r="89" spans="1:26" ht="14.4" hidden="1" outlineLevel="1" x14ac:dyDescent="0.3">
      <c r="A89" s="3"/>
      <c r="B89" s="9" t="s">
        <v>812</v>
      </c>
      <c r="C89" s="53"/>
      <c r="D89" s="53"/>
      <c r="E89" s="11">
        <v>0</v>
      </c>
      <c r="F89" s="11">
        <v>0</v>
      </c>
      <c r="G89" s="80"/>
      <c r="H89" s="56"/>
      <c r="I89" s="144"/>
      <c r="J89" s="56"/>
      <c r="K89" s="28"/>
      <c r="L89" s="28"/>
      <c r="M89" s="28"/>
      <c r="N89" s="28"/>
      <c r="O89" s="28"/>
      <c r="P89" s="28"/>
      <c r="Q89" s="28"/>
      <c r="R89" s="28"/>
      <c r="S89" s="28"/>
      <c r="T89" s="28"/>
      <c r="U89" s="3"/>
      <c r="W89" s="3"/>
      <c r="X89" s="3"/>
      <c r="Y89" s="3"/>
      <c r="Z89" s="3"/>
    </row>
    <row r="90" spans="1:26" ht="20.399999999999999" x14ac:dyDescent="0.3">
      <c r="A90" s="3"/>
      <c r="B90" s="75" t="s">
        <v>349</v>
      </c>
      <c r="C90" s="76" t="s">
        <v>44</v>
      </c>
      <c r="D90" s="76" t="s">
        <v>44</v>
      </c>
      <c r="E90" s="77">
        <f t="shared" ref="E90:F90" si="0">SUM(E91,E109,E115)</f>
        <v>0</v>
      </c>
      <c r="F90" s="77">
        <f t="shared" si="0"/>
        <v>7038.6500000000015</v>
      </c>
      <c r="G90" s="78"/>
      <c r="H90" s="78"/>
      <c r="I90" s="79"/>
      <c r="J90" s="78"/>
      <c r="K90" s="28"/>
      <c r="L90" s="28"/>
      <c r="M90" s="28"/>
      <c r="N90" s="28"/>
      <c r="O90" s="28"/>
      <c r="P90" s="28"/>
      <c r="Q90" s="28"/>
      <c r="R90" s="28"/>
      <c r="S90" s="28"/>
      <c r="T90" s="28"/>
      <c r="U90" s="3"/>
      <c r="W90" s="3"/>
      <c r="X90" s="3"/>
      <c r="Y90" s="3"/>
      <c r="Z90" s="3"/>
    </row>
    <row r="91" spans="1:26" outlineLevel="1" x14ac:dyDescent="0.3">
      <c r="A91" s="3"/>
      <c r="B91" s="82" t="s">
        <v>350</v>
      </c>
      <c r="C91" s="83"/>
      <c r="D91" s="83"/>
      <c r="E91" s="84">
        <f>SUM(E92:E106)</f>
        <v>0</v>
      </c>
      <c r="F91" s="84">
        <f>SUMIF(D92:D108,"OK",F92:F108)</f>
        <v>6022.9600000000009</v>
      </c>
      <c r="G91" s="85"/>
      <c r="H91" s="85"/>
      <c r="I91" s="86"/>
      <c r="J91" s="85"/>
      <c r="K91" s="28"/>
      <c r="L91" s="28"/>
      <c r="M91" s="28"/>
      <c r="N91" s="28"/>
      <c r="O91" s="28"/>
      <c r="P91" s="28"/>
      <c r="Q91" s="28"/>
      <c r="R91" s="28"/>
      <c r="S91" s="28"/>
      <c r="T91" s="28"/>
      <c r="U91" s="3"/>
      <c r="W91" s="3"/>
      <c r="X91" s="3"/>
      <c r="Y91" s="3"/>
      <c r="Z91" s="3"/>
    </row>
    <row r="92" spans="1:26" ht="14.4" outlineLevel="1" x14ac:dyDescent="0.3">
      <c r="A92" s="3"/>
      <c r="B92" s="9" t="s">
        <v>363</v>
      </c>
      <c r="C92" s="53">
        <v>3</v>
      </c>
      <c r="D92" s="53" t="s">
        <v>95</v>
      </c>
      <c r="E92" s="11">
        <v>0</v>
      </c>
      <c r="F92" s="11">
        <v>72</v>
      </c>
      <c r="G92" s="56"/>
      <c r="H92" s="56" t="s">
        <v>37</v>
      </c>
      <c r="I92" s="102" t="s">
        <v>1960</v>
      </c>
      <c r="J92" s="56"/>
      <c r="K92" s="28"/>
      <c r="L92" s="28"/>
      <c r="M92" s="28"/>
      <c r="N92" s="28"/>
      <c r="O92" s="28"/>
      <c r="P92" s="28"/>
      <c r="Q92" s="28"/>
      <c r="R92" s="28"/>
      <c r="S92" s="28"/>
      <c r="T92" s="28"/>
      <c r="U92" s="3"/>
      <c r="W92" s="3"/>
      <c r="X92" s="3"/>
      <c r="Y92" s="3"/>
      <c r="Z92" s="3"/>
    </row>
    <row r="93" spans="1:26" ht="14.4" outlineLevel="1" x14ac:dyDescent="0.3">
      <c r="A93" s="3"/>
      <c r="B93" s="9" t="s">
        <v>363</v>
      </c>
      <c r="C93" s="53">
        <v>3</v>
      </c>
      <c r="D93" s="53" t="s">
        <v>95</v>
      </c>
      <c r="E93" s="11">
        <v>0</v>
      </c>
      <c r="F93" s="11">
        <v>151.82</v>
      </c>
      <c r="G93" s="56"/>
      <c r="H93" s="56" t="s">
        <v>37</v>
      </c>
      <c r="I93" s="102" t="s">
        <v>1961</v>
      </c>
      <c r="J93" s="56"/>
      <c r="K93" s="28"/>
      <c r="L93" s="28"/>
      <c r="M93" s="28"/>
      <c r="N93" s="28"/>
      <c r="O93" s="28"/>
      <c r="P93" s="28"/>
      <c r="Q93" s="28"/>
      <c r="R93" s="28"/>
      <c r="S93" s="28"/>
      <c r="T93" s="28"/>
      <c r="U93" s="3"/>
      <c r="W93" s="3"/>
      <c r="X93" s="3"/>
      <c r="Y93" s="3"/>
      <c r="Z93" s="3"/>
    </row>
    <row r="94" spans="1:26" ht="14.4" outlineLevel="1" x14ac:dyDescent="0.3">
      <c r="A94" s="3"/>
      <c r="B94" s="9" t="s">
        <v>363</v>
      </c>
      <c r="C94" s="53">
        <v>3</v>
      </c>
      <c r="D94" s="53" t="s">
        <v>95</v>
      </c>
      <c r="E94" s="11">
        <v>0</v>
      </c>
      <c r="F94" s="11">
        <v>1744.33</v>
      </c>
      <c r="G94" s="56"/>
      <c r="H94" s="56" t="s">
        <v>37</v>
      </c>
      <c r="I94" s="102" t="s">
        <v>1962</v>
      </c>
      <c r="J94" s="56"/>
      <c r="K94" s="28"/>
      <c r="L94" s="28"/>
      <c r="M94" s="28"/>
      <c r="N94" s="28"/>
      <c r="O94" s="28"/>
      <c r="P94" s="28"/>
      <c r="Q94" s="28"/>
      <c r="R94" s="28"/>
      <c r="S94" s="28"/>
      <c r="T94" s="28"/>
      <c r="U94" s="3"/>
      <c r="W94" s="3"/>
      <c r="X94" s="3"/>
      <c r="Y94" s="3"/>
      <c r="Z94" s="3"/>
    </row>
    <row r="95" spans="1:26" ht="14.4" outlineLevel="1" x14ac:dyDescent="0.3">
      <c r="A95" s="3"/>
      <c r="B95" s="9" t="s">
        <v>363</v>
      </c>
      <c r="C95" s="53">
        <v>3</v>
      </c>
      <c r="D95" s="53" t="s">
        <v>95</v>
      </c>
      <c r="E95" s="11">
        <v>0</v>
      </c>
      <c r="F95" s="11">
        <v>136.06</v>
      </c>
      <c r="G95" s="56"/>
      <c r="H95" s="56" t="s">
        <v>37</v>
      </c>
      <c r="I95" s="102" t="s">
        <v>1963</v>
      </c>
      <c r="J95" s="56"/>
      <c r="K95" s="28"/>
      <c r="L95" s="28"/>
      <c r="M95" s="28"/>
      <c r="N95" s="28"/>
      <c r="O95" s="28"/>
      <c r="P95" s="28"/>
      <c r="Q95" s="28"/>
      <c r="R95" s="28"/>
      <c r="S95" s="28"/>
      <c r="T95" s="28"/>
      <c r="U95" s="3"/>
      <c r="W95" s="3"/>
      <c r="X95" s="3"/>
      <c r="Y95" s="3"/>
      <c r="Z95" s="3"/>
    </row>
    <row r="96" spans="1:26" ht="14.4" outlineLevel="1" x14ac:dyDescent="0.3">
      <c r="A96" s="3"/>
      <c r="B96" s="9" t="s">
        <v>363</v>
      </c>
      <c r="C96" s="53">
        <v>3</v>
      </c>
      <c r="D96" s="53" t="s">
        <v>95</v>
      </c>
      <c r="E96" s="11">
        <v>0</v>
      </c>
      <c r="F96" s="11">
        <v>1557.84</v>
      </c>
      <c r="G96" s="56"/>
      <c r="H96" s="56" t="s">
        <v>37</v>
      </c>
      <c r="I96" s="102" t="s">
        <v>1964</v>
      </c>
      <c r="J96" s="56"/>
      <c r="K96" s="28"/>
      <c r="L96" s="28"/>
      <c r="M96" s="28"/>
      <c r="N96" s="28"/>
      <c r="O96" s="28"/>
      <c r="P96" s="28"/>
      <c r="Q96" s="28"/>
      <c r="R96" s="28"/>
      <c r="S96" s="28"/>
      <c r="T96" s="28"/>
      <c r="U96" s="3"/>
      <c r="W96" s="3"/>
      <c r="X96" s="3"/>
      <c r="Y96" s="3"/>
      <c r="Z96" s="3"/>
    </row>
    <row r="97" spans="1:26" ht="14.4" outlineLevel="1" x14ac:dyDescent="0.3">
      <c r="A97" s="3"/>
      <c r="B97" s="9" t="s">
        <v>363</v>
      </c>
      <c r="C97" s="53">
        <v>3</v>
      </c>
      <c r="D97" s="53" t="s">
        <v>95</v>
      </c>
      <c r="E97" s="11">
        <v>0</v>
      </c>
      <c r="F97" s="11">
        <v>71.03</v>
      </c>
      <c r="G97" s="56"/>
      <c r="H97" s="56" t="s">
        <v>37</v>
      </c>
      <c r="I97" s="102" t="s">
        <v>1965</v>
      </c>
      <c r="J97" s="56"/>
      <c r="K97" s="28"/>
      <c r="L97" s="28"/>
      <c r="M97" s="28"/>
      <c r="N97" s="28"/>
      <c r="O97" s="28"/>
      <c r="P97" s="28"/>
      <c r="Q97" s="28"/>
      <c r="R97" s="28"/>
      <c r="S97" s="28"/>
      <c r="T97" s="28"/>
      <c r="U97" s="3"/>
      <c r="W97" s="3"/>
      <c r="X97" s="3"/>
      <c r="Y97" s="3"/>
      <c r="Z97" s="3"/>
    </row>
    <row r="98" spans="1:26" ht="14.4" outlineLevel="1" x14ac:dyDescent="0.3">
      <c r="A98" s="3"/>
      <c r="B98" s="9" t="s">
        <v>363</v>
      </c>
      <c r="C98" s="53">
        <v>3</v>
      </c>
      <c r="D98" s="53" t="s">
        <v>95</v>
      </c>
      <c r="E98" s="11">
        <v>0</v>
      </c>
      <c r="F98" s="11">
        <v>482.2</v>
      </c>
      <c r="G98" s="56"/>
      <c r="H98" s="56" t="s">
        <v>37</v>
      </c>
      <c r="I98" s="102" t="s">
        <v>1966</v>
      </c>
      <c r="J98" s="56"/>
      <c r="K98" s="28"/>
      <c r="L98" s="28"/>
      <c r="M98" s="28"/>
      <c r="N98" s="28"/>
      <c r="O98" s="28"/>
      <c r="P98" s="28"/>
      <c r="Q98" s="28"/>
      <c r="R98" s="28"/>
      <c r="S98" s="28"/>
      <c r="T98" s="28"/>
      <c r="U98" s="3"/>
      <c r="W98" s="3"/>
      <c r="X98" s="3"/>
      <c r="Y98" s="3"/>
      <c r="Z98" s="3"/>
    </row>
    <row r="99" spans="1:26" ht="14.4" outlineLevel="1" x14ac:dyDescent="0.3">
      <c r="A99" s="3"/>
      <c r="B99" s="9" t="s">
        <v>363</v>
      </c>
      <c r="C99" s="53">
        <v>3</v>
      </c>
      <c r="D99" s="53" t="s">
        <v>95</v>
      </c>
      <c r="E99" s="11">
        <v>0</v>
      </c>
      <c r="F99" s="11">
        <v>144.5</v>
      </c>
      <c r="G99" s="56"/>
      <c r="H99" s="56" t="s">
        <v>37</v>
      </c>
      <c r="I99" s="102" t="s">
        <v>1967</v>
      </c>
      <c r="J99" s="56"/>
      <c r="K99" s="28"/>
      <c r="L99" s="28"/>
      <c r="M99" s="28"/>
      <c r="N99" s="28"/>
      <c r="O99" s="28"/>
      <c r="P99" s="28"/>
      <c r="Q99" s="28"/>
      <c r="R99" s="28"/>
      <c r="S99" s="28"/>
      <c r="T99" s="28"/>
      <c r="U99" s="3"/>
      <c r="W99" s="3"/>
      <c r="X99" s="3"/>
      <c r="Y99" s="3"/>
      <c r="Z99" s="3"/>
    </row>
    <row r="100" spans="1:26" ht="14.4" outlineLevel="1" x14ac:dyDescent="0.3">
      <c r="A100" s="3"/>
      <c r="B100" s="9" t="s">
        <v>363</v>
      </c>
      <c r="C100" s="53">
        <v>3</v>
      </c>
      <c r="D100" s="53" t="s">
        <v>95</v>
      </c>
      <c r="E100" s="11">
        <v>0</v>
      </c>
      <c r="F100" s="11">
        <v>96</v>
      </c>
      <c r="G100" s="56"/>
      <c r="H100" s="56" t="s">
        <v>37</v>
      </c>
      <c r="I100" s="102" t="s">
        <v>1968</v>
      </c>
      <c r="J100" s="56"/>
      <c r="K100" s="28"/>
      <c r="L100" s="28"/>
      <c r="M100" s="28"/>
      <c r="N100" s="28"/>
      <c r="O100" s="28"/>
      <c r="P100" s="28"/>
      <c r="Q100" s="28"/>
      <c r="R100" s="28"/>
      <c r="S100" s="28"/>
      <c r="T100" s="28"/>
      <c r="U100" s="3"/>
      <c r="W100" s="3"/>
      <c r="X100" s="3"/>
      <c r="Y100" s="3"/>
      <c r="Z100" s="3"/>
    </row>
    <row r="101" spans="1:26" ht="14.4" outlineLevel="1" x14ac:dyDescent="0.3">
      <c r="A101" s="3"/>
      <c r="B101" s="9" t="s">
        <v>363</v>
      </c>
      <c r="C101" s="53">
        <v>3</v>
      </c>
      <c r="D101" s="53" t="s">
        <v>95</v>
      </c>
      <c r="E101" s="11">
        <v>0</v>
      </c>
      <c r="F101" s="11">
        <v>605</v>
      </c>
      <c r="G101" s="56"/>
      <c r="H101" s="56" t="s">
        <v>37</v>
      </c>
      <c r="I101" s="102" t="s">
        <v>1969</v>
      </c>
      <c r="J101" s="56"/>
      <c r="K101" s="28"/>
      <c r="L101" s="28"/>
      <c r="M101" s="28"/>
      <c r="N101" s="28"/>
      <c r="O101" s="28"/>
      <c r="P101" s="28"/>
      <c r="Q101" s="28"/>
      <c r="R101" s="28"/>
      <c r="S101" s="28"/>
      <c r="T101" s="28"/>
      <c r="U101" s="3"/>
      <c r="W101" s="3"/>
      <c r="X101" s="3"/>
      <c r="Y101" s="3"/>
      <c r="Z101" s="3"/>
    </row>
    <row r="102" spans="1:26" ht="14.4" outlineLevel="1" x14ac:dyDescent="0.3">
      <c r="A102" s="3"/>
      <c r="B102" s="9" t="s">
        <v>363</v>
      </c>
      <c r="C102" s="53">
        <v>3</v>
      </c>
      <c r="D102" s="53" t="s">
        <v>95</v>
      </c>
      <c r="E102" s="11">
        <v>0</v>
      </c>
      <c r="F102" s="11">
        <v>165</v>
      </c>
      <c r="G102" s="56" t="s">
        <v>788</v>
      </c>
      <c r="H102" s="56" t="s">
        <v>37</v>
      </c>
      <c r="I102" s="102" t="s">
        <v>1951</v>
      </c>
      <c r="J102" s="56"/>
      <c r="K102" s="28"/>
      <c r="L102" s="28"/>
      <c r="M102" s="28"/>
      <c r="N102" s="28"/>
      <c r="O102" s="28"/>
      <c r="P102" s="28"/>
      <c r="Q102" s="28"/>
      <c r="R102" s="28"/>
      <c r="S102" s="28"/>
      <c r="T102" s="28"/>
      <c r="U102" s="3"/>
      <c r="W102" s="3"/>
      <c r="X102" s="3"/>
      <c r="Y102" s="3"/>
      <c r="Z102" s="3"/>
    </row>
    <row r="103" spans="1:26" ht="14.4" outlineLevel="1" x14ac:dyDescent="0.3">
      <c r="A103" s="3"/>
      <c r="B103" s="9" t="s">
        <v>363</v>
      </c>
      <c r="C103" s="53">
        <v>3</v>
      </c>
      <c r="D103" s="53" t="s">
        <v>95</v>
      </c>
      <c r="E103" s="11">
        <v>0</v>
      </c>
      <c r="F103" s="11">
        <v>124.91</v>
      </c>
      <c r="G103" s="56"/>
      <c r="H103" s="56" t="s">
        <v>37</v>
      </c>
      <c r="I103" s="102" t="s">
        <v>1970</v>
      </c>
      <c r="J103" s="56"/>
      <c r="K103" s="28"/>
      <c r="L103" s="28"/>
      <c r="M103" s="28"/>
      <c r="N103" s="28"/>
      <c r="O103" s="28"/>
      <c r="P103" s="28"/>
      <c r="Q103" s="28"/>
      <c r="R103" s="28"/>
      <c r="S103" s="28"/>
      <c r="T103" s="28"/>
      <c r="U103" s="3"/>
      <c r="W103" s="3"/>
      <c r="X103" s="3"/>
      <c r="Y103" s="3"/>
      <c r="Z103" s="3"/>
    </row>
    <row r="104" spans="1:26" ht="14.4" outlineLevel="1" x14ac:dyDescent="0.3">
      <c r="A104" s="3"/>
      <c r="B104" s="9" t="s">
        <v>812</v>
      </c>
      <c r="C104" s="53">
        <v>3</v>
      </c>
      <c r="D104" s="53" t="s">
        <v>95</v>
      </c>
      <c r="E104" s="11">
        <v>0</v>
      </c>
      <c r="F104" s="11">
        <v>120</v>
      </c>
      <c r="G104" s="56"/>
      <c r="H104" s="56" t="s">
        <v>37</v>
      </c>
      <c r="I104" s="102" t="s">
        <v>1971</v>
      </c>
      <c r="J104" s="56"/>
      <c r="K104" s="28"/>
      <c r="L104" s="28"/>
      <c r="M104" s="28"/>
      <c r="N104" s="28"/>
      <c r="O104" s="28"/>
      <c r="P104" s="28"/>
      <c r="Q104" s="28"/>
      <c r="R104" s="28"/>
      <c r="S104" s="28"/>
      <c r="T104" s="28"/>
      <c r="U104" s="3"/>
      <c r="W104" s="3"/>
      <c r="X104" s="3"/>
      <c r="Y104" s="3"/>
      <c r="Z104" s="3"/>
    </row>
    <row r="105" spans="1:26" ht="14.4" outlineLevel="1" x14ac:dyDescent="0.3">
      <c r="A105" s="3"/>
      <c r="B105" s="9" t="s">
        <v>994</v>
      </c>
      <c r="C105" s="53">
        <v>3</v>
      </c>
      <c r="D105" s="53" t="s">
        <v>95</v>
      </c>
      <c r="E105" s="11">
        <v>0</v>
      </c>
      <c r="F105" s="11">
        <v>250</v>
      </c>
      <c r="G105" s="56"/>
      <c r="H105" s="56" t="s">
        <v>37</v>
      </c>
      <c r="I105" s="102" t="s">
        <v>1972</v>
      </c>
      <c r="J105" s="56"/>
      <c r="K105" s="28"/>
      <c r="L105" s="28"/>
      <c r="M105" s="28"/>
      <c r="N105" s="28"/>
      <c r="O105" s="28"/>
      <c r="P105" s="28"/>
      <c r="Q105" s="28"/>
      <c r="R105" s="28"/>
      <c r="S105" s="28"/>
      <c r="T105" s="28"/>
      <c r="U105" s="3"/>
      <c r="W105" s="3"/>
      <c r="X105" s="3"/>
      <c r="Y105" s="3"/>
      <c r="Z105" s="3"/>
    </row>
    <row r="106" spans="1:26" ht="14.4" outlineLevel="1" x14ac:dyDescent="0.3">
      <c r="A106" s="3"/>
      <c r="B106" s="9" t="s">
        <v>363</v>
      </c>
      <c r="C106" s="53">
        <v>5</v>
      </c>
      <c r="D106" s="53" t="s">
        <v>95</v>
      </c>
      <c r="E106" s="11">
        <v>0</v>
      </c>
      <c r="F106" s="11">
        <v>50</v>
      </c>
      <c r="G106" s="56" t="s">
        <v>1810</v>
      </c>
      <c r="H106" s="56" t="s">
        <v>37</v>
      </c>
      <c r="I106" s="102" t="s">
        <v>1973</v>
      </c>
      <c r="J106" s="56"/>
      <c r="K106" s="28"/>
      <c r="L106" s="28"/>
      <c r="M106" s="28"/>
      <c r="N106" s="28"/>
      <c r="O106" s="28"/>
      <c r="P106" s="28"/>
      <c r="Q106" s="28"/>
      <c r="R106" s="28"/>
      <c r="S106" s="28"/>
      <c r="T106" s="28"/>
      <c r="U106" s="3"/>
      <c r="W106" s="3"/>
      <c r="X106" s="3"/>
      <c r="Y106" s="3"/>
      <c r="Z106" s="3"/>
    </row>
    <row r="107" spans="1:26" ht="14.4" outlineLevel="1" x14ac:dyDescent="0.3">
      <c r="A107" s="3"/>
      <c r="B107" s="9" t="s">
        <v>363</v>
      </c>
      <c r="C107" s="53">
        <v>13</v>
      </c>
      <c r="D107" s="53" t="s">
        <v>95</v>
      </c>
      <c r="E107" s="11">
        <v>0</v>
      </c>
      <c r="F107" s="11">
        <v>82.27</v>
      </c>
      <c r="G107" s="56"/>
      <c r="H107" s="56" t="s">
        <v>37</v>
      </c>
      <c r="I107" s="102" t="s">
        <v>1974</v>
      </c>
      <c r="J107" s="56"/>
      <c r="K107" s="28"/>
      <c r="L107" s="28"/>
      <c r="M107" s="28"/>
      <c r="N107" s="28"/>
      <c r="O107" s="28"/>
      <c r="P107" s="28"/>
      <c r="Q107" s="28"/>
      <c r="R107" s="28"/>
      <c r="S107" s="28"/>
      <c r="T107" s="28"/>
      <c r="U107" s="3"/>
      <c r="W107" s="3"/>
      <c r="X107" s="3"/>
      <c r="Y107" s="3"/>
      <c r="Z107" s="3"/>
    </row>
    <row r="108" spans="1:26" ht="14.4" outlineLevel="1" x14ac:dyDescent="0.3">
      <c r="A108" s="3"/>
      <c r="B108" s="9" t="s">
        <v>363</v>
      </c>
      <c r="C108" s="53">
        <v>20</v>
      </c>
      <c r="D108" s="53" t="s">
        <v>95</v>
      </c>
      <c r="E108" s="11">
        <v>0</v>
      </c>
      <c r="F108" s="11">
        <v>170</v>
      </c>
      <c r="G108" s="56"/>
      <c r="H108" s="56" t="s">
        <v>37</v>
      </c>
      <c r="I108" s="102" t="s">
        <v>1975</v>
      </c>
      <c r="J108" s="56"/>
      <c r="K108" s="28"/>
      <c r="L108" s="28"/>
      <c r="M108" s="28"/>
      <c r="N108" s="28"/>
      <c r="O108" s="28"/>
      <c r="P108" s="28"/>
      <c r="Q108" s="28"/>
      <c r="R108" s="28"/>
      <c r="S108" s="28"/>
      <c r="T108" s="28"/>
      <c r="U108" s="3"/>
      <c r="W108" s="3"/>
      <c r="X108" s="3"/>
      <c r="Y108" s="3"/>
      <c r="Z108" s="3"/>
    </row>
    <row r="109" spans="1:26" outlineLevel="1" x14ac:dyDescent="0.3">
      <c r="A109" s="3"/>
      <c r="B109" s="82" t="s">
        <v>353</v>
      </c>
      <c r="C109" s="83"/>
      <c r="D109" s="83"/>
      <c r="E109" s="84">
        <f>SUM(E110:E113)</f>
        <v>0</v>
      </c>
      <c r="F109" s="84">
        <f>SUMIF(D110:D114,"OK",F110:F114)</f>
        <v>1015.69</v>
      </c>
      <c r="G109" s="85"/>
      <c r="H109" s="85"/>
      <c r="I109" s="86"/>
      <c r="J109" s="85"/>
      <c r="K109" s="28"/>
      <c r="L109" s="28"/>
      <c r="M109" s="28"/>
      <c r="N109" s="28"/>
      <c r="O109" s="28"/>
      <c r="P109" s="28"/>
      <c r="Q109" s="28"/>
      <c r="R109" s="28"/>
      <c r="S109" s="28"/>
      <c r="T109" s="28"/>
      <c r="U109" s="3"/>
      <c r="W109" s="3"/>
      <c r="X109" s="3"/>
      <c r="Y109" s="3"/>
      <c r="Z109" s="3"/>
    </row>
    <row r="110" spans="1:26" ht="14.4" outlineLevel="1" x14ac:dyDescent="0.3">
      <c r="A110" s="3"/>
      <c r="B110" s="9" t="s">
        <v>1976</v>
      </c>
      <c r="C110" s="53">
        <v>1</v>
      </c>
      <c r="D110" s="53" t="s">
        <v>95</v>
      </c>
      <c r="E110" s="11">
        <v>0</v>
      </c>
      <c r="F110" s="11">
        <v>280</v>
      </c>
      <c r="G110" s="56"/>
      <c r="H110" s="56" t="s">
        <v>37</v>
      </c>
      <c r="I110" s="102" t="s">
        <v>1977</v>
      </c>
      <c r="J110" s="56"/>
      <c r="K110" s="28"/>
      <c r="L110" s="28"/>
      <c r="M110" s="28"/>
      <c r="N110" s="28"/>
      <c r="O110" s="28"/>
      <c r="P110" s="28"/>
      <c r="Q110" s="28"/>
      <c r="R110" s="28"/>
      <c r="S110" s="28"/>
      <c r="T110" s="28"/>
      <c r="U110" s="3"/>
      <c r="W110" s="3"/>
      <c r="X110" s="3"/>
      <c r="Y110" s="3"/>
      <c r="Z110" s="3"/>
    </row>
    <row r="111" spans="1:26" ht="14.4" outlineLevel="1" x14ac:dyDescent="0.3">
      <c r="A111" s="3"/>
      <c r="B111" s="9" t="s">
        <v>678</v>
      </c>
      <c r="C111" s="53">
        <v>1</v>
      </c>
      <c r="D111" s="53" t="s">
        <v>95</v>
      </c>
      <c r="E111" s="11">
        <v>0</v>
      </c>
      <c r="F111" s="11">
        <v>333</v>
      </c>
      <c r="G111" s="56"/>
      <c r="H111" s="56" t="s">
        <v>37</v>
      </c>
      <c r="I111" s="102" t="s">
        <v>1978</v>
      </c>
      <c r="J111" s="56"/>
      <c r="K111" s="28"/>
      <c r="L111" s="28"/>
      <c r="M111" s="28"/>
      <c r="N111" s="28"/>
      <c r="O111" s="28"/>
      <c r="P111" s="28"/>
      <c r="Q111" s="28"/>
      <c r="R111" s="28"/>
      <c r="S111" s="28"/>
      <c r="T111" s="28"/>
      <c r="U111" s="3"/>
      <c r="W111" s="3"/>
      <c r="X111" s="3"/>
      <c r="Y111" s="3"/>
      <c r="Z111" s="3"/>
    </row>
    <row r="112" spans="1:26" ht="14.4" outlineLevel="1" x14ac:dyDescent="0.3">
      <c r="A112" s="3"/>
      <c r="B112" s="9" t="s">
        <v>1612</v>
      </c>
      <c r="C112" s="53">
        <v>2</v>
      </c>
      <c r="D112" s="53" t="s">
        <v>95</v>
      </c>
      <c r="E112" s="11">
        <v>0</v>
      </c>
      <c r="F112" s="11">
        <v>180</v>
      </c>
      <c r="G112" s="56"/>
      <c r="H112" s="56" t="s">
        <v>37</v>
      </c>
      <c r="I112" s="102" t="s">
        <v>1979</v>
      </c>
      <c r="J112" s="56"/>
      <c r="K112" s="28"/>
      <c r="L112" s="28"/>
      <c r="M112" s="28"/>
      <c r="N112" s="28"/>
      <c r="O112" s="28"/>
      <c r="P112" s="28"/>
      <c r="Q112" s="28"/>
      <c r="R112" s="28"/>
      <c r="S112" s="28"/>
      <c r="T112" s="28"/>
      <c r="U112" s="3"/>
      <c r="W112" s="3"/>
      <c r="X112" s="3"/>
      <c r="Y112" s="3"/>
      <c r="Z112" s="3"/>
    </row>
    <row r="113" spans="1:26" ht="14.4" outlineLevel="1" x14ac:dyDescent="0.3">
      <c r="A113" s="3"/>
      <c r="B113" s="9" t="s">
        <v>1980</v>
      </c>
      <c r="C113" s="53">
        <v>8</v>
      </c>
      <c r="D113" s="53" t="s">
        <v>95</v>
      </c>
      <c r="E113" s="11">
        <v>0</v>
      </c>
      <c r="F113" s="11">
        <v>59.45</v>
      </c>
      <c r="G113" s="80"/>
      <c r="H113" s="56" t="s">
        <v>37</v>
      </c>
      <c r="I113" s="102" t="s">
        <v>1981</v>
      </c>
      <c r="J113" s="56"/>
      <c r="K113" s="28"/>
      <c r="L113" s="28"/>
      <c r="M113" s="28"/>
      <c r="N113" s="28"/>
      <c r="O113" s="28"/>
      <c r="P113" s="28"/>
      <c r="Q113" s="28"/>
      <c r="R113" s="28"/>
      <c r="S113" s="28"/>
      <c r="T113" s="28"/>
      <c r="U113" s="3"/>
      <c r="W113" s="3"/>
      <c r="X113" s="3"/>
      <c r="Y113" s="3"/>
      <c r="Z113" s="3"/>
    </row>
    <row r="114" spans="1:26" ht="14.4" outlineLevel="1" x14ac:dyDescent="0.3">
      <c r="A114" s="3"/>
      <c r="B114" s="114" t="s">
        <v>1982</v>
      </c>
      <c r="C114" s="53">
        <v>13</v>
      </c>
      <c r="D114" s="53" t="s">
        <v>95</v>
      </c>
      <c r="E114" s="11">
        <v>0</v>
      </c>
      <c r="F114" s="11">
        <v>163.24</v>
      </c>
      <c r="G114" s="80"/>
      <c r="H114" s="56" t="s">
        <v>37</v>
      </c>
      <c r="I114" s="102" t="s">
        <v>1983</v>
      </c>
      <c r="J114" s="56"/>
      <c r="K114" s="28"/>
      <c r="L114" s="28"/>
      <c r="M114" s="28"/>
      <c r="N114" s="28"/>
      <c r="O114" s="28"/>
      <c r="P114" s="28"/>
      <c r="Q114" s="28"/>
      <c r="R114" s="28"/>
      <c r="S114" s="28"/>
      <c r="T114" s="28"/>
      <c r="U114" s="3"/>
      <c r="W114" s="3"/>
      <c r="X114" s="3"/>
      <c r="Y114" s="3"/>
      <c r="Z114" s="3"/>
    </row>
    <row r="115" spans="1:26" hidden="1" outlineLevel="1" x14ac:dyDescent="0.3">
      <c r="A115" s="3"/>
      <c r="B115" s="82" t="s">
        <v>357</v>
      </c>
      <c r="C115" s="83"/>
      <c r="D115" s="83"/>
      <c r="E115" s="84">
        <f>SUM(E116:E118)</f>
        <v>0</v>
      </c>
      <c r="F115" s="84">
        <f>SUMIF(D116:D118,"OK",F116:F118)</f>
        <v>0</v>
      </c>
      <c r="G115" s="85"/>
      <c r="H115" s="85"/>
      <c r="I115" s="86"/>
      <c r="J115" s="85"/>
      <c r="K115" s="28"/>
      <c r="L115" s="28"/>
      <c r="M115" s="28"/>
      <c r="N115" s="28"/>
      <c r="O115" s="28"/>
      <c r="P115" s="28"/>
      <c r="Q115" s="28"/>
      <c r="R115" s="28"/>
      <c r="S115" s="28"/>
      <c r="T115" s="28"/>
      <c r="U115" s="3"/>
      <c r="W115" s="3"/>
      <c r="X115" s="3"/>
      <c r="Y115" s="3"/>
      <c r="Z115" s="3"/>
    </row>
    <row r="116" spans="1:26" ht="14.4" hidden="1" outlineLevel="1" x14ac:dyDescent="0.3">
      <c r="A116" s="3"/>
      <c r="B116" s="9" t="s">
        <v>51</v>
      </c>
      <c r="C116" s="53"/>
      <c r="D116" s="53"/>
      <c r="E116" s="11">
        <v>0</v>
      </c>
      <c r="F116" s="11">
        <v>0</v>
      </c>
      <c r="G116" s="56"/>
      <c r="H116" s="56"/>
      <c r="I116" s="144"/>
      <c r="J116" s="56"/>
      <c r="K116" s="28"/>
      <c r="L116" s="28"/>
      <c r="M116" s="28"/>
      <c r="N116" s="28"/>
      <c r="O116" s="28"/>
      <c r="P116" s="28"/>
      <c r="Q116" s="28"/>
      <c r="R116" s="28"/>
      <c r="S116" s="28"/>
      <c r="T116" s="28"/>
      <c r="U116" s="3"/>
      <c r="W116" s="3"/>
      <c r="X116" s="3"/>
      <c r="Y116" s="3"/>
      <c r="Z116" s="3"/>
    </row>
    <row r="117" spans="1:26" ht="14.4" hidden="1" outlineLevel="1" x14ac:dyDescent="0.3">
      <c r="A117" s="3"/>
      <c r="B117" s="9" t="s">
        <v>51</v>
      </c>
      <c r="C117" s="53"/>
      <c r="D117" s="53"/>
      <c r="E117" s="11">
        <v>0</v>
      </c>
      <c r="F117" s="11">
        <v>0</v>
      </c>
      <c r="G117" s="56"/>
      <c r="H117" s="56"/>
      <c r="I117" s="144"/>
      <c r="J117" s="56"/>
      <c r="K117" s="28"/>
      <c r="L117" s="28"/>
      <c r="M117" s="28"/>
      <c r="N117" s="28"/>
      <c r="O117" s="28"/>
      <c r="P117" s="28"/>
      <c r="Q117" s="28"/>
      <c r="R117" s="28"/>
      <c r="S117" s="28"/>
      <c r="T117" s="28"/>
      <c r="U117" s="3"/>
      <c r="W117" s="3"/>
      <c r="X117" s="3"/>
      <c r="Y117" s="3"/>
      <c r="Z117" s="3"/>
    </row>
    <row r="118" spans="1:26" ht="14.4" hidden="1" outlineLevel="1" x14ac:dyDescent="0.3">
      <c r="A118" s="3"/>
      <c r="B118" s="9" t="s">
        <v>51</v>
      </c>
      <c r="C118" s="53"/>
      <c r="D118" s="53"/>
      <c r="E118" s="11">
        <v>0</v>
      </c>
      <c r="F118" s="11">
        <v>0</v>
      </c>
      <c r="G118" s="56"/>
      <c r="H118" s="56"/>
      <c r="I118" s="117"/>
      <c r="J118" s="56"/>
      <c r="K118" s="28"/>
      <c r="L118" s="28"/>
      <c r="M118" s="28"/>
      <c r="N118" s="28"/>
      <c r="O118" s="28"/>
      <c r="P118" s="28"/>
      <c r="Q118" s="28"/>
      <c r="R118" s="28"/>
      <c r="S118" s="28"/>
      <c r="T118" s="28"/>
      <c r="U118" s="3"/>
      <c r="W118" s="3"/>
      <c r="X118" s="3"/>
      <c r="Y118" s="3"/>
      <c r="Z118" s="3"/>
    </row>
    <row r="119" spans="1:26" ht="20.399999999999999" x14ac:dyDescent="0.3">
      <c r="A119" s="3"/>
      <c r="B119" s="75" t="s">
        <v>358</v>
      </c>
      <c r="C119" s="76" t="s">
        <v>44</v>
      </c>
      <c r="D119" s="76" t="s">
        <v>44</v>
      </c>
      <c r="E119" s="77">
        <f t="shared" ref="E119:F119" si="1">SUM(E120,E126)</f>
        <v>0</v>
      </c>
      <c r="F119" s="77">
        <f t="shared" si="1"/>
        <v>400</v>
      </c>
      <c r="G119" s="78"/>
      <c r="H119" s="78"/>
      <c r="I119" s="79"/>
      <c r="J119" s="78"/>
      <c r="K119" s="28"/>
      <c r="L119" s="28"/>
      <c r="M119" s="28"/>
      <c r="N119" s="28"/>
      <c r="O119" s="28"/>
      <c r="P119" s="28"/>
      <c r="Q119" s="28"/>
      <c r="R119" s="28"/>
      <c r="S119" s="28"/>
      <c r="T119" s="28"/>
      <c r="U119" s="3"/>
      <c r="W119" s="3"/>
      <c r="X119" s="3"/>
      <c r="Y119" s="3"/>
      <c r="Z119" s="3"/>
    </row>
    <row r="120" spans="1:26" hidden="1" outlineLevel="1" x14ac:dyDescent="0.3">
      <c r="A120" s="3"/>
      <c r="B120" s="82" t="s">
        <v>1984</v>
      </c>
      <c r="C120" s="83"/>
      <c r="D120" s="83"/>
      <c r="E120" s="84">
        <f>SUM(E121:E125)</f>
        <v>0</v>
      </c>
      <c r="F120" s="84">
        <f>SUMIF(D121:D125,"OK",F121:F125)</f>
        <v>0</v>
      </c>
      <c r="G120" s="85"/>
      <c r="H120" s="85"/>
      <c r="I120" s="86"/>
      <c r="J120" s="85"/>
      <c r="K120" s="28"/>
      <c r="L120" s="28"/>
      <c r="M120" s="28"/>
      <c r="N120" s="28"/>
      <c r="O120" s="28"/>
      <c r="P120" s="28"/>
      <c r="Q120" s="28"/>
      <c r="R120" s="28"/>
      <c r="S120" s="28"/>
      <c r="T120" s="28"/>
      <c r="U120" s="3"/>
      <c r="W120" s="3"/>
      <c r="X120" s="3"/>
      <c r="Y120" s="3"/>
      <c r="Z120" s="3"/>
    </row>
    <row r="121" spans="1:26" ht="14.4" hidden="1" outlineLevel="1" x14ac:dyDescent="0.3">
      <c r="A121" s="3"/>
      <c r="B121" s="9" t="s">
        <v>51</v>
      </c>
      <c r="C121" s="53"/>
      <c r="D121" s="53"/>
      <c r="E121" s="11">
        <v>0</v>
      </c>
      <c r="F121" s="11">
        <v>0</v>
      </c>
      <c r="G121" s="56"/>
      <c r="H121" s="56"/>
      <c r="I121" s="102"/>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51</v>
      </c>
      <c r="C122" s="53"/>
      <c r="D122" s="53"/>
      <c r="E122" s="11">
        <v>0</v>
      </c>
      <c r="F122" s="11">
        <v>0</v>
      </c>
      <c r="G122" s="80"/>
      <c r="H122" s="56"/>
      <c r="I122" s="102"/>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51</v>
      </c>
      <c r="C123" s="53"/>
      <c r="D123" s="53"/>
      <c r="E123" s="11">
        <v>0</v>
      </c>
      <c r="F123" s="11">
        <v>0</v>
      </c>
      <c r="G123" s="80"/>
      <c r="H123" s="56"/>
      <c r="I123" s="145"/>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51</v>
      </c>
      <c r="C124" s="53"/>
      <c r="D124" s="53"/>
      <c r="E124" s="11">
        <v>0</v>
      </c>
      <c r="F124" s="11">
        <v>0</v>
      </c>
      <c r="G124" s="56"/>
      <c r="H124" s="56"/>
      <c r="I124" s="145"/>
      <c r="J124" s="56"/>
      <c r="K124" s="28"/>
      <c r="L124" s="28"/>
      <c r="M124" s="28"/>
      <c r="N124" s="28"/>
      <c r="O124" s="28"/>
      <c r="P124" s="28"/>
      <c r="Q124" s="28"/>
      <c r="R124" s="28"/>
      <c r="S124" s="28"/>
      <c r="T124" s="28"/>
      <c r="U124" s="3"/>
      <c r="W124" s="3"/>
      <c r="X124" s="3"/>
      <c r="Y124" s="3"/>
      <c r="Z124" s="3"/>
    </row>
    <row r="125" spans="1:26" ht="14.4" hidden="1" outlineLevel="1" x14ac:dyDescent="0.3">
      <c r="A125" s="3"/>
      <c r="B125" s="9" t="s">
        <v>51</v>
      </c>
      <c r="C125" s="53"/>
      <c r="D125" s="53"/>
      <c r="E125" s="11">
        <v>0</v>
      </c>
      <c r="F125" s="11">
        <v>0</v>
      </c>
      <c r="G125" s="56"/>
      <c r="H125" s="56"/>
      <c r="I125" s="145"/>
      <c r="J125" s="56"/>
      <c r="K125" s="28"/>
      <c r="L125" s="28"/>
      <c r="M125" s="28"/>
      <c r="N125" s="28"/>
      <c r="O125" s="28"/>
      <c r="P125" s="28"/>
      <c r="Q125" s="28"/>
      <c r="R125" s="28"/>
      <c r="S125" s="28"/>
      <c r="T125" s="28"/>
      <c r="U125" s="3"/>
      <c r="W125" s="3"/>
      <c r="X125" s="3"/>
      <c r="Y125" s="3"/>
      <c r="Z125" s="3"/>
    </row>
    <row r="126" spans="1:26" outlineLevel="1" x14ac:dyDescent="0.3">
      <c r="A126" s="3"/>
      <c r="B126" s="82" t="s">
        <v>633</v>
      </c>
      <c r="C126" s="83"/>
      <c r="D126" s="83"/>
      <c r="E126" s="84">
        <f>SUM(E127:E144)</f>
        <v>0</v>
      </c>
      <c r="F126" s="84">
        <f>SUMIF(D127:D144,"OK",F127:F144)</f>
        <v>400</v>
      </c>
      <c r="G126" s="85"/>
      <c r="H126" s="85"/>
      <c r="I126" s="86"/>
      <c r="J126" s="85"/>
      <c r="K126" s="28"/>
      <c r="L126" s="28"/>
      <c r="M126" s="28"/>
      <c r="N126" s="28"/>
      <c r="O126" s="28"/>
      <c r="P126" s="28"/>
      <c r="Q126" s="28"/>
      <c r="R126" s="28"/>
      <c r="S126" s="28"/>
      <c r="T126" s="28"/>
      <c r="U126" s="3"/>
      <c r="W126" s="3"/>
      <c r="X126" s="3"/>
      <c r="Y126" s="3"/>
      <c r="Z126" s="3"/>
    </row>
    <row r="127" spans="1:26" ht="14.4" outlineLevel="1" x14ac:dyDescent="0.3">
      <c r="A127" s="3"/>
      <c r="B127" s="9" t="s">
        <v>1985</v>
      </c>
      <c r="C127" s="53">
        <v>29</v>
      </c>
      <c r="D127" s="53" t="s">
        <v>95</v>
      </c>
      <c r="E127" s="11">
        <v>0</v>
      </c>
      <c r="F127" s="11">
        <v>400</v>
      </c>
      <c r="G127" s="56"/>
      <c r="H127" s="56" t="s">
        <v>37</v>
      </c>
      <c r="I127" s="102" t="s">
        <v>1986</v>
      </c>
      <c r="J127" s="56"/>
      <c r="K127" s="28"/>
      <c r="L127" s="28"/>
      <c r="M127" s="28"/>
      <c r="N127" s="28"/>
      <c r="O127" s="28"/>
      <c r="P127" s="28"/>
      <c r="Q127" s="28"/>
      <c r="R127" s="28"/>
      <c r="S127" s="28"/>
      <c r="T127" s="28"/>
      <c r="U127" s="3"/>
      <c r="W127" s="3"/>
      <c r="X127" s="3"/>
      <c r="Y127" s="3"/>
      <c r="Z127" s="3"/>
    </row>
    <row r="128" spans="1:26" ht="14.4" hidden="1" outlineLevel="1" x14ac:dyDescent="0.3">
      <c r="A128" s="3"/>
      <c r="B128" s="9" t="s">
        <v>1987</v>
      </c>
      <c r="C128" s="53"/>
      <c r="D128" s="53"/>
      <c r="E128" s="11">
        <v>0</v>
      </c>
      <c r="F128" s="11">
        <v>0</v>
      </c>
      <c r="G128" s="80"/>
      <c r="H128" s="56"/>
      <c r="I128" s="102"/>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1987</v>
      </c>
      <c r="C129" s="53"/>
      <c r="D129" s="53"/>
      <c r="E129" s="11">
        <v>0</v>
      </c>
      <c r="F129" s="11">
        <v>0</v>
      </c>
      <c r="G129" s="80"/>
      <c r="H129" s="56"/>
      <c r="I129" s="145"/>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1987</v>
      </c>
      <c r="C130" s="53"/>
      <c r="D130" s="53"/>
      <c r="E130" s="11">
        <v>0</v>
      </c>
      <c r="F130" s="11">
        <v>0</v>
      </c>
      <c r="G130" s="56"/>
      <c r="H130" s="56"/>
      <c r="I130" s="145"/>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1987</v>
      </c>
      <c r="C131" s="53"/>
      <c r="D131" s="53"/>
      <c r="E131" s="11">
        <v>0</v>
      </c>
      <c r="F131" s="11">
        <v>0</v>
      </c>
      <c r="G131" s="56"/>
      <c r="H131" s="56"/>
      <c r="I131" s="145"/>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51</v>
      </c>
      <c r="C132" s="53"/>
      <c r="D132" s="53"/>
      <c r="E132" s="11">
        <v>0</v>
      </c>
      <c r="F132" s="11">
        <v>0</v>
      </c>
      <c r="G132" s="56"/>
      <c r="H132" s="56"/>
      <c r="I132" s="145"/>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51</v>
      </c>
      <c r="C133" s="53"/>
      <c r="D133" s="53"/>
      <c r="E133" s="11">
        <v>0</v>
      </c>
      <c r="F133" s="11">
        <v>0</v>
      </c>
      <c r="G133" s="56"/>
      <c r="H133" s="56"/>
      <c r="I133" s="145"/>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51</v>
      </c>
      <c r="C134" s="53"/>
      <c r="D134" s="53"/>
      <c r="E134" s="11">
        <v>0</v>
      </c>
      <c r="F134" s="11">
        <v>0</v>
      </c>
      <c r="G134" s="56"/>
      <c r="H134" s="56"/>
      <c r="I134" s="144"/>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51</v>
      </c>
      <c r="C135" s="53"/>
      <c r="D135" s="53"/>
      <c r="E135" s="11">
        <v>0</v>
      </c>
      <c r="F135" s="11">
        <v>0</v>
      </c>
      <c r="G135" s="56"/>
      <c r="H135" s="56"/>
      <c r="I135" s="144"/>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51</v>
      </c>
      <c r="C136" s="53"/>
      <c r="D136" s="53"/>
      <c r="E136" s="11">
        <v>0</v>
      </c>
      <c r="F136" s="11">
        <v>0</v>
      </c>
      <c r="G136" s="56"/>
      <c r="H136" s="56"/>
      <c r="I136" s="144"/>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51</v>
      </c>
      <c r="C137" s="53"/>
      <c r="D137" s="53"/>
      <c r="E137" s="11">
        <v>0</v>
      </c>
      <c r="F137" s="11">
        <v>0</v>
      </c>
      <c r="G137" s="56"/>
      <c r="H137" s="56"/>
      <c r="I137" s="147"/>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51</v>
      </c>
      <c r="C138" s="53"/>
      <c r="D138" s="53"/>
      <c r="E138" s="11">
        <v>0</v>
      </c>
      <c r="F138" s="11">
        <v>0</v>
      </c>
      <c r="G138" s="56"/>
      <c r="H138" s="56"/>
      <c r="I138" s="144"/>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51</v>
      </c>
      <c r="C139" s="53"/>
      <c r="D139" s="53"/>
      <c r="E139" s="11">
        <v>0</v>
      </c>
      <c r="F139" s="11">
        <v>0</v>
      </c>
      <c r="G139" s="56"/>
      <c r="H139" s="56"/>
      <c r="I139" s="144"/>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51</v>
      </c>
      <c r="C140" s="53"/>
      <c r="D140" s="53"/>
      <c r="E140" s="11">
        <v>0</v>
      </c>
      <c r="F140" s="11">
        <v>0</v>
      </c>
      <c r="G140" s="56"/>
      <c r="H140" s="56"/>
      <c r="I140" s="144"/>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51</v>
      </c>
      <c r="C141" s="53"/>
      <c r="D141" s="53"/>
      <c r="E141" s="11">
        <v>0</v>
      </c>
      <c r="F141" s="11">
        <v>0</v>
      </c>
      <c r="G141" s="56"/>
      <c r="H141" s="56"/>
      <c r="I141" s="144"/>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51</v>
      </c>
      <c r="C142" s="53"/>
      <c r="D142" s="53"/>
      <c r="E142" s="11">
        <v>0</v>
      </c>
      <c r="F142" s="11">
        <v>0</v>
      </c>
      <c r="G142" s="56"/>
      <c r="H142" s="56"/>
      <c r="I142" s="144"/>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51</v>
      </c>
      <c r="C143" s="53"/>
      <c r="D143" s="53"/>
      <c r="E143" s="11">
        <v>0</v>
      </c>
      <c r="F143" s="11">
        <v>0</v>
      </c>
      <c r="G143" s="56"/>
      <c r="H143" s="56"/>
      <c r="I143" s="144"/>
      <c r="J143" s="56"/>
      <c r="K143" s="28"/>
      <c r="L143" s="28"/>
      <c r="M143" s="28"/>
      <c r="N143" s="28"/>
      <c r="O143" s="28"/>
      <c r="P143" s="28"/>
      <c r="Q143" s="28"/>
      <c r="R143" s="28"/>
      <c r="S143" s="28"/>
      <c r="T143" s="28"/>
      <c r="U143" s="3"/>
      <c r="W143" s="3"/>
      <c r="X143" s="3"/>
      <c r="Y143" s="3"/>
      <c r="Z143" s="3"/>
    </row>
    <row r="144" spans="1:26" ht="14.4" hidden="1" outlineLevel="1" x14ac:dyDescent="0.3">
      <c r="A144" s="3"/>
      <c r="B144" s="9" t="s">
        <v>51</v>
      </c>
      <c r="C144" s="53"/>
      <c r="D144" s="53"/>
      <c r="E144" s="11">
        <v>0</v>
      </c>
      <c r="F144" s="11">
        <v>0</v>
      </c>
      <c r="G144" s="56"/>
      <c r="H144" s="56"/>
      <c r="I144" s="144"/>
      <c r="J144" s="56"/>
      <c r="K144" s="28"/>
      <c r="L144" s="28"/>
      <c r="M144" s="28"/>
      <c r="N144" s="28"/>
      <c r="O144" s="28"/>
      <c r="P144" s="28"/>
      <c r="Q144" s="28"/>
      <c r="R144" s="28"/>
      <c r="S144" s="28"/>
      <c r="T144" s="28"/>
      <c r="U144" s="3"/>
      <c r="W144" s="3"/>
      <c r="X144" s="3"/>
      <c r="Y144" s="3"/>
      <c r="Z144" s="3"/>
    </row>
    <row r="145" spans="1:26" ht="20.399999999999999" hidden="1" x14ac:dyDescent="0.3">
      <c r="A145" s="3"/>
      <c r="B145" s="75" t="s">
        <v>88</v>
      </c>
      <c r="C145" s="76" t="s">
        <v>44</v>
      </c>
      <c r="D145" s="76" t="s">
        <v>44</v>
      </c>
      <c r="E145" s="77">
        <f>SUM(E146:E154)</f>
        <v>0</v>
      </c>
      <c r="F145" s="77">
        <f>SUMIF(D146:D154,"OK",F146:F154)</f>
        <v>0</v>
      </c>
      <c r="G145" s="78"/>
      <c r="H145" s="78"/>
      <c r="I145" s="79"/>
      <c r="J145" s="78"/>
      <c r="K145" s="28"/>
      <c r="L145" s="28"/>
      <c r="M145" s="28"/>
      <c r="N145" s="28"/>
      <c r="O145" s="28"/>
      <c r="P145" s="28"/>
      <c r="Q145" s="28"/>
      <c r="R145" s="28"/>
      <c r="S145" s="28"/>
      <c r="T145" s="28"/>
      <c r="U145" s="3"/>
      <c r="W145" s="3"/>
      <c r="X145" s="3"/>
      <c r="Y145" s="3"/>
      <c r="Z145" s="3"/>
    </row>
    <row r="146" spans="1:26" ht="14.4" hidden="1" outlineLevel="1" x14ac:dyDescent="0.3">
      <c r="A146" s="3"/>
      <c r="B146" s="9" t="s">
        <v>354</v>
      </c>
      <c r="C146" s="71"/>
      <c r="D146" s="53"/>
      <c r="E146" s="11">
        <v>0</v>
      </c>
      <c r="F146" s="11">
        <v>0</v>
      </c>
      <c r="G146" s="80"/>
      <c r="H146" s="56"/>
      <c r="I146" s="144"/>
      <c r="J146" s="80"/>
      <c r="K146" s="28"/>
      <c r="L146" s="28"/>
      <c r="M146" s="28"/>
      <c r="N146" s="28"/>
      <c r="O146" s="28"/>
      <c r="P146" s="28"/>
      <c r="Q146" s="28"/>
      <c r="R146" s="28"/>
      <c r="S146" s="28"/>
      <c r="T146" s="28"/>
      <c r="U146" s="3"/>
      <c r="W146" s="3"/>
      <c r="X146" s="3"/>
      <c r="Y146" s="3"/>
      <c r="Z146" s="3"/>
    </row>
    <row r="147" spans="1:26" ht="14.4" hidden="1" outlineLevel="1" x14ac:dyDescent="0.3">
      <c r="A147" s="3"/>
      <c r="B147" s="9" t="s">
        <v>355</v>
      </c>
      <c r="C147" s="53"/>
      <c r="D147" s="53"/>
      <c r="E147" s="11">
        <v>0</v>
      </c>
      <c r="F147" s="11">
        <v>0</v>
      </c>
      <c r="G147" s="80"/>
      <c r="H147" s="56"/>
      <c r="I147" s="144"/>
      <c r="J147" s="56"/>
      <c r="K147" s="28"/>
      <c r="L147" s="28"/>
      <c r="M147" s="28"/>
      <c r="N147" s="28"/>
      <c r="O147" s="28"/>
      <c r="P147" s="28"/>
      <c r="Q147" s="28"/>
      <c r="R147" s="28"/>
      <c r="S147" s="28"/>
      <c r="T147" s="28"/>
      <c r="U147" s="3"/>
      <c r="W147" s="3"/>
      <c r="X147" s="3"/>
      <c r="Y147" s="3"/>
      <c r="Z147" s="3"/>
    </row>
    <row r="148" spans="1:26" ht="14.4" hidden="1" outlineLevel="1" x14ac:dyDescent="0.3">
      <c r="A148" s="3"/>
      <c r="B148" s="9" t="s">
        <v>356</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14.4" hidden="1" outlineLevel="1" x14ac:dyDescent="0.3">
      <c r="A149" s="3"/>
      <c r="B149" s="9" t="s">
        <v>370</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14.4" hidden="1" outlineLevel="1" x14ac:dyDescent="0.3">
      <c r="A150" s="3"/>
      <c r="B150" s="9" t="s">
        <v>328</v>
      </c>
      <c r="C150" s="53"/>
      <c r="D150" s="53"/>
      <c r="E150" s="11">
        <v>0</v>
      </c>
      <c r="F150" s="11">
        <v>0</v>
      </c>
      <c r="G150" s="56"/>
      <c r="H150" s="56"/>
      <c r="I150" s="80"/>
      <c r="J150" s="56"/>
      <c r="K150" s="28"/>
      <c r="L150" s="28"/>
      <c r="M150" s="28"/>
      <c r="N150" s="28"/>
      <c r="O150" s="28"/>
      <c r="P150" s="28"/>
      <c r="Q150" s="28"/>
      <c r="R150" s="28"/>
      <c r="S150" s="28"/>
      <c r="T150" s="28"/>
      <c r="U150" s="3"/>
      <c r="W150" s="3"/>
      <c r="X150" s="3"/>
      <c r="Y150" s="3"/>
      <c r="Z150" s="3"/>
    </row>
    <row r="151" spans="1:26" ht="14.4" hidden="1" outlineLevel="1" x14ac:dyDescent="0.3">
      <c r="A151" s="3"/>
      <c r="B151" s="9" t="s">
        <v>329</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14.4" hidden="1" outlineLevel="1" x14ac:dyDescent="0.3">
      <c r="A152" s="3"/>
      <c r="B152" s="9" t="s">
        <v>371</v>
      </c>
      <c r="C152" s="53"/>
      <c r="D152" s="53"/>
      <c r="E152" s="11">
        <v>0</v>
      </c>
      <c r="F152" s="11">
        <v>0</v>
      </c>
      <c r="G152" s="56"/>
      <c r="H152" s="56"/>
      <c r="I152" s="80"/>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372</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14.4" hidden="1" outlineLevel="1" x14ac:dyDescent="0.3">
      <c r="A154" s="3"/>
      <c r="B154" s="9" t="s">
        <v>373</v>
      </c>
      <c r="C154" s="53"/>
      <c r="D154" s="53"/>
      <c r="E154" s="11">
        <v>0</v>
      </c>
      <c r="F154" s="11">
        <v>0</v>
      </c>
      <c r="G154" s="56"/>
      <c r="H154" s="56"/>
      <c r="I154" s="80"/>
      <c r="J154" s="56"/>
      <c r="K154" s="28"/>
      <c r="L154" s="28"/>
      <c r="M154" s="28"/>
      <c r="N154" s="28"/>
      <c r="O154" s="28"/>
      <c r="P154" s="28"/>
      <c r="Q154" s="28"/>
      <c r="R154" s="28"/>
      <c r="S154" s="28"/>
      <c r="T154" s="28"/>
      <c r="U154" s="3"/>
      <c r="W154" s="3"/>
      <c r="X154" s="3"/>
      <c r="Y154" s="3"/>
      <c r="Z154" s="3"/>
    </row>
    <row r="155" spans="1:26" ht="20.399999999999999" collapsed="1" x14ac:dyDescent="0.3">
      <c r="A155" s="3"/>
      <c r="B155" s="75" t="s">
        <v>89</v>
      </c>
      <c r="C155" s="76" t="s">
        <v>44</v>
      </c>
      <c r="D155" s="76" t="s">
        <v>44</v>
      </c>
      <c r="E155" s="77">
        <f t="shared" ref="E155:F155" si="2">SUM(E156,E162,E168,E174)</f>
        <v>0</v>
      </c>
      <c r="F155" s="77">
        <f t="shared" si="2"/>
        <v>31317.96</v>
      </c>
      <c r="G155" s="78"/>
      <c r="H155" s="78"/>
      <c r="I155" s="79"/>
      <c r="J155" s="78"/>
      <c r="K155" s="28"/>
      <c r="L155" s="28"/>
      <c r="M155" s="28"/>
      <c r="N155" s="28"/>
      <c r="O155" s="28"/>
      <c r="P155" s="28"/>
      <c r="Q155" s="28"/>
      <c r="R155" s="28"/>
      <c r="S155" s="28"/>
      <c r="T155" s="28"/>
      <c r="U155" s="3"/>
      <c r="W155" s="3"/>
      <c r="X155" s="3"/>
      <c r="Y155" s="3"/>
      <c r="Z155" s="3"/>
    </row>
    <row r="156" spans="1:26" outlineLevel="1" x14ac:dyDescent="0.3">
      <c r="A156" s="3"/>
      <c r="B156" s="82" t="s">
        <v>381</v>
      </c>
      <c r="C156" s="83"/>
      <c r="D156" s="83"/>
      <c r="E156" s="84">
        <f>SUM(E157:E161)</f>
        <v>0</v>
      </c>
      <c r="F156" s="84">
        <f>SUMIF(D157:D161,"OK",F157:F161)</f>
        <v>13578</v>
      </c>
      <c r="G156" s="85"/>
      <c r="H156" s="85"/>
      <c r="I156" s="86"/>
      <c r="J156" s="85"/>
      <c r="K156" s="28"/>
      <c r="L156" s="28"/>
      <c r="M156" s="28"/>
      <c r="N156" s="28"/>
      <c r="O156" s="28"/>
      <c r="P156" s="28"/>
      <c r="Q156" s="28"/>
      <c r="R156" s="28"/>
      <c r="S156" s="28"/>
      <c r="T156" s="28"/>
      <c r="U156" s="3"/>
      <c r="W156" s="3"/>
      <c r="X156" s="3"/>
      <c r="Y156" s="3"/>
      <c r="Z156" s="3"/>
    </row>
    <row r="157" spans="1:26" ht="14.4" outlineLevel="1" x14ac:dyDescent="0.3">
      <c r="A157" s="3"/>
      <c r="B157" s="9" t="s">
        <v>1830</v>
      </c>
      <c r="C157" s="53">
        <v>9</v>
      </c>
      <c r="D157" s="53" t="s">
        <v>95</v>
      </c>
      <c r="E157" s="11">
        <v>0</v>
      </c>
      <c r="F157" s="11">
        <v>537</v>
      </c>
      <c r="G157" s="56" t="s">
        <v>942</v>
      </c>
      <c r="H157" s="56" t="s">
        <v>37</v>
      </c>
      <c r="I157" s="102" t="s">
        <v>1988</v>
      </c>
      <c r="J157" s="56"/>
      <c r="K157" s="28"/>
      <c r="L157" s="28"/>
      <c r="M157" s="28"/>
      <c r="N157" s="28"/>
      <c r="O157" s="28"/>
      <c r="P157" s="28"/>
      <c r="Q157" s="28"/>
      <c r="R157" s="28"/>
      <c r="S157" s="28"/>
      <c r="T157" s="28"/>
      <c r="U157" s="3"/>
      <c r="W157" s="3"/>
      <c r="X157" s="3"/>
      <c r="Y157" s="3"/>
      <c r="Z157" s="3"/>
    </row>
    <row r="158" spans="1:26" ht="14.4" outlineLevel="1" x14ac:dyDescent="0.3">
      <c r="A158" s="3"/>
      <c r="B158" s="9" t="s">
        <v>1118</v>
      </c>
      <c r="C158" s="53">
        <v>1</v>
      </c>
      <c r="D158" s="53" t="s">
        <v>95</v>
      </c>
      <c r="E158" s="11">
        <v>0</v>
      </c>
      <c r="F158" s="11">
        <v>13041</v>
      </c>
      <c r="G158" s="56" t="s">
        <v>1989</v>
      </c>
      <c r="H158" s="56" t="s">
        <v>38</v>
      </c>
      <c r="I158" s="102" t="s">
        <v>1990</v>
      </c>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51</v>
      </c>
      <c r="C159" s="53"/>
      <c r="D159" s="53"/>
      <c r="E159" s="11">
        <v>0</v>
      </c>
      <c r="F159" s="11">
        <v>0</v>
      </c>
      <c r="G159" s="56"/>
      <c r="H159" s="56"/>
      <c r="I159" s="144"/>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51</v>
      </c>
      <c r="C160" s="53"/>
      <c r="D160" s="53"/>
      <c r="E160" s="11">
        <v>0</v>
      </c>
      <c r="F160" s="11">
        <v>0</v>
      </c>
      <c r="G160" s="80"/>
      <c r="H160" s="56"/>
      <c r="I160" s="144"/>
      <c r="J160" s="56"/>
      <c r="K160" s="28"/>
      <c r="L160" s="28"/>
      <c r="M160" s="28"/>
      <c r="N160" s="28"/>
      <c r="O160" s="28"/>
      <c r="P160" s="28"/>
      <c r="Q160" s="28"/>
      <c r="R160" s="28"/>
      <c r="S160" s="28"/>
      <c r="T160" s="28"/>
      <c r="U160" s="3"/>
      <c r="W160" s="3"/>
      <c r="X160" s="3"/>
      <c r="Y160" s="3"/>
      <c r="Z160" s="3"/>
    </row>
    <row r="161" spans="1:26" ht="14.4" hidden="1" outlineLevel="1" x14ac:dyDescent="0.3">
      <c r="A161" s="3"/>
      <c r="B161" s="9" t="s">
        <v>51</v>
      </c>
      <c r="C161" s="53"/>
      <c r="D161" s="53"/>
      <c r="E161" s="11">
        <v>0</v>
      </c>
      <c r="F161" s="11">
        <v>0</v>
      </c>
      <c r="G161" s="56"/>
      <c r="H161" s="56"/>
      <c r="I161" s="80"/>
      <c r="J161" s="56"/>
      <c r="K161" s="28"/>
      <c r="L161" s="28"/>
      <c r="M161" s="28"/>
      <c r="N161" s="28"/>
      <c r="O161" s="28"/>
      <c r="P161" s="28"/>
      <c r="Q161" s="28"/>
      <c r="R161" s="28"/>
      <c r="S161" s="28"/>
      <c r="T161" s="28"/>
      <c r="U161" s="3"/>
      <c r="W161" s="3"/>
      <c r="X161" s="3"/>
      <c r="Y161" s="3"/>
      <c r="Z161" s="3"/>
    </row>
    <row r="162" spans="1:26" outlineLevel="1" x14ac:dyDescent="0.3">
      <c r="A162" s="3"/>
      <c r="B162" s="82" t="s">
        <v>644</v>
      </c>
      <c r="C162" s="83"/>
      <c r="D162" s="83"/>
      <c r="E162" s="84">
        <f>SUM(E163:E167)</f>
        <v>0</v>
      </c>
      <c r="F162" s="84">
        <f>SUMIF(D163:D167,"OK",F163:F167)</f>
        <v>17739.96</v>
      </c>
      <c r="G162" s="85"/>
      <c r="H162" s="85"/>
      <c r="I162" s="86"/>
      <c r="J162" s="85"/>
      <c r="K162" s="28"/>
      <c r="L162" s="28"/>
      <c r="M162" s="28"/>
      <c r="N162" s="28"/>
      <c r="O162" s="28"/>
      <c r="P162" s="28"/>
      <c r="Q162" s="28"/>
      <c r="R162" s="28"/>
      <c r="S162" s="28"/>
      <c r="T162" s="28"/>
      <c r="U162" s="3"/>
      <c r="W162" s="3"/>
      <c r="X162" s="3"/>
      <c r="Y162" s="3"/>
      <c r="Z162" s="3"/>
    </row>
    <row r="163" spans="1:26" ht="28.8" outlineLevel="1" x14ac:dyDescent="0.3">
      <c r="A163" s="3"/>
      <c r="B163" s="9" t="s">
        <v>1991</v>
      </c>
      <c r="C163" s="53" t="s">
        <v>1902</v>
      </c>
      <c r="D163" s="53" t="s">
        <v>95</v>
      </c>
      <c r="E163" s="11">
        <v>0</v>
      </c>
      <c r="F163" s="11">
        <v>17739.96</v>
      </c>
      <c r="G163" s="56"/>
      <c r="H163" s="56" t="s">
        <v>38</v>
      </c>
      <c r="I163" s="102" t="s">
        <v>1992</v>
      </c>
      <c r="J163" s="56"/>
      <c r="K163" s="28"/>
      <c r="L163" s="28"/>
      <c r="M163" s="28"/>
      <c r="N163" s="28"/>
      <c r="O163" s="28"/>
      <c r="P163" s="28"/>
      <c r="Q163" s="28"/>
      <c r="R163" s="28"/>
      <c r="S163" s="28"/>
      <c r="T163" s="28"/>
      <c r="U163" s="3"/>
      <c r="W163" s="3"/>
      <c r="X163" s="3"/>
      <c r="Y163" s="3"/>
      <c r="Z163" s="3"/>
    </row>
    <row r="164" spans="1:26" ht="14.4" hidden="1" outlineLevel="1" x14ac:dyDescent="0.3">
      <c r="A164" s="3"/>
      <c r="B164" s="9" t="s">
        <v>355</v>
      </c>
      <c r="C164" s="53"/>
      <c r="D164" s="53"/>
      <c r="E164" s="11">
        <v>0</v>
      </c>
      <c r="F164" s="11">
        <v>0</v>
      </c>
      <c r="G164" s="56"/>
      <c r="H164" s="56"/>
      <c r="I164" s="80"/>
      <c r="J164" s="56"/>
      <c r="K164" s="28"/>
      <c r="L164" s="28"/>
      <c r="M164" s="28"/>
      <c r="N164" s="28"/>
      <c r="O164" s="28"/>
      <c r="P164" s="28"/>
      <c r="Q164" s="28"/>
      <c r="R164" s="28"/>
      <c r="S164" s="28"/>
      <c r="T164" s="28"/>
      <c r="U164" s="3"/>
      <c r="W164" s="3"/>
      <c r="X164" s="3"/>
      <c r="Y164" s="3"/>
      <c r="Z164" s="3"/>
    </row>
    <row r="165" spans="1:26" ht="14.4" hidden="1" outlineLevel="1" x14ac:dyDescent="0.3">
      <c r="A165" s="3"/>
      <c r="B165" s="9" t="s">
        <v>356</v>
      </c>
      <c r="C165" s="53"/>
      <c r="D165" s="53"/>
      <c r="E165" s="11">
        <v>0</v>
      </c>
      <c r="F165" s="11">
        <v>0</v>
      </c>
      <c r="G165" s="56"/>
      <c r="H165" s="56"/>
      <c r="I165" s="80"/>
      <c r="J165" s="56"/>
      <c r="K165" s="28"/>
      <c r="L165" s="28"/>
      <c r="M165" s="28"/>
      <c r="N165" s="28"/>
      <c r="O165" s="28"/>
      <c r="P165" s="28"/>
      <c r="Q165" s="28"/>
      <c r="R165" s="28"/>
      <c r="S165" s="28"/>
      <c r="T165" s="28"/>
      <c r="U165" s="3"/>
      <c r="W165" s="3"/>
      <c r="X165" s="3"/>
      <c r="Y165" s="3"/>
      <c r="Z165" s="3"/>
    </row>
    <row r="166" spans="1:26" ht="14.4" hidden="1" outlineLevel="1" x14ac:dyDescent="0.3">
      <c r="A166" s="3"/>
      <c r="B166" s="9" t="s">
        <v>370</v>
      </c>
      <c r="C166" s="53"/>
      <c r="D166" s="53"/>
      <c r="E166" s="11">
        <v>0</v>
      </c>
      <c r="F166" s="11">
        <v>0</v>
      </c>
      <c r="G166" s="56"/>
      <c r="H166" s="56"/>
      <c r="I166" s="80"/>
      <c r="J166" s="56"/>
      <c r="K166" s="28"/>
      <c r="L166" s="28"/>
      <c r="M166" s="28"/>
      <c r="N166" s="28"/>
      <c r="O166" s="28"/>
      <c r="P166" s="28"/>
      <c r="Q166" s="28"/>
      <c r="R166" s="28"/>
      <c r="S166" s="28"/>
      <c r="T166" s="28"/>
      <c r="U166" s="3"/>
      <c r="W166" s="3"/>
      <c r="X166" s="3"/>
      <c r="Y166" s="3"/>
      <c r="Z166" s="3"/>
    </row>
    <row r="167" spans="1:26" ht="14.4" hidden="1" outlineLevel="1" x14ac:dyDescent="0.3">
      <c r="A167" s="3"/>
      <c r="B167" s="9" t="s">
        <v>328</v>
      </c>
      <c r="C167" s="53"/>
      <c r="D167" s="53"/>
      <c r="E167" s="11">
        <v>0</v>
      </c>
      <c r="F167" s="11">
        <v>0</v>
      </c>
      <c r="G167" s="56"/>
      <c r="H167" s="56"/>
      <c r="I167" s="80"/>
      <c r="J167" s="56"/>
      <c r="K167" s="28"/>
      <c r="L167" s="28"/>
      <c r="M167" s="28"/>
      <c r="N167" s="28"/>
      <c r="O167" s="28"/>
      <c r="P167" s="28"/>
      <c r="Q167" s="28"/>
      <c r="R167" s="28"/>
      <c r="S167" s="28"/>
      <c r="T167" s="28"/>
      <c r="U167" s="3"/>
      <c r="W167" s="3"/>
      <c r="X167" s="3"/>
      <c r="Y167" s="3"/>
      <c r="Z167" s="3"/>
    </row>
    <row r="168" spans="1:26" hidden="1" outlineLevel="1" x14ac:dyDescent="0.3">
      <c r="A168" s="3"/>
      <c r="B168" s="82" t="s">
        <v>382</v>
      </c>
      <c r="C168" s="83"/>
      <c r="D168" s="83"/>
      <c r="E168" s="84">
        <f>SUM(E169:E173)</f>
        <v>0</v>
      </c>
      <c r="F168" s="84">
        <f>SUMIF(D169:D173,"OK",F169:F173)</f>
        <v>0</v>
      </c>
      <c r="G168" s="85"/>
      <c r="H168" s="85"/>
      <c r="I168" s="86"/>
      <c r="J168" s="85"/>
      <c r="K168" s="28"/>
      <c r="L168" s="28"/>
      <c r="M168" s="28"/>
      <c r="N168" s="28"/>
      <c r="O168" s="28"/>
      <c r="P168" s="28"/>
      <c r="Q168" s="28"/>
      <c r="R168" s="28"/>
      <c r="S168" s="28"/>
      <c r="T168" s="28"/>
      <c r="U168" s="3"/>
      <c r="W168" s="3"/>
      <c r="X168" s="3"/>
      <c r="Y168" s="3"/>
      <c r="Z168" s="3"/>
    </row>
    <row r="169" spans="1:26" ht="14.4" hidden="1" outlineLevel="1" x14ac:dyDescent="0.3">
      <c r="A169" s="3"/>
      <c r="B169" s="9" t="s">
        <v>354</v>
      </c>
      <c r="C169" s="53"/>
      <c r="D169" s="53"/>
      <c r="E169" s="11">
        <v>0</v>
      </c>
      <c r="F169" s="11">
        <v>0</v>
      </c>
      <c r="G169" s="56"/>
      <c r="H169" s="56"/>
      <c r="I169" s="80"/>
      <c r="J169" s="56"/>
      <c r="K169" s="28"/>
      <c r="L169" s="28"/>
      <c r="M169" s="28"/>
      <c r="N169" s="28"/>
      <c r="O169" s="28"/>
      <c r="P169" s="28"/>
      <c r="Q169" s="28"/>
      <c r="R169" s="28"/>
      <c r="S169" s="28"/>
      <c r="T169" s="28"/>
      <c r="U169" s="3"/>
      <c r="W169" s="3"/>
      <c r="X169" s="3"/>
      <c r="Y169" s="3"/>
      <c r="Z169" s="3"/>
    </row>
    <row r="170" spans="1:26" ht="14.4" hidden="1" outlineLevel="1" x14ac:dyDescent="0.3">
      <c r="A170" s="3"/>
      <c r="B170" s="9" t="s">
        <v>355</v>
      </c>
      <c r="C170" s="53"/>
      <c r="D170" s="53"/>
      <c r="E170" s="11">
        <v>0</v>
      </c>
      <c r="F170" s="11">
        <v>0</v>
      </c>
      <c r="G170" s="56"/>
      <c r="H170" s="56"/>
      <c r="I170" s="80"/>
      <c r="J170" s="56"/>
      <c r="K170" s="28"/>
      <c r="L170" s="28"/>
      <c r="M170" s="28"/>
      <c r="N170" s="28"/>
      <c r="O170" s="28"/>
      <c r="P170" s="28"/>
      <c r="Q170" s="28"/>
      <c r="R170" s="28"/>
      <c r="S170" s="28"/>
      <c r="T170" s="28"/>
      <c r="U170" s="3"/>
      <c r="W170" s="3"/>
      <c r="X170" s="3"/>
      <c r="Y170" s="3"/>
      <c r="Z170" s="3"/>
    </row>
    <row r="171" spans="1:26" ht="14.4" hidden="1" outlineLevel="1" x14ac:dyDescent="0.3">
      <c r="A171" s="3"/>
      <c r="B171" s="9" t="s">
        <v>356</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370</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328</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idden="1" outlineLevel="1" x14ac:dyDescent="0.3">
      <c r="A174" s="3"/>
      <c r="B174" s="82" t="s">
        <v>383</v>
      </c>
      <c r="C174" s="83"/>
      <c r="D174" s="83"/>
      <c r="E174" s="84">
        <f>SUM(E175:E179)</f>
        <v>0</v>
      </c>
      <c r="F174" s="84">
        <f>SUMIF(D175:D179,"OK",F175:F179)</f>
        <v>0</v>
      </c>
      <c r="G174" s="85"/>
      <c r="H174" s="85"/>
      <c r="I174" s="86"/>
      <c r="J174" s="85"/>
      <c r="K174" s="28"/>
      <c r="L174" s="28"/>
      <c r="M174" s="28"/>
      <c r="N174" s="28"/>
      <c r="O174" s="28"/>
      <c r="P174" s="28"/>
      <c r="Q174" s="28"/>
      <c r="R174" s="28"/>
      <c r="S174" s="28"/>
      <c r="T174" s="28"/>
      <c r="U174" s="3"/>
      <c r="W174" s="3"/>
      <c r="X174" s="3"/>
      <c r="Y174" s="3"/>
      <c r="Z174" s="3"/>
    </row>
    <row r="175" spans="1:26" ht="14.4" hidden="1" outlineLevel="1" x14ac:dyDescent="0.3">
      <c r="A175" s="3"/>
      <c r="B175" s="9" t="s">
        <v>354</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t="14.4" hidden="1" outlineLevel="1" x14ac:dyDescent="0.3">
      <c r="A176" s="3"/>
      <c r="B176" s="9" t="s">
        <v>355</v>
      </c>
      <c r="C176" s="53"/>
      <c r="D176" s="53"/>
      <c r="E176" s="11">
        <v>0</v>
      </c>
      <c r="F176" s="11">
        <v>0</v>
      </c>
      <c r="G176" s="56"/>
      <c r="H176" s="56"/>
      <c r="I176" s="80"/>
      <c r="J176" s="56"/>
      <c r="K176" s="28"/>
      <c r="L176" s="28"/>
      <c r="M176" s="28"/>
      <c r="N176" s="28"/>
      <c r="O176" s="28"/>
      <c r="P176" s="28"/>
      <c r="Q176" s="28"/>
      <c r="R176" s="28"/>
      <c r="S176" s="28"/>
      <c r="T176" s="28"/>
      <c r="U176" s="3"/>
      <c r="W176" s="3"/>
      <c r="X176" s="3"/>
      <c r="Y176" s="3"/>
      <c r="Z176" s="3"/>
    </row>
    <row r="177" spans="1:26" ht="14.4" hidden="1" outlineLevel="1" x14ac:dyDescent="0.3">
      <c r="A177" s="3"/>
      <c r="B177" s="9" t="s">
        <v>356</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4.4" hidden="1" outlineLevel="1" x14ac:dyDescent="0.3">
      <c r="A178" s="3"/>
      <c r="B178" s="9" t="s">
        <v>370</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328</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20.399999999999999" hidden="1" x14ac:dyDescent="0.3">
      <c r="A180" s="3"/>
      <c r="B180" s="75" t="s">
        <v>384</v>
      </c>
      <c r="C180" s="76" t="s">
        <v>44</v>
      </c>
      <c r="D180" s="76" t="s">
        <v>44</v>
      </c>
      <c r="E180" s="77">
        <f>SUM(E181:E185)</f>
        <v>0</v>
      </c>
      <c r="F180" s="77">
        <f>SUMIF(D181:D185,"OK",F181:F185)</f>
        <v>0</v>
      </c>
      <c r="G180" s="78"/>
      <c r="H180" s="78"/>
      <c r="I180" s="79"/>
      <c r="J180" s="78"/>
      <c r="K180" s="28"/>
      <c r="L180" s="28"/>
      <c r="M180" s="28"/>
      <c r="N180" s="28"/>
      <c r="O180" s="28"/>
      <c r="P180" s="28"/>
      <c r="Q180" s="28"/>
      <c r="R180" s="28"/>
      <c r="S180" s="28"/>
      <c r="T180" s="28"/>
      <c r="U180" s="3"/>
      <c r="W180" s="3"/>
      <c r="X180" s="3"/>
      <c r="Y180" s="3"/>
      <c r="Z180" s="3"/>
    </row>
    <row r="181" spans="1:26" ht="14.4" hidden="1" outlineLevel="1" x14ac:dyDescent="0.3">
      <c r="A181" s="3"/>
      <c r="B181" s="9" t="s">
        <v>354</v>
      </c>
      <c r="C181" s="53"/>
      <c r="D181" s="53"/>
      <c r="E181" s="11">
        <v>0</v>
      </c>
      <c r="F181" s="11">
        <v>0</v>
      </c>
      <c r="G181" s="56"/>
      <c r="H181" s="56"/>
      <c r="I181" s="144"/>
      <c r="J181" s="56"/>
      <c r="K181" s="28"/>
      <c r="L181" s="28"/>
      <c r="M181" s="28"/>
      <c r="N181" s="28"/>
      <c r="O181" s="28"/>
      <c r="P181" s="28"/>
      <c r="Q181" s="28"/>
      <c r="R181" s="28"/>
      <c r="S181" s="28"/>
      <c r="T181" s="28"/>
      <c r="U181" s="3"/>
      <c r="W181" s="3"/>
      <c r="X181" s="3"/>
      <c r="Y181" s="3"/>
      <c r="Z181" s="3"/>
    </row>
    <row r="182" spans="1:26" ht="14.4" hidden="1" outlineLevel="1" x14ac:dyDescent="0.3">
      <c r="A182" s="3"/>
      <c r="B182" s="9" t="s">
        <v>355</v>
      </c>
      <c r="C182" s="53"/>
      <c r="D182" s="53"/>
      <c r="E182" s="11">
        <v>0</v>
      </c>
      <c r="F182" s="11">
        <v>0</v>
      </c>
      <c r="G182" s="56"/>
      <c r="H182" s="56"/>
      <c r="I182" s="80"/>
      <c r="J182" s="56"/>
      <c r="K182" s="28"/>
      <c r="L182" s="28"/>
      <c r="M182" s="28"/>
      <c r="N182" s="28"/>
      <c r="O182" s="28"/>
      <c r="P182" s="28"/>
      <c r="Q182" s="28"/>
      <c r="R182" s="28"/>
      <c r="S182" s="28"/>
      <c r="T182" s="28"/>
      <c r="U182" s="3"/>
      <c r="W182" s="3"/>
      <c r="X182" s="3"/>
      <c r="Y182" s="3"/>
      <c r="Z182" s="3"/>
    </row>
    <row r="183" spans="1:26" ht="14.4" hidden="1" outlineLevel="1" x14ac:dyDescent="0.3">
      <c r="A183" s="3"/>
      <c r="B183" s="9" t="s">
        <v>356</v>
      </c>
      <c r="C183" s="53"/>
      <c r="D183" s="53"/>
      <c r="E183" s="11">
        <v>0</v>
      </c>
      <c r="F183" s="11">
        <v>0</v>
      </c>
      <c r="G183" s="56"/>
      <c r="H183" s="56"/>
      <c r="I183" s="80"/>
      <c r="J183" s="56"/>
      <c r="K183" s="28"/>
      <c r="L183" s="28"/>
      <c r="M183" s="28"/>
      <c r="N183" s="28"/>
      <c r="O183" s="28"/>
      <c r="P183" s="28"/>
      <c r="Q183" s="28"/>
      <c r="R183" s="28"/>
      <c r="S183" s="28"/>
      <c r="T183" s="28"/>
      <c r="U183" s="3"/>
      <c r="W183" s="3"/>
      <c r="X183" s="3"/>
      <c r="Y183" s="3"/>
      <c r="Z183" s="3"/>
    </row>
    <row r="184" spans="1:26" ht="14.4" hidden="1" outlineLevel="1" x14ac:dyDescent="0.3">
      <c r="A184" s="3"/>
      <c r="B184" s="9" t="s">
        <v>370</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328</v>
      </c>
      <c r="C185" s="53"/>
      <c r="D185" s="53"/>
      <c r="E185" s="11">
        <v>0</v>
      </c>
      <c r="F185" s="11">
        <v>0</v>
      </c>
      <c r="G185" s="56"/>
      <c r="H185" s="56"/>
      <c r="I185" s="80"/>
      <c r="J185" s="56"/>
      <c r="K185" s="28"/>
      <c r="L185" s="28"/>
      <c r="M185" s="28"/>
      <c r="N185" s="28"/>
      <c r="O185" s="28"/>
      <c r="P185" s="28"/>
      <c r="Q185" s="28"/>
      <c r="R185" s="28"/>
      <c r="S185" s="28"/>
      <c r="T185" s="28"/>
      <c r="U185" s="3"/>
      <c r="W185" s="3"/>
      <c r="X185" s="3"/>
      <c r="Y185" s="3"/>
      <c r="Z185" s="3"/>
    </row>
    <row r="186" spans="1:26" ht="20.399999999999999" collapsed="1" x14ac:dyDescent="0.3">
      <c r="A186" s="3"/>
      <c r="B186" s="75" t="s">
        <v>385</v>
      </c>
      <c r="C186" s="76" t="s">
        <v>44</v>
      </c>
      <c r="D186" s="76" t="s">
        <v>44</v>
      </c>
      <c r="E186" s="77">
        <f>SUM(E187:E214)</f>
        <v>0</v>
      </c>
      <c r="F186" s="77">
        <f>SUMIF(D187:D214,"OK",F187:F214)</f>
        <v>601.05999999999995</v>
      </c>
      <c r="G186" s="78"/>
      <c r="H186" s="78"/>
      <c r="I186" s="79"/>
      <c r="J186" s="78"/>
      <c r="K186" s="28"/>
      <c r="L186" s="28"/>
      <c r="M186" s="28"/>
      <c r="N186" s="28"/>
      <c r="O186" s="28"/>
      <c r="P186" s="28"/>
      <c r="Q186" s="28"/>
      <c r="R186" s="28"/>
      <c r="S186" s="28"/>
      <c r="T186" s="28"/>
      <c r="U186" s="3"/>
      <c r="W186" s="3"/>
      <c r="X186" s="3"/>
      <c r="Y186" s="3"/>
      <c r="Z186" s="3"/>
    </row>
    <row r="187" spans="1:26" ht="14.4" outlineLevel="1" x14ac:dyDescent="0.3">
      <c r="A187" s="3"/>
      <c r="B187" s="9" t="s">
        <v>1612</v>
      </c>
      <c r="C187" s="71">
        <v>1</v>
      </c>
      <c r="D187" s="53" t="s">
        <v>95</v>
      </c>
      <c r="E187" s="11">
        <v>0</v>
      </c>
      <c r="F187" s="11">
        <v>90</v>
      </c>
      <c r="G187" s="80" t="s">
        <v>1169</v>
      </c>
      <c r="H187" s="56" t="s">
        <v>37</v>
      </c>
      <c r="I187" s="102" t="s">
        <v>1993</v>
      </c>
      <c r="J187" s="56"/>
      <c r="K187" s="28"/>
      <c r="L187" s="28"/>
      <c r="M187" s="28"/>
      <c r="N187" s="28"/>
      <c r="O187" s="28"/>
      <c r="P187" s="28"/>
      <c r="Q187" s="28"/>
      <c r="R187" s="28"/>
      <c r="S187" s="28"/>
      <c r="T187" s="28"/>
      <c r="U187" s="3"/>
      <c r="W187" s="3"/>
      <c r="X187" s="3"/>
      <c r="Y187" s="3"/>
      <c r="Z187" s="3"/>
    </row>
    <row r="188" spans="1:26" ht="14.4" outlineLevel="1" x14ac:dyDescent="0.3">
      <c r="A188" s="3"/>
      <c r="B188" s="9" t="s">
        <v>1994</v>
      </c>
      <c r="C188" s="53">
        <v>17</v>
      </c>
      <c r="D188" s="53" t="s">
        <v>95</v>
      </c>
      <c r="E188" s="11">
        <v>0</v>
      </c>
      <c r="F188" s="11">
        <v>200</v>
      </c>
      <c r="G188" s="80"/>
      <c r="H188" s="56" t="s">
        <v>37</v>
      </c>
      <c r="I188" s="102" t="s">
        <v>1995</v>
      </c>
      <c r="J188" s="80"/>
      <c r="K188" s="28"/>
      <c r="L188" s="28"/>
      <c r="M188" s="28"/>
      <c r="N188" s="28"/>
      <c r="O188" s="28"/>
      <c r="P188" s="28"/>
      <c r="Q188" s="28"/>
      <c r="R188" s="28"/>
      <c r="S188" s="28"/>
      <c r="T188" s="28"/>
      <c r="U188" s="3"/>
      <c r="W188" s="3"/>
      <c r="X188" s="3"/>
      <c r="Y188" s="3"/>
      <c r="Z188" s="3"/>
    </row>
    <row r="189" spans="1:26" ht="14.4" outlineLevel="1" x14ac:dyDescent="0.3">
      <c r="A189" s="3"/>
      <c r="B189" s="9" t="s">
        <v>1996</v>
      </c>
      <c r="C189" s="53">
        <v>18</v>
      </c>
      <c r="D189" s="53" t="s">
        <v>95</v>
      </c>
      <c r="E189" s="11">
        <v>0</v>
      </c>
      <c r="F189" s="11">
        <v>36</v>
      </c>
      <c r="G189" s="56" t="s">
        <v>1607</v>
      </c>
      <c r="H189" s="56" t="s">
        <v>37</v>
      </c>
      <c r="I189" s="102" t="s">
        <v>1997</v>
      </c>
      <c r="J189" s="56"/>
      <c r="K189" s="28"/>
      <c r="L189" s="28"/>
      <c r="M189" s="28"/>
      <c r="N189" s="28"/>
      <c r="O189" s="28"/>
      <c r="P189" s="28"/>
      <c r="Q189" s="28"/>
      <c r="R189" s="28"/>
      <c r="S189" s="28"/>
      <c r="T189" s="28"/>
      <c r="U189" s="3"/>
      <c r="W189" s="3"/>
      <c r="X189" s="3"/>
      <c r="Y189" s="3"/>
      <c r="Z189" s="3"/>
    </row>
    <row r="190" spans="1:26" ht="14.4" outlineLevel="1" x14ac:dyDescent="0.3">
      <c r="A190" s="3"/>
      <c r="B190" s="9" t="s">
        <v>1996</v>
      </c>
      <c r="C190" s="53">
        <v>18</v>
      </c>
      <c r="D190" s="53" t="s">
        <v>95</v>
      </c>
      <c r="E190" s="11">
        <v>0</v>
      </c>
      <c r="F190" s="11">
        <v>18</v>
      </c>
      <c r="G190" s="56" t="s">
        <v>1607</v>
      </c>
      <c r="H190" s="56" t="s">
        <v>37</v>
      </c>
      <c r="I190" s="102" t="s">
        <v>1998</v>
      </c>
      <c r="J190" s="56"/>
      <c r="K190" s="28"/>
      <c r="L190" s="28"/>
      <c r="M190" s="28"/>
      <c r="N190" s="28"/>
      <c r="O190" s="28"/>
      <c r="P190" s="28"/>
      <c r="Q190" s="28"/>
      <c r="R190" s="28"/>
      <c r="S190" s="28"/>
      <c r="T190" s="28"/>
      <c r="U190" s="3"/>
      <c r="W190" s="3"/>
      <c r="X190" s="3"/>
      <c r="Y190" s="3"/>
      <c r="Z190" s="3"/>
    </row>
    <row r="191" spans="1:26" ht="14.4" outlineLevel="1" x14ac:dyDescent="0.3">
      <c r="A191" s="3"/>
      <c r="B191" s="9" t="s">
        <v>1996</v>
      </c>
      <c r="C191" s="53">
        <v>18</v>
      </c>
      <c r="D191" s="53" t="s">
        <v>95</v>
      </c>
      <c r="E191" s="11">
        <v>0</v>
      </c>
      <c r="F191" s="11">
        <v>27.9</v>
      </c>
      <c r="G191" s="56" t="s">
        <v>1607</v>
      </c>
      <c r="H191" s="56" t="s">
        <v>37</v>
      </c>
      <c r="I191" s="102" t="s">
        <v>1999</v>
      </c>
      <c r="J191" s="56"/>
      <c r="K191" s="28"/>
      <c r="L191" s="28"/>
      <c r="M191" s="28"/>
      <c r="N191" s="28"/>
      <c r="O191" s="28"/>
      <c r="P191" s="28"/>
      <c r="Q191" s="28"/>
      <c r="R191" s="28"/>
      <c r="S191" s="28"/>
      <c r="T191" s="28"/>
      <c r="U191" s="3"/>
      <c r="W191" s="3"/>
      <c r="X191" s="3"/>
      <c r="Y191" s="3"/>
      <c r="Z191" s="3"/>
    </row>
    <row r="192" spans="1:26" ht="14.4" outlineLevel="1" x14ac:dyDescent="0.3">
      <c r="A192" s="3"/>
      <c r="B192" s="9" t="s">
        <v>1996</v>
      </c>
      <c r="C192" s="53">
        <v>20</v>
      </c>
      <c r="D192" s="53" t="s">
        <v>95</v>
      </c>
      <c r="E192" s="11">
        <v>0</v>
      </c>
      <c r="F192" s="11">
        <v>40</v>
      </c>
      <c r="G192" s="56" t="s">
        <v>1607</v>
      </c>
      <c r="H192" s="56" t="s">
        <v>37</v>
      </c>
      <c r="I192" s="102" t="s">
        <v>2000</v>
      </c>
      <c r="J192" s="56"/>
      <c r="K192" s="28"/>
      <c r="L192" s="28"/>
      <c r="M192" s="28"/>
      <c r="N192" s="28"/>
      <c r="O192" s="28"/>
      <c r="P192" s="28"/>
      <c r="Q192" s="28"/>
      <c r="R192" s="28"/>
      <c r="S192" s="28"/>
      <c r="T192" s="28"/>
      <c r="U192" s="3"/>
      <c r="W192" s="3"/>
      <c r="X192" s="3"/>
      <c r="Y192" s="3"/>
      <c r="Z192" s="3"/>
    </row>
    <row r="193" spans="1:26" ht="14.4" outlineLevel="1" x14ac:dyDescent="0.3">
      <c r="A193" s="3"/>
      <c r="B193" s="9" t="s">
        <v>1996</v>
      </c>
      <c r="C193" s="53">
        <v>20</v>
      </c>
      <c r="D193" s="53" t="s">
        <v>95</v>
      </c>
      <c r="E193" s="11">
        <v>0</v>
      </c>
      <c r="F193" s="11">
        <v>45</v>
      </c>
      <c r="G193" s="56" t="s">
        <v>1607</v>
      </c>
      <c r="H193" s="56" t="s">
        <v>37</v>
      </c>
      <c r="I193" s="102" t="s">
        <v>2001</v>
      </c>
      <c r="J193" s="56"/>
      <c r="K193" s="28"/>
      <c r="L193" s="28"/>
      <c r="M193" s="28"/>
      <c r="N193" s="28"/>
      <c r="O193" s="28"/>
      <c r="P193" s="28"/>
      <c r="Q193" s="28"/>
      <c r="R193" s="28"/>
      <c r="S193" s="28"/>
      <c r="T193" s="28"/>
      <c r="U193" s="3"/>
      <c r="W193" s="3"/>
      <c r="X193" s="3"/>
      <c r="Y193" s="3"/>
      <c r="Z193" s="3"/>
    </row>
    <row r="194" spans="1:26" ht="14.4" outlineLevel="1" x14ac:dyDescent="0.3">
      <c r="A194" s="3"/>
      <c r="B194" s="9" t="s">
        <v>1996</v>
      </c>
      <c r="C194" s="53">
        <v>20</v>
      </c>
      <c r="D194" s="53" t="s">
        <v>95</v>
      </c>
      <c r="E194" s="11">
        <v>0</v>
      </c>
      <c r="F194" s="11">
        <v>85.36</v>
      </c>
      <c r="G194" s="56" t="s">
        <v>1607</v>
      </c>
      <c r="H194" s="56" t="s">
        <v>37</v>
      </c>
      <c r="I194" s="102" t="s">
        <v>2002</v>
      </c>
      <c r="J194" s="56"/>
      <c r="K194" s="28"/>
      <c r="L194" s="28"/>
      <c r="M194" s="28"/>
      <c r="N194" s="28"/>
      <c r="O194" s="28"/>
      <c r="P194" s="28"/>
      <c r="Q194" s="28"/>
      <c r="R194" s="28"/>
      <c r="S194" s="28"/>
      <c r="T194" s="28"/>
      <c r="U194" s="3"/>
      <c r="W194" s="3"/>
      <c r="X194" s="3"/>
      <c r="Y194" s="3"/>
      <c r="Z194" s="3"/>
    </row>
    <row r="195" spans="1:26" ht="14.4" outlineLevel="1" x14ac:dyDescent="0.3">
      <c r="A195" s="3"/>
      <c r="B195" s="9" t="s">
        <v>1996</v>
      </c>
      <c r="C195" s="53">
        <v>20</v>
      </c>
      <c r="D195" s="53" t="s">
        <v>95</v>
      </c>
      <c r="E195" s="11">
        <v>0</v>
      </c>
      <c r="F195" s="11">
        <v>13.8</v>
      </c>
      <c r="G195" s="56" t="s">
        <v>1607</v>
      </c>
      <c r="H195" s="56" t="s">
        <v>37</v>
      </c>
      <c r="I195" s="102" t="s">
        <v>2003</v>
      </c>
      <c r="J195" s="56"/>
      <c r="K195" s="28"/>
      <c r="L195" s="28"/>
      <c r="M195" s="28"/>
      <c r="N195" s="28"/>
      <c r="O195" s="28"/>
      <c r="P195" s="28"/>
      <c r="Q195" s="28"/>
      <c r="R195" s="28"/>
      <c r="S195" s="28"/>
      <c r="T195" s="28"/>
      <c r="U195" s="3"/>
      <c r="W195" s="3"/>
      <c r="X195" s="3"/>
      <c r="Y195" s="3"/>
      <c r="Z195" s="3"/>
    </row>
    <row r="196" spans="1:26" ht="14.4" outlineLevel="1" x14ac:dyDescent="0.3">
      <c r="A196" s="3"/>
      <c r="B196" s="9" t="s">
        <v>1996</v>
      </c>
      <c r="C196" s="53">
        <v>20</v>
      </c>
      <c r="D196" s="53" t="s">
        <v>95</v>
      </c>
      <c r="E196" s="11">
        <v>0</v>
      </c>
      <c r="F196" s="11">
        <v>45</v>
      </c>
      <c r="G196" s="56" t="s">
        <v>1607</v>
      </c>
      <c r="H196" s="56" t="s">
        <v>37</v>
      </c>
      <c r="I196" s="102" t="s">
        <v>2004</v>
      </c>
      <c r="J196" s="56"/>
      <c r="K196" s="28"/>
      <c r="L196" s="28"/>
      <c r="M196" s="28"/>
      <c r="N196" s="28"/>
      <c r="O196" s="28"/>
      <c r="P196" s="28"/>
      <c r="Q196" s="28"/>
      <c r="R196" s="28"/>
      <c r="S196" s="28"/>
      <c r="T196" s="28"/>
      <c r="U196" s="3"/>
      <c r="W196" s="3"/>
      <c r="X196" s="3"/>
      <c r="Y196" s="3"/>
      <c r="Z196" s="3"/>
    </row>
    <row r="197" spans="1:26" ht="14.4" hidden="1" outlineLevel="1" x14ac:dyDescent="0.3">
      <c r="A197" s="3"/>
      <c r="B197" s="9" t="s">
        <v>51</v>
      </c>
      <c r="C197" s="53"/>
      <c r="D197" s="53"/>
      <c r="E197" s="11">
        <v>0</v>
      </c>
      <c r="F197" s="11">
        <v>0</v>
      </c>
      <c r="G197" s="56"/>
      <c r="H197" s="56"/>
      <c r="I197" s="144"/>
      <c r="J197" s="56"/>
      <c r="K197" s="28"/>
      <c r="L197" s="28"/>
      <c r="M197" s="28"/>
      <c r="N197" s="28"/>
      <c r="O197" s="28"/>
      <c r="P197" s="28"/>
      <c r="Q197" s="28"/>
      <c r="R197" s="28"/>
      <c r="S197" s="28"/>
      <c r="T197" s="28"/>
      <c r="U197" s="3"/>
      <c r="W197" s="3"/>
      <c r="X197" s="3"/>
      <c r="Y197" s="3"/>
      <c r="Z197" s="3"/>
    </row>
    <row r="198" spans="1:26" ht="14.4" hidden="1" outlineLevel="1" x14ac:dyDescent="0.3">
      <c r="A198" s="3"/>
      <c r="B198" s="9" t="s">
        <v>51</v>
      </c>
      <c r="C198" s="53"/>
      <c r="D198" s="53"/>
      <c r="E198" s="11">
        <v>0</v>
      </c>
      <c r="F198" s="11">
        <v>0</v>
      </c>
      <c r="G198" s="56"/>
      <c r="H198" s="56"/>
      <c r="I198" s="144"/>
      <c r="J198" s="56"/>
      <c r="K198" s="28"/>
      <c r="L198" s="28"/>
      <c r="M198" s="28"/>
      <c r="N198" s="28"/>
      <c r="O198" s="28"/>
      <c r="P198" s="28"/>
      <c r="Q198" s="28"/>
      <c r="R198" s="28"/>
      <c r="S198" s="28"/>
      <c r="T198" s="28"/>
      <c r="U198" s="3"/>
      <c r="W198" s="3"/>
      <c r="X198" s="3"/>
      <c r="Y198" s="3"/>
      <c r="Z198" s="3"/>
    </row>
    <row r="199" spans="1:26" ht="14.4" hidden="1" outlineLevel="1" x14ac:dyDescent="0.3">
      <c r="A199" s="3"/>
      <c r="B199" s="9" t="s">
        <v>51</v>
      </c>
      <c r="C199" s="53"/>
      <c r="D199" s="53"/>
      <c r="E199" s="11">
        <v>0</v>
      </c>
      <c r="F199" s="11">
        <v>0</v>
      </c>
      <c r="G199" s="56"/>
      <c r="H199" s="56"/>
      <c r="I199" s="117"/>
      <c r="J199" s="56"/>
      <c r="K199" s="28"/>
      <c r="L199" s="28"/>
      <c r="M199" s="28"/>
      <c r="N199" s="28"/>
      <c r="O199" s="28"/>
      <c r="P199" s="28"/>
      <c r="Q199" s="28"/>
      <c r="R199" s="28"/>
      <c r="S199" s="28"/>
      <c r="T199" s="28"/>
      <c r="U199" s="3"/>
      <c r="W199" s="3"/>
      <c r="X199" s="3"/>
      <c r="Y199" s="3"/>
      <c r="Z199" s="3"/>
    </row>
    <row r="200" spans="1:26" ht="14.4" hidden="1" outlineLevel="1" x14ac:dyDescent="0.3">
      <c r="A200" s="3"/>
      <c r="B200" s="9" t="s">
        <v>51</v>
      </c>
      <c r="C200" s="53"/>
      <c r="D200" s="53"/>
      <c r="E200" s="11">
        <v>0</v>
      </c>
      <c r="F200" s="11">
        <v>0</v>
      </c>
      <c r="G200" s="56"/>
      <c r="H200" s="56"/>
      <c r="I200" s="117"/>
      <c r="J200" s="56"/>
      <c r="K200" s="28"/>
      <c r="L200" s="28"/>
      <c r="M200" s="28"/>
      <c r="N200" s="28"/>
      <c r="O200" s="28"/>
      <c r="P200" s="28"/>
      <c r="Q200" s="28"/>
      <c r="R200" s="28"/>
      <c r="S200" s="28"/>
      <c r="T200" s="28"/>
      <c r="U200" s="3"/>
      <c r="W200" s="3"/>
      <c r="X200" s="3"/>
      <c r="Y200" s="3"/>
      <c r="Z200" s="3"/>
    </row>
    <row r="201" spans="1:26" ht="14.4" hidden="1" outlineLevel="1" x14ac:dyDescent="0.3">
      <c r="A201" s="3"/>
      <c r="B201" s="9" t="s">
        <v>51</v>
      </c>
      <c r="C201" s="53"/>
      <c r="D201" s="53"/>
      <c r="E201" s="11">
        <v>0</v>
      </c>
      <c r="F201" s="11">
        <v>0</v>
      </c>
      <c r="G201" s="56"/>
      <c r="H201" s="56"/>
      <c r="I201" s="144"/>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144"/>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144"/>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51</v>
      </c>
      <c r="C204" s="53"/>
      <c r="D204" s="53"/>
      <c r="E204" s="11">
        <v>0</v>
      </c>
      <c r="F204" s="11">
        <v>0</v>
      </c>
      <c r="G204" s="56"/>
      <c r="H204" s="56"/>
      <c r="I204" s="144"/>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56"/>
      <c r="H205" s="56"/>
      <c r="I205" s="144"/>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51</v>
      </c>
      <c r="C206" s="53"/>
      <c r="D206" s="53"/>
      <c r="E206" s="11">
        <v>0</v>
      </c>
      <c r="F206" s="11">
        <v>0</v>
      </c>
      <c r="G206" s="56"/>
      <c r="H206" s="56"/>
      <c r="I206" s="117"/>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51</v>
      </c>
      <c r="C207" s="53"/>
      <c r="D207" s="53"/>
      <c r="E207" s="11">
        <v>0</v>
      </c>
      <c r="F207" s="11">
        <v>0</v>
      </c>
      <c r="G207" s="56"/>
      <c r="H207" s="56"/>
      <c r="I207" s="144"/>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51</v>
      </c>
      <c r="C208" s="53"/>
      <c r="D208" s="53"/>
      <c r="E208" s="11">
        <v>0</v>
      </c>
      <c r="F208" s="11">
        <v>0</v>
      </c>
      <c r="G208" s="56"/>
      <c r="H208" s="56"/>
      <c r="I208" s="117"/>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51</v>
      </c>
      <c r="C209" s="53"/>
      <c r="D209" s="53"/>
      <c r="E209" s="11">
        <v>0</v>
      </c>
      <c r="F209" s="11">
        <v>0</v>
      </c>
      <c r="G209" s="56"/>
      <c r="H209" s="56"/>
      <c r="I209" s="117"/>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51</v>
      </c>
      <c r="C210" s="53"/>
      <c r="D210" s="53"/>
      <c r="E210" s="11">
        <v>0</v>
      </c>
      <c r="F210" s="11">
        <v>0</v>
      </c>
      <c r="G210" s="56"/>
      <c r="H210" s="56"/>
      <c r="I210" s="80"/>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51</v>
      </c>
      <c r="C211" s="53"/>
      <c r="D211" s="53"/>
      <c r="E211" s="11">
        <v>0</v>
      </c>
      <c r="F211" s="11">
        <v>0</v>
      </c>
      <c r="G211" s="56"/>
      <c r="H211" s="56"/>
      <c r="I211" s="80"/>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51</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51</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51</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20.399999999999999" x14ac:dyDescent="0.3">
      <c r="A215" s="3"/>
      <c r="B215" s="75" t="s">
        <v>395</v>
      </c>
      <c r="C215" s="76" t="s">
        <v>44</v>
      </c>
      <c r="D215" s="76" t="s">
        <v>44</v>
      </c>
      <c r="E215" s="77">
        <f>SUM(E216:E224)</f>
        <v>0</v>
      </c>
      <c r="F215" s="77">
        <f>SUMIF(D216:D224,"OK",F216:F224)</f>
        <v>707.48</v>
      </c>
      <c r="G215" s="78"/>
      <c r="H215" s="78"/>
      <c r="I215" s="79"/>
      <c r="J215" s="78"/>
      <c r="K215" s="28"/>
      <c r="L215" s="28"/>
      <c r="M215" s="28"/>
      <c r="N215" s="28"/>
      <c r="O215" s="28"/>
      <c r="P215" s="28"/>
      <c r="Q215" s="28"/>
      <c r="R215" s="28"/>
      <c r="S215" s="28"/>
      <c r="T215" s="28"/>
      <c r="U215" s="3"/>
      <c r="W215" s="3"/>
      <c r="X215" s="3"/>
      <c r="Y215" s="3"/>
      <c r="Z215" s="3"/>
    </row>
    <row r="216" spans="1:26" ht="14.4" outlineLevel="1" x14ac:dyDescent="0.3">
      <c r="A216" s="3"/>
      <c r="B216" s="9" t="s">
        <v>1837</v>
      </c>
      <c r="C216" s="53">
        <v>11</v>
      </c>
      <c r="D216" s="53" t="s">
        <v>95</v>
      </c>
      <c r="E216" s="11">
        <v>0</v>
      </c>
      <c r="F216" s="11">
        <v>100</v>
      </c>
      <c r="G216" s="80"/>
      <c r="H216" s="56" t="s">
        <v>37</v>
      </c>
      <c r="I216" s="102" t="s">
        <v>2005</v>
      </c>
      <c r="J216" s="56"/>
      <c r="K216" s="28"/>
      <c r="L216" s="28"/>
      <c r="M216" s="28"/>
      <c r="N216" s="28"/>
      <c r="O216" s="28"/>
      <c r="P216" s="28"/>
      <c r="Q216" s="28"/>
      <c r="R216" s="28"/>
      <c r="S216" s="28"/>
      <c r="T216" s="28"/>
      <c r="U216" s="3"/>
      <c r="W216" s="3"/>
      <c r="X216" s="3"/>
      <c r="Y216" s="3"/>
      <c r="Z216" s="3"/>
    </row>
    <row r="217" spans="1:26" ht="14.4" outlineLevel="1" x14ac:dyDescent="0.3">
      <c r="A217" s="3"/>
      <c r="B217" s="9" t="s">
        <v>2006</v>
      </c>
      <c r="C217" s="53">
        <v>17</v>
      </c>
      <c r="D217" s="53" t="s">
        <v>95</v>
      </c>
      <c r="E217" s="11">
        <v>0</v>
      </c>
      <c r="F217" s="11">
        <v>105.88</v>
      </c>
      <c r="G217" s="56"/>
      <c r="H217" s="56" t="s">
        <v>37</v>
      </c>
      <c r="I217" s="102" t="s">
        <v>2007</v>
      </c>
      <c r="J217" s="56"/>
      <c r="K217" s="28"/>
      <c r="L217" s="28"/>
      <c r="M217" s="28"/>
      <c r="N217" s="28"/>
      <c r="O217" s="28"/>
      <c r="P217" s="28"/>
      <c r="Q217" s="28"/>
      <c r="R217" s="28"/>
      <c r="S217" s="28"/>
      <c r="T217" s="28"/>
      <c r="U217" s="3"/>
      <c r="W217" s="3"/>
      <c r="X217" s="3"/>
      <c r="Y217" s="3"/>
      <c r="Z217" s="3"/>
    </row>
    <row r="218" spans="1:26" ht="14.4" outlineLevel="1" x14ac:dyDescent="0.3">
      <c r="A218" s="3"/>
      <c r="B218" s="9" t="s">
        <v>2008</v>
      </c>
      <c r="C218" s="53">
        <v>19</v>
      </c>
      <c r="D218" s="53" t="s">
        <v>95</v>
      </c>
      <c r="E218" s="11">
        <v>0</v>
      </c>
      <c r="F218" s="11">
        <v>401.6</v>
      </c>
      <c r="G218" s="56"/>
      <c r="H218" s="56" t="s">
        <v>37</v>
      </c>
      <c r="I218" s="102" t="s">
        <v>2009</v>
      </c>
      <c r="J218" s="56"/>
      <c r="K218" s="28"/>
      <c r="L218" s="28"/>
      <c r="M218" s="28"/>
      <c r="N218" s="28"/>
      <c r="O218" s="28"/>
      <c r="P218" s="28"/>
      <c r="Q218" s="28"/>
      <c r="R218" s="28"/>
      <c r="S218" s="28"/>
      <c r="T218" s="28"/>
      <c r="U218" s="3"/>
      <c r="W218" s="3"/>
      <c r="X218" s="3"/>
      <c r="Y218" s="3"/>
      <c r="Z218" s="3"/>
    </row>
    <row r="219" spans="1:26" ht="14.4" outlineLevel="1" x14ac:dyDescent="0.3">
      <c r="A219" s="3"/>
      <c r="B219" s="9" t="s">
        <v>2010</v>
      </c>
      <c r="C219" s="53">
        <v>19</v>
      </c>
      <c r="D219" s="53" t="s">
        <v>95</v>
      </c>
      <c r="E219" s="11">
        <v>0</v>
      </c>
      <c r="F219" s="11">
        <v>100</v>
      </c>
      <c r="G219" s="56"/>
      <c r="H219" s="56" t="s">
        <v>37</v>
      </c>
      <c r="I219" s="102" t="s">
        <v>2011</v>
      </c>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328</v>
      </c>
      <c r="C220" s="53"/>
      <c r="D220" s="53"/>
      <c r="E220" s="11">
        <v>0</v>
      </c>
      <c r="F220" s="11">
        <v>0</v>
      </c>
      <c r="G220" s="56"/>
      <c r="H220" s="56"/>
      <c r="I220" s="145"/>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329</v>
      </c>
      <c r="C221" s="53"/>
      <c r="D221" s="53"/>
      <c r="E221" s="11">
        <v>0</v>
      </c>
      <c r="F221" s="11">
        <v>0</v>
      </c>
      <c r="G221" s="56"/>
      <c r="H221" s="56"/>
      <c r="I221" s="145"/>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371</v>
      </c>
      <c r="C222" s="53"/>
      <c r="D222" s="53"/>
      <c r="E222" s="11">
        <v>0</v>
      </c>
      <c r="F222" s="11">
        <v>0</v>
      </c>
      <c r="G222" s="56"/>
      <c r="H222" s="56"/>
      <c r="I222" s="145"/>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372</v>
      </c>
      <c r="C223" s="53"/>
      <c r="D223" s="53"/>
      <c r="E223" s="11">
        <v>0</v>
      </c>
      <c r="F223" s="11">
        <v>0</v>
      </c>
      <c r="G223" s="56"/>
      <c r="H223" s="56"/>
      <c r="I223" s="80"/>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373</v>
      </c>
      <c r="C224" s="53"/>
      <c r="D224" s="53"/>
      <c r="E224" s="11">
        <v>0</v>
      </c>
      <c r="F224" s="11">
        <v>0</v>
      </c>
      <c r="G224" s="56"/>
      <c r="H224" s="56"/>
      <c r="I224" s="80"/>
      <c r="J224" s="56"/>
      <c r="K224" s="28"/>
      <c r="L224" s="28"/>
      <c r="M224" s="28"/>
      <c r="N224" s="28"/>
      <c r="O224" s="28"/>
      <c r="P224" s="28"/>
      <c r="Q224" s="28"/>
      <c r="R224" s="28"/>
      <c r="S224" s="28"/>
      <c r="T224" s="28"/>
      <c r="U224" s="3"/>
      <c r="W224" s="3"/>
      <c r="X224" s="3"/>
      <c r="Y224" s="3"/>
      <c r="Z224" s="3"/>
    </row>
    <row r="225" spans="1:26" ht="20.399999999999999" hidden="1" x14ac:dyDescent="0.3">
      <c r="A225" s="3"/>
      <c r="B225" s="75" t="s">
        <v>402</v>
      </c>
      <c r="C225" s="76" t="s">
        <v>44</v>
      </c>
      <c r="D225" s="76" t="s">
        <v>44</v>
      </c>
      <c r="E225" s="77">
        <f>SUM(E226:E234)</f>
        <v>0</v>
      </c>
      <c r="F225" s="77">
        <f>SUMIF(D226:D234,"OK",F226:F234)</f>
        <v>0</v>
      </c>
      <c r="G225" s="78"/>
      <c r="H225" s="78"/>
      <c r="I225" s="79"/>
      <c r="J225" s="78"/>
      <c r="K225" s="28"/>
      <c r="L225" s="28"/>
      <c r="M225" s="28"/>
      <c r="N225" s="28"/>
      <c r="O225" s="28"/>
      <c r="P225" s="28"/>
      <c r="Q225" s="28"/>
      <c r="R225" s="28"/>
      <c r="S225" s="28"/>
      <c r="T225" s="28"/>
      <c r="U225" s="3"/>
      <c r="W225" s="3"/>
      <c r="X225" s="3"/>
      <c r="Y225" s="3"/>
      <c r="Z225" s="3"/>
    </row>
    <row r="226" spans="1:26" ht="14.4" hidden="1" outlineLevel="1" x14ac:dyDescent="0.3">
      <c r="A226" s="3"/>
      <c r="B226" s="9" t="s">
        <v>1841</v>
      </c>
      <c r="C226" s="53"/>
      <c r="D226" s="53"/>
      <c r="E226" s="11">
        <v>0</v>
      </c>
      <c r="F226" s="11">
        <v>0</v>
      </c>
      <c r="G226" s="56"/>
      <c r="H226" s="56"/>
      <c r="I226" s="102"/>
      <c r="J226" s="56"/>
      <c r="K226" s="28"/>
      <c r="L226" s="28"/>
      <c r="M226" s="28"/>
      <c r="N226" s="28"/>
      <c r="O226" s="28"/>
      <c r="P226" s="28"/>
      <c r="Q226" s="28"/>
      <c r="R226" s="28"/>
      <c r="S226" s="28"/>
      <c r="T226" s="28"/>
      <c r="U226" s="3"/>
      <c r="W226" s="3"/>
      <c r="X226" s="3"/>
      <c r="Y226" s="3"/>
      <c r="Z226" s="3"/>
    </row>
    <row r="227" spans="1:26" ht="14.4" hidden="1" outlineLevel="1" x14ac:dyDescent="0.3">
      <c r="A227" s="3"/>
      <c r="B227" s="9" t="s">
        <v>1841</v>
      </c>
      <c r="C227" s="53"/>
      <c r="D227" s="53"/>
      <c r="E227" s="11">
        <v>0</v>
      </c>
      <c r="F227" s="11">
        <v>0</v>
      </c>
      <c r="G227" s="56"/>
      <c r="H227" s="56"/>
      <c r="I227" s="102"/>
      <c r="J227" s="56"/>
      <c r="K227" s="28"/>
      <c r="L227" s="28"/>
      <c r="M227" s="28"/>
      <c r="N227" s="28"/>
      <c r="O227" s="28"/>
      <c r="P227" s="28"/>
      <c r="Q227" s="28"/>
      <c r="R227" s="28"/>
      <c r="S227" s="28"/>
      <c r="T227" s="28"/>
      <c r="U227" s="3"/>
      <c r="W227" s="3"/>
      <c r="X227" s="3"/>
      <c r="Y227" s="3"/>
      <c r="Z227" s="3"/>
    </row>
    <row r="228" spans="1:26" ht="14.4" hidden="1" outlineLevel="1" x14ac:dyDescent="0.3">
      <c r="A228" s="3"/>
      <c r="B228" s="9" t="s">
        <v>356</v>
      </c>
      <c r="C228" s="53"/>
      <c r="D228" s="53"/>
      <c r="E228" s="11">
        <v>0</v>
      </c>
      <c r="F228" s="11">
        <v>0</v>
      </c>
      <c r="G228" s="56"/>
      <c r="H228" s="56"/>
      <c r="I228" s="145"/>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370</v>
      </c>
      <c r="C229" s="53"/>
      <c r="D229" s="53"/>
      <c r="E229" s="11">
        <v>0</v>
      </c>
      <c r="F229" s="11">
        <v>0</v>
      </c>
      <c r="G229" s="56"/>
      <c r="H229" s="56"/>
      <c r="I229" s="145"/>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328</v>
      </c>
      <c r="C230" s="53"/>
      <c r="D230" s="53"/>
      <c r="E230" s="11">
        <v>0</v>
      </c>
      <c r="F230" s="11">
        <v>0</v>
      </c>
      <c r="G230" s="56"/>
      <c r="H230" s="56"/>
      <c r="I230" s="144"/>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329</v>
      </c>
      <c r="C231" s="53"/>
      <c r="D231" s="53"/>
      <c r="E231" s="11">
        <v>0</v>
      </c>
      <c r="F231" s="11">
        <v>0</v>
      </c>
      <c r="G231" s="56"/>
      <c r="H231" s="56"/>
      <c r="I231" s="144"/>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371</v>
      </c>
      <c r="C232" s="53"/>
      <c r="D232" s="53"/>
      <c r="E232" s="11">
        <v>0</v>
      </c>
      <c r="F232" s="11">
        <v>0</v>
      </c>
      <c r="G232" s="56"/>
      <c r="H232" s="56"/>
      <c r="I232" s="144"/>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372</v>
      </c>
      <c r="C233" s="53"/>
      <c r="D233" s="53"/>
      <c r="E233" s="11">
        <v>0</v>
      </c>
      <c r="F233" s="11">
        <v>0</v>
      </c>
      <c r="G233" s="80"/>
      <c r="H233" s="56"/>
      <c r="I233" s="144"/>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373</v>
      </c>
      <c r="C234" s="53"/>
      <c r="D234" s="53"/>
      <c r="E234" s="11">
        <v>0</v>
      </c>
      <c r="F234" s="11">
        <v>0</v>
      </c>
      <c r="G234" s="80"/>
      <c r="H234" s="56"/>
      <c r="I234" s="144"/>
      <c r="J234" s="56"/>
      <c r="K234" s="28"/>
      <c r="L234" s="28"/>
      <c r="M234" s="28"/>
      <c r="N234" s="28"/>
      <c r="O234" s="28"/>
      <c r="P234" s="28"/>
      <c r="Q234" s="28"/>
      <c r="R234" s="28"/>
      <c r="S234" s="28"/>
      <c r="T234" s="28"/>
      <c r="U234" s="3"/>
      <c r="W234" s="3"/>
      <c r="X234" s="3"/>
      <c r="Y234" s="3"/>
      <c r="Z234" s="3"/>
    </row>
    <row r="235" spans="1:26" ht="20.399999999999999" hidden="1" collapsed="1" x14ac:dyDescent="0.3">
      <c r="A235" s="3"/>
      <c r="B235" s="75" t="s">
        <v>403</v>
      </c>
      <c r="C235" s="76" t="s">
        <v>44</v>
      </c>
      <c r="D235" s="76" t="s">
        <v>44</v>
      </c>
      <c r="E235" s="77">
        <f>SUM(E236:E244)</f>
        <v>0</v>
      </c>
      <c r="F235" s="77">
        <f>SUMIF(D236:D244,"OK",F236:F244)</f>
        <v>0</v>
      </c>
      <c r="G235" s="78"/>
      <c r="H235" s="78"/>
      <c r="I235" s="79"/>
      <c r="J235" s="78"/>
      <c r="K235" s="28"/>
      <c r="L235" s="28"/>
      <c r="M235" s="28"/>
      <c r="N235" s="28"/>
      <c r="O235" s="28"/>
      <c r="P235" s="28"/>
      <c r="Q235" s="28"/>
      <c r="R235" s="28"/>
      <c r="S235" s="28"/>
      <c r="T235" s="28"/>
      <c r="U235" s="3"/>
      <c r="W235" s="3"/>
      <c r="X235" s="3"/>
      <c r="Y235" s="3"/>
      <c r="Z235" s="3"/>
    </row>
    <row r="236" spans="1:26" ht="14.4" hidden="1" outlineLevel="1" x14ac:dyDescent="0.3">
      <c r="A236" s="3"/>
      <c r="B236" s="9" t="s">
        <v>354</v>
      </c>
      <c r="C236" s="53"/>
      <c r="D236" s="53"/>
      <c r="E236" s="11">
        <v>0</v>
      </c>
      <c r="F236" s="11">
        <v>0</v>
      </c>
      <c r="G236" s="56"/>
      <c r="H236" s="56"/>
      <c r="I236" s="144"/>
      <c r="J236" s="56"/>
      <c r="K236" s="28"/>
      <c r="L236" s="28"/>
      <c r="M236" s="28"/>
      <c r="N236" s="28"/>
      <c r="O236" s="28"/>
      <c r="P236" s="28"/>
      <c r="Q236" s="28"/>
      <c r="R236" s="28"/>
      <c r="S236" s="28"/>
      <c r="T236" s="28"/>
      <c r="U236" s="3"/>
      <c r="W236" s="3"/>
      <c r="X236" s="3"/>
      <c r="Y236" s="3"/>
      <c r="Z236" s="3"/>
    </row>
    <row r="237" spans="1:26" ht="14.4" hidden="1" outlineLevel="1" x14ac:dyDescent="0.3">
      <c r="A237" s="3"/>
      <c r="B237" s="9" t="s">
        <v>355</v>
      </c>
      <c r="C237" s="53"/>
      <c r="D237" s="53"/>
      <c r="E237" s="11">
        <v>0</v>
      </c>
      <c r="F237" s="11">
        <v>0</v>
      </c>
      <c r="G237" s="56"/>
      <c r="H237" s="56"/>
      <c r="I237" s="144"/>
      <c r="J237" s="56"/>
      <c r="K237" s="28"/>
      <c r="L237" s="28"/>
      <c r="M237" s="28"/>
      <c r="N237" s="28"/>
      <c r="O237" s="28"/>
      <c r="P237" s="28"/>
      <c r="Q237" s="28"/>
      <c r="R237" s="28"/>
      <c r="S237" s="28"/>
      <c r="T237" s="28"/>
      <c r="U237" s="3"/>
      <c r="W237" s="3"/>
      <c r="X237" s="3"/>
      <c r="Y237" s="3"/>
      <c r="Z237" s="3"/>
    </row>
    <row r="238" spans="1:26" ht="14.4" hidden="1" outlineLevel="1" x14ac:dyDescent="0.3">
      <c r="A238" s="3"/>
      <c r="B238" s="9" t="s">
        <v>356</v>
      </c>
      <c r="C238" s="53"/>
      <c r="D238" s="53"/>
      <c r="E238" s="11">
        <v>0</v>
      </c>
      <c r="F238" s="11">
        <v>0</v>
      </c>
      <c r="G238" s="56"/>
      <c r="H238" s="56"/>
      <c r="I238" s="80"/>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370</v>
      </c>
      <c r="C239" s="53"/>
      <c r="D239" s="53"/>
      <c r="E239" s="11">
        <v>0</v>
      </c>
      <c r="F239" s="11">
        <v>0</v>
      </c>
      <c r="G239" s="56"/>
      <c r="H239" s="56"/>
      <c r="I239" s="80"/>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328</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329</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371</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372</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373</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20.399999999999999" collapsed="1" x14ac:dyDescent="0.3">
      <c r="A245" s="3"/>
      <c r="B245" s="75" t="s">
        <v>404</v>
      </c>
      <c r="C245" s="76" t="s">
        <v>44</v>
      </c>
      <c r="D245" s="76" t="s">
        <v>44</v>
      </c>
      <c r="E245" s="77">
        <f>SUM(E246:E254)</f>
        <v>0</v>
      </c>
      <c r="F245" s="77">
        <f>SUMIF(D246:D254,"OK",F246:F254)</f>
        <v>160</v>
      </c>
      <c r="G245" s="78"/>
      <c r="H245" s="78"/>
      <c r="I245" s="79"/>
      <c r="J245" s="78"/>
      <c r="K245" s="28"/>
      <c r="L245" s="28"/>
      <c r="M245" s="28"/>
      <c r="N245" s="28"/>
      <c r="O245" s="28"/>
      <c r="P245" s="28"/>
      <c r="Q245" s="28"/>
      <c r="R245" s="28"/>
      <c r="S245" s="28"/>
      <c r="T245" s="28"/>
      <c r="U245" s="3"/>
      <c r="W245" s="3"/>
      <c r="X245" s="3"/>
      <c r="Y245" s="3"/>
      <c r="Z245" s="3"/>
    </row>
    <row r="246" spans="1:26" ht="14.4" outlineLevel="1" x14ac:dyDescent="0.3">
      <c r="A246" s="3"/>
      <c r="B246" s="9" t="s">
        <v>1526</v>
      </c>
      <c r="C246" s="53">
        <v>14</v>
      </c>
      <c r="D246" s="53" t="s">
        <v>95</v>
      </c>
      <c r="E246" s="11">
        <v>0</v>
      </c>
      <c r="F246" s="11">
        <v>80</v>
      </c>
      <c r="G246" s="80" t="s">
        <v>1929</v>
      </c>
      <c r="H246" s="56" t="s">
        <v>37</v>
      </c>
      <c r="I246" s="102" t="s">
        <v>1930</v>
      </c>
      <c r="J246" s="56"/>
      <c r="K246" s="28"/>
      <c r="L246" s="28"/>
      <c r="M246" s="28"/>
      <c r="N246" s="28"/>
      <c r="O246" s="28"/>
      <c r="P246" s="28"/>
      <c r="Q246" s="28"/>
      <c r="R246" s="28"/>
      <c r="S246" s="28"/>
      <c r="T246" s="28"/>
      <c r="U246" s="3"/>
      <c r="W246" s="3"/>
      <c r="X246" s="3"/>
      <c r="Y246" s="3"/>
      <c r="Z246" s="3"/>
    </row>
    <row r="247" spans="1:26" ht="14.4" outlineLevel="1" x14ac:dyDescent="0.3">
      <c r="A247" s="3"/>
      <c r="B247" s="9" t="s">
        <v>1526</v>
      </c>
      <c r="C247" s="53">
        <v>31</v>
      </c>
      <c r="D247" s="53" t="s">
        <v>95</v>
      </c>
      <c r="E247" s="11">
        <v>0</v>
      </c>
      <c r="F247" s="11">
        <v>80</v>
      </c>
      <c r="G247" s="56" t="s">
        <v>1931</v>
      </c>
      <c r="H247" s="56" t="s">
        <v>37</v>
      </c>
      <c r="I247" s="102" t="s">
        <v>1932</v>
      </c>
      <c r="J247" s="56"/>
      <c r="K247" s="28"/>
      <c r="L247" s="28"/>
      <c r="M247" s="28"/>
      <c r="N247" s="28"/>
      <c r="O247" s="28"/>
      <c r="P247" s="28"/>
      <c r="Q247" s="28"/>
      <c r="R247" s="28"/>
      <c r="S247" s="28"/>
      <c r="T247" s="28"/>
      <c r="U247" s="3"/>
      <c r="W247" s="3"/>
      <c r="X247" s="3"/>
      <c r="Y247" s="3"/>
      <c r="Z247" s="3"/>
    </row>
    <row r="248" spans="1:26" ht="14.4" hidden="1" outlineLevel="1" x14ac:dyDescent="0.3">
      <c r="A248" s="3"/>
      <c r="B248" s="9" t="s">
        <v>356</v>
      </c>
      <c r="C248" s="53"/>
      <c r="D248" s="53"/>
      <c r="E248" s="11">
        <v>0</v>
      </c>
      <c r="F248" s="11">
        <v>0</v>
      </c>
      <c r="G248" s="56"/>
      <c r="H248" s="56"/>
      <c r="I248" s="80"/>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370</v>
      </c>
      <c r="C249" s="53"/>
      <c r="D249" s="53"/>
      <c r="E249" s="11">
        <v>0</v>
      </c>
      <c r="F249" s="11">
        <v>0</v>
      </c>
      <c r="G249" s="56"/>
      <c r="H249" s="56"/>
      <c r="I249" s="80"/>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328</v>
      </c>
      <c r="C250" s="53"/>
      <c r="D250" s="53"/>
      <c r="E250" s="11">
        <v>0</v>
      </c>
      <c r="F250" s="11">
        <v>0</v>
      </c>
      <c r="G250" s="56"/>
      <c r="H250" s="56"/>
      <c r="I250" s="80"/>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329</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371</v>
      </c>
      <c r="C252" s="53"/>
      <c r="D252" s="53"/>
      <c r="E252" s="11">
        <v>0</v>
      </c>
      <c r="F252" s="11">
        <v>0</v>
      </c>
      <c r="G252" s="56"/>
      <c r="H252" s="56"/>
      <c r="I252" s="80"/>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372</v>
      </c>
      <c r="C253" s="53"/>
      <c r="D253" s="53"/>
      <c r="E253" s="11">
        <v>0</v>
      </c>
      <c r="F253" s="11">
        <v>0</v>
      </c>
      <c r="G253" s="56"/>
      <c r="H253" s="56"/>
      <c r="I253" s="80"/>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373</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20.399999999999999" hidden="1" x14ac:dyDescent="0.3">
      <c r="A255" s="3"/>
      <c r="B255" s="75" t="s">
        <v>406</v>
      </c>
      <c r="C255" s="76" t="s">
        <v>44</v>
      </c>
      <c r="D255" s="76" t="s">
        <v>44</v>
      </c>
      <c r="E255" s="77">
        <f>SUM(E256:E264)</f>
        <v>0</v>
      </c>
      <c r="F255" s="77">
        <f>SUMIF(D256:D264,"OK",F256:F264)</f>
        <v>0</v>
      </c>
      <c r="G255" s="78"/>
      <c r="H255" s="78"/>
      <c r="I255" s="79"/>
      <c r="J255" s="78"/>
      <c r="K255" s="28"/>
      <c r="L255" s="28"/>
      <c r="M255" s="28"/>
      <c r="N255" s="28"/>
      <c r="O255" s="28"/>
      <c r="P255" s="28"/>
      <c r="Q255" s="28"/>
      <c r="R255" s="28"/>
      <c r="S255" s="28"/>
      <c r="T255" s="28"/>
      <c r="U255" s="3"/>
      <c r="W255" s="3"/>
      <c r="X255" s="3"/>
      <c r="Y255" s="3"/>
      <c r="Z255" s="3"/>
    </row>
    <row r="256" spans="1:26" ht="14.4" hidden="1" outlineLevel="1" x14ac:dyDescent="0.3">
      <c r="A256" s="3"/>
      <c r="B256" s="9" t="s">
        <v>2012</v>
      </c>
      <c r="C256" s="53"/>
      <c r="D256" s="53"/>
      <c r="E256" s="11">
        <v>0</v>
      </c>
      <c r="F256" s="11">
        <v>0</v>
      </c>
      <c r="G256" s="56"/>
      <c r="H256" s="56"/>
      <c r="I256" s="102"/>
      <c r="J256" s="56"/>
      <c r="K256" s="28"/>
      <c r="L256" s="28"/>
      <c r="M256" s="28"/>
      <c r="N256" s="28"/>
      <c r="O256" s="28"/>
      <c r="P256" s="28"/>
      <c r="Q256" s="28"/>
      <c r="R256" s="28"/>
      <c r="S256" s="28"/>
      <c r="T256" s="28"/>
      <c r="U256" s="3"/>
      <c r="W256" s="3"/>
      <c r="X256" s="3"/>
      <c r="Y256" s="3"/>
      <c r="Z256" s="3"/>
    </row>
    <row r="257" spans="1:26" ht="14.4" hidden="1" outlineLevel="1" x14ac:dyDescent="0.3">
      <c r="A257" s="3"/>
      <c r="B257" s="9" t="s">
        <v>2013</v>
      </c>
      <c r="C257" s="53"/>
      <c r="D257" s="53"/>
      <c r="E257" s="11">
        <v>0</v>
      </c>
      <c r="F257" s="11">
        <v>0</v>
      </c>
      <c r="G257" s="56"/>
      <c r="H257" s="56"/>
      <c r="I257" s="102"/>
      <c r="J257" s="56"/>
      <c r="K257" s="28"/>
      <c r="L257" s="28"/>
      <c r="M257" s="28"/>
      <c r="N257" s="28"/>
      <c r="O257" s="28"/>
      <c r="P257" s="28"/>
      <c r="Q257" s="28"/>
      <c r="R257" s="28"/>
      <c r="S257" s="28"/>
      <c r="T257" s="28"/>
      <c r="U257" s="3"/>
      <c r="W257" s="3"/>
      <c r="X257" s="3"/>
      <c r="Y257" s="3"/>
      <c r="Z257" s="3"/>
    </row>
    <row r="258" spans="1:26" ht="14.4" hidden="1" outlineLevel="1" x14ac:dyDescent="0.3">
      <c r="A258" s="3"/>
      <c r="B258" s="9" t="s">
        <v>356</v>
      </c>
      <c r="C258" s="53"/>
      <c r="D258" s="53"/>
      <c r="E258" s="11">
        <v>0</v>
      </c>
      <c r="F258" s="11">
        <v>0</v>
      </c>
      <c r="G258" s="56"/>
      <c r="H258" s="56"/>
      <c r="I258" s="80"/>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370</v>
      </c>
      <c r="C259" s="53"/>
      <c r="D259" s="53"/>
      <c r="E259" s="11">
        <v>0</v>
      </c>
      <c r="F259" s="11">
        <v>0</v>
      </c>
      <c r="G259" s="56"/>
      <c r="H259" s="56"/>
      <c r="I259" s="80"/>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328</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329</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371</v>
      </c>
      <c r="C262" s="53"/>
      <c r="D262" s="53"/>
      <c r="E262" s="11">
        <v>0</v>
      </c>
      <c r="F262" s="11">
        <v>0</v>
      </c>
      <c r="G262" s="56"/>
      <c r="H262" s="56"/>
      <c r="I262" s="80"/>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372</v>
      </c>
      <c r="C263" s="53"/>
      <c r="D263" s="53"/>
      <c r="E263" s="11">
        <v>0</v>
      </c>
      <c r="F263" s="11">
        <v>0</v>
      </c>
      <c r="G263" s="56"/>
      <c r="H263" s="56"/>
      <c r="I263" s="80"/>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373</v>
      </c>
      <c r="C264" s="53"/>
      <c r="D264" s="53"/>
      <c r="E264" s="11">
        <v>0</v>
      </c>
      <c r="F264" s="11">
        <v>0</v>
      </c>
      <c r="G264" s="56"/>
      <c r="H264" s="56"/>
      <c r="I264" s="80"/>
      <c r="J264" s="56"/>
      <c r="K264" s="28"/>
      <c r="L264" s="28"/>
      <c r="M264" s="28"/>
      <c r="N264" s="28"/>
      <c r="O264" s="28"/>
      <c r="P264" s="28"/>
      <c r="Q264" s="28"/>
      <c r="R264" s="28"/>
      <c r="S264" s="28"/>
      <c r="T264" s="28"/>
      <c r="U264" s="3"/>
      <c r="W264" s="3"/>
      <c r="X264" s="3"/>
      <c r="Y264" s="3"/>
      <c r="Z264" s="3"/>
    </row>
    <row r="265" spans="1:26" ht="20.399999999999999" collapsed="1" x14ac:dyDescent="0.3">
      <c r="A265" s="3"/>
      <c r="B265" s="75" t="s">
        <v>409</v>
      </c>
      <c r="C265" s="76" t="s">
        <v>44</v>
      </c>
      <c r="D265" s="76" t="s">
        <v>44</v>
      </c>
      <c r="E265" s="77">
        <f>SUM(E266,E276,E286,E296)</f>
        <v>0</v>
      </c>
      <c r="F265" s="77">
        <f>SUM(F266,F276,F286,F296,F318)</f>
        <v>8139.84</v>
      </c>
      <c r="G265" s="78"/>
      <c r="H265" s="78"/>
      <c r="I265" s="79"/>
      <c r="J265" s="78"/>
      <c r="K265" s="28"/>
      <c r="L265" s="28"/>
      <c r="M265" s="28"/>
      <c r="N265" s="28"/>
      <c r="O265" s="28"/>
      <c r="P265" s="28"/>
      <c r="Q265" s="28"/>
      <c r="R265" s="28"/>
      <c r="S265" s="28"/>
      <c r="T265" s="28"/>
      <c r="U265" s="3"/>
      <c r="W265" s="3"/>
      <c r="X265" s="3"/>
      <c r="Y265" s="3"/>
      <c r="Z265" s="3"/>
    </row>
    <row r="266" spans="1:26" outlineLevel="1" x14ac:dyDescent="0.3">
      <c r="A266" s="3"/>
      <c r="B266" s="82" t="s">
        <v>233</v>
      </c>
      <c r="C266" s="83"/>
      <c r="D266" s="83"/>
      <c r="E266" s="84">
        <f>SUM(E267:E275)</f>
        <v>0</v>
      </c>
      <c r="F266" s="84">
        <f>SUMIF(D267:D275,"OK",F267:F275)</f>
        <v>128.09</v>
      </c>
      <c r="G266" s="85"/>
      <c r="H266" s="85"/>
      <c r="I266" s="86"/>
      <c r="J266" s="85"/>
      <c r="K266" s="28"/>
      <c r="L266" s="28"/>
      <c r="M266" s="28"/>
      <c r="N266" s="28"/>
      <c r="O266" s="28"/>
      <c r="P266" s="28"/>
      <c r="Q266" s="28"/>
      <c r="R266" s="28"/>
      <c r="S266" s="28"/>
      <c r="T266" s="28"/>
      <c r="U266" s="3"/>
      <c r="W266" s="3"/>
      <c r="X266" s="3"/>
      <c r="Y266" s="3"/>
      <c r="Z266" s="3"/>
    </row>
    <row r="267" spans="1:26" ht="14.4" outlineLevel="1" x14ac:dyDescent="0.3">
      <c r="A267" s="3"/>
      <c r="B267" s="9" t="s">
        <v>2014</v>
      </c>
      <c r="C267" s="53">
        <v>25</v>
      </c>
      <c r="D267" s="53" t="s">
        <v>95</v>
      </c>
      <c r="E267" s="11">
        <v>0</v>
      </c>
      <c r="F267" s="11">
        <v>128.09</v>
      </c>
      <c r="G267" s="56"/>
      <c r="H267" s="56" t="s">
        <v>37</v>
      </c>
      <c r="I267" s="115" t="s">
        <v>2015</v>
      </c>
      <c r="J267" s="56"/>
      <c r="K267" s="28"/>
      <c r="L267" s="28"/>
      <c r="M267" s="28"/>
      <c r="N267" s="28"/>
      <c r="O267" s="28"/>
      <c r="P267" s="28"/>
      <c r="Q267" s="28"/>
      <c r="R267" s="28"/>
      <c r="S267" s="28"/>
      <c r="T267" s="28"/>
      <c r="U267" s="3"/>
      <c r="W267" s="3"/>
      <c r="X267" s="3"/>
      <c r="Y267" s="3"/>
      <c r="Z267" s="3"/>
    </row>
    <row r="268" spans="1:26" ht="14.4" hidden="1" outlineLevel="1" x14ac:dyDescent="0.3">
      <c r="A268" s="3"/>
      <c r="B268" s="9" t="s">
        <v>355</v>
      </c>
      <c r="C268" s="53"/>
      <c r="D268" s="53"/>
      <c r="E268" s="11">
        <v>0</v>
      </c>
      <c r="F268" s="11">
        <v>0</v>
      </c>
      <c r="G268" s="56"/>
      <c r="H268" s="56"/>
      <c r="I268" s="149"/>
      <c r="J268" s="56"/>
      <c r="K268" s="28"/>
      <c r="L268" s="28"/>
      <c r="M268" s="28"/>
      <c r="N268" s="28"/>
      <c r="O268" s="28"/>
      <c r="P268" s="28"/>
      <c r="Q268" s="28"/>
      <c r="R268" s="28"/>
      <c r="S268" s="28"/>
      <c r="T268" s="28"/>
      <c r="U268" s="3"/>
      <c r="W268" s="3"/>
      <c r="X268" s="3"/>
      <c r="Y268" s="3"/>
      <c r="Z268" s="3"/>
    </row>
    <row r="269" spans="1:26" ht="14.4" hidden="1" outlineLevel="1" x14ac:dyDescent="0.3">
      <c r="A269" s="3"/>
      <c r="B269" s="9" t="s">
        <v>356</v>
      </c>
      <c r="C269" s="53"/>
      <c r="D269" s="53"/>
      <c r="E269" s="11">
        <v>0</v>
      </c>
      <c r="F269" s="11">
        <v>0</v>
      </c>
      <c r="G269" s="56"/>
      <c r="H269" s="56"/>
      <c r="I269" s="149"/>
      <c r="J269" s="56"/>
      <c r="K269" s="28"/>
      <c r="L269" s="28"/>
      <c r="M269" s="28"/>
      <c r="N269" s="28"/>
      <c r="O269" s="28"/>
      <c r="P269" s="28"/>
      <c r="Q269" s="28"/>
      <c r="R269" s="28"/>
      <c r="S269" s="28"/>
      <c r="T269" s="28"/>
      <c r="U269" s="3"/>
      <c r="W269" s="3"/>
      <c r="X269" s="3"/>
      <c r="Y269" s="3"/>
      <c r="Z269" s="3"/>
    </row>
    <row r="270" spans="1:26" ht="14.4" hidden="1" outlineLevel="1" x14ac:dyDescent="0.3">
      <c r="A270" s="3"/>
      <c r="B270" s="9" t="s">
        <v>370</v>
      </c>
      <c r="C270" s="53"/>
      <c r="D270" s="53"/>
      <c r="E270" s="11">
        <v>0</v>
      </c>
      <c r="F270" s="11">
        <v>0</v>
      </c>
      <c r="G270" s="56"/>
      <c r="H270" s="56"/>
      <c r="I270" s="144"/>
      <c r="J270" s="56"/>
      <c r="K270" s="28"/>
      <c r="L270" s="28"/>
      <c r="M270" s="28"/>
      <c r="N270" s="28"/>
      <c r="O270" s="28"/>
      <c r="P270" s="28"/>
      <c r="Q270" s="28"/>
      <c r="R270" s="28"/>
      <c r="S270" s="28"/>
      <c r="T270" s="28"/>
      <c r="U270" s="3"/>
      <c r="W270" s="3"/>
      <c r="X270" s="3"/>
      <c r="Y270" s="3"/>
      <c r="Z270" s="3"/>
    </row>
    <row r="271" spans="1:26" ht="14.4" hidden="1" outlineLevel="1" x14ac:dyDescent="0.3">
      <c r="A271" s="3"/>
      <c r="B271" s="9" t="s">
        <v>328</v>
      </c>
      <c r="C271" s="53"/>
      <c r="D271" s="53"/>
      <c r="E271" s="11">
        <v>0</v>
      </c>
      <c r="F271" s="11">
        <v>0</v>
      </c>
      <c r="G271" s="56"/>
      <c r="H271" s="56"/>
      <c r="I271" s="144"/>
      <c r="J271" s="56"/>
      <c r="K271" s="28"/>
      <c r="L271" s="28"/>
      <c r="M271" s="28"/>
      <c r="N271" s="28"/>
      <c r="O271" s="28"/>
      <c r="P271" s="28"/>
      <c r="Q271" s="28"/>
      <c r="R271" s="28"/>
      <c r="S271" s="28"/>
      <c r="T271" s="28"/>
      <c r="U271" s="3"/>
      <c r="W271" s="3"/>
      <c r="X271" s="3"/>
      <c r="Y271" s="3"/>
      <c r="Z271" s="3"/>
    </row>
    <row r="272" spans="1:26" ht="14.4" hidden="1" outlineLevel="1" x14ac:dyDescent="0.3">
      <c r="A272" s="3"/>
      <c r="B272" s="9" t="s">
        <v>329</v>
      </c>
      <c r="C272" s="53"/>
      <c r="D272" s="53"/>
      <c r="E272" s="11">
        <v>0</v>
      </c>
      <c r="F272" s="11">
        <v>0</v>
      </c>
      <c r="G272" s="56"/>
      <c r="H272" s="56"/>
      <c r="I272" s="80"/>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371</v>
      </c>
      <c r="C273" s="53"/>
      <c r="D273" s="53"/>
      <c r="E273" s="11">
        <v>0</v>
      </c>
      <c r="F273" s="11">
        <v>0</v>
      </c>
      <c r="G273" s="56"/>
      <c r="H273" s="56"/>
      <c r="I273" s="80"/>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372</v>
      </c>
      <c r="C274" s="53"/>
      <c r="D274" s="53"/>
      <c r="E274" s="11">
        <v>0</v>
      </c>
      <c r="F274" s="11">
        <v>0</v>
      </c>
      <c r="G274" s="56"/>
      <c r="H274" s="56"/>
      <c r="I274" s="80"/>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373</v>
      </c>
      <c r="C275" s="53"/>
      <c r="D275" s="53"/>
      <c r="E275" s="11">
        <v>0</v>
      </c>
      <c r="F275" s="11">
        <v>0</v>
      </c>
      <c r="G275" s="56"/>
      <c r="H275" s="56"/>
      <c r="I275" s="80"/>
      <c r="J275" s="56"/>
      <c r="K275" s="28"/>
      <c r="L275" s="28"/>
      <c r="M275" s="28"/>
      <c r="N275" s="28"/>
      <c r="O275" s="28"/>
      <c r="P275" s="28"/>
      <c r="Q275" s="28"/>
      <c r="R275" s="28"/>
      <c r="S275" s="28"/>
      <c r="T275" s="28"/>
      <c r="U275" s="3"/>
      <c r="W275" s="3"/>
      <c r="X275" s="3"/>
      <c r="Y275" s="3"/>
      <c r="Z275" s="3"/>
    </row>
    <row r="276" spans="1:26" outlineLevel="1" x14ac:dyDescent="0.3">
      <c r="A276" s="3"/>
      <c r="B276" s="82" t="s">
        <v>652</v>
      </c>
      <c r="C276" s="83"/>
      <c r="D276" s="83"/>
      <c r="E276" s="84">
        <f>SUM(E277:E285)</f>
        <v>0</v>
      </c>
      <c r="F276" s="84">
        <f>SUMIF(D277:D285,"OK",F277:F285)</f>
        <v>940.45</v>
      </c>
      <c r="G276" s="85"/>
      <c r="H276" s="85"/>
      <c r="I276" s="86"/>
      <c r="J276" s="85"/>
      <c r="K276" s="28"/>
      <c r="L276" s="28"/>
      <c r="M276" s="28"/>
      <c r="N276" s="28"/>
      <c r="O276" s="28"/>
      <c r="P276" s="28"/>
      <c r="Q276" s="28"/>
      <c r="R276" s="28"/>
      <c r="S276" s="28"/>
      <c r="T276" s="28"/>
      <c r="U276" s="3"/>
      <c r="W276" s="3"/>
      <c r="X276" s="3"/>
      <c r="Y276" s="3"/>
      <c r="Z276" s="3"/>
    </row>
    <row r="277" spans="1:26" ht="14.4" outlineLevel="1" x14ac:dyDescent="0.3">
      <c r="A277" s="3"/>
      <c r="B277" s="9" t="s">
        <v>2016</v>
      </c>
      <c r="C277" s="53">
        <v>2</v>
      </c>
      <c r="D277" s="53" t="s">
        <v>95</v>
      </c>
      <c r="E277" s="11">
        <v>0</v>
      </c>
      <c r="F277" s="11">
        <v>169.59</v>
      </c>
      <c r="G277" s="56"/>
      <c r="H277" s="56" t="s">
        <v>37</v>
      </c>
      <c r="I277" s="102" t="s">
        <v>2017</v>
      </c>
      <c r="J277" s="56"/>
      <c r="K277" s="28"/>
      <c r="L277" s="28"/>
      <c r="M277" s="28"/>
      <c r="N277" s="28"/>
      <c r="O277" s="28"/>
      <c r="P277" s="28"/>
      <c r="Q277" s="28"/>
      <c r="R277" s="28"/>
      <c r="S277" s="28"/>
      <c r="T277" s="28"/>
      <c r="U277" s="3"/>
      <c r="W277" s="3"/>
      <c r="X277" s="3"/>
      <c r="Y277" s="3"/>
      <c r="Z277" s="3"/>
    </row>
    <row r="278" spans="1:26" ht="14.4" outlineLevel="1" x14ac:dyDescent="0.3">
      <c r="A278" s="3"/>
      <c r="B278" s="9" t="s">
        <v>363</v>
      </c>
      <c r="C278" s="53">
        <v>3</v>
      </c>
      <c r="D278" s="53" t="s">
        <v>95</v>
      </c>
      <c r="E278" s="11">
        <v>0</v>
      </c>
      <c r="F278" s="11">
        <v>64.62</v>
      </c>
      <c r="G278" s="56"/>
      <c r="H278" s="56" t="s">
        <v>37</v>
      </c>
      <c r="I278" s="102" t="s">
        <v>2018</v>
      </c>
      <c r="J278" s="56"/>
      <c r="K278" s="28"/>
      <c r="L278" s="28"/>
      <c r="M278" s="28"/>
      <c r="N278" s="28"/>
      <c r="O278" s="28"/>
      <c r="P278" s="28"/>
      <c r="Q278" s="28"/>
      <c r="R278" s="28"/>
      <c r="S278" s="28"/>
      <c r="T278" s="28"/>
      <c r="U278" s="3"/>
      <c r="W278" s="3"/>
      <c r="X278" s="3"/>
      <c r="Y278" s="3"/>
      <c r="Z278" s="3"/>
    </row>
    <row r="279" spans="1:26" ht="14.4" outlineLevel="1" x14ac:dyDescent="0.3">
      <c r="A279" s="3"/>
      <c r="B279" s="9" t="s">
        <v>363</v>
      </c>
      <c r="C279" s="53">
        <v>6</v>
      </c>
      <c r="D279" s="53" t="s">
        <v>95</v>
      </c>
      <c r="E279" s="11">
        <v>0</v>
      </c>
      <c r="F279" s="11">
        <v>154.27000000000001</v>
      </c>
      <c r="G279" s="56"/>
      <c r="H279" s="56" t="s">
        <v>37</v>
      </c>
      <c r="I279" s="102" t="s">
        <v>2019</v>
      </c>
      <c r="J279" s="56"/>
      <c r="K279" s="28"/>
      <c r="L279" s="28"/>
      <c r="M279" s="28"/>
      <c r="N279" s="28"/>
      <c r="O279" s="28"/>
      <c r="P279" s="28"/>
      <c r="Q279" s="28"/>
      <c r="R279" s="28"/>
      <c r="S279" s="28"/>
      <c r="T279" s="28"/>
      <c r="U279" s="3"/>
      <c r="W279" s="3"/>
      <c r="X279" s="3"/>
      <c r="Y279" s="3"/>
      <c r="Z279" s="3"/>
    </row>
    <row r="280" spans="1:26" ht="14.4" outlineLevel="1" x14ac:dyDescent="0.3">
      <c r="A280" s="3"/>
      <c r="B280" s="9" t="s">
        <v>363</v>
      </c>
      <c r="C280" s="53">
        <v>6</v>
      </c>
      <c r="D280" s="53" t="s">
        <v>95</v>
      </c>
      <c r="E280" s="11">
        <v>0</v>
      </c>
      <c r="F280" s="11">
        <v>93.7</v>
      </c>
      <c r="G280" s="56"/>
      <c r="H280" s="56" t="s">
        <v>37</v>
      </c>
      <c r="I280" s="102" t="s">
        <v>2020</v>
      </c>
      <c r="J280" s="56"/>
      <c r="K280" s="28"/>
      <c r="L280" s="28"/>
      <c r="M280" s="28"/>
      <c r="N280" s="28"/>
      <c r="O280" s="28"/>
      <c r="P280" s="28"/>
      <c r="Q280" s="28"/>
      <c r="R280" s="28"/>
      <c r="S280" s="28"/>
      <c r="T280" s="28"/>
      <c r="U280" s="3"/>
      <c r="W280" s="3"/>
      <c r="X280" s="3"/>
      <c r="Y280" s="3"/>
      <c r="Z280" s="3"/>
    </row>
    <row r="281" spans="1:26" ht="14.4" outlineLevel="1" x14ac:dyDescent="0.3">
      <c r="A281" s="3"/>
      <c r="B281" s="9" t="s">
        <v>363</v>
      </c>
      <c r="C281" s="53">
        <v>6</v>
      </c>
      <c r="D281" s="53" t="s">
        <v>95</v>
      </c>
      <c r="E281" s="11">
        <v>0</v>
      </c>
      <c r="F281" s="11">
        <v>79.83</v>
      </c>
      <c r="G281" s="56"/>
      <c r="H281" s="56" t="s">
        <v>37</v>
      </c>
      <c r="I281" s="102" t="s">
        <v>2021</v>
      </c>
      <c r="J281" s="56"/>
      <c r="K281" s="28"/>
      <c r="L281" s="28"/>
      <c r="M281" s="28"/>
      <c r="N281" s="28"/>
      <c r="O281" s="28"/>
      <c r="P281" s="28"/>
      <c r="Q281" s="28"/>
      <c r="R281" s="28"/>
      <c r="S281" s="28"/>
      <c r="T281" s="28"/>
      <c r="U281" s="3"/>
      <c r="W281" s="3"/>
      <c r="X281" s="3"/>
      <c r="Y281" s="3"/>
      <c r="Z281" s="3"/>
    </row>
    <row r="282" spans="1:26" ht="14.4" outlineLevel="1" x14ac:dyDescent="0.3">
      <c r="A282" s="3"/>
      <c r="B282" s="9" t="s">
        <v>363</v>
      </c>
      <c r="C282" s="53">
        <v>6</v>
      </c>
      <c r="D282" s="53" t="s">
        <v>95</v>
      </c>
      <c r="E282" s="11">
        <v>0</v>
      </c>
      <c r="F282" s="11">
        <v>80.38</v>
      </c>
      <c r="G282" s="56"/>
      <c r="H282" s="56" t="s">
        <v>37</v>
      </c>
      <c r="I282" s="102" t="s">
        <v>2022</v>
      </c>
      <c r="J282" s="56"/>
      <c r="K282" s="28"/>
      <c r="L282" s="28"/>
      <c r="M282" s="28"/>
      <c r="N282" s="28"/>
      <c r="O282" s="28"/>
      <c r="P282" s="28"/>
      <c r="Q282" s="28"/>
      <c r="R282" s="28"/>
      <c r="S282" s="28"/>
      <c r="T282" s="28"/>
      <c r="U282" s="3"/>
      <c r="W282" s="3"/>
      <c r="X282" s="3"/>
      <c r="Y282" s="3"/>
      <c r="Z282" s="3"/>
    </row>
    <row r="283" spans="1:26" ht="14.4" outlineLevel="1" x14ac:dyDescent="0.3">
      <c r="A283" s="3"/>
      <c r="B283" s="9" t="s">
        <v>363</v>
      </c>
      <c r="C283" s="53">
        <v>6</v>
      </c>
      <c r="D283" s="53" t="s">
        <v>95</v>
      </c>
      <c r="E283" s="11">
        <v>0</v>
      </c>
      <c r="F283" s="11">
        <v>18</v>
      </c>
      <c r="G283" s="56"/>
      <c r="H283" s="56" t="s">
        <v>37</v>
      </c>
      <c r="I283" s="102" t="s">
        <v>2023</v>
      </c>
      <c r="J283" s="56"/>
      <c r="K283" s="28"/>
      <c r="L283" s="28"/>
      <c r="M283" s="28"/>
      <c r="N283" s="28"/>
      <c r="O283" s="28"/>
      <c r="P283" s="28"/>
      <c r="Q283" s="28"/>
      <c r="R283" s="28"/>
      <c r="S283" s="28"/>
      <c r="T283" s="28"/>
      <c r="U283" s="3"/>
      <c r="W283" s="3"/>
      <c r="X283" s="3"/>
      <c r="Y283" s="3"/>
      <c r="Z283" s="3"/>
    </row>
    <row r="284" spans="1:26" ht="14.4" outlineLevel="1" x14ac:dyDescent="0.3">
      <c r="A284" s="3"/>
      <c r="B284" s="9" t="s">
        <v>363</v>
      </c>
      <c r="C284" s="53">
        <v>6</v>
      </c>
      <c r="D284" s="53" t="s">
        <v>95</v>
      </c>
      <c r="E284" s="11">
        <v>0</v>
      </c>
      <c r="F284" s="11">
        <v>228.06</v>
      </c>
      <c r="G284" s="56"/>
      <c r="H284" s="56" t="s">
        <v>37</v>
      </c>
      <c r="I284" s="102" t="s">
        <v>2024</v>
      </c>
      <c r="J284" s="56"/>
      <c r="K284" s="28"/>
      <c r="L284" s="28"/>
      <c r="M284" s="28"/>
      <c r="N284" s="28"/>
      <c r="O284" s="28"/>
      <c r="P284" s="28"/>
      <c r="Q284" s="28"/>
      <c r="R284" s="28"/>
      <c r="S284" s="28"/>
      <c r="T284" s="28"/>
      <c r="U284" s="3"/>
      <c r="W284" s="3"/>
      <c r="X284" s="3"/>
      <c r="Y284" s="3"/>
      <c r="Z284" s="3"/>
    </row>
    <row r="285" spans="1:26" ht="14.4" outlineLevel="1" x14ac:dyDescent="0.3">
      <c r="A285" s="3"/>
      <c r="B285" s="9" t="s">
        <v>363</v>
      </c>
      <c r="C285" s="53">
        <v>6</v>
      </c>
      <c r="D285" s="53" t="s">
        <v>95</v>
      </c>
      <c r="E285" s="11">
        <v>0</v>
      </c>
      <c r="F285" s="11">
        <v>52</v>
      </c>
      <c r="G285" s="56"/>
      <c r="H285" s="56" t="s">
        <v>37</v>
      </c>
      <c r="I285" s="102" t="s">
        <v>2025</v>
      </c>
      <c r="J285" s="56"/>
      <c r="K285" s="28"/>
      <c r="L285" s="28"/>
      <c r="M285" s="28"/>
      <c r="N285" s="28"/>
      <c r="O285" s="28"/>
      <c r="P285" s="28"/>
      <c r="Q285" s="28"/>
      <c r="R285" s="28"/>
      <c r="S285" s="28"/>
      <c r="T285" s="28"/>
      <c r="U285" s="3"/>
      <c r="W285" s="3"/>
      <c r="X285" s="3"/>
      <c r="Y285" s="3"/>
      <c r="Z285" s="3"/>
    </row>
    <row r="286" spans="1:26" hidden="1" outlineLevel="1" x14ac:dyDescent="0.3">
      <c r="A286" s="3"/>
      <c r="B286" s="82" t="s">
        <v>1025</v>
      </c>
      <c r="C286" s="83"/>
      <c r="D286" s="83"/>
      <c r="E286" s="84">
        <f>SUM(E287:E295)</f>
        <v>0</v>
      </c>
      <c r="F286" s="84">
        <f>SUMIF(D287:D295,"OK",F287:F295)</f>
        <v>0</v>
      </c>
      <c r="G286" s="85"/>
      <c r="H286" s="85"/>
      <c r="I286" s="86"/>
      <c r="J286" s="85"/>
      <c r="K286" s="28"/>
      <c r="L286" s="28"/>
      <c r="M286" s="28"/>
      <c r="N286" s="28"/>
      <c r="O286" s="28"/>
      <c r="P286" s="28"/>
      <c r="Q286" s="28"/>
      <c r="R286" s="28"/>
      <c r="S286" s="28"/>
      <c r="T286" s="28"/>
      <c r="U286" s="3"/>
      <c r="W286" s="3"/>
      <c r="X286" s="3"/>
      <c r="Y286" s="3"/>
      <c r="Z286" s="3"/>
    </row>
    <row r="287" spans="1:26" ht="14.4" hidden="1" outlineLevel="1" x14ac:dyDescent="0.3">
      <c r="A287" s="3"/>
      <c r="B287" s="9" t="s">
        <v>354</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t="14.4" hidden="1" outlineLevel="1" x14ac:dyDescent="0.3">
      <c r="A288" s="3"/>
      <c r="B288" s="9" t="s">
        <v>355</v>
      </c>
      <c r="C288" s="53"/>
      <c r="D288" s="53"/>
      <c r="E288" s="11">
        <v>0</v>
      </c>
      <c r="F288" s="11">
        <v>0</v>
      </c>
      <c r="G288" s="56"/>
      <c r="H288" s="56"/>
      <c r="I288" s="80"/>
      <c r="J288" s="56"/>
      <c r="K288" s="28"/>
      <c r="L288" s="28"/>
      <c r="M288" s="28"/>
      <c r="N288" s="28"/>
      <c r="O288" s="28"/>
      <c r="P288" s="28"/>
      <c r="Q288" s="28"/>
      <c r="R288" s="28"/>
      <c r="S288" s="28"/>
      <c r="T288" s="28"/>
      <c r="U288" s="3"/>
      <c r="W288" s="3"/>
      <c r="X288" s="3"/>
      <c r="Y288" s="3"/>
      <c r="Z288" s="3"/>
    </row>
    <row r="289" spans="1:26" ht="14.4" hidden="1" outlineLevel="1" x14ac:dyDescent="0.3">
      <c r="A289" s="3"/>
      <c r="B289" s="9" t="s">
        <v>356</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4.4" hidden="1" outlineLevel="1" x14ac:dyDescent="0.3">
      <c r="A290" s="3"/>
      <c r="B290" s="9" t="s">
        <v>370</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t="14.4" hidden="1" outlineLevel="1" x14ac:dyDescent="0.3">
      <c r="A291" s="3"/>
      <c r="B291" s="9" t="s">
        <v>328</v>
      </c>
      <c r="C291" s="53"/>
      <c r="D291" s="53"/>
      <c r="E291" s="11">
        <v>0</v>
      </c>
      <c r="F291" s="11">
        <v>0</v>
      </c>
      <c r="G291" s="56"/>
      <c r="H291" s="56"/>
      <c r="I291" s="80"/>
      <c r="J291" s="56"/>
      <c r="K291" s="28"/>
      <c r="L291" s="28"/>
      <c r="M291" s="28"/>
      <c r="N291" s="28"/>
      <c r="O291" s="28"/>
      <c r="P291" s="28"/>
      <c r="Q291" s="28"/>
      <c r="R291" s="28"/>
      <c r="S291" s="28"/>
      <c r="T291" s="28"/>
      <c r="U291" s="3"/>
      <c r="W291" s="3"/>
      <c r="X291" s="3"/>
      <c r="Y291" s="3"/>
      <c r="Z291" s="3"/>
    </row>
    <row r="292" spans="1:26" ht="14.4" hidden="1" outlineLevel="1" x14ac:dyDescent="0.3">
      <c r="A292" s="3"/>
      <c r="B292" s="9" t="s">
        <v>329</v>
      </c>
      <c r="C292" s="53"/>
      <c r="D292" s="53"/>
      <c r="E292" s="11">
        <v>0</v>
      </c>
      <c r="F292" s="11">
        <v>0</v>
      </c>
      <c r="G292" s="56"/>
      <c r="H292" s="56"/>
      <c r="I292" s="80"/>
      <c r="J292" s="56"/>
      <c r="K292" s="28"/>
      <c r="L292" s="28"/>
      <c r="M292" s="28"/>
      <c r="N292" s="28"/>
      <c r="O292" s="28"/>
      <c r="P292" s="28"/>
      <c r="Q292" s="28"/>
      <c r="R292" s="28"/>
      <c r="S292" s="28"/>
      <c r="T292" s="28"/>
      <c r="U292" s="3"/>
      <c r="W292" s="3"/>
      <c r="X292" s="3"/>
      <c r="Y292" s="3"/>
      <c r="Z292" s="3"/>
    </row>
    <row r="293" spans="1:26" ht="14.4" hidden="1" outlineLevel="1" x14ac:dyDescent="0.3">
      <c r="A293" s="3"/>
      <c r="B293" s="9" t="s">
        <v>371</v>
      </c>
      <c r="C293" s="53"/>
      <c r="D293" s="53"/>
      <c r="E293" s="11">
        <v>0</v>
      </c>
      <c r="F293" s="11">
        <v>0</v>
      </c>
      <c r="G293" s="56"/>
      <c r="H293" s="56"/>
      <c r="I293" s="80"/>
      <c r="J293" s="56"/>
      <c r="K293" s="28"/>
      <c r="L293" s="28"/>
      <c r="M293" s="28"/>
      <c r="N293" s="28"/>
      <c r="O293" s="28"/>
      <c r="P293" s="28"/>
      <c r="Q293" s="28"/>
      <c r="R293" s="28"/>
      <c r="S293" s="28"/>
      <c r="T293" s="28"/>
      <c r="U293" s="3"/>
      <c r="W293" s="3"/>
      <c r="X293" s="3"/>
      <c r="Y293" s="3"/>
      <c r="Z293" s="3"/>
    </row>
    <row r="294" spans="1:26" ht="14.4" hidden="1" outlineLevel="1" x14ac:dyDescent="0.3">
      <c r="A294" s="3"/>
      <c r="B294" s="9" t="s">
        <v>372</v>
      </c>
      <c r="C294" s="53"/>
      <c r="D294" s="53"/>
      <c r="E294" s="11">
        <v>0</v>
      </c>
      <c r="F294" s="11">
        <v>0</v>
      </c>
      <c r="G294" s="56"/>
      <c r="H294" s="56"/>
      <c r="I294" s="80"/>
      <c r="J294" s="56"/>
      <c r="K294" s="28"/>
      <c r="L294" s="28"/>
      <c r="M294" s="28"/>
      <c r="N294" s="28"/>
      <c r="O294" s="28"/>
      <c r="P294" s="28"/>
      <c r="Q294" s="28"/>
      <c r="R294" s="28"/>
      <c r="S294" s="28"/>
      <c r="T294" s="28"/>
      <c r="U294" s="3"/>
      <c r="W294" s="3"/>
      <c r="X294" s="3"/>
      <c r="Y294" s="3"/>
      <c r="Z294" s="3"/>
    </row>
    <row r="295" spans="1:26" ht="14.4" hidden="1" outlineLevel="1" x14ac:dyDescent="0.3">
      <c r="A295" s="3"/>
      <c r="B295" s="9" t="s">
        <v>373</v>
      </c>
      <c r="C295" s="53"/>
      <c r="D295" s="53"/>
      <c r="E295" s="11">
        <v>0</v>
      </c>
      <c r="F295" s="11">
        <v>0</v>
      </c>
      <c r="G295" s="56"/>
      <c r="H295" s="56"/>
      <c r="I295" s="80"/>
      <c r="J295" s="56"/>
      <c r="K295" s="28"/>
      <c r="L295" s="28"/>
      <c r="M295" s="28"/>
      <c r="N295" s="28"/>
      <c r="O295" s="28"/>
      <c r="P295" s="28"/>
      <c r="Q295" s="28"/>
      <c r="R295" s="28"/>
      <c r="S295" s="28"/>
      <c r="T295" s="28"/>
      <c r="U295" s="3"/>
      <c r="W295" s="3"/>
      <c r="X295" s="3"/>
      <c r="Y295" s="3"/>
      <c r="Z295" s="3"/>
    </row>
    <row r="296" spans="1:26" hidden="1" outlineLevel="1" x14ac:dyDescent="0.3">
      <c r="A296" s="3"/>
      <c r="B296" s="82" t="s">
        <v>65</v>
      </c>
      <c r="C296" s="83"/>
      <c r="D296" s="83"/>
      <c r="E296" s="84">
        <f>SUM(E297:E317)</f>
        <v>0</v>
      </c>
      <c r="F296" s="84">
        <f>SUMIF(D297:D317,"OK",F297:F317)</f>
        <v>0</v>
      </c>
      <c r="G296" s="85"/>
      <c r="H296" s="85"/>
      <c r="I296" s="86"/>
      <c r="J296" s="85"/>
      <c r="K296" s="28"/>
      <c r="L296" s="28"/>
      <c r="M296" s="28"/>
      <c r="N296" s="28"/>
      <c r="O296" s="28"/>
      <c r="P296" s="28"/>
      <c r="Q296" s="28"/>
      <c r="R296" s="28"/>
      <c r="S296" s="28"/>
      <c r="T296" s="28"/>
      <c r="U296" s="3"/>
      <c r="W296" s="3"/>
      <c r="X296" s="3"/>
      <c r="Y296" s="3"/>
      <c r="Z296" s="3"/>
    </row>
    <row r="297" spans="1:26" ht="14.4" hidden="1" outlineLevel="1" x14ac:dyDescent="0.3">
      <c r="A297" s="3"/>
      <c r="B297" s="9" t="s">
        <v>354</v>
      </c>
      <c r="C297" s="53"/>
      <c r="D297" s="53"/>
      <c r="E297" s="11">
        <v>0</v>
      </c>
      <c r="F297" s="11">
        <v>0</v>
      </c>
      <c r="G297" s="56"/>
      <c r="H297" s="56"/>
      <c r="I297" s="144"/>
      <c r="J297" s="56"/>
      <c r="K297" s="28"/>
      <c r="L297" s="28"/>
      <c r="M297" s="28"/>
      <c r="N297" s="28"/>
      <c r="O297" s="28"/>
      <c r="P297" s="28"/>
      <c r="Q297" s="28"/>
      <c r="R297" s="28"/>
      <c r="S297" s="28"/>
      <c r="T297" s="28"/>
      <c r="U297" s="3"/>
      <c r="W297" s="3"/>
      <c r="X297" s="3"/>
      <c r="Y297" s="3"/>
      <c r="Z297" s="3"/>
    </row>
    <row r="298" spans="1:26" ht="14.4" hidden="1" outlineLevel="1" x14ac:dyDescent="0.3">
      <c r="A298" s="3"/>
      <c r="B298" s="9" t="s">
        <v>355</v>
      </c>
      <c r="C298" s="53"/>
      <c r="D298" s="53"/>
      <c r="E298" s="11">
        <v>0</v>
      </c>
      <c r="F298" s="11">
        <v>0</v>
      </c>
      <c r="G298" s="56"/>
      <c r="H298" s="56"/>
      <c r="I298" s="144"/>
      <c r="J298" s="56"/>
      <c r="K298" s="28"/>
      <c r="L298" s="28"/>
      <c r="M298" s="28"/>
      <c r="N298" s="28"/>
      <c r="O298" s="28"/>
      <c r="P298" s="28"/>
      <c r="Q298" s="28"/>
      <c r="R298" s="28"/>
      <c r="S298" s="28"/>
      <c r="T298" s="28"/>
      <c r="U298" s="3"/>
      <c r="W298" s="3"/>
      <c r="X298" s="3"/>
      <c r="Y298" s="3"/>
      <c r="Z298" s="3"/>
    </row>
    <row r="299" spans="1:26" ht="14.4" hidden="1" outlineLevel="1" x14ac:dyDescent="0.3">
      <c r="A299" s="3"/>
      <c r="B299" s="9" t="s">
        <v>356</v>
      </c>
      <c r="C299" s="53"/>
      <c r="D299" s="53"/>
      <c r="E299" s="11">
        <v>0</v>
      </c>
      <c r="F299" s="11">
        <v>0</v>
      </c>
      <c r="G299" s="56"/>
      <c r="H299" s="56"/>
      <c r="I299" s="144"/>
      <c r="J299" s="56"/>
      <c r="K299" s="28"/>
      <c r="L299" s="28"/>
      <c r="M299" s="28"/>
      <c r="N299" s="28"/>
      <c r="O299" s="28"/>
      <c r="P299" s="28"/>
      <c r="Q299" s="28"/>
      <c r="R299" s="28"/>
      <c r="S299" s="28"/>
      <c r="T299" s="28"/>
      <c r="U299" s="3"/>
      <c r="W299" s="3"/>
      <c r="X299" s="3"/>
      <c r="Y299" s="3"/>
      <c r="Z299" s="3"/>
    </row>
    <row r="300" spans="1:26" ht="14.4" hidden="1" outlineLevel="1" x14ac:dyDescent="0.3">
      <c r="A300" s="3"/>
      <c r="B300" s="9" t="s">
        <v>370</v>
      </c>
      <c r="C300" s="53"/>
      <c r="D300" s="53"/>
      <c r="E300" s="11">
        <v>0</v>
      </c>
      <c r="F300" s="11">
        <v>0</v>
      </c>
      <c r="G300" s="56"/>
      <c r="H300" s="56"/>
      <c r="I300" s="144"/>
      <c r="J300" s="56"/>
      <c r="K300" s="28"/>
      <c r="L300" s="28"/>
      <c r="M300" s="28"/>
      <c r="N300" s="28"/>
      <c r="O300" s="28"/>
      <c r="P300" s="28"/>
      <c r="Q300" s="28"/>
      <c r="R300" s="28"/>
      <c r="S300" s="28"/>
      <c r="T300" s="28"/>
      <c r="U300" s="3"/>
      <c r="W300" s="3"/>
      <c r="X300" s="3"/>
      <c r="Y300" s="3"/>
      <c r="Z300" s="3"/>
    </row>
    <row r="301" spans="1:26" ht="14.4" hidden="1" outlineLevel="1" x14ac:dyDescent="0.3">
      <c r="A301" s="3"/>
      <c r="B301" s="9" t="s">
        <v>328</v>
      </c>
      <c r="C301" s="53"/>
      <c r="D301" s="53"/>
      <c r="E301" s="11">
        <v>0</v>
      </c>
      <c r="F301" s="11">
        <v>0</v>
      </c>
      <c r="G301" s="80"/>
      <c r="H301" s="56"/>
      <c r="I301" s="144"/>
      <c r="J301" s="56"/>
      <c r="K301" s="28"/>
      <c r="L301" s="28"/>
      <c r="M301" s="28"/>
      <c r="N301" s="28"/>
      <c r="O301" s="28"/>
      <c r="P301" s="28"/>
      <c r="Q301" s="28"/>
      <c r="R301" s="28"/>
      <c r="S301" s="28"/>
      <c r="T301" s="28"/>
      <c r="U301" s="3"/>
      <c r="W301" s="3"/>
      <c r="X301" s="3"/>
      <c r="Y301" s="3"/>
      <c r="Z301" s="3"/>
    </row>
    <row r="302" spans="1:26" ht="14.4" hidden="1" outlineLevel="1" x14ac:dyDescent="0.3">
      <c r="A302" s="3"/>
      <c r="B302" s="9" t="s">
        <v>329</v>
      </c>
      <c r="C302" s="53"/>
      <c r="D302" s="53"/>
      <c r="E302" s="11">
        <v>0</v>
      </c>
      <c r="F302" s="11">
        <v>0</v>
      </c>
      <c r="G302" s="56"/>
      <c r="H302" s="56"/>
      <c r="I302" s="144"/>
      <c r="J302" s="56"/>
      <c r="K302" s="28"/>
      <c r="L302" s="28"/>
      <c r="M302" s="28"/>
      <c r="N302" s="28"/>
      <c r="O302" s="28"/>
      <c r="P302" s="28"/>
      <c r="Q302" s="28"/>
      <c r="R302" s="28"/>
      <c r="S302" s="28"/>
      <c r="T302" s="28"/>
      <c r="U302" s="3"/>
      <c r="W302" s="3"/>
      <c r="X302" s="3"/>
      <c r="Y302" s="3"/>
      <c r="Z302" s="3"/>
    </row>
    <row r="303" spans="1:26" ht="14.4" hidden="1" outlineLevel="1" x14ac:dyDescent="0.3">
      <c r="A303" s="3"/>
      <c r="B303" s="9" t="s">
        <v>371</v>
      </c>
      <c r="C303" s="53"/>
      <c r="D303" s="53"/>
      <c r="E303" s="11">
        <v>0</v>
      </c>
      <c r="F303" s="11">
        <v>0</v>
      </c>
      <c r="G303" s="56"/>
      <c r="H303" s="56"/>
      <c r="I303" s="144"/>
      <c r="J303" s="56"/>
      <c r="K303" s="28"/>
      <c r="L303" s="28"/>
      <c r="M303" s="28"/>
      <c r="N303" s="28"/>
      <c r="O303" s="28"/>
      <c r="P303" s="28"/>
      <c r="Q303" s="28"/>
      <c r="R303" s="28"/>
      <c r="S303" s="28"/>
      <c r="T303" s="28"/>
      <c r="U303" s="3"/>
      <c r="W303" s="3"/>
      <c r="X303" s="3"/>
      <c r="Y303" s="3"/>
      <c r="Z303" s="3"/>
    </row>
    <row r="304" spans="1:26" ht="14.4" hidden="1" outlineLevel="1" x14ac:dyDescent="0.3">
      <c r="A304" s="3"/>
      <c r="B304" s="9" t="s">
        <v>372</v>
      </c>
      <c r="C304" s="53"/>
      <c r="D304" s="53"/>
      <c r="E304" s="11">
        <v>0</v>
      </c>
      <c r="F304" s="11">
        <v>0</v>
      </c>
      <c r="G304" s="56"/>
      <c r="H304" s="56"/>
      <c r="I304" s="144"/>
      <c r="J304" s="56"/>
      <c r="K304" s="28"/>
      <c r="L304" s="28"/>
      <c r="M304" s="28"/>
      <c r="N304" s="28"/>
      <c r="O304" s="28"/>
      <c r="P304" s="28"/>
      <c r="Q304" s="28"/>
      <c r="R304" s="28"/>
      <c r="S304" s="28"/>
      <c r="T304" s="28"/>
      <c r="U304" s="3"/>
      <c r="W304" s="3"/>
      <c r="X304" s="3"/>
      <c r="Y304" s="3"/>
      <c r="Z304" s="3"/>
    </row>
    <row r="305" spans="1:26" ht="14.4" hidden="1" outlineLevel="1" x14ac:dyDescent="0.3">
      <c r="A305" s="3"/>
      <c r="B305" s="9" t="s">
        <v>373</v>
      </c>
      <c r="C305" s="53"/>
      <c r="D305" s="53"/>
      <c r="E305" s="11">
        <v>0</v>
      </c>
      <c r="F305" s="11">
        <v>0</v>
      </c>
      <c r="G305" s="56"/>
      <c r="H305" s="56"/>
      <c r="I305" s="144"/>
      <c r="J305" s="56"/>
      <c r="K305" s="28"/>
      <c r="L305" s="28"/>
      <c r="M305" s="28"/>
      <c r="N305" s="28"/>
      <c r="O305" s="28"/>
      <c r="P305" s="28"/>
      <c r="Q305" s="28"/>
      <c r="R305" s="28"/>
      <c r="S305" s="28"/>
      <c r="T305" s="28"/>
      <c r="U305" s="3"/>
      <c r="W305" s="3"/>
      <c r="X305" s="3"/>
      <c r="Y305" s="3"/>
      <c r="Z305" s="3"/>
    </row>
    <row r="306" spans="1:26" ht="14.4" hidden="1" outlineLevel="1" x14ac:dyDescent="0.3">
      <c r="A306" s="3"/>
      <c r="B306" s="9" t="s">
        <v>1661</v>
      </c>
      <c r="C306" s="53"/>
      <c r="D306" s="53"/>
      <c r="E306" s="11">
        <v>0</v>
      </c>
      <c r="F306" s="11">
        <v>0</v>
      </c>
      <c r="G306" s="56"/>
      <c r="H306" s="56"/>
      <c r="I306" s="144"/>
      <c r="J306" s="56"/>
      <c r="K306" s="28"/>
      <c r="L306" s="28"/>
      <c r="M306" s="28"/>
      <c r="N306" s="28"/>
      <c r="O306" s="28"/>
      <c r="P306" s="28"/>
      <c r="Q306" s="28"/>
      <c r="R306" s="28"/>
      <c r="S306" s="28"/>
      <c r="T306" s="28"/>
      <c r="U306" s="3"/>
      <c r="W306" s="3"/>
      <c r="X306" s="3"/>
      <c r="Y306" s="3"/>
      <c r="Z306" s="3"/>
    </row>
    <row r="307" spans="1:26" ht="14.4" hidden="1" outlineLevel="1" x14ac:dyDescent="0.3">
      <c r="A307" s="3"/>
      <c r="B307" s="9" t="s">
        <v>1662</v>
      </c>
      <c r="C307" s="53"/>
      <c r="D307" s="53"/>
      <c r="E307" s="11">
        <v>0</v>
      </c>
      <c r="F307" s="11">
        <v>0</v>
      </c>
      <c r="G307" s="56"/>
      <c r="H307" s="56"/>
      <c r="I307" s="144"/>
      <c r="J307" s="56"/>
      <c r="K307" s="28"/>
      <c r="L307" s="28"/>
      <c r="M307" s="28"/>
      <c r="N307" s="28"/>
      <c r="O307" s="28"/>
      <c r="P307" s="28"/>
      <c r="Q307" s="28"/>
      <c r="R307" s="28"/>
      <c r="S307" s="28"/>
      <c r="T307" s="28"/>
      <c r="U307" s="3"/>
      <c r="W307" s="3"/>
      <c r="X307" s="3"/>
      <c r="Y307" s="3"/>
      <c r="Z307" s="3"/>
    </row>
    <row r="308" spans="1:26" ht="14.4" hidden="1" outlineLevel="1" x14ac:dyDescent="0.3">
      <c r="A308" s="3"/>
      <c r="B308" s="9" t="s">
        <v>1663</v>
      </c>
      <c r="C308" s="53"/>
      <c r="D308" s="53"/>
      <c r="E308" s="11">
        <v>0</v>
      </c>
      <c r="F308" s="11">
        <v>0</v>
      </c>
      <c r="G308" s="56"/>
      <c r="H308" s="56"/>
      <c r="I308" s="144"/>
      <c r="J308" s="56"/>
      <c r="K308" s="28"/>
      <c r="L308" s="28"/>
      <c r="M308" s="28"/>
      <c r="N308" s="28"/>
      <c r="O308" s="28"/>
      <c r="P308" s="28"/>
      <c r="Q308" s="28"/>
      <c r="R308" s="28"/>
      <c r="S308" s="28"/>
      <c r="T308" s="28"/>
      <c r="U308" s="3"/>
      <c r="W308" s="3"/>
      <c r="X308" s="3"/>
      <c r="Y308" s="3"/>
      <c r="Z308" s="3"/>
    </row>
    <row r="309" spans="1:26" ht="14.4" hidden="1" outlineLevel="1" x14ac:dyDescent="0.3">
      <c r="A309" s="3"/>
      <c r="B309" s="9" t="s">
        <v>1664</v>
      </c>
      <c r="C309" s="53"/>
      <c r="D309" s="53"/>
      <c r="E309" s="11">
        <v>0</v>
      </c>
      <c r="F309" s="11">
        <v>0</v>
      </c>
      <c r="G309" s="56"/>
      <c r="H309" s="56"/>
      <c r="I309" s="144"/>
      <c r="J309" s="56"/>
      <c r="K309" s="28"/>
      <c r="L309" s="28"/>
      <c r="M309" s="28"/>
      <c r="N309" s="28"/>
      <c r="O309" s="28"/>
      <c r="P309" s="28"/>
      <c r="Q309" s="28"/>
      <c r="R309" s="28"/>
      <c r="S309" s="28"/>
      <c r="T309" s="28"/>
      <c r="U309" s="3"/>
      <c r="W309" s="3"/>
      <c r="X309" s="3"/>
      <c r="Y309" s="3"/>
      <c r="Z309" s="3"/>
    </row>
    <row r="310" spans="1:26" ht="14.4" hidden="1" outlineLevel="1" x14ac:dyDescent="0.3">
      <c r="A310" s="3"/>
      <c r="B310" s="9" t="s">
        <v>1665</v>
      </c>
      <c r="C310" s="53"/>
      <c r="D310" s="53"/>
      <c r="E310" s="11">
        <v>0</v>
      </c>
      <c r="F310" s="11">
        <v>0</v>
      </c>
      <c r="G310" s="56"/>
      <c r="H310" s="56"/>
      <c r="I310" s="144"/>
      <c r="J310" s="56"/>
      <c r="K310" s="28"/>
      <c r="L310" s="28"/>
      <c r="M310" s="28"/>
      <c r="N310" s="28"/>
      <c r="O310" s="28"/>
      <c r="P310" s="28"/>
      <c r="Q310" s="28"/>
      <c r="R310" s="28"/>
      <c r="S310" s="28"/>
      <c r="T310" s="28"/>
      <c r="U310" s="3"/>
      <c r="W310" s="3"/>
      <c r="X310" s="3"/>
      <c r="Y310" s="3"/>
      <c r="Z310" s="3"/>
    </row>
    <row r="311" spans="1:26" ht="14.4" hidden="1" outlineLevel="1" x14ac:dyDescent="0.3">
      <c r="A311" s="3"/>
      <c r="B311" s="9" t="s">
        <v>1666</v>
      </c>
      <c r="C311" s="53"/>
      <c r="D311" s="53"/>
      <c r="E311" s="11">
        <v>0</v>
      </c>
      <c r="F311" s="11">
        <v>0</v>
      </c>
      <c r="G311" s="56"/>
      <c r="H311" s="56"/>
      <c r="I311" s="144"/>
      <c r="J311" s="56"/>
      <c r="K311" s="28"/>
      <c r="L311" s="28"/>
      <c r="M311" s="28"/>
      <c r="N311" s="28"/>
      <c r="O311" s="28"/>
      <c r="P311" s="28"/>
      <c r="Q311" s="28"/>
      <c r="R311" s="28"/>
      <c r="S311" s="28"/>
      <c r="T311" s="28"/>
      <c r="U311" s="3"/>
      <c r="W311" s="3"/>
      <c r="X311" s="3"/>
      <c r="Y311" s="3"/>
      <c r="Z311" s="3"/>
    </row>
    <row r="312" spans="1:26" ht="14.4" hidden="1" outlineLevel="1" x14ac:dyDescent="0.3">
      <c r="A312" s="3"/>
      <c r="B312" s="9" t="s">
        <v>1667</v>
      </c>
      <c r="C312" s="53"/>
      <c r="D312" s="53"/>
      <c r="E312" s="11">
        <v>0</v>
      </c>
      <c r="F312" s="11">
        <v>0</v>
      </c>
      <c r="G312" s="56"/>
      <c r="H312" s="56"/>
      <c r="I312" s="144"/>
      <c r="J312" s="56"/>
      <c r="K312" s="28"/>
      <c r="L312" s="28"/>
      <c r="M312" s="28"/>
      <c r="N312" s="28"/>
      <c r="O312" s="28"/>
      <c r="P312" s="28"/>
      <c r="Q312" s="28"/>
      <c r="R312" s="28"/>
      <c r="S312" s="28"/>
      <c r="T312" s="28"/>
      <c r="U312" s="3"/>
      <c r="W312" s="3"/>
      <c r="X312" s="3"/>
      <c r="Y312" s="3"/>
      <c r="Z312" s="3"/>
    </row>
    <row r="313" spans="1:26" ht="14.4" hidden="1" outlineLevel="1" x14ac:dyDescent="0.3">
      <c r="A313" s="3"/>
      <c r="B313" s="9" t="s">
        <v>1668</v>
      </c>
      <c r="C313" s="53"/>
      <c r="D313" s="53"/>
      <c r="E313" s="11">
        <v>0</v>
      </c>
      <c r="F313" s="11">
        <v>0</v>
      </c>
      <c r="G313" s="56"/>
      <c r="H313" s="56"/>
      <c r="I313" s="144"/>
      <c r="J313" s="56"/>
      <c r="K313" s="28"/>
      <c r="L313" s="28"/>
      <c r="M313" s="28"/>
      <c r="N313" s="28"/>
      <c r="O313" s="28"/>
      <c r="P313" s="28"/>
      <c r="Q313" s="28"/>
      <c r="R313" s="28"/>
      <c r="S313" s="28"/>
      <c r="T313" s="28"/>
      <c r="U313" s="3"/>
      <c r="W313" s="3"/>
      <c r="X313" s="3"/>
      <c r="Y313" s="3"/>
      <c r="Z313" s="3"/>
    </row>
    <row r="314" spans="1:26" ht="14.4" hidden="1" outlineLevel="1" x14ac:dyDescent="0.3">
      <c r="A314" s="3"/>
      <c r="B314" s="9" t="s">
        <v>1669</v>
      </c>
      <c r="C314" s="53"/>
      <c r="D314" s="53"/>
      <c r="E314" s="11">
        <v>0</v>
      </c>
      <c r="F314" s="11">
        <v>0</v>
      </c>
      <c r="G314" s="56"/>
      <c r="H314" s="56"/>
      <c r="I314" s="144"/>
      <c r="J314" s="56"/>
      <c r="K314" s="28"/>
      <c r="L314" s="28"/>
      <c r="M314" s="28"/>
      <c r="N314" s="28"/>
      <c r="O314" s="28"/>
      <c r="P314" s="28"/>
      <c r="Q314" s="28"/>
      <c r="R314" s="28"/>
      <c r="S314" s="28"/>
      <c r="T314" s="28"/>
      <c r="U314" s="3"/>
      <c r="W314" s="3"/>
      <c r="X314" s="3"/>
      <c r="Y314" s="3"/>
      <c r="Z314" s="3"/>
    </row>
    <row r="315" spans="1:26" ht="14.4" hidden="1" outlineLevel="1" x14ac:dyDescent="0.3">
      <c r="A315" s="3"/>
      <c r="B315" s="9" t="s">
        <v>1670</v>
      </c>
      <c r="C315" s="53"/>
      <c r="D315" s="53"/>
      <c r="E315" s="11">
        <v>0</v>
      </c>
      <c r="F315" s="11">
        <v>0</v>
      </c>
      <c r="G315" s="56"/>
      <c r="H315" s="56"/>
      <c r="I315" s="144"/>
      <c r="J315" s="56"/>
      <c r="K315" s="28"/>
      <c r="L315" s="28"/>
      <c r="M315" s="28"/>
      <c r="N315" s="28"/>
      <c r="O315" s="28"/>
      <c r="P315" s="28"/>
      <c r="Q315" s="28"/>
      <c r="R315" s="28"/>
      <c r="S315" s="28"/>
      <c r="T315" s="28"/>
      <c r="U315" s="3"/>
      <c r="W315" s="3"/>
      <c r="X315" s="3"/>
      <c r="Y315" s="3"/>
      <c r="Z315" s="3"/>
    </row>
    <row r="316" spans="1:26" ht="14.4" hidden="1" outlineLevel="1" x14ac:dyDescent="0.3">
      <c r="A316" s="3"/>
      <c r="B316" s="9" t="s">
        <v>1671</v>
      </c>
      <c r="C316" s="53"/>
      <c r="D316" s="53"/>
      <c r="E316" s="11">
        <v>0</v>
      </c>
      <c r="F316" s="11">
        <v>0</v>
      </c>
      <c r="G316" s="56"/>
      <c r="H316" s="56"/>
      <c r="I316" s="144"/>
      <c r="J316" s="56"/>
      <c r="K316" s="28"/>
      <c r="L316" s="28"/>
      <c r="M316" s="28"/>
      <c r="N316" s="28"/>
      <c r="O316" s="28"/>
      <c r="P316" s="28"/>
      <c r="Q316" s="28"/>
      <c r="R316" s="28"/>
      <c r="S316" s="28"/>
      <c r="T316" s="28"/>
      <c r="U316" s="3"/>
      <c r="W316" s="3"/>
      <c r="X316" s="3"/>
      <c r="Y316" s="3"/>
      <c r="Z316" s="3"/>
    </row>
    <row r="317" spans="1:26" ht="14.4" hidden="1" outlineLevel="1" x14ac:dyDescent="0.3">
      <c r="A317" s="3"/>
      <c r="B317" s="9" t="s">
        <v>1672</v>
      </c>
      <c r="C317" s="53"/>
      <c r="D317" s="53"/>
      <c r="E317" s="11">
        <v>0</v>
      </c>
      <c r="F317" s="11">
        <v>0</v>
      </c>
      <c r="G317" s="56"/>
      <c r="H317" s="56"/>
      <c r="I317" s="80"/>
      <c r="J317" s="56"/>
      <c r="K317" s="28"/>
      <c r="L317" s="28"/>
      <c r="M317" s="28"/>
      <c r="N317" s="28"/>
      <c r="O317" s="28"/>
      <c r="P317" s="28"/>
      <c r="Q317" s="28"/>
      <c r="R317" s="28"/>
      <c r="S317" s="28"/>
      <c r="T317" s="28"/>
      <c r="U317" s="3"/>
      <c r="W317" s="3"/>
      <c r="X317" s="3"/>
      <c r="Y317" s="3"/>
      <c r="Z317" s="3"/>
    </row>
    <row r="318" spans="1:26" outlineLevel="1" x14ac:dyDescent="0.3">
      <c r="A318" s="3"/>
      <c r="B318" s="82" t="s">
        <v>690</v>
      </c>
      <c r="C318" s="83"/>
      <c r="D318" s="83"/>
      <c r="E318" s="84">
        <f>SUM(E319:E327)</f>
        <v>0</v>
      </c>
      <c r="F318" s="84">
        <f>SUMIF(D319:D327,"OK",F319:F327)</f>
        <v>7071.3</v>
      </c>
      <c r="G318" s="85"/>
      <c r="H318" s="85"/>
      <c r="I318" s="86"/>
      <c r="J318" s="85"/>
      <c r="K318" s="28"/>
      <c r="L318" s="28"/>
      <c r="M318" s="28"/>
      <c r="N318" s="28"/>
      <c r="O318" s="28"/>
      <c r="P318" s="28"/>
      <c r="Q318" s="28"/>
      <c r="R318" s="28"/>
      <c r="S318" s="28"/>
      <c r="T318" s="28"/>
      <c r="U318" s="3"/>
      <c r="W318" s="3"/>
      <c r="X318" s="3"/>
      <c r="Y318" s="3"/>
      <c r="Z318" s="3"/>
    </row>
    <row r="319" spans="1:26" ht="14.4" outlineLevel="1" x14ac:dyDescent="0.3">
      <c r="A319" s="3"/>
      <c r="B319" s="9" t="s">
        <v>2026</v>
      </c>
      <c r="C319" s="53">
        <v>1</v>
      </c>
      <c r="D319" s="53" t="s">
        <v>95</v>
      </c>
      <c r="E319" s="11">
        <v>0</v>
      </c>
      <c r="F319" s="11">
        <v>711.8</v>
      </c>
      <c r="G319" s="56" t="s">
        <v>2027</v>
      </c>
      <c r="H319" s="56" t="s">
        <v>37</v>
      </c>
      <c r="I319" s="102" t="s">
        <v>2028</v>
      </c>
      <c r="J319" s="56"/>
      <c r="K319" s="28"/>
      <c r="L319" s="28"/>
      <c r="M319" s="28"/>
      <c r="N319" s="28"/>
      <c r="O319" s="28"/>
      <c r="P319" s="28"/>
      <c r="Q319" s="28"/>
      <c r="R319" s="28"/>
      <c r="S319" s="28"/>
      <c r="T319" s="28"/>
      <c r="U319" s="3"/>
      <c r="W319" s="3"/>
      <c r="X319" s="3"/>
      <c r="Y319" s="3"/>
      <c r="Z319" s="3"/>
    </row>
    <row r="320" spans="1:26" ht="14.4" outlineLevel="1" x14ac:dyDescent="0.3">
      <c r="A320" s="3"/>
      <c r="B320" s="9" t="s">
        <v>2029</v>
      </c>
      <c r="C320" s="53">
        <v>1</v>
      </c>
      <c r="D320" s="53" t="s">
        <v>95</v>
      </c>
      <c r="E320" s="11">
        <v>0</v>
      </c>
      <c r="F320" s="11">
        <v>1844</v>
      </c>
      <c r="G320" s="56"/>
      <c r="H320" s="56" t="s">
        <v>37</v>
      </c>
      <c r="I320" s="102" t="s">
        <v>2030</v>
      </c>
      <c r="J320" s="56"/>
      <c r="K320" s="28"/>
      <c r="L320" s="28"/>
      <c r="M320" s="28"/>
      <c r="N320" s="28"/>
      <c r="O320" s="28"/>
      <c r="P320" s="28"/>
      <c r="Q320" s="28"/>
      <c r="R320" s="28"/>
      <c r="S320" s="28"/>
      <c r="T320" s="28"/>
      <c r="U320" s="3"/>
      <c r="W320" s="3"/>
      <c r="X320" s="3"/>
      <c r="Y320" s="3"/>
      <c r="Z320" s="3"/>
    </row>
    <row r="321" spans="1:26" ht="14.4" outlineLevel="1" x14ac:dyDescent="0.3">
      <c r="A321" s="3"/>
      <c r="B321" s="9" t="s">
        <v>1651</v>
      </c>
      <c r="C321" s="53">
        <v>23</v>
      </c>
      <c r="D321" s="53" t="s">
        <v>95</v>
      </c>
      <c r="E321" s="11">
        <v>0</v>
      </c>
      <c r="F321" s="11">
        <v>1898</v>
      </c>
      <c r="G321" s="56" t="s">
        <v>2031</v>
      </c>
      <c r="H321" s="56" t="s">
        <v>37</v>
      </c>
      <c r="I321" s="102" t="s">
        <v>2032</v>
      </c>
      <c r="J321" s="56"/>
      <c r="K321" s="28"/>
      <c r="L321" s="28"/>
      <c r="M321" s="28"/>
      <c r="N321" s="28"/>
      <c r="O321" s="28"/>
      <c r="P321" s="28"/>
      <c r="Q321" s="28"/>
      <c r="R321" s="28"/>
      <c r="S321" s="28"/>
      <c r="T321" s="28"/>
      <c r="U321" s="3"/>
      <c r="W321" s="3"/>
      <c r="X321" s="3"/>
      <c r="Y321" s="3"/>
      <c r="Z321" s="3"/>
    </row>
    <row r="322" spans="1:26" ht="14.4" outlineLevel="1" x14ac:dyDescent="0.3">
      <c r="A322" s="3"/>
      <c r="B322" s="9" t="s">
        <v>1651</v>
      </c>
      <c r="C322" s="53">
        <v>23</v>
      </c>
      <c r="D322" s="53" t="s">
        <v>95</v>
      </c>
      <c r="E322" s="11">
        <v>0</v>
      </c>
      <c r="F322" s="11">
        <v>1100</v>
      </c>
      <c r="G322" s="56" t="s">
        <v>2031</v>
      </c>
      <c r="H322" s="56" t="s">
        <v>37</v>
      </c>
      <c r="I322" s="102" t="s">
        <v>2033</v>
      </c>
      <c r="J322" s="56"/>
      <c r="K322" s="28"/>
      <c r="L322" s="28"/>
      <c r="M322" s="28"/>
      <c r="N322" s="28"/>
      <c r="O322" s="28"/>
      <c r="P322" s="28"/>
      <c r="Q322" s="28"/>
      <c r="R322" s="28"/>
      <c r="S322" s="28"/>
      <c r="T322" s="28"/>
      <c r="U322" s="3"/>
      <c r="W322" s="3"/>
      <c r="X322" s="3"/>
      <c r="Y322" s="3"/>
      <c r="Z322" s="3"/>
    </row>
    <row r="323" spans="1:26" ht="14.4" outlineLevel="1" x14ac:dyDescent="0.3">
      <c r="A323" s="3"/>
      <c r="B323" s="9" t="s">
        <v>1651</v>
      </c>
      <c r="C323" s="53">
        <v>23</v>
      </c>
      <c r="D323" s="53" t="s">
        <v>95</v>
      </c>
      <c r="E323" s="11">
        <v>0</v>
      </c>
      <c r="F323" s="11">
        <v>80</v>
      </c>
      <c r="G323" s="56" t="s">
        <v>2034</v>
      </c>
      <c r="H323" s="56" t="s">
        <v>37</v>
      </c>
      <c r="I323" s="102" t="s">
        <v>2035</v>
      </c>
      <c r="J323" s="56"/>
      <c r="K323" s="28"/>
      <c r="L323" s="28"/>
      <c r="M323" s="28"/>
      <c r="N323" s="28"/>
      <c r="O323" s="28"/>
      <c r="P323" s="28"/>
      <c r="Q323" s="28"/>
      <c r="R323" s="28"/>
      <c r="S323" s="28"/>
      <c r="T323" s="28"/>
      <c r="U323" s="3"/>
      <c r="W323" s="3"/>
      <c r="X323" s="3"/>
      <c r="Y323" s="3"/>
      <c r="Z323" s="3"/>
    </row>
    <row r="324" spans="1:26" ht="14.4" outlineLevel="1" x14ac:dyDescent="0.3">
      <c r="A324" s="3"/>
      <c r="B324" s="9" t="s">
        <v>2029</v>
      </c>
      <c r="C324" s="53">
        <v>28</v>
      </c>
      <c r="D324" s="53" t="s">
        <v>95</v>
      </c>
      <c r="E324" s="11">
        <v>0</v>
      </c>
      <c r="F324" s="11">
        <v>1102</v>
      </c>
      <c r="G324" s="56"/>
      <c r="H324" s="56" t="s">
        <v>37</v>
      </c>
      <c r="I324" s="102" t="s">
        <v>2036</v>
      </c>
      <c r="J324" s="56"/>
      <c r="K324" s="28"/>
      <c r="L324" s="28"/>
      <c r="M324" s="28"/>
      <c r="N324" s="28"/>
      <c r="O324" s="28"/>
      <c r="P324" s="28"/>
      <c r="Q324" s="28"/>
      <c r="R324" s="28"/>
      <c r="S324" s="28"/>
      <c r="T324" s="28"/>
      <c r="U324" s="3"/>
      <c r="W324" s="3"/>
      <c r="X324" s="3"/>
      <c r="Y324" s="3"/>
      <c r="Z324" s="3"/>
    </row>
    <row r="325" spans="1:26" ht="14.4" outlineLevel="1" x14ac:dyDescent="0.3">
      <c r="A325" s="3"/>
      <c r="B325" s="9" t="s">
        <v>2026</v>
      </c>
      <c r="C325" s="53">
        <v>30</v>
      </c>
      <c r="D325" s="53" t="s">
        <v>95</v>
      </c>
      <c r="E325" s="11">
        <v>0</v>
      </c>
      <c r="F325" s="11">
        <v>335.5</v>
      </c>
      <c r="G325" s="56"/>
      <c r="H325" s="56" t="s">
        <v>37</v>
      </c>
      <c r="I325" s="102" t="s">
        <v>2037</v>
      </c>
      <c r="J325" s="56"/>
      <c r="K325" s="28"/>
      <c r="L325" s="28"/>
      <c r="M325" s="28"/>
      <c r="N325" s="28"/>
      <c r="O325" s="28"/>
      <c r="P325" s="28"/>
      <c r="Q325" s="28"/>
      <c r="R325" s="28"/>
      <c r="S325" s="28"/>
      <c r="T325" s="28"/>
      <c r="U325" s="3"/>
      <c r="W325" s="3"/>
      <c r="X325" s="3"/>
      <c r="Y325" s="3"/>
      <c r="Z325" s="3"/>
    </row>
    <row r="326" spans="1:26" ht="14.4" hidden="1" outlineLevel="1" x14ac:dyDescent="0.3">
      <c r="A326" s="3"/>
      <c r="B326" s="9" t="s">
        <v>372</v>
      </c>
      <c r="C326" s="53"/>
      <c r="D326" s="53"/>
      <c r="E326" s="11">
        <v>0</v>
      </c>
      <c r="F326" s="11">
        <v>0</v>
      </c>
      <c r="G326" s="56"/>
      <c r="H326" s="56"/>
      <c r="I326" s="80"/>
      <c r="J326" s="56"/>
      <c r="K326" s="28"/>
      <c r="L326" s="28"/>
      <c r="M326" s="28"/>
      <c r="N326" s="28"/>
      <c r="O326" s="28"/>
      <c r="P326" s="28"/>
      <c r="Q326" s="28"/>
      <c r="R326" s="28"/>
      <c r="S326" s="28"/>
      <c r="T326" s="28"/>
      <c r="U326" s="3"/>
      <c r="W326" s="3"/>
      <c r="X326" s="3"/>
      <c r="Y326" s="3"/>
      <c r="Z326" s="3"/>
    </row>
    <row r="327" spans="1:26" ht="14.4" hidden="1" outlineLevel="1" x14ac:dyDescent="0.3">
      <c r="A327" s="3"/>
      <c r="B327" s="9" t="s">
        <v>373</v>
      </c>
      <c r="C327" s="53"/>
      <c r="D327" s="53"/>
      <c r="E327" s="11">
        <v>0</v>
      </c>
      <c r="F327" s="11">
        <v>0</v>
      </c>
      <c r="G327" s="56"/>
      <c r="H327" s="56"/>
      <c r="I327" s="80"/>
      <c r="J327" s="56"/>
      <c r="K327" s="28"/>
      <c r="L327" s="28"/>
      <c r="M327" s="28"/>
      <c r="N327" s="28"/>
      <c r="O327" s="28"/>
      <c r="P327" s="28"/>
      <c r="Q327" s="28"/>
      <c r="R327" s="28"/>
      <c r="S327" s="28"/>
      <c r="T327" s="28"/>
      <c r="U327" s="3"/>
      <c r="W327" s="3"/>
      <c r="X327" s="3"/>
      <c r="Y327" s="3"/>
      <c r="Z327" s="3"/>
    </row>
    <row r="328" spans="1:26" ht="20.399999999999999" x14ac:dyDescent="0.3">
      <c r="A328" s="3"/>
      <c r="B328" s="75" t="s">
        <v>412</v>
      </c>
      <c r="C328" s="76" t="s">
        <v>44</v>
      </c>
      <c r="D328" s="76" t="s">
        <v>44</v>
      </c>
      <c r="E328" s="77">
        <f>SUM(E329:E350)</f>
        <v>0</v>
      </c>
      <c r="F328" s="77">
        <f>SUMIF(D329:D350,"OK",F329:F350)</f>
        <v>180</v>
      </c>
      <c r="G328" s="78"/>
      <c r="H328" s="78"/>
      <c r="I328" s="79"/>
      <c r="J328" s="78"/>
      <c r="K328" s="28"/>
      <c r="L328" s="28"/>
      <c r="M328" s="28"/>
      <c r="N328" s="28"/>
      <c r="O328" s="28"/>
      <c r="P328" s="28"/>
      <c r="Q328" s="28"/>
      <c r="R328" s="28"/>
      <c r="S328" s="28"/>
      <c r="T328" s="28"/>
      <c r="U328" s="3"/>
      <c r="W328" s="3"/>
      <c r="X328" s="3"/>
      <c r="Y328" s="3"/>
      <c r="Z328" s="3"/>
    </row>
    <row r="329" spans="1:26" ht="14.25" hidden="1" customHeight="1" outlineLevel="1" x14ac:dyDescent="0.3">
      <c r="A329" s="3"/>
      <c r="B329" s="9" t="s">
        <v>413</v>
      </c>
      <c r="C329" s="53"/>
      <c r="D329" s="53"/>
      <c r="E329" s="11">
        <v>0</v>
      </c>
      <c r="F329" s="11">
        <v>0</v>
      </c>
      <c r="G329" s="56"/>
      <c r="H329" s="56"/>
      <c r="I329" s="80"/>
      <c r="J329" s="56"/>
      <c r="K329" s="28"/>
      <c r="L329" s="28"/>
      <c r="M329" s="28"/>
      <c r="N329" s="28"/>
      <c r="O329" s="28"/>
      <c r="P329" s="28"/>
      <c r="Q329" s="28"/>
      <c r="R329" s="28"/>
      <c r="S329" s="28"/>
      <c r="T329" s="28"/>
      <c r="U329" s="3"/>
      <c r="W329" s="3"/>
      <c r="X329" s="3"/>
      <c r="Y329" s="3"/>
      <c r="Z329" s="3"/>
    </row>
    <row r="330" spans="1:26" ht="14.25" hidden="1" customHeight="1" outlineLevel="1" x14ac:dyDescent="0.3">
      <c r="A330" s="3"/>
      <c r="B330" s="9" t="s">
        <v>414</v>
      </c>
      <c r="C330" s="53"/>
      <c r="D330" s="53"/>
      <c r="E330" s="11">
        <v>0</v>
      </c>
      <c r="F330" s="11">
        <v>0</v>
      </c>
      <c r="G330" s="80"/>
      <c r="H330" s="56"/>
      <c r="I330" s="144"/>
      <c r="J330" s="56"/>
      <c r="K330" s="28"/>
      <c r="L330" s="28"/>
      <c r="M330" s="28"/>
      <c r="N330" s="28"/>
      <c r="O330" s="28"/>
      <c r="P330" s="28"/>
      <c r="Q330" s="28"/>
      <c r="R330" s="28"/>
      <c r="S330" s="28"/>
      <c r="T330" s="28"/>
      <c r="U330" s="3"/>
      <c r="W330" s="3"/>
      <c r="X330" s="3"/>
      <c r="Y330" s="3"/>
      <c r="Z330" s="3"/>
    </row>
    <row r="331" spans="1:26" ht="14.25" hidden="1" customHeight="1" outlineLevel="1" x14ac:dyDescent="0.3">
      <c r="A331" s="3"/>
      <c r="B331" s="9" t="s">
        <v>414</v>
      </c>
      <c r="C331" s="53"/>
      <c r="D331" s="53"/>
      <c r="E331" s="11">
        <v>0</v>
      </c>
      <c r="F331" s="11">
        <v>0</v>
      </c>
      <c r="G331" s="56"/>
      <c r="H331" s="56"/>
      <c r="I331" s="144"/>
      <c r="J331" s="56"/>
      <c r="K331" s="28"/>
      <c r="L331" s="28"/>
      <c r="M331" s="28"/>
      <c r="N331" s="28"/>
      <c r="O331" s="28"/>
      <c r="P331" s="28"/>
      <c r="Q331" s="28"/>
      <c r="R331" s="28"/>
      <c r="S331" s="28"/>
      <c r="T331" s="28"/>
      <c r="U331" s="3"/>
      <c r="W331" s="3"/>
      <c r="X331" s="3"/>
      <c r="Y331" s="3"/>
      <c r="Z331" s="3"/>
    </row>
    <row r="332" spans="1:26" ht="14.25" hidden="1" customHeight="1" outlineLevel="1" x14ac:dyDescent="0.3">
      <c r="A332" s="3"/>
      <c r="B332" s="9" t="s">
        <v>415</v>
      </c>
      <c r="C332" s="53"/>
      <c r="D332" s="53"/>
      <c r="E332" s="11">
        <v>0</v>
      </c>
      <c r="F332" s="11">
        <v>0</v>
      </c>
      <c r="G332" s="56"/>
      <c r="H332" s="56"/>
      <c r="I332" s="80"/>
      <c r="J332" s="56"/>
      <c r="K332" s="28"/>
      <c r="L332" s="28"/>
      <c r="M332" s="28"/>
      <c r="N332" s="28"/>
      <c r="O332" s="28"/>
      <c r="P332" s="28"/>
      <c r="Q332" s="28"/>
      <c r="R332" s="28"/>
      <c r="S332" s="28"/>
      <c r="T332" s="28"/>
      <c r="U332" s="3"/>
      <c r="W332" s="3"/>
      <c r="X332" s="3"/>
      <c r="Y332" s="3"/>
      <c r="Z332" s="3"/>
    </row>
    <row r="333" spans="1:26" ht="14.25" hidden="1" customHeight="1" outlineLevel="1" x14ac:dyDescent="0.3">
      <c r="A333" s="3"/>
      <c r="B333" s="9" t="s">
        <v>415</v>
      </c>
      <c r="C333" s="53"/>
      <c r="D333" s="53"/>
      <c r="E333" s="11">
        <v>0</v>
      </c>
      <c r="F333" s="11">
        <v>0</v>
      </c>
      <c r="G333" s="56"/>
      <c r="H333" s="56"/>
      <c r="I333" s="80"/>
      <c r="J333" s="56"/>
      <c r="K333" s="28"/>
      <c r="L333" s="28"/>
      <c r="M333" s="28"/>
      <c r="N333" s="28"/>
      <c r="O333" s="28"/>
      <c r="P333" s="28"/>
      <c r="Q333" s="28"/>
      <c r="R333" s="28"/>
      <c r="S333" s="28"/>
      <c r="T333" s="28"/>
      <c r="U333" s="3"/>
      <c r="W333" s="3"/>
      <c r="X333" s="3"/>
      <c r="Y333" s="3"/>
      <c r="Z333" s="3"/>
    </row>
    <row r="334" spans="1:26" ht="14.25" hidden="1" customHeight="1" outlineLevel="1" x14ac:dyDescent="0.3">
      <c r="A334" s="3"/>
      <c r="B334" s="9" t="s">
        <v>415</v>
      </c>
      <c r="C334" s="53"/>
      <c r="D334" s="53"/>
      <c r="E334" s="11">
        <v>0</v>
      </c>
      <c r="F334" s="11">
        <v>0</v>
      </c>
      <c r="G334" s="56"/>
      <c r="H334" s="56"/>
      <c r="I334" s="80"/>
      <c r="J334" s="56"/>
      <c r="K334" s="28"/>
      <c r="L334" s="28"/>
      <c r="M334" s="28"/>
      <c r="N334" s="28"/>
      <c r="O334" s="28"/>
      <c r="P334" s="28"/>
      <c r="Q334" s="28"/>
      <c r="R334" s="28"/>
      <c r="S334" s="28"/>
      <c r="T334" s="28"/>
      <c r="U334" s="3"/>
      <c r="W334" s="3"/>
      <c r="X334" s="3"/>
      <c r="Y334" s="3"/>
      <c r="Z334" s="3"/>
    </row>
    <row r="335" spans="1:26" ht="14.25" hidden="1" customHeight="1" outlineLevel="1" x14ac:dyDescent="0.3">
      <c r="A335" s="3"/>
      <c r="B335" s="9" t="s">
        <v>416</v>
      </c>
      <c r="C335" s="53"/>
      <c r="D335" s="53"/>
      <c r="E335" s="11">
        <v>0</v>
      </c>
      <c r="F335" s="11">
        <v>0</v>
      </c>
      <c r="G335" s="56"/>
      <c r="H335" s="56"/>
      <c r="I335" s="144"/>
      <c r="J335" s="56"/>
      <c r="K335" s="28"/>
      <c r="L335" s="28"/>
      <c r="M335" s="28"/>
      <c r="N335" s="28"/>
      <c r="O335" s="28"/>
      <c r="P335" s="28"/>
      <c r="Q335" s="28"/>
      <c r="R335" s="28"/>
      <c r="S335" s="28"/>
      <c r="T335" s="28"/>
      <c r="U335" s="3"/>
      <c r="W335" s="3"/>
      <c r="X335" s="3"/>
      <c r="Y335" s="3"/>
      <c r="Z335" s="3"/>
    </row>
    <row r="336" spans="1:26" ht="14.25" hidden="1" customHeight="1" outlineLevel="1" x14ac:dyDescent="0.3">
      <c r="A336" s="3"/>
      <c r="B336" s="9" t="s">
        <v>416</v>
      </c>
      <c r="C336" s="53"/>
      <c r="D336" s="53"/>
      <c r="E336" s="11">
        <v>0</v>
      </c>
      <c r="F336" s="11">
        <v>0</v>
      </c>
      <c r="G336" s="56"/>
      <c r="H336" s="56"/>
      <c r="I336" s="144"/>
      <c r="J336" s="56"/>
      <c r="K336" s="28"/>
      <c r="L336" s="28"/>
      <c r="M336" s="28"/>
      <c r="N336" s="28"/>
      <c r="O336" s="28"/>
      <c r="P336" s="28"/>
      <c r="Q336" s="28"/>
      <c r="R336" s="28"/>
      <c r="S336" s="28"/>
      <c r="T336" s="28"/>
      <c r="U336" s="3"/>
      <c r="W336" s="3"/>
      <c r="X336" s="3"/>
      <c r="Y336" s="3"/>
      <c r="Z336" s="3"/>
    </row>
    <row r="337" spans="1:26" ht="14.25" hidden="1" customHeight="1" outlineLevel="1" x14ac:dyDescent="0.3">
      <c r="A337" s="3"/>
      <c r="B337" s="9" t="s">
        <v>416</v>
      </c>
      <c r="C337" s="53"/>
      <c r="D337" s="53"/>
      <c r="E337" s="11">
        <v>0</v>
      </c>
      <c r="F337" s="11">
        <v>0</v>
      </c>
      <c r="G337" s="56"/>
      <c r="H337" s="56"/>
      <c r="I337" s="144"/>
      <c r="J337" s="56"/>
      <c r="K337" s="28"/>
      <c r="L337" s="28"/>
      <c r="M337" s="28"/>
      <c r="N337" s="28"/>
      <c r="O337" s="28"/>
      <c r="P337" s="28"/>
      <c r="Q337" s="28"/>
      <c r="R337" s="28"/>
      <c r="S337" s="28"/>
      <c r="T337" s="28"/>
      <c r="U337" s="3"/>
      <c r="W337" s="3"/>
      <c r="X337" s="3"/>
      <c r="Y337" s="3"/>
      <c r="Z337" s="3"/>
    </row>
    <row r="338" spans="1:26" ht="14.25" hidden="1" customHeight="1" outlineLevel="1" x14ac:dyDescent="0.3">
      <c r="A338" s="3"/>
      <c r="B338" s="9" t="s">
        <v>417</v>
      </c>
      <c r="C338" s="53"/>
      <c r="D338" s="53"/>
      <c r="E338" s="11">
        <v>0</v>
      </c>
      <c r="F338" s="11">
        <v>0</v>
      </c>
      <c r="G338" s="56"/>
      <c r="H338" s="56"/>
      <c r="I338" s="144"/>
      <c r="J338" s="56"/>
      <c r="K338" s="28"/>
      <c r="L338" s="28"/>
      <c r="M338" s="28"/>
      <c r="N338" s="28"/>
      <c r="O338" s="28"/>
      <c r="P338" s="28"/>
      <c r="Q338" s="28"/>
      <c r="R338" s="28"/>
      <c r="S338" s="28"/>
      <c r="T338" s="28"/>
      <c r="U338" s="3"/>
      <c r="W338" s="3"/>
      <c r="X338" s="3"/>
      <c r="Y338" s="3"/>
      <c r="Z338" s="3"/>
    </row>
    <row r="339" spans="1:26" ht="14.25" hidden="1" customHeight="1" outlineLevel="1" x14ac:dyDescent="0.3">
      <c r="A339" s="3"/>
      <c r="B339" s="9" t="s">
        <v>417</v>
      </c>
      <c r="C339" s="53"/>
      <c r="D339" s="53"/>
      <c r="E339" s="11">
        <v>0</v>
      </c>
      <c r="F339" s="11">
        <v>0</v>
      </c>
      <c r="G339" s="56"/>
      <c r="H339" s="56"/>
      <c r="I339" s="144"/>
      <c r="J339" s="56"/>
      <c r="K339" s="28"/>
      <c r="L339" s="28"/>
      <c r="M339" s="28"/>
      <c r="N339" s="28"/>
      <c r="O339" s="28"/>
      <c r="P339" s="28"/>
      <c r="Q339" s="28"/>
      <c r="R339" s="28"/>
      <c r="S339" s="28"/>
      <c r="T339" s="28"/>
      <c r="U339" s="3"/>
      <c r="W339" s="3"/>
      <c r="X339" s="3"/>
      <c r="Y339" s="3"/>
      <c r="Z339" s="3"/>
    </row>
    <row r="340" spans="1:26" ht="14.25" hidden="1" customHeight="1" outlineLevel="1" x14ac:dyDescent="0.3">
      <c r="A340" s="3"/>
      <c r="B340" s="9" t="s">
        <v>417</v>
      </c>
      <c r="C340" s="53"/>
      <c r="D340" s="53"/>
      <c r="E340" s="11">
        <v>0</v>
      </c>
      <c r="F340" s="11">
        <v>0</v>
      </c>
      <c r="G340" s="56"/>
      <c r="H340" s="56"/>
      <c r="I340" s="144"/>
      <c r="J340" s="56"/>
      <c r="K340" s="28"/>
      <c r="L340" s="28"/>
      <c r="M340" s="28"/>
      <c r="N340" s="28"/>
      <c r="O340" s="28"/>
      <c r="P340" s="28"/>
      <c r="Q340" s="28"/>
      <c r="R340" s="28"/>
      <c r="S340" s="28"/>
      <c r="T340" s="28"/>
      <c r="U340" s="3"/>
      <c r="W340" s="3"/>
      <c r="X340" s="3"/>
      <c r="Y340" s="3"/>
      <c r="Z340" s="3"/>
    </row>
    <row r="341" spans="1:26" ht="14.25" hidden="1" customHeight="1" outlineLevel="1" x14ac:dyDescent="0.3">
      <c r="A341" s="3"/>
      <c r="B341" s="9" t="s">
        <v>417</v>
      </c>
      <c r="C341" s="53"/>
      <c r="D341" s="53"/>
      <c r="E341" s="11">
        <v>0</v>
      </c>
      <c r="F341" s="11">
        <v>0</v>
      </c>
      <c r="G341" s="56"/>
      <c r="H341" s="56"/>
      <c r="I341" s="144"/>
      <c r="J341" s="56"/>
      <c r="K341" s="28"/>
      <c r="L341" s="28"/>
      <c r="M341" s="28"/>
      <c r="N341" s="28"/>
      <c r="O341" s="28"/>
      <c r="P341" s="28"/>
      <c r="Q341" s="28"/>
      <c r="R341" s="28"/>
      <c r="S341" s="28"/>
      <c r="T341" s="28"/>
      <c r="U341" s="3"/>
      <c r="W341" s="3"/>
      <c r="X341" s="3"/>
      <c r="Y341" s="3"/>
      <c r="Z341" s="3"/>
    </row>
    <row r="342" spans="1:26" ht="14.25" hidden="1" customHeight="1" outlineLevel="1" x14ac:dyDescent="0.3">
      <c r="A342" s="3"/>
      <c r="B342" s="9" t="s">
        <v>418</v>
      </c>
      <c r="C342" s="53"/>
      <c r="D342" s="53"/>
      <c r="E342" s="11">
        <v>0</v>
      </c>
      <c r="F342" s="11">
        <v>0</v>
      </c>
      <c r="G342" s="56"/>
      <c r="H342" s="56"/>
      <c r="I342" s="144"/>
      <c r="J342" s="56"/>
      <c r="K342" s="28"/>
      <c r="L342" s="28"/>
      <c r="M342" s="28"/>
      <c r="N342" s="28"/>
      <c r="O342" s="28"/>
      <c r="P342" s="28"/>
      <c r="Q342" s="28"/>
      <c r="R342" s="28"/>
      <c r="S342" s="28"/>
      <c r="T342" s="28"/>
      <c r="U342" s="3"/>
      <c r="W342" s="3"/>
      <c r="X342" s="3"/>
      <c r="Y342" s="3"/>
      <c r="Z342" s="3"/>
    </row>
    <row r="343" spans="1:26" ht="14.25" hidden="1" customHeight="1" outlineLevel="1" x14ac:dyDescent="0.3">
      <c r="A343" s="3"/>
      <c r="B343" s="9" t="s">
        <v>418</v>
      </c>
      <c r="C343" s="53"/>
      <c r="D343" s="53"/>
      <c r="E343" s="11">
        <v>0</v>
      </c>
      <c r="F343" s="11">
        <v>0</v>
      </c>
      <c r="G343" s="56"/>
      <c r="H343" s="56"/>
      <c r="I343" s="144"/>
      <c r="J343" s="56"/>
      <c r="K343" s="28"/>
      <c r="L343" s="28"/>
      <c r="M343" s="28"/>
      <c r="N343" s="28"/>
      <c r="O343" s="28"/>
      <c r="P343" s="28"/>
      <c r="Q343" s="28"/>
      <c r="R343" s="28"/>
      <c r="S343" s="28"/>
      <c r="T343" s="28"/>
      <c r="U343" s="3"/>
      <c r="W343" s="3"/>
      <c r="X343" s="3"/>
      <c r="Y343" s="3"/>
      <c r="Z343" s="3"/>
    </row>
    <row r="344" spans="1:26" ht="14.25" hidden="1" customHeight="1" outlineLevel="1" x14ac:dyDescent="0.3">
      <c r="A344" s="3"/>
      <c r="B344" s="9" t="s">
        <v>418</v>
      </c>
      <c r="C344" s="53"/>
      <c r="D344" s="53"/>
      <c r="E344" s="11">
        <v>0</v>
      </c>
      <c r="F344" s="11">
        <v>0</v>
      </c>
      <c r="G344" s="56"/>
      <c r="H344" s="56"/>
      <c r="I344" s="144"/>
      <c r="J344" s="56"/>
      <c r="K344" s="28"/>
      <c r="L344" s="28"/>
      <c r="M344" s="28"/>
      <c r="N344" s="28"/>
      <c r="O344" s="28"/>
      <c r="P344" s="28"/>
      <c r="Q344" s="28"/>
      <c r="R344" s="28"/>
      <c r="S344" s="28"/>
      <c r="T344" s="28"/>
      <c r="U344" s="3"/>
      <c r="W344" s="3"/>
      <c r="X344" s="3"/>
      <c r="Y344" s="3"/>
      <c r="Z344" s="3"/>
    </row>
    <row r="345" spans="1:26" ht="14.25" hidden="1" customHeight="1" outlineLevel="1" x14ac:dyDescent="0.3">
      <c r="A345" s="3"/>
      <c r="B345" s="9" t="s">
        <v>418</v>
      </c>
      <c r="C345" s="53"/>
      <c r="D345" s="53"/>
      <c r="E345" s="11">
        <v>0</v>
      </c>
      <c r="F345" s="11">
        <v>0</v>
      </c>
      <c r="G345" s="56"/>
      <c r="H345" s="56"/>
      <c r="I345" s="144"/>
      <c r="J345" s="56"/>
      <c r="K345" s="28"/>
      <c r="L345" s="28"/>
      <c r="M345" s="28"/>
      <c r="N345" s="28"/>
      <c r="O345" s="28"/>
      <c r="P345" s="28"/>
      <c r="Q345" s="28"/>
      <c r="R345" s="28"/>
      <c r="S345" s="28"/>
      <c r="T345" s="28"/>
      <c r="U345" s="3"/>
      <c r="W345" s="3"/>
      <c r="X345" s="3"/>
      <c r="Y345" s="3"/>
      <c r="Z345" s="3"/>
    </row>
    <row r="346" spans="1:26" ht="14.25" hidden="1" customHeight="1" outlineLevel="1" x14ac:dyDescent="0.3">
      <c r="A346" s="3"/>
      <c r="B346" s="9" t="s">
        <v>419</v>
      </c>
      <c r="C346" s="53"/>
      <c r="D346" s="53"/>
      <c r="E346" s="11">
        <v>0</v>
      </c>
      <c r="F346" s="11">
        <v>0</v>
      </c>
      <c r="G346" s="56"/>
      <c r="H346" s="56"/>
      <c r="I346" s="145"/>
      <c r="J346" s="56"/>
      <c r="K346" s="28"/>
      <c r="L346" s="28"/>
      <c r="M346" s="28"/>
      <c r="N346" s="28"/>
      <c r="O346" s="28"/>
      <c r="P346" s="28"/>
      <c r="Q346" s="28"/>
      <c r="R346" s="28"/>
      <c r="S346" s="28"/>
      <c r="T346" s="28"/>
      <c r="U346" s="3"/>
      <c r="W346" s="3"/>
      <c r="X346" s="3"/>
      <c r="Y346" s="3"/>
      <c r="Z346" s="3"/>
    </row>
    <row r="347" spans="1:26" ht="14.25" customHeight="1" outlineLevel="1" x14ac:dyDescent="0.3">
      <c r="A347" s="3"/>
      <c r="B347" s="9" t="s">
        <v>420</v>
      </c>
      <c r="C347" s="53">
        <v>22</v>
      </c>
      <c r="D347" s="53" t="s">
        <v>95</v>
      </c>
      <c r="E347" s="11">
        <v>0</v>
      </c>
      <c r="F347" s="11">
        <v>180</v>
      </c>
      <c r="G347" s="56" t="s">
        <v>1659</v>
      </c>
      <c r="H347" s="56" t="s">
        <v>37</v>
      </c>
      <c r="I347" s="102" t="s">
        <v>2038</v>
      </c>
      <c r="J347" s="56"/>
      <c r="K347" s="28"/>
      <c r="L347" s="28"/>
      <c r="M347" s="28"/>
      <c r="N347" s="28"/>
      <c r="O347" s="28"/>
      <c r="P347" s="28"/>
      <c r="Q347" s="28"/>
      <c r="R347" s="28"/>
      <c r="S347" s="28"/>
      <c r="T347" s="28"/>
      <c r="U347" s="3"/>
      <c r="W347" s="3"/>
      <c r="X347" s="3"/>
      <c r="Y347" s="3"/>
      <c r="Z347" s="3"/>
    </row>
    <row r="348" spans="1:26" ht="14.25" hidden="1" customHeight="1" outlineLevel="1" x14ac:dyDescent="0.3">
      <c r="A348" s="3"/>
      <c r="B348" s="9" t="s">
        <v>420</v>
      </c>
      <c r="C348" s="53"/>
      <c r="D348" s="53"/>
      <c r="E348" s="11">
        <v>0</v>
      </c>
      <c r="F348" s="11">
        <v>0</v>
      </c>
      <c r="G348" s="56"/>
      <c r="H348" s="56"/>
      <c r="I348" s="102"/>
      <c r="J348" s="56"/>
      <c r="K348" s="28"/>
      <c r="L348" s="28"/>
      <c r="M348" s="28"/>
      <c r="N348" s="28"/>
      <c r="O348" s="28"/>
      <c r="P348" s="28"/>
      <c r="Q348" s="28"/>
      <c r="R348" s="28"/>
      <c r="S348" s="28"/>
      <c r="T348" s="28"/>
      <c r="U348" s="3"/>
      <c r="W348" s="3"/>
      <c r="X348" s="3"/>
      <c r="Y348" s="3"/>
      <c r="Z348" s="3"/>
    </row>
    <row r="349" spans="1:26" ht="14.25" hidden="1" customHeight="1" outlineLevel="1" x14ac:dyDescent="0.3">
      <c r="A349" s="3"/>
      <c r="B349" s="9" t="s">
        <v>421</v>
      </c>
      <c r="C349" s="53"/>
      <c r="D349" s="53"/>
      <c r="E349" s="11">
        <v>0</v>
      </c>
      <c r="F349" s="11">
        <v>0</v>
      </c>
      <c r="G349" s="56"/>
      <c r="H349" s="56"/>
      <c r="I349" s="80"/>
      <c r="J349" s="56"/>
      <c r="K349" s="28"/>
      <c r="L349" s="28"/>
      <c r="M349" s="28"/>
      <c r="N349" s="28"/>
      <c r="O349" s="28"/>
      <c r="P349" s="28"/>
      <c r="Q349" s="28"/>
      <c r="R349" s="28"/>
      <c r="S349" s="28"/>
      <c r="T349" s="28"/>
      <c r="U349" s="3"/>
      <c r="W349" s="3"/>
      <c r="X349" s="3"/>
      <c r="Y349" s="3"/>
      <c r="Z349" s="3"/>
    </row>
    <row r="350" spans="1:26" ht="14.25" hidden="1" customHeight="1" outlineLevel="1" x14ac:dyDescent="0.3">
      <c r="A350" s="3"/>
      <c r="B350" s="9" t="s">
        <v>66</v>
      </c>
      <c r="C350" s="53"/>
      <c r="D350" s="53"/>
      <c r="E350" s="11">
        <v>0</v>
      </c>
      <c r="F350" s="11">
        <v>0</v>
      </c>
      <c r="G350" s="56"/>
      <c r="H350" s="56"/>
      <c r="I350" s="80"/>
      <c r="J350" s="56"/>
      <c r="K350" s="28"/>
      <c r="L350" s="28"/>
      <c r="M350" s="28"/>
      <c r="N350" s="28"/>
      <c r="O350" s="28"/>
      <c r="P350" s="28"/>
      <c r="Q350" s="28"/>
      <c r="R350" s="28"/>
      <c r="S350" s="28"/>
      <c r="T350" s="28"/>
      <c r="U350" s="3"/>
      <c r="W350" s="3"/>
      <c r="X350" s="3"/>
      <c r="Y350" s="3"/>
      <c r="Z350" s="3"/>
    </row>
    <row r="351" spans="1:26" ht="14.25" customHeight="1" x14ac:dyDescent="0.3">
      <c r="A351" s="3"/>
      <c r="B351" s="3"/>
      <c r="C351" s="28"/>
      <c r="D351" s="28"/>
      <c r="E351" s="28"/>
      <c r="F351" s="28"/>
      <c r="G351" s="89"/>
      <c r="H351" s="89"/>
      <c r="I351" s="90"/>
      <c r="J351" s="89"/>
      <c r="K351" s="28"/>
      <c r="L351" s="28"/>
      <c r="M351" s="28"/>
      <c r="N351" s="28"/>
      <c r="O351" s="28"/>
      <c r="P351" s="28"/>
      <c r="Q351" s="28"/>
      <c r="R351" s="28"/>
      <c r="S351" s="28"/>
      <c r="T351" s="28"/>
      <c r="U351" s="3"/>
    </row>
    <row r="352" spans="1:26" ht="14.2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57" customHeight="1" x14ac:dyDescent="0.3">
      <c r="A353" s="3"/>
      <c r="B353" s="216" t="s">
        <v>55</v>
      </c>
      <c r="C353" s="217"/>
      <c r="D353" s="217"/>
      <c r="E353" s="217"/>
      <c r="F353" s="217"/>
      <c r="G353" s="217"/>
      <c r="H353" s="217"/>
      <c r="I353" s="194"/>
      <c r="J353" s="89"/>
      <c r="K353" s="28"/>
      <c r="L353" s="28"/>
      <c r="M353" s="28"/>
      <c r="N353" s="28"/>
      <c r="O353" s="28"/>
      <c r="P353" s="28"/>
      <c r="Q353" s="28"/>
      <c r="R353" s="28"/>
      <c r="S353" s="28"/>
      <c r="T353" s="28"/>
      <c r="U353" s="3"/>
    </row>
    <row r="354" spans="1:21" ht="14.25" customHeight="1" x14ac:dyDescent="0.3">
      <c r="A354" s="3"/>
      <c r="B354" s="3"/>
      <c r="C354" s="28"/>
      <c r="D354" s="28"/>
      <c r="E354" s="28"/>
      <c r="F354" s="28"/>
      <c r="G354" s="89"/>
      <c r="H354" s="89"/>
      <c r="I354" s="90"/>
      <c r="J354" s="89"/>
      <c r="K354" s="28"/>
      <c r="L354" s="28"/>
      <c r="M354" s="28"/>
      <c r="N354" s="28"/>
      <c r="O354" s="28"/>
      <c r="P354" s="28"/>
      <c r="Q354" s="28"/>
      <c r="R354" s="28"/>
      <c r="S354" s="28"/>
      <c r="T354" s="28"/>
      <c r="U354" s="3"/>
    </row>
    <row r="355" spans="1:21" ht="14.2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4.2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4.2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4.2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4.2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4.2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4.2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4.2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4.2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4.2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4.2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4.2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4.2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4.2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4.2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4.2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4.2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4.2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4.2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4.2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4.2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4.2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4.2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4.2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4.2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4.2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4.2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4.2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4.2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4.2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4.2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4.2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4.2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4.2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4.2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4.2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4.2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4.2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4.2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4.2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4.2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4.2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4.2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4.2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4.2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4.2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4.2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4.2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4.2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4.2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4.2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4.2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4.2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4.2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4.2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4.2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4.2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4.2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4.2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4.2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4.2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4.2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4.2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4.2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4.2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4.2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4.2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4.2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4.2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4.2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4.2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4.2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4.2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4.2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4.2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4.2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4.2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4.2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4.2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4.2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4.2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4.2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4.2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4.2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4.2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4.2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4.2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4.2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4.2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4.2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4.2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4.2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4.2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4.2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4.2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4.2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4.2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4.2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4.2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4.2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4.2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4.2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4.2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4.2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4.2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4.2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4.2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4.2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4.2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4.2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4.2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4.2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4.2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4.2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4.2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4.2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4.2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4.2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4.2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4.2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4.2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4.2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4.2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4.2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4.2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4.2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4.2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4.2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4.2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4.2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4.2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4.2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4.2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4.2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4.2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4.2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4.2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4.2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4.2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4.2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4.2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4.2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4.2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4.2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4.2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4.2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4.2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4.2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4.2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4.2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4.2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4.2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4.2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4.2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4.2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4.2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4.2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4.2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4.2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4.2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4.2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4.2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4.2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4.2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4.2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4.2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4.2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4.2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4.2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4.2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4.2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4.2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4.2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4.2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spans="1:21" ht="14.25" customHeight="1" x14ac:dyDescent="0.3">
      <c r="A529" s="3"/>
      <c r="B529" s="3"/>
      <c r="C529" s="28"/>
      <c r="D529" s="28"/>
      <c r="E529" s="28"/>
      <c r="F529" s="28"/>
      <c r="G529" s="89"/>
      <c r="H529" s="89"/>
      <c r="I529" s="90"/>
      <c r="J529" s="89"/>
      <c r="K529" s="28"/>
      <c r="L529" s="28"/>
      <c r="M529" s="28"/>
      <c r="N529" s="28"/>
      <c r="O529" s="28"/>
      <c r="P529" s="28"/>
      <c r="Q529" s="28"/>
      <c r="R529" s="28"/>
      <c r="S529" s="28"/>
      <c r="T529" s="28"/>
      <c r="U529" s="3"/>
    </row>
    <row r="530" spans="1:21" ht="14.25" customHeight="1" x14ac:dyDescent="0.3">
      <c r="A530" s="3"/>
      <c r="B530" s="3"/>
      <c r="C530" s="28"/>
      <c r="D530" s="28"/>
      <c r="E530" s="28"/>
      <c r="F530" s="28"/>
      <c r="G530" s="89"/>
      <c r="H530" s="89"/>
      <c r="I530" s="90"/>
      <c r="J530" s="89"/>
      <c r="K530" s="28"/>
      <c r="L530" s="28"/>
      <c r="M530" s="28"/>
      <c r="N530" s="28"/>
      <c r="O530" s="28"/>
      <c r="P530" s="28"/>
      <c r="Q530" s="28"/>
      <c r="R530" s="28"/>
      <c r="S530" s="28"/>
      <c r="T530" s="28"/>
      <c r="U530" s="3"/>
    </row>
    <row r="531" spans="1:21" ht="14.25" customHeight="1" x14ac:dyDescent="0.3">
      <c r="A531" s="3"/>
      <c r="B531" s="3"/>
      <c r="C531" s="28"/>
      <c r="D531" s="28"/>
      <c r="E531" s="28"/>
      <c r="F531" s="28"/>
      <c r="G531" s="89"/>
      <c r="H531" s="89"/>
      <c r="I531" s="90"/>
      <c r="J531" s="89"/>
      <c r="K531" s="28"/>
      <c r="L531" s="28"/>
      <c r="M531" s="28"/>
      <c r="N531" s="28"/>
      <c r="O531" s="28"/>
      <c r="P531" s="28"/>
      <c r="Q531" s="28"/>
      <c r="R531" s="28"/>
      <c r="S531" s="28"/>
      <c r="T531" s="28"/>
      <c r="U531" s="3"/>
    </row>
    <row r="532" spans="1:21" ht="14.25" customHeight="1" x14ac:dyDescent="0.3">
      <c r="A532" s="3"/>
      <c r="B532" s="3"/>
      <c r="C532" s="28"/>
      <c r="D532" s="28"/>
      <c r="E532" s="28"/>
      <c r="F532" s="28"/>
      <c r="G532" s="89"/>
      <c r="H532" s="89"/>
      <c r="I532" s="90"/>
      <c r="J532" s="89"/>
      <c r="K532" s="28"/>
      <c r="L532" s="28"/>
      <c r="M532" s="28"/>
      <c r="N532" s="28"/>
      <c r="O532" s="28"/>
      <c r="P532" s="28"/>
      <c r="Q532" s="28"/>
      <c r="R532" s="28"/>
      <c r="S532" s="28"/>
      <c r="T532" s="28"/>
      <c r="U532" s="3"/>
    </row>
    <row r="533" spans="1:21" ht="14.25" customHeight="1" x14ac:dyDescent="0.3">
      <c r="A533" s="3"/>
      <c r="B533" s="3"/>
      <c r="C533" s="28"/>
      <c r="D533" s="28"/>
      <c r="E533" s="28"/>
      <c r="F533" s="28"/>
      <c r="G533" s="89"/>
      <c r="H533" s="89"/>
      <c r="I533" s="90"/>
      <c r="J533" s="89"/>
      <c r="K533" s="28"/>
      <c r="L533" s="28"/>
      <c r="M533" s="28"/>
      <c r="N533" s="28"/>
      <c r="O533" s="28"/>
      <c r="P533" s="28"/>
      <c r="Q533" s="28"/>
      <c r="R533" s="28"/>
      <c r="S533" s="28"/>
      <c r="T533" s="28"/>
      <c r="U533" s="3"/>
    </row>
    <row r="534" spans="1:21" ht="14.25" customHeight="1" x14ac:dyDescent="0.3">
      <c r="A534" s="3"/>
      <c r="B534" s="3"/>
      <c r="C534" s="28"/>
      <c r="D534" s="28"/>
      <c r="E534" s="28"/>
      <c r="F534" s="28"/>
      <c r="G534" s="89"/>
      <c r="H534" s="89"/>
      <c r="I534" s="90"/>
      <c r="J534" s="89"/>
      <c r="K534" s="28"/>
      <c r="L534" s="28"/>
      <c r="M534" s="28"/>
      <c r="N534" s="28"/>
      <c r="O534" s="28"/>
      <c r="P534" s="28"/>
      <c r="Q534" s="28"/>
      <c r="R534" s="28"/>
      <c r="S534" s="28"/>
      <c r="T534" s="28"/>
      <c r="U534" s="3"/>
    </row>
    <row r="535" spans="1:21" ht="14.25" customHeight="1" x14ac:dyDescent="0.3">
      <c r="A535" s="3"/>
      <c r="B535" s="3"/>
      <c r="C535" s="28"/>
      <c r="D535" s="28"/>
      <c r="E535" s="28"/>
      <c r="F535" s="28"/>
      <c r="G535" s="89"/>
      <c r="H535" s="89"/>
      <c r="I535" s="90"/>
      <c r="J535" s="89"/>
      <c r="K535" s="28"/>
      <c r="L535" s="28"/>
      <c r="M535" s="28"/>
      <c r="N535" s="28"/>
      <c r="O535" s="28"/>
      <c r="P535" s="28"/>
      <c r="Q535" s="28"/>
      <c r="R535" s="28"/>
      <c r="S535" s="28"/>
      <c r="T535" s="28"/>
      <c r="U535" s="3"/>
    </row>
    <row r="536" spans="1:21" ht="14.25" customHeight="1" x14ac:dyDescent="0.3">
      <c r="A536" s="3"/>
      <c r="B536" s="3"/>
      <c r="C536" s="28"/>
      <c r="D536" s="28"/>
      <c r="E536" s="28"/>
      <c r="F536" s="28"/>
      <c r="G536" s="89"/>
      <c r="H536" s="89"/>
      <c r="I536" s="90"/>
      <c r="J536" s="89"/>
      <c r="K536" s="28"/>
      <c r="L536" s="28"/>
      <c r="M536" s="28"/>
      <c r="N536" s="28"/>
      <c r="O536" s="28"/>
      <c r="P536" s="28"/>
      <c r="Q536" s="28"/>
      <c r="R536" s="28"/>
      <c r="S536" s="28"/>
      <c r="T536" s="28"/>
      <c r="U536" s="3"/>
    </row>
    <row r="537" spans="1:21" ht="14.25" customHeight="1" x14ac:dyDescent="0.3">
      <c r="A537" s="3"/>
      <c r="B537" s="3"/>
      <c r="C537" s="28"/>
      <c r="D537" s="28"/>
      <c r="E537" s="28"/>
      <c r="F537" s="28"/>
      <c r="G537" s="89"/>
      <c r="H537" s="89"/>
      <c r="I537" s="90"/>
      <c r="J537" s="89"/>
      <c r="K537" s="28"/>
      <c r="L537" s="28"/>
      <c r="M537" s="28"/>
      <c r="N537" s="28"/>
      <c r="O537" s="28"/>
      <c r="P537" s="28"/>
      <c r="Q537" s="28"/>
      <c r="R537" s="28"/>
      <c r="S537" s="28"/>
      <c r="T537" s="28"/>
      <c r="U537" s="3"/>
    </row>
    <row r="538" spans="1:21" ht="14.25" customHeight="1" x14ac:dyDescent="0.3">
      <c r="A538" s="3"/>
      <c r="B538" s="3"/>
      <c r="C538" s="28"/>
      <c r="D538" s="28"/>
      <c r="E538" s="28"/>
      <c r="F538" s="28"/>
      <c r="G538" s="89"/>
      <c r="H538" s="89"/>
      <c r="I538" s="90"/>
      <c r="J538" s="89"/>
      <c r="K538" s="28"/>
      <c r="L538" s="28"/>
      <c r="M538" s="28"/>
      <c r="N538" s="28"/>
      <c r="O538" s="28"/>
      <c r="P538" s="28"/>
      <c r="Q538" s="28"/>
      <c r="R538" s="28"/>
      <c r="S538" s="28"/>
      <c r="T538" s="28"/>
      <c r="U538" s="3"/>
    </row>
    <row r="539" spans="1:21" ht="14.25" customHeight="1" x14ac:dyDescent="0.3">
      <c r="A539" s="3"/>
      <c r="B539" s="3"/>
      <c r="C539" s="28"/>
      <c r="D539" s="28"/>
      <c r="E539" s="28"/>
      <c r="F539" s="28"/>
      <c r="G539" s="89"/>
      <c r="H539" s="89"/>
      <c r="I539" s="90"/>
      <c r="J539" s="89"/>
      <c r="K539" s="28"/>
      <c r="L539" s="28"/>
      <c r="M539" s="28"/>
      <c r="N539" s="28"/>
      <c r="O539" s="28"/>
      <c r="P539" s="28"/>
      <c r="Q539" s="28"/>
      <c r="R539" s="28"/>
      <c r="S539" s="28"/>
      <c r="T539" s="28"/>
      <c r="U539" s="3"/>
    </row>
    <row r="540" spans="1:21" ht="14.25" customHeight="1" x14ac:dyDescent="0.3">
      <c r="A540" s="3"/>
      <c r="B540" s="3"/>
      <c r="C540" s="28"/>
      <c r="D540" s="28"/>
      <c r="E540" s="28"/>
      <c r="F540" s="28"/>
      <c r="G540" s="89"/>
      <c r="H540" s="89"/>
      <c r="I540" s="90"/>
      <c r="J540" s="89"/>
      <c r="K540" s="28"/>
      <c r="L540" s="28"/>
      <c r="M540" s="28"/>
      <c r="N540" s="28"/>
      <c r="O540" s="28"/>
      <c r="P540" s="28"/>
      <c r="Q540" s="28"/>
      <c r="R540" s="28"/>
      <c r="S540" s="28"/>
      <c r="T540" s="28"/>
      <c r="U540" s="3"/>
    </row>
    <row r="541" spans="1:21" ht="14.25" customHeight="1" x14ac:dyDescent="0.3">
      <c r="A541" s="3"/>
      <c r="B541" s="3"/>
      <c r="C541" s="28"/>
      <c r="D541" s="28"/>
      <c r="E541" s="28"/>
      <c r="F541" s="28"/>
      <c r="G541" s="89"/>
      <c r="H541" s="89"/>
      <c r="I541" s="90"/>
      <c r="J541" s="89"/>
      <c r="K541" s="28"/>
      <c r="L541" s="28"/>
      <c r="M541" s="28"/>
      <c r="N541" s="28"/>
      <c r="O541" s="28"/>
      <c r="P541" s="28"/>
      <c r="Q541" s="28"/>
      <c r="R541" s="28"/>
      <c r="S541" s="28"/>
      <c r="T541" s="28"/>
      <c r="U541" s="3"/>
    </row>
    <row r="542" spans="1:21" ht="14.25" customHeight="1" x14ac:dyDescent="0.3">
      <c r="A542" s="3"/>
      <c r="B542" s="3"/>
      <c r="C542" s="28"/>
      <c r="D542" s="28"/>
      <c r="E542" s="28"/>
      <c r="F542" s="28"/>
      <c r="G542" s="89"/>
      <c r="H542" s="89"/>
      <c r="I542" s="90"/>
      <c r="J542" s="89"/>
      <c r="K542" s="28"/>
      <c r="L542" s="28"/>
      <c r="M542" s="28"/>
      <c r="N542" s="28"/>
      <c r="O542" s="28"/>
      <c r="P542" s="28"/>
      <c r="Q542" s="28"/>
      <c r="R542" s="28"/>
      <c r="S542" s="28"/>
      <c r="T542" s="28"/>
      <c r="U542" s="3"/>
    </row>
    <row r="543" spans="1:21" ht="14.25" customHeight="1" x14ac:dyDescent="0.3">
      <c r="A543" s="3"/>
      <c r="B543" s="3"/>
      <c r="C543" s="28"/>
      <c r="D543" s="28"/>
      <c r="E543" s="28"/>
      <c r="F543" s="28"/>
      <c r="G543" s="89"/>
      <c r="H543" s="89"/>
      <c r="I543" s="90"/>
      <c r="J543" s="89"/>
      <c r="K543" s="28"/>
      <c r="L543" s="28"/>
      <c r="M543" s="28"/>
      <c r="N543" s="28"/>
      <c r="O543" s="28"/>
      <c r="P543" s="28"/>
      <c r="Q543" s="28"/>
      <c r="R543" s="28"/>
      <c r="S543" s="28"/>
      <c r="T543" s="28"/>
      <c r="U543" s="3"/>
    </row>
    <row r="544" spans="1:21" ht="14.25" customHeight="1" x14ac:dyDescent="0.3">
      <c r="A544" s="3"/>
      <c r="B544" s="3"/>
      <c r="C544" s="28"/>
      <c r="D544" s="28"/>
      <c r="E544" s="28"/>
      <c r="F544" s="28"/>
      <c r="G544" s="89"/>
      <c r="H544" s="89"/>
      <c r="I544" s="90"/>
      <c r="J544" s="89"/>
      <c r="K544" s="28"/>
      <c r="L544" s="28"/>
      <c r="M544" s="28"/>
      <c r="N544" s="28"/>
      <c r="O544" s="28"/>
      <c r="P544" s="28"/>
      <c r="Q544" s="28"/>
      <c r="R544" s="28"/>
      <c r="S544" s="28"/>
      <c r="T544" s="28"/>
      <c r="U544" s="3"/>
    </row>
    <row r="545" spans="1:21" ht="14.25" customHeight="1" x14ac:dyDescent="0.3">
      <c r="A545" s="3"/>
      <c r="B545" s="3"/>
      <c r="C545" s="28"/>
      <c r="D545" s="28"/>
      <c r="E545" s="28"/>
      <c r="F545" s="28"/>
      <c r="G545" s="89"/>
      <c r="H545" s="89"/>
      <c r="I545" s="90"/>
      <c r="J545" s="89"/>
      <c r="K545" s="28"/>
      <c r="L545" s="28"/>
      <c r="M545" s="28"/>
      <c r="N545" s="28"/>
      <c r="O545" s="28"/>
      <c r="P545" s="28"/>
      <c r="Q545" s="28"/>
      <c r="R545" s="28"/>
      <c r="S545" s="28"/>
      <c r="T545" s="28"/>
      <c r="U545" s="3"/>
    </row>
    <row r="546" spans="1:21" ht="14.25" customHeight="1" x14ac:dyDescent="0.3">
      <c r="A546" s="3"/>
      <c r="B546" s="3"/>
      <c r="C546" s="28"/>
      <c r="D546" s="28"/>
      <c r="E546" s="28"/>
      <c r="F546" s="28"/>
      <c r="G546" s="89"/>
      <c r="H546" s="89"/>
      <c r="I546" s="90"/>
      <c r="J546" s="89"/>
      <c r="K546" s="28"/>
      <c r="L546" s="28"/>
      <c r="M546" s="28"/>
      <c r="N546" s="28"/>
      <c r="O546" s="28"/>
      <c r="P546" s="28"/>
      <c r="Q546" s="28"/>
      <c r="R546" s="28"/>
      <c r="S546" s="28"/>
      <c r="T546" s="28"/>
      <c r="U546" s="3"/>
    </row>
    <row r="547" spans="1:21" ht="14.25" customHeight="1" x14ac:dyDescent="0.3">
      <c r="A547" s="3"/>
      <c r="B547" s="3"/>
      <c r="C547" s="28"/>
      <c r="D547" s="28"/>
      <c r="E547" s="28"/>
      <c r="F547" s="28"/>
      <c r="G547" s="89"/>
      <c r="H547" s="89"/>
      <c r="I547" s="90"/>
      <c r="J547" s="89"/>
      <c r="K547" s="28"/>
      <c r="L547" s="28"/>
      <c r="M547" s="28"/>
      <c r="N547" s="28"/>
      <c r="O547" s="28"/>
      <c r="P547" s="28"/>
      <c r="Q547" s="28"/>
      <c r="R547" s="28"/>
      <c r="S547" s="28"/>
      <c r="T547" s="28"/>
      <c r="U547" s="3"/>
    </row>
    <row r="548" spans="1:21" ht="14.25" customHeight="1" x14ac:dyDescent="0.3">
      <c r="A548" s="3"/>
      <c r="B548" s="3"/>
      <c r="C548" s="28"/>
      <c r="D548" s="28"/>
      <c r="E548" s="28"/>
      <c r="F548" s="28"/>
      <c r="G548" s="89"/>
      <c r="H548" s="89"/>
      <c r="I548" s="90"/>
      <c r="J548" s="89"/>
      <c r="K548" s="28"/>
      <c r="L548" s="28"/>
      <c r="M548" s="28"/>
      <c r="N548" s="28"/>
      <c r="O548" s="28"/>
      <c r="P548" s="28"/>
      <c r="Q548" s="28"/>
      <c r="R548" s="28"/>
      <c r="S548" s="28"/>
      <c r="T548" s="28"/>
      <c r="U548" s="3"/>
    </row>
    <row r="549" spans="1:21" ht="14.25" customHeight="1" x14ac:dyDescent="0.3">
      <c r="A549" s="3"/>
      <c r="B549" s="3"/>
      <c r="C549" s="28"/>
      <c r="D549" s="28"/>
      <c r="E549" s="28"/>
      <c r="F549" s="28"/>
      <c r="G549" s="89"/>
      <c r="H549" s="89"/>
      <c r="I549" s="90"/>
      <c r="J549" s="89"/>
      <c r="K549" s="28"/>
      <c r="L549" s="28"/>
      <c r="M549" s="28"/>
      <c r="N549" s="28"/>
      <c r="O549" s="28"/>
      <c r="P549" s="28"/>
      <c r="Q549" s="28"/>
      <c r="R549" s="28"/>
      <c r="S549" s="28"/>
      <c r="T549" s="28"/>
      <c r="U549" s="3"/>
    </row>
    <row r="550" spans="1:21" ht="14.25" customHeight="1" x14ac:dyDescent="0.3">
      <c r="A550" s="3"/>
      <c r="B550" s="3"/>
      <c r="C550" s="28"/>
      <c r="D550" s="28"/>
      <c r="E550" s="28"/>
      <c r="F550" s="28"/>
      <c r="G550" s="89"/>
      <c r="H550" s="89"/>
      <c r="I550" s="90"/>
      <c r="J550" s="89"/>
      <c r="K550" s="28"/>
      <c r="L550" s="28"/>
      <c r="M550" s="28"/>
      <c r="N550" s="28"/>
      <c r="O550" s="28"/>
      <c r="P550" s="28"/>
      <c r="Q550" s="28"/>
      <c r="R550" s="28"/>
      <c r="S550" s="28"/>
      <c r="T550" s="28"/>
      <c r="U550" s="3"/>
    </row>
    <row r="551" spans="1:21" ht="14.25" customHeight="1" x14ac:dyDescent="0.3"/>
    <row r="552" spans="1:21" ht="14.25" customHeight="1" x14ac:dyDescent="0.3"/>
    <row r="553" spans="1:21" ht="14.25" customHeight="1" x14ac:dyDescent="0.3"/>
    <row r="554" spans="1:21" ht="15.7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autoFilter ref="C5:F350" xr:uid="{00000000-0009-0000-0000-00001B000000}">
    <filterColumn colId="3">
      <filters>
        <filter val="R$  0.16"/>
        <filter val="R$  1,000.00"/>
        <filter val="R$  1,015.69"/>
        <filter val="R$  1,100.00"/>
        <filter val="R$  1,102.00"/>
        <filter val="R$  1,438.00"/>
        <filter val="R$  1,441.90"/>
        <filter val="R$  1,557.84"/>
        <filter val="R$  1,572.09"/>
        <filter val="R$  1,744.33"/>
        <filter val="R$  1,826.94"/>
        <filter val="R$  1,844.00"/>
        <filter val="R$  1,898.00"/>
        <filter val="R$  100.00"/>
        <filter val="R$  103.11"/>
        <filter val="R$  105.88"/>
        <filter val="R$  11,516.88"/>
        <filter val="R$  117.00"/>
        <filter val="R$  120.00"/>
        <filter val="R$  124.91"/>
        <filter val="R$  128.09"/>
        <filter val="R$  13,041.00"/>
        <filter val="R$  13,578.00"/>
        <filter val="R$  13.80"/>
        <filter val="R$  136.06"/>
        <filter val="R$  144.50"/>
        <filter val="R$  151.82"/>
        <filter val="R$  154.27"/>
        <filter val="R$  160.00"/>
        <filter val="R$  160.30"/>
        <filter val="R$  163.24"/>
        <filter val="R$  165.00"/>
        <filter val="R$  169.59"/>
        <filter val="R$  17,739.96"/>
        <filter val="R$  170.00"/>
        <filter val="R$  176.00"/>
        <filter val="R$  18.00"/>
        <filter val="R$  180.00"/>
        <filter val="R$  2,081.80"/>
        <filter val="R$  2,303.26"/>
        <filter val="R$  200.00"/>
        <filter val="R$  225.93"/>
        <filter val="R$  228.06"/>
        <filter val="R$  250.00"/>
        <filter val="R$  264.02"/>
        <filter val="R$  27.90"/>
        <filter val="R$  280.00"/>
        <filter val="R$  30.00"/>
        <filter val="R$  306.18"/>
        <filter val="R$  31,317.96"/>
        <filter val="R$  32.00"/>
        <filter val="R$  333.00"/>
        <filter val="R$  335.50"/>
        <filter val="R$  36.00"/>
        <filter val="R$  365.42"/>
        <filter val="R$  369.64"/>
        <filter val="R$  40.00"/>
        <filter val="R$  40.43"/>
        <filter val="R$  400.00"/>
        <filter val="R$  401.60"/>
        <filter val="R$  448.33"/>
        <filter val="R$  45.00"/>
        <filter val="R$  48.79"/>
        <filter val="R$  480.00"/>
        <filter val="R$  482.20"/>
        <filter val="R$  50.00"/>
        <filter val="R$  52.00"/>
        <filter val="R$  530.00"/>
        <filter val="R$  537.00"/>
        <filter val="R$  59.45"/>
        <filter val="R$  6,022.96"/>
        <filter val="R$  6,651.34"/>
        <filter val="R$  601.06"/>
        <filter val="R$  605.00"/>
        <filter val="R$  63.90"/>
        <filter val="R$  64.62"/>
        <filter val="R$  650.00"/>
        <filter val="R$  69.39"/>
        <filter val="R$  7,038.65"/>
        <filter val="R$  7,071.30"/>
        <filter val="R$  70.00"/>
        <filter val="R$  707.48"/>
        <filter val="R$  71.03"/>
        <filter val="R$  711.80"/>
        <filter val="R$  72.00"/>
        <filter val="R$  753.64"/>
        <filter val="R$  79.83"/>
        <filter val="R$  8,139.84"/>
        <filter val="R$  8,939.35"/>
        <filter val="R$  80.00"/>
        <filter val="R$  80.38"/>
        <filter val="R$  819.00"/>
        <filter val="R$  82.27"/>
        <filter val="R$  84.90"/>
        <filter val="R$  85.36"/>
        <filter val="R$  890.00"/>
        <filter val="R$  90.00"/>
        <filter val="R$  93.70"/>
        <filter val="R$  930.32"/>
        <filter val="R$  940.45"/>
        <filter val="R$  96.00"/>
      </filters>
    </filterColumn>
  </autoFilter>
  <mergeCells count="11">
    <mergeCell ref="J4:J5"/>
    <mergeCell ref="I17:I21"/>
    <mergeCell ref="G17:G21"/>
    <mergeCell ref="G22:G28"/>
    <mergeCell ref="I22:I28"/>
    <mergeCell ref="B353:I353"/>
    <mergeCell ref="B2:B3"/>
    <mergeCell ref="C2:F3"/>
    <mergeCell ref="B4:B5"/>
    <mergeCell ref="H4:H5"/>
    <mergeCell ref="I4:I5"/>
  </mergeCells>
  <dataValidations count="1">
    <dataValidation type="list" allowBlank="1" showErrorMessage="1" sqref="D7:D37 D39:D62 D64:D144 D146:D154 D157:D161 D163:D167 D169:D173 D175:D179 D181:D185 D187:D264 D267:D275 D277:D285 D287:D295 D297:D317 D319:D327 D329:D350" xr:uid="{00000000-0002-0000-1B00-000001000000}">
      <formula1>"OK,Parcial,Pendente"</formula1>
    </dataValidation>
  </dataValidations>
  <hyperlinks>
    <hyperlink ref="I7" r:id="rId1" xr:uid="{00000000-0004-0000-1B00-000000000000}"/>
    <hyperlink ref="I8" r:id="rId2" xr:uid="{00000000-0004-0000-1B00-000001000000}"/>
    <hyperlink ref="I9" r:id="rId3" xr:uid="{00000000-0004-0000-1B00-000002000000}"/>
    <hyperlink ref="I10" r:id="rId4" xr:uid="{00000000-0004-0000-1B00-000003000000}"/>
    <hyperlink ref="I11" r:id="rId5" xr:uid="{00000000-0004-0000-1B00-000004000000}"/>
    <hyperlink ref="I12" r:id="rId6" xr:uid="{00000000-0004-0000-1B00-000005000000}"/>
    <hyperlink ref="I14" r:id="rId7" xr:uid="{00000000-0004-0000-1B00-000006000000}"/>
    <hyperlink ref="I17" r:id="rId8" xr:uid="{00000000-0004-0000-1B00-000007000000}"/>
    <hyperlink ref="I22" r:id="rId9" xr:uid="{00000000-0004-0000-1B00-000008000000}"/>
    <hyperlink ref="I29" r:id="rId10" xr:uid="{00000000-0004-0000-1B00-000009000000}"/>
    <hyperlink ref="I30" r:id="rId11" xr:uid="{00000000-0004-0000-1B00-00000A000000}"/>
    <hyperlink ref="I32" r:id="rId12" xr:uid="{00000000-0004-0000-1B00-00000B000000}"/>
    <hyperlink ref="I35" r:id="rId13" xr:uid="{00000000-0004-0000-1B00-00000C000000}"/>
    <hyperlink ref="I39" r:id="rId14" xr:uid="{00000000-0004-0000-1B00-00000D000000}"/>
    <hyperlink ref="I40" r:id="rId15" xr:uid="{00000000-0004-0000-1B00-00000E000000}"/>
    <hyperlink ref="I43" r:id="rId16" xr:uid="{00000000-0004-0000-1B00-00000F000000}"/>
    <hyperlink ref="I46" r:id="rId17" xr:uid="{00000000-0004-0000-1B00-000010000000}"/>
    <hyperlink ref="I47" r:id="rId18" xr:uid="{00000000-0004-0000-1B00-000011000000}"/>
    <hyperlink ref="I48" r:id="rId19" xr:uid="{00000000-0004-0000-1B00-000012000000}"/>
    <hyperlink ref="I49" r:id="rId20" xr:uid="{00000000-0004-0000-1B00-000013000000}"/>
    <hyperlink ref="I50" r:id="rId21" xr:uid="{00000000-0004-0000-1B00-000014000000}"/>
    <hyperlink ref="I51" r:id="rId22" xr:uid="{00000000-0004-0000-1B00-000015000000}"/>
    <hyperlink ref="I71" r:id="rId23" xr:uid="{00000000-0004-0000-1B00-000016000000}"/>
    <hyperlink ref="I72" r:id="rId24" xr:uid="{00000000-0004-0000-1B00-000017000000}"/>
    <hyperlink ref="I73" r:id="rId25" xr:uid="{00000000-0004-0000-1B00-000018000000}"/>
    <hyperlink ref="I80" r:id="rId26" xr:uid="{00000000-0004-0000-1B00-000019000000}"/>
    <hyperlink ref="I81" r:id="rId27" xr:uid="{00000000-0004-0000-1B00-00001A000000}"/>
    <hyperlink ref="I83" r:id="rId28" xr:uid="{00000000-0004-0000-1B00-00001B000000}"/>
    <hyperlink ref="I84" r:id="rId29" xr:uid="{00000000-0004-0000-1B00-00001C000000}"/>
    <hyperlink ref="I85" r:id="rId30" xr:uid="{00000000-0004-0000-1B00-00001D000000}"/>
    <hyperlink ref="I86" r:id="rId31" xr:uid="{00000000-0004-0000-1B00-00001E000000}"/>
    <hyperlink ref="I92" r:id="rId32" xr:uid="{00000000-0004-0000-1B00-00001F000000}"/>
    <hyperlink ref="I93" r:id="rId33" xr:uid="{00000000-0004-0000-1B00-000020000000}"/>
    <hyperlink ref="I94" r:id="rId34" xr:uid="{00000000-0004-0000-1B00-000021000000}"/>
    <hyperlink ref="I95" r:id="rId35" xr:uid="{00000000-0004-0000-1B00-000022000000}"/>
    <hyperlink ref="I96" r:id="rId36" xr:uid="{00000000-0004-0000-1B00-000023000000}"/>
    <hyperlink ref="I97" r:id="rId37" xr:uid="{00000000-0004-0000-1B00-000024000000}"/>
    <hyperlink ref="I98" r:id="rId38" xr:uid="{00000000-0004-0000-1B00-000025000000}"/>
    <hyperlink ref="I99" r:id="rId39" xr:uid="{00000000-0004-0000-1B00-000026000000}"/>
    <hyperlink ref="I100" r:id="rId40" xr:uid="{00000000-0004-0000-1B00-000027000000}"/>
    <hyperlink ref="I101" r:id="rId41" xr:uid="{00000000-0004-0000-1B00-000028000000}"/>
    <hyperlink ref="I102" r:id="rId42" xr:uid="{00000000-0004-0000-1B00-000029000000}"/>
    <hyperlink ref="I103" r:id="rId43" xr:uid="{00000000-0004-0000-1B00-00002A000000}"/>
    <hyperlink ref="I104" r:id="rId44" xr:uid="{00000000-0004-0000-1B00-00002B000000}"/>
    <hyperlink ref="I105" r:id="rId45" xr:uid="{00000000-0004-0000-1B00-00002C000000}"/>
    <hyperlink ref="I106" r:id="rId46" xr:uid="{00000000-0004-0000-1B00-00002D000000}"/>
    <hyperlink ref="I107" r:id="rId47" xr:uid="{00000000-0004-0000-1B00-00002E000000}"/>
    <hyperlink ref="I108" r:id="rId48" xr:uid="{00000000-0004-0000-1B00-00002F000000}"/>
    <hyperlink ref="I110" r:id="rId49" xr:uid="{00000000-0004-0000-1B00-000030000000}"/>
    <hyperlink ref="I111" r:id="rId50" xr:uid="{00000000-0004-0000-1B00-000031000000}"/>
    <hyperlink ref="I112" r:id="rId51" xr:uid="{00000000-0004-0000-1B00-000032000000}"/>
    <hyperlink ref="I113" r:id="rId52" xr:uid="{00000000-0004-0000-1B00-000033000000}"/>
    <hyperlink ref="I114" r:id="rId53" xr:uid="{00000000-0004-0000-1B00-000034000000}"/>
    <hyperlink ref="I127" r:id="rId54" xr:uid="{00000000-0004-0000-1B00-000035000000}"/>
    <hyperlink ref="I157" r:id="rId55" xr:uid="{00000000-0004-0000-1B00-000036000000}"/>
    <hyperlink ref="I158" r:id="rId56" xr:uid="{00000000-0004-0000-1B00-000037000000}"/>
    <hyperlink ref="I163" r:id="rId57" xr:uid="{00000000-0004-0000-1B00-000038000000}"/>
    <hyperlink ref="I187" r:id="rId58" xr:uid="{00000000-0004-0000-1B00-000039000000}"/>
    <hyperlink ref="I188" r:id="rId59" xr:uid="{00000000-0004-0000-1B00-00003A000000}"/>
    <hyperlink ref="I189" r:id="rId60" xr:uid="{00000000-0004-0000-1B00-00003B000000}"/>
    <hyperlink ref="I190" r:id="rId61" xr:uid="{00000000-0004-0000-1B00-00003C000000}"/>
    <hyperlink ref="I191" r:id="rId62" xr:uid="{00000000-0004-0000-1B00-00003D000000}"/>
    <hyperlink ref="I192" r:id="rId63" xr:uid="{00000000-0004-0000-1B00-00003E000000}"/>
    <hyperlink ref="I193" r:id="rId64" xr:uid="{00000000-0004-0000-1B00-00003F000000}"/>
    <hyperlink ref="I194" r:id="rId65" xr:uid="{00000000-0004-0000-1B00-000040000000}"/>
    <hyperlink ref="I195" r:id="rId66" xr:uid="{00000000-0004-0000-1B00-000041000000}"/>
    <hyperlink ref="I196" r:id="rId67" xr:uid="{00000000-0004-0000-1B00-000042000000}"/>
    <hyperlink ref="I216" r:id="rId68" xr:uid="{00000000-0004-0000-1B00-000043000000}"/>
    <hyperlink ref="I217" r:id="rId69" xr:uid="{00000000-0004-0000-1B00-000044000000}"/>
    <hyperlink ref="I218" r:id="rId70" xr:uid="{00000000-0004-0000-1B00-000045000000}"/>
    <hyperlink ref="I219" r:id="rId71" xr:uid="{00000000-0004-0000-1B00-000046000000}"/>
    <hyperlink ref="I246" r:id="rId72" xr:uid="{00000000-0004-0000-1B00-000047000000}"/>
    <hyperlink ref="I247" r:id="rId73" xr:uid="{00000000-0004-0000-1B00-000048000000}"/>
    <hyperlink ref="I267" r:id="rId74" xr:uid="{00000000-0004-0000-1B00-000049000000}"/>
    <hyperlink ref="I277" r:id="rId75" xr:uid="{00000000-0004-0000-1B00-00004A000000}"/>
    <hyperlink ref="I278" r:id="rId76" xr:uid="{00000000-0004-0000-1B00-00004B000000}"/>
    <hyperlink ref="I279" r:id="rId77" xr:uid="{00000000-0004-0000-1B00-00004C000000}"/>
    <hyperlink ref="I280" r:id="rId78" xr:uid="{00000000-0004-0000-1B00-00004D000000}"/>
    <hyperlink ref="I281" r:id="rId79" xr:uid="{00000000-0004-0000-1B00-00004E000000}"/>
    <hyperlink ref="I282" r:id="rId80" xr:uid="{00000000-0004-0000-1B00-00004F000000}"/>
    <hyperlink ref="I283" r:id="rId81" xr:uid="{00000000-0004-0000-1B00-000050000000}"/>
    <hyperlink ref="I284" r:id="rId82" xr:uid="{00000000-0004-0000-1B00-000051000000}"/>
    <hyperlink ref="I285" r:id="rId83" xr:uid="{00000000-0004-0000-1B00-000052000000}"/>
    <hyperlink ref="I319" r:id="rId84" xr:uid="{00000000-0004-0000-1B00-000053000000}"/>
    <hyperlink ref="I320" r:id="rId85" xr:uid="{00000000-0004-0000-1B00-000054000000}"/>
    <hyperlink ref="I321" r:id="rId86" xr:uid="{00000000-0004-0000-1B00-000055000000}"/>
    <hyperlink ref="I322" r:id="rId87" xr:uid="{00000000-0004-0000-1B00-000056000000}"/>
    <hyperlink ref="I323" r:id="rId88" xr:uid="{00000000-0004-0000-1B00-000057000000}"/>
    <hyperlink ref="I324" r:id="rId89" xr:uid="{00000000-0004-0000-1B00-000058000000}"/>
    <hyperlink ref="I325" r:id="rId90" xr:uid="{00000000-0004-0000-1B00-000059000000}"/>
    <hyperlink ref="I347" r:id="rId91" xr:uid="{00000000-0004-0000-1B00-00005A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B00-000000000000}">
          <x14:formula1>
            <xm:f>Caixa!$B$5:$B$8</xm:f>
          </x14:formula1>
          <xm:sqref>H7:H15 H17:H33 H35:H37 H39:H62 H64:H89 H92:H108 H110:H114 H116:H118 H121:H125 H127:H144 H146:H154 H157:H161 H163:H167 H169:H173 H175:H179 H181:H185 H187:H214 H216:H224 H226:H234 H236:H244 H246:H254 H256:H264 H267:H275 H277:H285 H287:H295 H297:H317 H319:H327 H329:H350</xm:sqref>
        </x14:dataValidation>
        <x14:dataValidation type="list" allowBlank="1" showErrorMessage="1" xr:uid="{00000000-0002-0000-1B00-000002000000}">
          <x14:formula1>
            <xm:f>'Plano de contas DG'!$C$43:$C$145</xm:f>
          </x14:formula1>
          <xm:sqref>J247</xm:sqref>
        </x14:dataValidation>
        <x14:dataValidation type="list" allowBlank="1" showErrorMessage="1" xr:uid="{00000000-0002-0000-1B00-000003000000}">
          <x14:formula1>
            <xm:f>'Plano de contas DG'!$C$5:$C$145</xm:f>
          </x14:formula1>
          <xm:sqref>J6:J246 J248:J350</xm:sqref>
        </x14:dataValidation>
        <x14:dataValidation type="list" allowBlank="1" showErrorMessage="1" xr:uid="{00000000-0002-0000-1B00-000004000000}">
          <x14:formula1>
            <xm:f>Caixa!$B$5:$B$7</xm:f>
          </x14:formula1>
          <xm:sqref>H16 H34 H90:H91 H109 H115 H119:H120 H126 H215 H225 H235 H245 H255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sheetPr>
  <dimension ref="A1:Z1000"/>
  <sheetViews>
    <sheetView showGridLines="0" workbookViewId="0">
      <pane xSplit="2" ySplit="5" topLeftCell="C6" activePane="bottomRight" state="frozen"/>
      <selection activeCell="E16" sqref="E16"/>
      <selection pane="topRight" activeCell="E16" sqref="E16"/>
      <selection pane="bottomLeft" activeCell="E16" sqref="E16"/>
      <selection pane="bottomRight" activeCell="E16" sqref="E1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48.33203125" customWidth="1"/>
    <col min="8" max="8" width="19"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6" ht="2.25" customHeight="1" x14ac:dyDescent="0.3">
      <c r="A1" s="29"/>
      <c r="B1" s="29"/>
      <c r="C1" s="30"/>
      <c r="D1" s="30"/>
      <c r="E1" s="30"/>
      <c r="F1" s="30"/>
      <c r="G1" s="103"/>
      <c r="H1" s="30"/>
      <c r="I1" s="30"/>
      <c r="J1" s="30"/>
      <c r="K1" s="30"/>
      <c r="L1" s="30"/>
      <c r="M1" s="30"/>
      <c r="N1" s="30"/>
      <c r="O1" s="30"/>
      <c r="P1" s="30"/>
      <c r="Q1" s="30"/>
      <c r="R1" s="30"/>
      <c r="S1" s="30"/>
      <c r="T1" s="30"/>
      <c r="U1" s="30"/>
      <c r="V1" s="30"/>
      <c r="W1" s="31"/>
      <c r="X1" s="32"/>
      <c r="Y1" s="29"/>
      <c r="Z1" s="29"/>
    </row>
    <row r="2" spans="1:26" ht="14.4" x14ac:dyDescent="0.3">
      <c r="A2" s="3"/>
      <c r="B2" s="219" t="s">
        <v>73</v>
      </c>
      <c r="C2" s="33"/>
      <c r="D2" s="34"/>
      <c r="E2" s="34"/>
      <c r="F2" s="34"/>
      <c r="G2" s="104"/>
      <c r="H2" s="34"/>
      <c r="I2" s="34"/>
      <c r="J2" s="34"/>
      <c r="K2" s="34"/>
      <c r="L2" s="34"/>
      <c r="M2" s="34"/>
      <c r="N2" s="34"/>
      <c r="O2" s="34"/>
      <c r="P2" s="34"/>
      <c r="Q2" s="34"/>
      <c r="R2" s="34"/>
      <c r="S2" s="34"/>
      <c r="T2" s="34"/>
      <c r="U2" s="34"/>
      <c r="V2" s="34"/>
      <c r="W2" s="35"/>
      <c r="X2" s="32"/>
      <c r="Y2" s="3"/>
      <c r="Z2" s="3"/>
    </row>
    <row r="3" spans="1:26" ht="14.4" x14ac:dyDescent="0.3">
      <c r="A3" s="3"/>
      <c r="B3" s="202"/>
      <c r="C3" s="36"/>
      <c r="D3" s="37"/>
      <c r="E3" s="37"/>
      <c r="F3" s="37"/>
      <c r="G3" s="105"/>
      <c r="H3" s="37"/>
      <c r="I3" s="37"/>
      <c r="J3" s="37"/>
      <c r="K3" s="37"/>
      <c r="L3" s="37"/>
      <c r="M3" s="37"/>
      <c r="N3" s="37"/>
      <c r="O3" s="37"/>
      <c r="P3" s="37"/>
      <c r="Q3" s="37"/>
      <c r="R3" s="37"/>
      <c r="S3" s="37"/>
      <c r="T3" s="37"/>
      <c r="U3" s="37"/>
      <c r="V3" s="37"/>
      <c r="W3" s="35"/>
      <c r="X3" s="38"/>
      <c r="Y3" s="3"/>
      <c r="Z3" s="3"/>
    </row>
    <row r="4" spans="1:26" ht="14.4" x14ac:dyDescent="0.3">
      <c r="A4" s="3"/>
      <c r="B4" s="220" t="s">
        <v>74</v>
      </c>
      <c r="C4" s="39"/>
      <c r="D4" s="39"/>
      <c r="E4" s="18">
        <f t="shared" ref="E4:F4" si="0">SUM(E6,E125,E153,E183,E187)</f>
        <v>20526.900000000001</v>
      </c>
      <c r="F4" s="18">
        <f t="shared" si="0"/>
        <v>60939.580000000009</v>
      </c>
      <c r="G4" s="40"/>
      <c r="H4" s="222" t="s">
        <v>1</v>
      </c>
      <c r="I4" s="236" t="s">
        <v>75</v>
      </c>
      <c r="J4" s="41"/>
      <c r="K4" s="39"/>
      <c r="L4" s="39"/>
      <c r="M4" s="18"/>
      <c r="N4" s="18"/>
      <c r="O4" s="18"/>
      <c r="P4" s="18"/>
      <c r="Q4" s="18"/>
      <c r="R4" s="18"/>
      <c r="S4" s="18"/>
      <c r="T4" s="18"/>
      <c r="U4" s="18"/>
      <c r="V4" s="39"/>
      <c r="W4" s="42"/>
      <c r="X4" s="32"/>
      <c r="Y4" s="3"/>
      <c r="Z4" s="3"/>
    </row>
    <row r="5" spans="1:26"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6" ht="20.399999999999999" x14ac:dyDescent="0.3">
      <c r="A6" s="3"/>
      <c r="B6" s="46" t="s">
        <v>93</v>
      </c>
      <c r="C6" s="47">
        <v>10</v>
      </c>
      <c r="D6" s="47" t="s">
        <v>44</v>
      </c>
      <c r="E6" s="48">
        <f>SUM(E7:E124)</f>
        <v>20526.900000000001</v>
      </c>
      <c r="F6" s="48">
        <f>SUMIF(D7:D124,"OK",F7:F124)+SUMIF(D7:D124,"Parcial",F7:F124)</f>
        <v>16120.949999999995</v>
      </c>
      <c r="G6" s="107" t="s">
        <v>44</v>
      </c>
      <c r="H6" s="50"/>
      <c r="I6" s="50"/>
      <c r="J6" s="51">
        <f>(COUNTIF(D7:D124,"Pendente")+COUNTIF(D7:D124,"Parcial"))/COUNTA(B7:B124)</f>
        <v>0.30097087378640774</v>
      </c>
      <c r="K6" s="51">
        <f>IFERROR(-(X6/E6),"Pendente info")</f>
        <v>0.28999605395846423</v>
      </c>
      <c r="L6" s="91">
        <f>SUM(L7:L103)/COUNTA(B7:B103)</f>
        <v>0.1134020618556701</v>
      </c>
      <c r="M6" s="48">
        <f t="shared" ref="M6:U6" si="1">SUMIF($D$7:$D$124,"OK",M7:M124)+SUMIF($D$7:$D$124,"Parcial",M7:M124)</f>
        <v>7783.0800000000054</v>
      </c>
      <c r="N6" s="48">
        <f t="shared" si="1"/>
        <v>1793.609999999999</v>
      </c>
      <c r="O6" s="48">
        <f t="shared" si="1"/>
        <v>876</v>
      </c>
      <c r="P6" s="48">
        <f t="shared" si="1"/>
        <v>182.85999999999996</v>
      </c>
      <c r="Q6" s="48">
        <f t="shared" si="1"/>
        <v>125</v>
      </c>
      <c r="R6" s="48">
        <f t="shared" si="1"/>
        <v>165</v>
      </c>
      <c r="S6" s="48">
        <f t="shared" si="1"/>
        <v>140</v>
      </c>
      <c r="T6" s="48">
        <f t="shared" si="1"/>
        <v>510</v>
      </c>
      <c r="U6" s="48">
        <f t="shared" si="1"/>
        <v>4628.79</v>
      </c>
      <c r="V6" s="47" t="s">
        <v>44</v>
      </c>
      <c r="W6" s="35" t="str">
        <f t="shared" ref="W6:W124" si="2">IF(F6=SUM(M6:U6),"OK","Diferente")</f>
        <v>Diferente</v>
      </c>
      <c r="X6" s="38">
        <f>SUM(X7:X124)</f>
        <v>-5952.7199999999993</v>
      </c>
      <c r="Y6" s="14">
        <f>SUM(M6:U6)-F6</f>
        <v>83.390000000008513</v>
      </c>
      <c r="Z6" s="3"/>
    </row>
    <row r="7" spans="1:26" ht="14.4" outlineLevel="1" x14ac:dyDescent="0.3">
      <c r="A7" s="3"/>
      <c r="B7" s="99" t="s">
        <v>423</v>
      </c>
      <c r="C7" s="53"/>
      <c r="D7" s="53" t="s">
        <v>95</v>
      </c>
      <c r="E7" s="11"/>
      <c r="F7" s="92"/>
      <c r="G7" s="61"/>
      <c r="H7" s="54"/>
      <c r="I7" s="54"/>
      <c r="J7" s="55"/>
      <c r="K7" s="53"/>
      <c r="L7" s="53" t="str">
        <f t="shared" ref="L7:L124" si="3">IF(C7&gt;=13,1,"")</f>
        <v/>
      </c>
      <c r="M7" s="11"/>
      <c r="N7" s="11"/>
      <c r="O7" s="11"/>
      <c r="P7" s="11"/>
      <c r="Q7" s="11"/>
      <c r="R7" s="11"/>
      <c r="S7" s="11"/>
      <c r="T7" s="11"/>
      <c r="U7" s="11"/>
      <c r="V7" s="94"/>
      <c r="W7" s="35" t="str">
        <f t="shared" si="2"/>
        <v>OK</v>
      </c>
      <c r="X7" s="38" t="str">
        <f t="shared" ref="X7:X124" si="4">IF(W7="Diferente",F7-SUM(M7:U7),"")</f>
        <v/>
      </c>
      <c r="Y7" s="3"/>
      <c r="Z7" s="116"/>
    </row>
    <row r="8" spans="1:26" ht="14.4" outlineLevel="1" x14ac:dyDescent="0.3">
      <c r="A8" s="3"/>
      <c r="B8" s="99" t="s">
        <v>425</v>
      </c>
      <c r="C8" s="53"/>
      <c r="D8" s="53" t="s">
        <v>95</v>
      </c>
      <c r="E8" s="11"/>
      <c r="F8" s="92"/>
      <c r="G8" s="61"/>
      <c r="H8" s="54"/>
      <c r="I8" s="54"/>
      <c r="J8" s="55"/>
      <c r="K8" s="53"/>
      <c r="L8" s="53" t="str">
        <f t="shared" si="3"/>
        <v/>
      </c>
      <c r="M8" s="11"/>
      <c r="N8" s="11"/>
      <c r="O8" s="11"/>
      <c r="P8" s="11"/>
      <c r="Q8" s="11"/>
      <c r="R8" s="11"/>
      <c r="S8" s="11"/>
      <c r="T8" s="11"/>
      <c r="U8" s="11"/>
      <c r="V8" s="94"/>
      <c r="W8" s="35" t="str">
        <f t="shared" si="2"/>
        <v>OK</v>
      </c>
      <c r="X8" s="38" t="str">
        <f t="shared" si="4"/>
        <v/>
      </c>
      <c r="Y8" s="3"/>
      <c r="Z8" s="116"/>
    </row>
    <row r="9" spans="1:26" ht="14.4" outlineLevel="1" x14ac:dyDescent="0.3">
      <c r="A9" s="3"/>
      <c r="B9" s="99" t="s">
        <v>426</v>
      </c>
      <c r="C9" s="53"/>
      <c r="D9" s="53" t="s">
        <v>95</v>
      </c>
      <c r="E9" s="11"/>
      <c r="F9" s="92"/>
      <c r="G9" s="61"/>
      <c r="H9" s="54"/>
      <c r="I9" s="54"/>
      <c r="J9" s="55"/>
      <c r="K9" s="53"/>
      <c r="L9" s="53" t="str">
        <f t="shared" si="3"/>
        <v/>
      </c>
      <c r="M9" s="11"/>
      <c r="N9" s="11"/>
      <c r="O9" s="11"/>
      <c r="P9" s="11"/>
      <c r="Q9" s="11"/>
      <c r="R9" s="11"/>
      <c r="S9" s="11"/>
      <c r="T9" s="11"/>
      <c r="U9" s="11"/>
      <c r="V9" s="94"/>
      <c r="W9" s="35" t="str">
        <f t="shared" si="2"/>
        <v>OK</v>
      </c>
      <c r="X9" s="38" t="str">
        <f t="shared" si="4"/>
        <v/>
      </c>
      <c r="Y9" s="3"/>
      <c r="Z9" s="116"/>
    </row>
    <row r="10" spans="1:26" ht="14.4" outlineLevel="1" x14ac:dyDescent="0.3">
      <c r="A10" s="3"/>
      <c r="B10" s="99" t="s">
        <v>427</v>
      </c>
      <c r="C10" s="53"/>
      <c r="D10" s="53" t="s">
        <v>95</v>
      </c>
      <c r="E10" s="11"/>
      <c r="F10" s="92"/>
      <c r="G10" s="61"/>
      <c r="H10" s="54"/>
      <c r="I10" s="54"/>
      <c r="J10" s="55"/>
      <c r="K10" s="53"/>
      <c r="L10" s="53" t="str">
        <f t="shared" si="3"/>
        <v/>
      </c>
      <c r="M10" s="11"/>
      <c r="N10" s="11"/>
      <c r="O10" s="11"/>
      <c r="P10" s="11"/>
      <c r="Q10" s="11"/>
      <c r="R10" s="11"/>
      <c r="S10" s="11"/>
      <c r="T10" s="11"/>
      <c r="U10" s="11"/>
      <c r="V10" s="94"/>
      <c r="W10" s="35" t="str">
        <f t="shared" si="2"/>
        <v>OK</v>
      </c>
      <c r="X10" s="38" t="str">
        <f t="shared" si="4"/>
        <v/>
      </c>
      <c r="Y10" s="3"/>
      <c r="Z10" s="116"/>
    </row>
    <row r="11" spans="1:26" ht="14.4" outlineLevel="1" x14ac:dyDescent="0.3">
      <c r="A11" s="3"/>
      <c r="B11" s="99" t="s">
        <v>428</v>
      </c>
      <c r="C11" s="53">
        <v>10</v>
      </c>
      <c r="D11" s="53" t="s">
        <v>95</v>
      </c>
      <c r="E11" s="11">
        <f t="shared" ref="E11:E18" si="5">SUM(M11:U11)</f>
        <v>359.43</v>
      </c>
      <c r="F11" s="92">
        <f t="shared" ref="F11:F12" si="6">E11</f>
        <v>359.43</v>
      </c>
      <c r="G11" s="61"/>
      <c r="H11" s="54" t="s">
        <v>37</v>
      </c>
      <c r="I11" s="54"/>
      <c r="J11" s="55"/>
      <c r="K11" s="53"/>
      <c r="L11" s="53" t="str">
        <f t="shared" si="3"/>
        <v/>
      </c>
      <c r="M11" s="11">
        <v>148</v>
      </c>
      <c r="N11" s="11">
        <v>24.57</v>
      </c>
      <c r="O11" s="11">
        <v>12</v>
      </c>
      <c r="P11" s="11">
        <v>3.86</v>
      </c>
      <c r="Q11" s="11">
        <v>5</v>
      </c>
      <c r="R11" s="11"/>
      <c r="S11" s="11"/>
      <c r="T11" s="11"/>
      <c r="U11" s="11">
        <v>166</v>
      </c>
      <c r="V11" s="94" t="s">
        <v>2039</v>
      </c>
      <c r="W11" s="35" t="str">
        <f t="shared" si="2"/>
        <v>OK</v>
      </c>
      <c r="X11" s="38" t="str">
        <f t="shared" si="4"/>
        <v/>
      </c>
      <c r="Y11" s="3"/>
      <c r="Z11" s="116"/>
    </row>
    <row r="12" spans="1:26" ht="14.4" outlineLevel="1" x14ac:dyDescent="0.3">
      <c r="A12" s="3"/>
      <c r="B12" s="99" t="s">
        <v>429</v>
      </c>
      <c r="C12" s="53">
        <v>10</v>
      </c>
      <c r="D12" s="53" t="s">
        <v>95</v>
      </c>
      <c r="E12" s="11">
        <f t="shared" si="5"/>
        <v>212.57</v>
      </c>
      <c r="F12" s="92">
        <f t="shared" si="6"/>
        <v>212.57</v>
      </c>
      <c r="G12" s="61"/>
      <c r="H12" s="54" t="s">
        <v>37</v>
      </c>
      <c r="I12" s="54"/>
      <c r="J12" s="55"/>
      <c r="K12" s="53"/>
      <c r="L12" s="53" t="str">
        <f t="shared" si="3"/>
        <v/>
      </c>
      <c r="M12" s="11">
        <v>148</v>
      </c>
      <c r="N12" s="11">
        <v>24.57</v>
      </c>
      <c r="O12" s="11">
        <v>12</v>
      </c>
      <c r="P12" s="11">
        <v>2</v>
      </c>
      <c r="Q12" s="11"/>
      <c r="R12" s="11"/>
      <c r="S12" s="11"/>
      <c r="T12" s="11"/>
      <c r="U12" s="11">
        <v>26</v>
      </c>
      <c r="V12" s="94" t="s">
        <v>2040</v>
      </c>
      <c r="W12" s="35" t="str">
        <f t="shared" si="2"/>
        <v>OK</v>
      </c>
      <c r="X12" s="38" t="str">
        <f t="shared" si="4"/>
        <v/>
      </c>
      <c r="Y12" s="3"/>
      <c r="Z12" s="116"/>
    </row>
    <row r="13" spans="1:26" ht="14.4" outlineLevel="1" x14ac:dyDescent="0.3">
      <c r="A13" s="3"/>
      <c r="B13" s="99" t="s">
        <v>430</v>
      </c>
      <c r="C13" s="53"/>
      <c r="D13" s="53" t="s">
        <v>105</v>
      </c>
      <c r="E13" s="11">
        <f t="shared" si="5"/>
        <v>449.49</v>
      </c>
      <c r="F13" s="92"/>
      <c r="G13" s="61"/>
      <c r="H13" s="54"/>
      <c r="I13" s="54"/>
      <c r="J13" s="55"/>
      <c r="K13" s="53"/>
      <c r="L13" s="53" t="str">
        <f t="shared" si="3"/>
        <v/>
      </c>
      <c r="M13" s="11">
        <v>130.47999999999999</v>
      </c>
      <c r="N13" s="11">
        <v>24.57</v>
      </c>
      <c r="O13" s="11">
        <v>12</v>
      </c>
      <c r="P13" s="11">
        <v>1.44</v>
      </c>
      <c r="Q13" s="11">
        <v>10</v>
      </c>
      <c r="R13" s="11">
        <v>20</v>
      </c>
      <c r="S13" s="11">
        <v>50</v>
      </c>
      <c r="T13" s="11">
        <v>50</v>
      </c>
      <c r="U13" s="11">
        <v>151</v>
      </c>
      <c r="V13" s="94" t="s">
        <v>2041</v>
      </c>
      <c r="W13" s="35" t="str">
        <f t="shared" si="2"/>
        <v>Diferente</v>
      </c>
      <c r="X13" s="38">
        <f t="shared" si="4"/>
        <v>-449.49</v>
      </c>
      <c r="Y13" s="3"/>
      <c r="Z13" s="116"/>
    </row>
    <row r="14" spans="1:26" ht="14.4" outlineLevel="1" x14ac:dyDescent="0.3">
      <c r="A14" s="3"/>
      <c r="B14" s="99" t="s">
        <v>432</v>
      </c>
      <c r="C14" s="53"/>
      <c r="D14" s="53" t="s">
        <v>105</v>
      </c>
      <c r="E14" s="11">
        <f t="shared" si="5"/>
        <v>313.28999999999996</v>
      </c>
      <c r="F14" s="92"/>
      <c r="G14" s="61"/>
      <c r="H14" s="54"/>
      <c r="I14" s="54"/>
      <c r="J14" s="55"/>
      <c r="K14" s="53"/>
      <c r="L14" s="53" t="str">
        <f t="shared" si="3"/>
        <v/>
      </c>
      <c r="M14" s="11">
        <v>98.28</v>
      </c>
      <c r="N14" s="11">
        <v>24.57</v>
      </c>
      <c r="O14" s="11">
        <v>12</v>
      </c>
      <c r="P14" s="11">
        <v>1.44</v>
      </c>
      <c r="Q14" s="11">
        <v>5</v>
      </c>
      <c r="R14" s="11"/>
      <c r="S14" s="11"/>
      <c r="T14" s="11">
        <v>50</v>
      </c>
      <c r="U14" s="11">
        <v>122</v>
      </c>
      <c r="V14" s="94" t="s">
        <v>2042</v>
      </c>
      <c r="W14" s="35" t="str">
        <f t="shared" si="2"/>
        <v>Diferente</v>
      </c>
      <c r="X14" s="38">
        <f t="shared" si="4"/>
        <v>-313.28999999999996</v>
      </c>
      <c r="Y14" s="3"/>
      <c r="Z14" s="116"/>
    </row>
    <row r="15" spans="1:26" ht="18" customHeight="1" outlineLevel="1" x14ac:dyDescent="0.3">
      <c r="A15" s="3"/>
      <c r="B15" s="99" t="s">
        <v>433</v>
      </c>
      <c r="C15" s="53">
        <v>7</v>
      </c>
      <c r="D15" s="53" t="s">
        <v>95</v>
      </c>
      <c r="E15" s="11">
        <f t="shared" si="5"/>
        <v>194.33</v>
      </c>
      <c r="F15" s="92">
        <f t="shared" ref="F15:F18" si="7">E15</f>
        <v>194.33</v>
      </c>
      <c r="G15" s="61"/>
      <c r="H15" s="54" t="s">
        <v>37</v>
      </c>
      <c r="I15" s="54"/>
      <c r="J15" s="55"/>
      <c r="K15" s="53"/>
      <c r="L15" s="53" t="str">
        <f t="shared" si="3"/>
        <v/>
      </c>
      <c r="M15" s="11">
        <v>61.99</v>
      </c>
      <c r="N15" s="11">
        <v>24.57</v>
      </c>
      <c r="O15" s="11">
        <v>12</v>
      </c>
      <c r="P15" s="11">
        <v>1.44</v>
      </c>
      <c r="Q15" s="11">
        <v>0</v>
      </c>
      <c r="R15" s="11">
        <v>0</v>
      </c>
      <c r="S15" s="11">
        <v>0</v>
      </c>
      <c r="T15" s="11"/>
      <c r="U15" s="11">
        <f>254.33-160</f>
        <v>94.330000000000013</v>
      </c>
      <c r="V15" s="94" t="s">
        <v>2043</v>
      </c>
      <c r="W15" s="35" t="str">
        <f t="shared" si="2"/>
        <v>OK</v>
      </c>
      <c r="X15" s="38" t="str">
        <f t="shared" si="4"/>
        <v/>
      </c>
      <c r="Y15" s="3"/>
      <c r="Z15" s="116"/>
    </row>
    <row r="16" spans="1:26" ht="18" customHeight="1" outlineLevel="1" x14ac:dyDescent="0.3">
      <c r="A16" s="3"/>
      <c r="B16" s="99" t="s">
        <v>1409</v>
      </c>
      <c r="C16" s="53">
        <v>7</v>
      </c>
      <c r="D16" s="53" t="s">
        <v>95</v>
      </c>
      <c r="E16" s="11">
        <f t="shared" si="5"/>
        <v>126</v>
      </c>
      <c r="F16" s="92">
        <f t="shared" si="7"/>
        <v>126</v>
      </c>
      <c r="G16" s="61"/>
      <c r="H16" s="54" t="s">
        <v>37</v>
      </c>
      <c r="I16" s="54"/>
      <c r="J16" s="55"/>
      <c r="K16" s="53"/>
      <c r="L16" s="53" t="str">
        <f t="shared" si="3"/>
        <v/>
      </c>
      <c r="M16" s="11">
        <v>61.99</v>
      </c>
      <c r="N16" s="11">
        <v>24.57</v>
      </c>
      <c r="O16" s="11">
        <v>12</v>
      </c>
      <c r="P16" s="11">
        <v>1.44</v>
      </c>
      <c r="Q16" s="11">
        <v>0</v>
      </c>
      <c r="R16" s="11">
        <v>0</v>
      </c>
      <c r="S16" s="11"/>
      <c r="T16" s="11"/>
      <c r="U16" s="11">
        <v>26</v>
      </c>
      <c r="V16" s="94" t="s">
        <v>2040</v>
      </c>
      <c r="W16" s="35" t="str">
        <f t="shared" si="2"/>
        <v>OK</v>
      </c>
      <c r="X16" s="38" t="str">
        <f t="shared" si="4"/>
        <v/>
      </c>
      <c r="Y16" s="3"/>
      <c r="Z16" s="116"/>
    </row>
    <row r="17" spans="1:26" ht="14.4" outlineLevel="1" x14ac:dyDescent="0.3">
      <c r="A17" s="3"/>
      <c r="B17" s="99" t="s">
        <v>435</v>
      </c>
      <c r="C17" s="53">
        <v>10</v>
      </c>
      <c r="D17" s="53" t="s">
        <v>95</v>
      </c>
      <c r="E17" s="11">
        <f t="shared" si="5"/>
        <v>260.19</v>
      </c>
      <c r="F17" s="92">
        <f t="shared" si="7"/>
        <v>260.19</v>
      </c>
      <c r="G17" s="61"/>
      <c r="H17" s="54" t="s">
        <v>37</v>
      </c>
      <c r="I17" s="54"/>
      <c r="J17" s="55"/>
      <c r="K17" s="53"/>
      <c r="L17" s="53" t="str">
        <f t="shared" si="3"/>
        <v/>
      </c>
      <c r="M17" s="11">
        <v>191.18</v>
      </c>
      <c r="N17" s="11">
        <v>24.57</v>
      </c>
      <c r="O17" s="11">
        <v>12</v>
      </c>
      <c r="P17" s="11">
        <v>1.44</v>
      </c>
      <c r="Q17" s="11">
        <v>5</v>
      </c>
      <c r="R17" s="11"/>
      <c r="S17" s="11"/>
      <c r="T17" s="11"/>
      <c r="U17" s="11">
        <v>26</v>
      </c>
      <c r="V17" s="94" t="s">
        <v>2040</v>
      </c>
      <c r="W17" s="35" t="str">
        <f t="shared" si="2"/>
        <v>OK</v>
      </c>
      <c r="X17" s="38" t="str">
        <f t="shared" si="4"/>
        <v/>
      </c>
      <c r="Y17" s="3"/>
      <c r="Z17" s="116"/>
    </row>
    <row r="18" spans="1:26" ht="14.4" outlineLevel="1" x14ac:dyDescent="0.3">
      <c r="A18" s="3"/>
      <c r="B18" s="99" t="s">
        <v>436</v>
      </c>
      <c r="C18" s="53">
        <v>10</v>
      </c>
      <c r="D18" s="53" t="s">
        <v>95</v>
      </c>
      <c r="E18" s="11">
        <f t="shared" si="5"/>
        <v>199.98999999999998</v>
      </c>
      <c r="F18" s="92">
        <f t="shared" si="7"/>
        <v>199.98999999999998</v>
      </c>
      <c r="G18" s="61"/>
      <c r="H18" s="54" t="s">
        <v>37</v>
      </c>
      <c r="I18" s="54"/>
      <c r="J18" s="55"/>
      <c r="K18" s="53"/>
      <c r="L18" s="53" t="str">
        <f t="shared" si="3"/>
        <v/>
      </c>
      <c r="M18" s="11">
        <v>135.97999999999999</v>
      </c>
      <c r="N18" s="11">
        <v>24.57</v>
      </c>
      <c r="O18" s="11">
        <v>12</v>
      </c>
      <c r="P18" s="11">
        <v>1.44</v>
      </c>
      <c r="Q18" s="11"/>
      <c r="R18" s="11"/>
      <c r="S18" s="11"/>
      <c r="T18" s="11"/>
      <c r="U18" s="11">
        <v>26</v>
      </c>
      <c r="V18" s="94" t="s">
        <v>2040</v>
      </c>
      <c r="W18" s="35" t="str">
        <f t="shared" si="2"/>
        <v>OK</v>
      </c>
      <c r="X18" s="38" t="str">
        <f t="shared" si="4"/>
        <v/>
      </c>
      <c r="Y18" s="3"/>
      <c r="Z18" s="116"/>
    </row>
    <row r="19" spans="1:26" ht="14.4" outlineLevel="1" x14ac:dyDescent="0.3">
      <c r="A19" s="3"/>
      <c r="B19" s="99" t="s">
        <v>437</v>
      </c>
      <c r="C19" s="53" t="s">
        <v>2044</v>
      </c>
      <c r="D19" s="53" t="s">
        <v>95</v>
      </c>
      <c r="E19" s="11">
        <v>467.28999999999996</v>
      </c>
      <c r="F19" s="92">
        <f t="shared" ref="F19:F20" si="8">SUM(M19:U19)</f>
        <v>937.70999999999992</v>
      </c>
      <c r="G19" s="61" t="s">
        <v>2045</v>
      </c>
      <c r="H19" s="54" t="s">
        <v>37</v>
      </c>
      <c r="I19" s="54"/>
      <c r="J19" s="55"/>
      <c r="K19" s="53"/>
      <c r="L19" s="53">
        <f t="shared" si="3"/>
        <v>1</v>
      </c>
      <c r="M19" s="11">
        <f>328.28*2+3.13</f>
        <v>659.68999999999994</v>
      </c>
      <c r="N19" s="11">
        <f t="shared" ref="N19:N20" si="9">24.57*2</f>
        <v>49.14</v>
      </c>
      <c r="O19" s="11">
        <f t="shared" ref="O19:O20" si="10">12*2</f>
        <v>24</v>
      </c>
      <c r="P19" s="11">
        <f t="shared" ref="P19:P20" si="11">11.44*2</f>
        <v>22.88</v>
      </c>
      <c r="Q19" s="11">
        <f t="shared" ref="Q19:Q20" si="12">5*2</f>
        <v>10</v>
      </c>
      <c r="R19" s="11">
        <f t="shared" ref="R19:R20" si="13">10*2</f>
        <v>20</v>
      </c>
      <c r="S19" s="11"/>
      <c r="T19" s="11">
        <f t="shared" ref="T19:T20" si="14">50*2</f>
        <v>100</v>
      </c>
      <c r="U19" s="11">
        <f>26*2</f>
        <v>52</v>
      </c>
      <c r="V19" s="94" t="s">
        <v>2040</v>
      </c>
      <c r="W19" s="35" t="str">
        <f t="shared" si="2"/>
        <v>OK</v>
      </c>
      <c r="X19" s="38" t="str">
        <f t="shared" si="4"/>
        <v/>
      </c>
      <c r="Y19" s="3"/>
      <c r="Z19" s="116"/>
    </row>
    <row r="20" spans="1:26" ht="14.4" outlineLevel="1" x14ac:dyDescent="0.3">
      <c r="A20" s="3"/>
      <c r="B20" s="99" t="s">
        <v>438</v>
      </c>
      <c r="C20" s="53" t="s">
        <v>2044</v>
      </c>
      <c r="D20" s="53" t="s">
        <v>95</v>
      </c>
      <c r="E20" s="11">
        <v>522.29</v>
      </c>
      <c r="F20" s="92">
        <f t="shared" si="8"/>
        <v>1044.58</v>
      </c>
      <c r="G20" s="61" t="s">
        <v>2045</v>
      </c>
      <c r="H20" s="54" t="s">
        <v>37</v>
      </c>
      <c r="I20" s="54"/>
      <c r="J20" s="55"/>
      <c r="K20" s="53"/>
      <c r="L20" s="53">
        <f t="shared" si="3"/>
        <v>1</v>
      </c>
      <c r="M20" s="11">
        <f>328.28*2</f>
        <v>656.56</v>
      </c>
      <c r="N20" s="11">
        <f t="shared" si="9"/>
        <v>49.14</v>
      </c>
      <c r="O20" s="11">
        <f t="shared" si="10"/>
        <v>24</v>
      </c>
      <c r="P20" s="11">
        <f t="shared" si="11"/>
        <v>22.88</v>
      </c>
      <c r="Q20" s="11">
        <f t="shared" si="12"/>
        <v>10</v>
      </c>
      <c r="R20" s="11">
        <f t="shared" si="13"/>
        <v>20</v>
      </c>
      <c r="S20" s="11"/>
      <c r="T20" s="11">
        <f t="shared" si="14"/>
        <v>100</v>
      </c>
      <c r="U20" s="11">
        <f>81*2</f>
        <v>162</v>
      </c>
      <c r="V20" s="94" t="s">
        <v>2046</v>
      </c>
      <c r="W20" s="35" t="str">
        <f t="shared" si="2"/>
        <v>OK</v>
      </c>
      <c r="X20" s="38" t="str">
        <f t="shared" si="4"/>
        <v/>
      </c>
      <c r="Y20" s="3"/>
      <c r="Z20" s="116"/>
    </row>
    <row r="21" spans="1:26" ht="15.75" customHeight="1" outlineLevel="1" x14ac:dyDescent="0.3">
      <c r="A21" s="3"/>
      <c r="B21" s="99" t="s">
        <v>1410</v>
      </c>
      <c r="C21" s="53"/>
      <c r="D21" s="53" t="s">
        <v>105</v>
      </c>
      <c r="E21" s="11">
        <f t="shared" ref="E21:E40" si="15">SUM(M21:U21)</f>
        <v>364.99</v>
      </c>
      <c r="F21" s="92"/>
      <c r="G21" s="61"/>
      <c r="H21" s="54"/>
      <c r="I21" s="54"/>
      <c r="J21" s="55"/>
      <c r="K21" s="53"/>
      <c r="L21" s="53" t="str">
        <f t="shared" si="3"/>
        <v/>
      </c>
      <c r="M21" s="11">
        <v>120.98</v>
      </c>
      <c r="N21" s="11">
        <v>24.57</v>
      </c>
      <c r="O21" s="11">
        <v>12</v>
      </c>
      <c r="P21" s="11">
        <v>1.44</v>
      </c>
      <c r="Q21" s="11">
        <v>5</v>
      </c>
      <c r="R21" s="11">
        <v>5</v>
      </c>
      <c r="S21" s="11"/>
      <c r="T21" s="11">
        <v>30</v>
      </c>
      <c r="U21" s="11">
        <v>166</v>
      </c>
      <c r="V21" s="94" t="s">
        <v>2047</v>
      </c>
      <c r="W21" s="35" t="str">
        <f t="shared" si="2"/>
        <v>Diferente</v>
      </c>
      <c r="X21" s="38">
        <f t="shared" si="4"/>
        <v>-364.99</v>
      </c>
      <c r="Y21" s="3"/>
      <c r="Z21" s="116"/>
    </row>
    <row r="22" spans="1:26" ht="15.75" customHeight="1" outlineLevel="1" x14ac:dyDescent="0.3">
      <c r="A22" s="3"/>
      <c r="B22" s="99" t="s">
        <v>440</v>
      </c>
      <c r="C22" s="53"/>
      <c r="D22" s="53" t="s">
        <v>105</v>
      </c>
      <c r="E22" s="11">
        <f t="shared" si="15"/>
        <v>201.59</v>
      </c>
      <c r="F22" s="92"/>
      <c r="G22" s="61"/>
      <c r="H22" s="54"/>
      <c r="I22" s="54"/>
      <c r="J22" s="55"/>
      <c r="K22" s="53"/>
      <c r="L22" s="53" t="str">
        <f t="shared" si="3"/>
        <v/>
      </c>
      <c r="M22" s="11">
        <v>102.58</v>
      </c>
      <c r="N22" s="11">
        <v>24.57</v>
      </c>
      <c r="O22" s="11">
        <v>12</v>
      </c>
      <c r="P22" s="11">
        <v>1.44</v>
      </c>
      <c r="Q22" s="11">
        <v>5</v>
      </c>
      <c r="R22" s="11"/>
      <c r="S22" s="11"/>
      <c r="T22" s="11">
        <v>30</v>
      </c>
      <c r="U22" s="11">
        <v>26</v>
      </c>
      <c r="V22" s="94" t="s">
        <v>2040</v>
      </c>
      <c r="W22" s="35" t="str">
        <f t="shared" si="2"/>
        <v>Diferente</v>
      </c>
      <c r="X22" s="38">
        <f t="shared" si="4"/>
        <v>-201.59</v>
      </c>
      <c r="Y22" s="3"/>
      <c r="Z22" s="116"/>
    </row>
    <row r="23" spans="1:26" ht="15.75" customHeight="1" outlineLevel="1" x14ac:dyDescent="0.3">
      <c r="A23" s="3"/>
      <c r="B23" s="99" t="s">
        <v>443</v>
      </c>
      <c r="C23" s="53"/>
      <c r="D23" s="53" t="s">
        <v>105</v>
      </c>
      <c r="E23" s="11">
        <f t="shared" si="15"/>
        <v>211</v>
      </c>
      <c r="F23" s="92"/>
      <c r="G23" s="61"/>
      <c r="H23" s="54"/>
      <c r="I23" s="54"/>
      <c r="J23" s="55"/>
      <c r="K23" s="11"/>
      <c r="L23" s="53" t="str">
        <f t="shared" si="3"/>
        <v/>
      </c>
      <c r="M23" s="11">
        <v>131.99</v>
      </c>
      <c r="N23" s="11">
        <v>24.57</v>
      </c>
      <c r="O23" s="11">
        <v>12</v>
      </c>
      <c r="P23" s="11">
        <v>6.44</v>
      </c>
      <c r="Q23" s="11"/>
      <c r="R23" s="11">
        <v>10</v>
      </c>
      <c r="S23" s="11"/>
      <c r="T23" s="11"/>
      <c r="U23" s="11">
        <v>26</v>
      </c>
      <c r="V23" s="94" t="s">
        <v>2040</v>
      </c>
      <c r="W23" s="35" t="str">
        <f t="shared" si="2"/>
        <v>Diferente</v>
      </c>
      <c r="X23" s="38">
        <f t="shared" si="4"/>
        <v>-211</v>
      </c>
      <c r="Y23" s="3"/>
      <c r="Z23" s="116"/>
    </row>
    <row r="24" spans="1:26" ht="15.75" customHeight="1" outlineLevel="1" x14ac:dyDescent="0.3">
      <c r="A24" s="3"/>
      <c r="B24" s="99" t="s">
        <v>444</v>
      </c>
      <c r="C24" s="53"/>
      <c r="D24" s="53" t="s">
        <v>105</v>
      </c>
      <c r="E24" s="11">
        <f t="shared" si="15"/>
        <v>76</v>
      </c>
      <c r="F24" s="92"/>
      <c r="G24" s="61"/>
      <c r="H24" s="54"/>
      <c r="I24" s="54"/>
      <c r="J24" s="55"/>
      <c r="K24" s="11"/>
      <c r="L24" s="53" t="str">
        <f t="shared" si="3"/>
        <v/>
      </c>
      <c r="M24" s="11">
        <v>11.43</v>
      </c>
      <c r="N24" s="11">
        <v>24.57</v>
      </c>
      <c r="O24" s="11">
        <v>12</v>
      </c>
      <c r="P24" s="11">
        <v>2</v>
      </c>
      <c r="Q24" s="11"/>
      <c r="R24" s="11"/>
      <c r="S24" s="11"/>
      <c r="T24" s="11"/>
      <c r="U24" s="11">
        <v>26</v>
      </c>
      <c r="V24" s="94" t="s">
        <v>2040</v>
      </c>
      <c r="W24" s="35" t="str">
        <f t="shared" si="2"/>
        <v>Diferente</v>
      </c>
      <c r="X24" s="38">
        <f t="shared" si="4"/>
        <v>-76</v>
      </c>
      <c r="Y24" s="3"/>
      <c r="Z24" s="116"/>
    </row>
    <row r="25" spans="1:26" ht="15.75" customHeight="1" outlineLevel="1" x14ac:dyDescent="0.3">
      <c r="A25" s="3"/>
      <c r="B25" s="99" t="s">
        <v>445</v>
      </c>
      <c r="C25" s="53">
        <v>12</v>
      </c>
      <c r="D25" s="53" t="s">
        <v>95</v>
      </c>
      <c r="E25" s="11">
        <f t="shared" si="15"/>
        <v>271</v>
      </c>
      <c r="F25" s="92">
        <f t="shared" ref="F25:F28" si="16">E25</f>
        <v>271</v>
      </c>
      <c r="G25" s="61"/>
      <c r="H25" s="54" t="s">
        <v>37</v>
      </c>
      <c r="I25" s="54"/>
      <c r="J25" s="55"/>
      <c r="K25" s="11"/>
      <c r="L25" s="53" t="str">
        <f t="shared" si="3"/>
        <v/>
      </c>
      <c r="M25" s="11">
        <v>131.99</v>
      </c>
      <c r="N25" s="11">
        <v>24.57</v>
      </c>
      <c r="O25" s="11">
        <v>12</v>
      </c>
      <c r="P25" s="11">
        <v>11.44</v>
      </c>
      <c r="Q25" s="11">
        <v>5</v>
      </c>
      <c r="R25" s="11">
        <v>5</v>
      </c>
      <c r="S25" s="11">
        <v>10</v>
      </c>
      <c r="T25" s="11">
        <v>30</v>
      </c>
      <c r="U25" s="11">
        <v>41</v>
      </c>
      <c r="V25" s="94" t="s">
        <v>2048</v>
      </c>
      <c r="W25" s="35" t="str">
        <f t="shared" si="2"/>
        <v>OK</v>
      </c>
      <c r="X25" s="38" t="str">
        <f t="shared" si="4"/>
        <v/>
      </c>
      <c r="Y25" s="3"/>
      <c r="Z25" s="116"/>
    </row>
    <row r="26" spans="1:26" ht="15.75" customHeight="1" outlineLevel="1" x14ac:dyDescent="0.3">
      <c r="A26" s="3"/>
      <c r="B26" s="99" t="s">
        <v>447</v>
      </c>
      <c r="C26" s="53">
        <v>12</v>
      </c>
      <c r="D26" s="53" t="s">
        <v>95</v>
      </c>
      <c r="E26" s="11">
        <f t="shared" si="15"/>
        <v>246</v>
      </c>
      <c r="F26" s="92">
        <f t="shared" si="16"/>
        <v>246</v>
      </c>
      <c r="G26" s="61"/>
      <c r="H26" s="54" t="s">
        <v>37</v>
      </c>
      <c r="I26" s="54"/>
      <c r="J26" s="55"/>
      <c r="K26" s="11"/>
      <c r="L26" s="53" t="str">
        <f t="shared" si="3"/>
        <v/>
      </c>
      <c r="M26" s="11">
        <v>131.99</v>
      </c>
      <c r="N26" s="11">
        <v>24.57</v>
      </c>
      <c r="O26" s="11">
        <v>12</v>
      </c>
      <c r="P26" s="11">
        <v>1.44</v>
      </c>
      <c r="Q26" s="11">
        <v>5</v>
      </c>
      <c r="R26" s="11">
        <v>5</v>
      </c>
      <c r="S26" s="11">
        <v>10</v>
      </c>
      <c r="T26" s="11">
        <v>30</v>
      </c>
      <c r="U26" s="11">
        <v>26</v>
      </c>
      <c r="V26" s="94" t="s">
        <v>2040</v>
      </c>
      <c r="W26" s="35" t="str">
        <f t="shared" si="2"/>
        <v>OK</v>
      </c>
      <c r="X26" s="38" t="str">
        <f t="shared" si="4"/>
        <v/>
      </c>
      <c r="Y26" s="3"/>
      <c r="Z26" s="116"/>
    </row>
    <row r="27" spans="1:26" ht="15.75" customHeight="1" outlineLevel="1" x14ac:dyDescent="0.3">
      <c r="A27" s="3"/>
      <c r="B27" s="99" t="s">
        <v>1412</v>
      </c>
      <c r="C27" s="53">
        <v>10</v>
      </c>
      <c r="D27" s="53" t="s">
        <v>95</v>
      </c>
      <c r="E27" s="11">
        <f t="shared" si="15"/>
        <v>235.69</v>
      </c>
      <c r="F27" s="92">
        <f t="shared" si="16"/>
        <v>235.69</v>
      </c>
      <c r="G27" s="61"/>
      <c r="H27" s="54" t="s">
        <v>39</v>
      </c>
      <c r="I27" s="54"/>
      <c r="J27" s="55"/>
      <c r="K27" s="11"/>
      <c r="L27" s="53" t="str">
        <f t="shared" si="3"/>
        <v/>
      </c>
      <c r="M27" s="11">
        <v>116.68</v>
      </c>
      <c r="N27" s="11">
        <v>24.57</v>
      </c>
      <c r="O27" s="11">
        <v>12</v>
      </c>
      <c r="P27" s="11">
        <v>1.44</v>
      </c>
      <c r="Q27" s="11">
        <v>5</v>
      </c>
      <c r="R27" s="11">
        <v>10</v>
      </c>
      <c r="S27" s="11">
        <v>10</v>
      </c>
      <c r="T27" s="11">
        <v>30</v>
      </c>
      <c r="U27" s="11">
        <v>26</v>
      </c>
      <c r="V27" s="94" t="s">
        <v>2040</v>
      </c>
      <c r="W27" s="35" t="str">
        <f t="shared" si="2"/>
        <v>OK</v>
      </c>
      <c r="X27" s="38" t="str">
        <f t="shared" si="4"/>
        <v/>
      </c>
      <c r="Y27" s="3"/>
      <c r="Z27" s="116"/>
    </row>
    <row r="28" spans="1:26" ht="15.75" customHeight="1" outlineLevel="1" x14ac:dyDescent="0.3">
      <c r="A28" s="3"/>
      <c r="B28" s="99" t="s">
        <v>449</v>
      </c>
      <c r="C28" s="53">
        <v>10</v>
      </c>
      <c r="D28" s="53" t="s">
        <v>95</v>
      </c>
      <c r="E28" s="11">
        <f t="shared" si="15"/>
        <v>184.69</v>
      </c>
      <c r="F28" s="92">
        <f t="shared" si="16"/>
        <v>184.69</v>
      </c>
      <c r="G28" s="61"/>
      <c r="H28" s="54" t="s">
        <v>39</v>
      </c>
      <c r="I28" s="54"/>
      <c r="J28" s="55"/>
      <c r="K28" s="11"/>
      <c r="L28" s="53" t="str">
        <f t="shared" si="3"/>
        <v/>
      </c>
      <c r="M28" s="11">
        <v>70.680000000000007</v>
      </c>
      <c r="N28" s="11">
        <v>24.57</v>
      </c>
      <c r="O28" s="11">
        <v>12</v>
      </c>
      <c r="P28" s="11">
        <v>1.44</v>
      </c>
      <c r="Q28" s="11"/>
      <c r="R28" s="11">
        <v>10</v>
      </c>
      <c r="S28" s="11">
        <v>10</v>
      </c>
      <c r="T28" s="11">
        <v>30</v>
      </c>
      <c r="U28" s="11">
        <v>26</v>
      </c>
      <c r="V28" s="94" t="s">
        <v>2040</v>
      </c>
      <c r="W28" s="35" t="str">
        <f t="shared" si="2"/>
        <v>OK</v>
      </c>
      <c r="X28" s="38" t="str">
        <f t="shared" si="4"/>
        <v/>
      </c>
      <c r="Y28" s="3"/>
      <c r="Z28" s="116"/>
    </row>
    <row r="29" spans="1:26" ht="15.75" customHeight="1" outlineLevel="1" x14ac:dyDescent="0.3">
      <c r="A29" s="3"/>
      <c r="B29" s="99" t="s">
        <v>450</v>
      </c>
      <c r="C29" s="53"/>
      <c r="D29" s="53" t="s">
        <v>105</v>
      </c>
      <c r="E29" s="11">
        <f t="shared" si="15"/>
        <v>291.77</v>
      </c>
      <c r="F29" s="92"/>
      <c r="G29" s="61"/>
      <c r="H29" s="54"/>
      <c r="I29" s="54"/>
      <c r="J29" s="55"/>
      <c r="K29" s="11"/>
      <c r="L29" s="53" t="str">
        <f t="shared" si="3"/>
        <v/>
      </c>
      <c r="M29" s="11">
        <v>104.43</v>
      </c>
      <c r="N29" s="11">
        <v>24.57</v>
      </c>
      <c r="O29" s="11">
        <v>12</v>
      </c>
      <c r="P29" s="11">
        <v>1.44</v>
      </c>
      <c r="Q29" s="11">
        <v>5</v>
      </c>
      <c r="R29" s="11"/>
      <c r="S29" s="11">
        <v>10</v>
      </c>
      <c r="T29" s="11">
        <v>10</v>
      </c>
      <c r="U29" s="11">
        <v>124.33</v>
      </c>
      <c r="V29" s="94" t="s">
        <v>2049</v>
      </c>
      <c r="W29" s="35" t="str">
        <f t="shared" si="2"/>
        <v>Diferente</v>
      </c>
      <c r="X29" s="38">
        <f t="shared" si="4"/>
        <v>-291.77</v>
      </c>
      <c r="Y29" s="3"/>
      <c r="Z29" s="116"/>
    </row>
    <row r="30" spans="1:26" ht="15.75" customHeight="1" outlineLevel="1" x14ac:dyDescent="0.3">
      <c r="A30" s="3"/>
      <c r="B30" s="99" t="s">
        <v>451</v>
      </c>
      <c r="C30" s="53"/>
      <c r="D30" s="53" t="s">
        <v>105</v>
      </c>
      <c r="E30" s="11">
        <f t="shared" si="15"/>
        <v>193.44</v>
      </c>
      <c r="F30" s="92"/>
      <c r="G30" s="61"/>
      <c r="H30" s="54"/>
      <c r="I30" s="54"/>
      <c r="J30" s="55"/>
      <c r="K30" s="11"/>
      <c r="L30" s="53" t="str">
        <f t="shared" si="3"/>
        <v/>
      </c>
      <c r="M30" s="11">
        <v>104.43</v>
      </c>
      <c r="N30" s="11">
        <v>24.57</v>
      </c>
      <c r="O30" s="11">
        <v>12</v>
      </c>
      <c r="P30" s="11">
        <v>1.44</v>
      </c>
      <c r="Q30" s="11">
        <v>5</v>
      </c>
      <c r="R30" s="11"/>
      <c r="S30" s="11">
        <v>10</v>
      </c>
      <c r="T30" s="11">
        <v>10</v>
      </c>
      <c r="U30" s="11">
        <v>26</v>
      </c>
      <c r="V30" s="94" t="s">
        <v>2040</v>
      </c>
      <c r="W30" s="35" t="str">
        <f t="shared" si="2"/>
        <v>Diferente</v>
      </c>
      <c r="X30" s="38">
        <f t="shared" si="4"/>
        <v>-193.44</v>
      </c>
      <c r="Y30" s="3"/>
      <c r="Z30" s="116"/>
    </row>
    <row r="31" spans="1:26" ht="15.75" customHeight="1" outlineLevel="1" x14ac:dyDescent="0.3">
      <c r="A31" s="3"/>
      <c r="B31" s="99" t="s">
        <v>452</v>
      </c>
      <c r="C31" s="53"/>
      <c r="D31" s="53" t="s">
        <v>105</v>
      </c>
      <c r="E31" s="11">
        <f t="shared" si="15"/>
        <v>225.01</v>
      </c>
      <c r="F31" s="92"/>
      <c r="G31" s="61"/>
      <c r="H31" s="54"/>
      <c r="I31" s="54"/>
      <c r="J31" s="55"/>
      <c r="K31" s="11"/>
      <c r="L31" s="53" t="str">
        <f t="shared" si="3"/>
        <v/>
      </c>
      <c r="M31" s="11">
        <v>156</v>
      </c>
      <c r="N31" s="11">
        <v>24.57</v>
      </c>
      <c r="O31" s="11">
        <v>12</v>
      </c>
      <c r="P31" s="11">
        <v>1.44</v>
      </c>
      <c r="Q31" s="11">
        <v>5</v>
      </c>
      <c r="R31" s="11"/>
      <c r="S31" s="11"/>
      <c r="T31" s="11"/>
      <c r="U31" s="11">
        <v>26</v>
      </c>
      <c r="V31" s="94" t="s">
        <v>2040</v>
      </c>
      <c r="W31" s="35" t="str">
        <f t="shared" si="2"/>
        <v>Diferente</v>
      </c>
      <c r="X31" s="38">
        <f t="shared" si="4"/>
        <v>-225.01</v>
      </c>
      <c r="Y31" s="3"/>
      <c r="Z31" s="116"/>
    </row>
    <row r="32" spans="1:26" ht="15.75" customHeight="1" outlineLevel="1" x14ac:dyDescent="0.3">
      <c r="A32" s="3"/>
      <c r="B32" s="99" t="s">
        <v>453</v>
      </c>
      <c r="C32" s="53"/>
      <c r="D32" s="53" t="s">
        <v>105</v>
      </c>
      <c r="E32" s="11">
        <f t="shared" si="15"/>
        <v>411.67999999999995</v>
      </c>
      <c r="F32" s="92"/>
      <c r="G32" s="61"/>
      <c r="H32" s="54"/>
      <c r="I32" s="54"/>
      <c r="J32" s="55"/>
      <c r="K32" s="11"/>
      <c r="L32" s="53" t="str">
        <f t="shared" si="3"/>
        <v/>
      </c>
      <c r="M32" s="11">
        <v>156</v>
      </c>
      <c r="N32" s="11">
        <v>24.57</v>
      </c>
      <c r="O32" s="11">
        <v>12</v>
      </c>
      <c r="P32" s="11">
        <v>11.44</v>
      </c>
      <c r="Q32" s="11">
        <v>5</v>
      </c>
      <c r="R32" s="11">
        <v>10</v>
      </c>
      <c r="S32" s="11"/>
      <c r="T32" s="11"/>
      <c r="U32" s="11">
        <v>192.67</v>
      </c>
      <c r="V32" s="94" t="s">
        <v>2050</v>
      </c>
      <c r="W32" s="35" t="str">
        <f t="shared" si="2"/>
        <v>Diferente</v>
      </c>
      <c r="X32" s="38">
        <f t="shared" si="4"/>
        <v>-411.67999999999995</v>
      </c>
      <c r="Y32" s="3"/>
      <c r="Z32" s="116"/>
    </row>
    <row r="33" spans="1:26" ht="15.75" customHeight="1" outlineLevel="1" x14ac:dyDescent="0.3">
      <c r="A33" s="3"/>
      <c r="B33" s="99" t="s">
        <v>455</v>
      </c>
      <c r="C33" s="53">
        <v>4</v>
      </c>
      <c r="D33" s="53" t="s">
        <v>95</v>
      </c>
      <c r="E33" s="11">
        <f t="shared" si="15"/>
        <v>401.42999999999995</v>
      </c>
      <c r="F33" s="92">
        <f>E33</f>
        <v>401.42999999999995</v>
      </c>
      <c r="G33" s="61"/>
      <c r="H33" s="54" t="s">
        <v>37</v>
      </c>
      <c r="I33" s="54"/>
      <c r="J33" s="55"/>
      <c r="K33" s="11"/>
      <c r="L33" s="53" t="str">
        <f t="shared" si="3"/>
        <v/>
      </c>
      <c r="M33" s="11">
        <v>132.19</v>
      </c>
      <c r="N33" s="11">
        <v>24.57</v>
      </c>
      <c r="O33" s="11">
        <v>12</v>
      </c>
      <c r="P33" s="11">
        <v>5</v>
      </c>
      <c r="Q33" s="11">
        <v>5</v>
      </c>
      <c r="R33" s="11">
        <v>10</v>
      </c>
      <c r="S33" s="11">
        <v>10</v>
      </c>
      <c r="T33" s="11">
        <v>30</v>
      </c>
      <c r="U33" s="11">
        <v>172.67</v>
      </c>
      <c r="V33" s="94" t="s">
        <v>2051</v>
      </c>
      <c r="W33" s="35" t="str">
        <f t="shared" si="2"/>
        <v>OK</v>
      </c>
      <c r="X33" s="38" t="str">
        <f t="shared" si="4"/>
        <v/>
      </c>
      <c r="Y33" s="3"/>
      <c r="Z33" s="116"/>
    </row>
    <row r="34" spans="1:26" ht="15.75" customHeight="1" outlineLevel="1" x14ac:dyDescent="0.3">
      <c r="A34" s="3"/>
      <c r="B34" s="99" t="s">
        <v>456</v>
      </c>
      <c r="C34" s="53"/>
      <c r="D34" s="53" t="s">
        <v>105</v>
      </c>
      <c r="E34" s="11">
        <f t="shared" si="15"/>
        <v>322.14</v>
      </c>
      <c r="F34" s="92"/>
      <c r="G34" s="61"/>
      <c r="H34" s="54"/>
      <c r="I34" s="54"/>
      <c r="J34" s="55"/>
      <c r="K34" s="11"/>
      <c r="L34" s="53" t="str">
        <f t="shared" si="3"/>
        <v/>
      </c>
      <c r="M34" s="11">
        <v>74.739999999999995</v>
      </c>
      <c r="N34" s="11">
        <v>24.57</v>
      </c>
      <c r="O34" s="11">
        <v>12</v>
      </c>
      <c r="P34" s="11">
        <v>1.5</v>
      </c>
      <c r="Q34" s="11"/>
      <c r="R34" s="11"/>
      <c r="S34" s="11"/>
      <c r="T34" s="11"/>
      <c r="U34" s="11">
        <v>209.33</v>
      </c>
      <c r="V34" s="94" t="s">
        <v>2052</v>
      </c>
      <c r="W34" s="35" t="str">
        <f t="shared" si="2"/>
        <v>Diferente</v>
      </c>
      <c r="X34" s="38">
        <f t="shared" si="4"/>
        <v>-322.14</v>
      </c>
      <c r="Y34" s="3"/>
      <c r="Z34" s="116"/>
    </row>
    <row r="35" spans="1:26" ht="15.75" customHeight="1" outlineLevel="1" x14ac:dyDescent="0.3">
      <c r="A35" s="3"/>
      <c r="B35" s="99" t="s">
        <v>457</v>
      </c>
      <c r="C35" s="53"/>
      <c r="D35" s="53" t="s">
        <v>105</v>
      </c>
      <c r="E35" s="11">
        <f t="shared" si="15"/>
        <v>138.81</v>
      </c>
      <c r="F35" s="92"/>
      <c r="G35" s="61"/>
      <c r="H35" s="54"/>
      <c r="I35" s="54"/>
      <c r="J35" s="55"/>
      <c r="K35" s="11"/>
      <c r="L35" s="53" t="str">
        <f t="shared" si="3"/>
        <v/>
      </c>
      <c r="M35" s="11">
        <v>74.739999999999995</v>
      </c>
      <c r="N35" s="11">
        <v>24.57</v>
      </c>
      <c r="O35" s="11">
        <v>12</v>
      </c>
      <c r="P35" s="11">
        <v>1.5</v>
      </c>
      <c r="Q35" s="11"/>
      <c r="R35" s="11"/>
      <c r="S35" s="11"/>
      <c r="T35" s="11"/>
      <c r="U35" s="11">
        <v>26</v>
      </c>
      <c r="V35" s="94" t="s">
        <v>2040</v>
      </c>
      <c r="W35" s="35" t="str">
        <f t="shared" si="2"/>
        <v>Diferente</v>
      </c>
      <c r="X35" s="38">
        <f t="shared" si="4"/>
        <v>-138.81</v>
      </c>
      <c r="Y35" s="3"/>
      <c r="Z35" s="116"/>
    </row>
    <row r="36" spans="1:26" ht="15.75" customHeight="1" outlineLevel="1" x14ac:dyDescent="0.3">
      <c r="A36" s="3"/>
      <c r="B36" s="99" t="s">
        <v>458</v>
      </c>
      <c r="C36" s="53">
        <v>5</v>
      </c>
      <c r="D36" s="53" t="s">
        <v>95</v>
      </c>
      <c r="E36" s="11">
        <f t="shared" si="15"/>
        <v>187.44</v>
      </c>
      <c r="F36" s="92">
        <f t="shared" ref="F36:F39" si="17">E36</f>
        <v>187.44</v>
      </c>
      <c r="G36" s="61"/>
      <c r="H36" s="54" t="s">
        <v>37</v>
      </c>
      <c r="I36" s="54"/>
      <c r="J36" s="55"/>
      <c r="K36" s="11"/>
      <c r="L36" s="53" t="str">
        <f t="shared" si="3"/>
        <v/>
      </c>
      <c r="M36" s="11">
        <v>103.43</v>
      </c>
      <c r="N36" s="11">
        <v>24.57</v>
      </c>
      <c r="O36" s="11">
        <v>12</v>
      </c>
      <c r="P36" s="11">
        <v>1.44</v>
      </c>
      <c r="Q36" s="11"/>
      <c r="R36" s="11">
        <v>5</v>
      </c>
      <c r="S36" s="11"/>
      <c r="T36" s="11"/>
      <c r="U36" s="11">
        <v>41</v>
      </c>
      <c r="V36" s="94" t="s">
        <v>2048</v>
      </c>
      <c r="W36" s="35" t="str">
        <f t="shared" si="2"/>
        <v>OK</v>
      </c>
      <c r="X36" s="38" t="str">
        <f t="shared" si="4"/>
        <v/>
      </c>
      <c r="Y36" s="3"/>
      <c r="Z36" s="116"/>
    </row>
    <row r="37" spans="1:26" ht="15.75" customHeight="1" outlineLevel="1" x14ac:dyDescent="0.3">
      <c r="A37" s="3"/>
      <c r="B37" s="99" t="s">
        <v>459</v>
      </c>
      <c r="C37" s="53">
        <v>5</v>
      </c>
      <c r="D37" s="53" t="s">
        <v>95</v>
      </c>
      <c r="E37" s="11">
        <f t="shared" si="15"/>
        <v>177.44</v>
      </c>
      <c r="F37" s="92">
        <f t="shared" si="17"/>
        <v>177.44</v>
      </c>
      <c r="G37" s="61"/>
      <c r="H37" s="54" t="s">
        <v>37</v>
      </c>
      <c r="I37" s="54"/>
      <c r="J37" s="55"/>
      <c r="K37" s="11"/>
      <c r="L37" s="53" t="str">
        <f t="shared" si="3"/>
        <v/>
      </c>
      <c r="M37" s="11">
        <v>103.43</v>
      </c>
      <c r="N37" s="11">
        <v>24.57</v>
      </c>
      <c r="O37" s="11">
        <v>12</v>
      </c>
      <c r="P37" s="11">
        <v>1.44</v>
      </c>
      <c r="Q37" s="11">
        <v>5</v>
      </c>
      <c r="R37" s="11">
        <v>5</v>
      </c>
      <c r="S37" s="11"/>
      <c r="T37" s="11"/>
      <c r="U37" s="11">
        <v>26</v>
      </c>
      <c r="V37" s="94" t="s">
        <v>2040</v>
      </c>
      <c r="W37" s="35" t="str">
        <f t="shared" si="2"/>
        <v>OK</v>
      </c>
      <c r="X37" s="38" t="str">
        <f t="shared" si="4"/>
        <v/>
      </c>
      <c r="Y37" s="3"/>
      <c r="Z37" s="116"/>
    </row>
    <row r="38" spans="1:26" ht="15.75" customHeight="1" outlineLevel="1" x14ac:dyDescent="0.3">
      <c r="A38" s="3"/>
      <c r="B38" s="99" t="s">
        <v>460</v>
      </c>
      <c r="C38" s="53">
        <v>5</v>
      </c>
      <c r="D38" s="53" t="s">
        <v>95</v>
      </c>
      <c r="E38" s="11">
        <f t="shared" si="15"/>
        <v>177.44</v>
      </c>
      <c r="F38" s="92">
        <f t="shared" si="17"/>
        <v>177.44</v>
      </c>
      <c r="G38" s="61"/>
      <c r="H38" s="54" t="s">
        <v>37</v>
      </c>
      <c r="I38" s="54"/>
      <c r="J38" s="55"/>
      <c r="K38" s="11"/>
      <c r="L38" s="53" t="str">
        <f t="shared" si="3"/>
        <v/>
      </c>
      <c r="M38" s="11">
        <v>103.43</v>
      </c>
      <c r="N38" s="11">
        <v>24.57</v>
      </c>
      <c r="O38" s="11">
        <v>12</v>
      </c>
      <c r="P38" s="11">
        <v>1.44</v>
      </c>
      <c r="Q38" s="11">
        <v>5</v>
      </c>
      <c r="R38" s="11">
        <v>5</v>
      </c>
      <c r="S38" s="11"/>
      <c r="T38" s="11"/>
      <c r="U38" s="11">
        <v>26</v>
      </c>
      <c r="V38" s="94" t="s">
        <v>2040</v>
      </c>
      <c r="W38" s="35" t="str">
        <f t="shared" si="2"/>
        <v>OK</v>
      </c>
      <c r="X38" s="38" t="str">
        <f t="shared" si="4"/>
        <v/>
      </c>
      <c r="Y38" s="3"/>
      <c r="Z38" s="116"/>
    </row>
    <row r="39" spans="1:26" ht="15.75" customHeight="1" outlineLevel="1" x14ac:dyDescent="0.3">
      <c r="A39" s="3"/>
      <c r="B39" s="99" t="s">
        <v>461</v>
      </c>
      <c r="C39" s="53">
        <v>5</v>
      </c>
      <c r="D39" s="53" t="s">
        <v>95</v>
      </c>
      <c r="E39" s="11">
        <f t="shared" si="15"/>
        <v>95.59</v>
      </c>
      <c r="F39" s="92">
        <f t="shared" si="17"/>
        <v>95.59</v>
      </c>
      <c r="G39" s="61"/>
      <c r="H39" s="54" t="s">
        <v>37</v>
      </c>
      <c r="I39" s="54"/>
      <c r="J39" s="55"/>
      <c r="K39" s="11"/>
      <c r="L39" s="53" t="str">
        <f t="shared" si="3"/>
        <v/>
      </c>
      <c r="M39" s="11">
        <v>31.58</v>
      </c>
      <c r="N39" s="11">
        <v>24.57</v>
      </c>
      <c r="O39" s="11">
        <v>12</v>
      </c>
      <c r="P39" s="11">
        <v>1.44</v>
      </c>
      <c r="Q39" s="11"/>
      <c r="R39" s="11"/>
      <c r="S39" s="11"/>
      <c r="T39" s="11"/>
      <c r="U39" s="11">
        <v>26</v>
      </c>
      <c r="V39" s="94" t="s">
        <v>2040</v>
      </c>
      <c r="W39" s="35" t="str">
        <f t="shared" si="2"/>
        <v>OK</v>
      </c>
      <c r="X39" s="38" t="str">
        <f t="shared" si="4"/>
        <v/>
      </c>
      <c r="Y39" s="3"/>
      <c r="Z39" s="116"/>
    </row>
    <row r="40" spans="1:26" ht="15.75" customHeight="1" outlineLevel="1" x14ac:dyDescent="0.3">
      <c r="A40" s="3"/>
      <c r="B40" s="99" t="s">
        <v>462</v>
      </c>
      <c r="C40" s="53"/>
      <c r="D40" s="53" t="s">
        <v>105</v>
      </c>
      <c r="E40" s="11">
        <f t="shared" si="15"/>
        <v>397.66999999999996</v>
      </c>
      <c r="F40" s="92"/>
      <c r="G40" s="61"/>
      <c r="H40" s="54"/>
      <c r="I40" s="54"/>
      <c r="J40" s="55"/>
      <c r="K40" s="11"/>
      <c r="L40" s="53" t="str">
        <f t="shared" si="3"/>
        <v/>
      </c>
      <c r="M40" s="11">
        <v>151.99</v>
      </c>
      <c r="N40" s="11">
        <v>24.57</v>
      </c>
      <c r="O40" s="11">
        <v>12</v>
      </c>
      <c r="P40" s="11">
        <v>1.44</v>
      </c>
      <c r="Q40" s="11"/>
      <c r="R40" s="11">
        <v>5</v>
      </c>
      <c r="S40" s="11">
        <v>5</v>
      </c>
      <c r="T40" s="11"/>
      <c r="U40" s="11">
        <v>197.67</v>
      </c>
      <c r="V40" s="94" t="s">
        <v>2053</v>
      </c>
      <c r="W40" s="35" t="str">
        <f t="shared" si="2"/>
        <v>Diferente</v>
      </c>
      <c r="X40" s="38">
        <f t="shared" si="4"/>
        <v>-397.66999999999996</v>
      </c>
      <c r="Y40" s="3"/>
      <c r="Z40" s="116"/>
    </row>
    <row r="41" spans="1:26" ht="15.75" customHeight="1" outlineLevel="1" x14ac:dyDescent="0.3">
      <c r="A41" s="3"/>
      <c r="B41" s="99" t="s">
        <v>465</v>
      </c>
      <c r="C41" s="53"/>
      <c r="D41" s="53" t="s">
        <v>95</v>
      </c>
      <c r="E41" s="11"/>
      <c r="F41" s="92"/>
      <c r="G41" s="61"/>
      <c r="H41" s="54"/>
      <c r="I41" s="54"/>
      <c r="J41" s="55"/>
      <c r="K41" s="11"/>
      <c r="L41" s="53" t="str">
        <f t="shared" si="3"/>
        <v/>
      </c>
      <c r="M41" s="11"/>
      <c r="N41" s="11"/>
      <c r="O41" s="11"/>
      <c r="P41" s="11"/>
      <c r="Q41" s="11"/>
      <c r="R41" s="11"/>
      <c r="S41" s="11"/>
      <c r="T41" s="11"/>
      <c r="U41" s="11"/>
      <c r="V41" s="94"/>
      <c r="W41" s="35" t="str">
        <f t="shared" si="2"/>
        <v>OK</v>
      </c>
      <c r="X41" s="38" t="str">
        <f t="shared" si="4"/>
        <v/>
      </c>
      <c r="Y41" s="3"/>
      <c r="Z41" s="116"/>
    </row>
    <row r="42" spans="1:26" ht="15.75" customHeight="1" outlineLevel="1" x14ac:dyDescent="0.3">
      <c r="A42" s="3"/>
      <c r="B42" s="99" t="s">
        <v>466</v>
      </c>
      <c r="C42" s="53"/>
      <c r="D42" s="53" t="s">
        <v>95</v>
      </c>
      <c r="E42" s="11"/>
      <c r="F42" s="92"/>
      <c r="G42" s="61"/>
      <c r="H42" s="54"/>
      <c r="I42" s="54"/>
      <c r="J42" s="55"/>
      <c r="K42" s="11"/>
      <c r="L42" s="53" t="str">
        <f t="shared" si="3"/>
        <v/>
      </c>
      <c r="M42" s="11"/>
      <c r="N42" s="11"/>
      <c r="O42" s="11"/>
      <c r="P42" s="11"/>
      <c r="Q42" s="11"/>
      <c r="R42" s="11"/>
      <c r="S42" s="11"/>
      <c r="T42" s="11"/>
      <c r="U42" s="11"/>
      <c r="V42" s="94"/>
      <c r="W42" s="35" t="str">
        <f t="shared" si="2"/>
        <v>OK</v>
      </c>
      <c r="X42" s="38" t="str">
        <f t="shared" si="4"/>
        <v/>
      </c>
      <c r="Y42" s="3"/>
      <c r="Z42" s="116"/>
    </row>
    <row r="43" spans="1:26" ht="15.75" customHeight="1" outlineLevel="1" x14ac:dyDescent="0.3">
      <c r="A43" s="3"/>
      <c r="B43" s="99" t="s">
        <v>467</v>
      </c>
      <c r="C43" s="53" t="s">
        <v>2054</v>
      </c>
      <c r="D43" s="53" t="s">
        <v>95</v>
      </c>
      <c r="E43" s="11">
        <v>343.65999999999997</v>
      </c>
      <c r="F43" s="92">
        <f t="shared" ref="F43:F44" si="18">SUM(M43:U43)</f>
        <v>811.31999999999994</v>
      </c>
      <c r="G43" s="61" t="s">
        <v>2055</v>
      </c>
      <c r="H43" s="54" t="s">
        <v>37</v>
      </c>
      <c r="I43" s="54"/>
      <c r="J43" s="55"/>
      <c r="K43" s="11"/>
      <c r="L43" s="53">
        <f t="shared" si="3"/>
        <v>1</v>
      </c>
      <c r="M43" s="11">
        <f>118.98*2</f>
        <v>237.96</v>
      </c>
      <c r="N43" s="11">
        <f t="shared" ref="N43:N44" si="19">24.57*2</f>
        <v>49.14</v>
      </c>
      <c r="O43" s="11">
        <v>24</v>
      </c>
      <c r="P43" s="11">
        <f>11.44*2</f>
        <v>22.88</v>
      </c>
      <c r="Q43" s="11">
        <v>10</v>
      </c>
      <c r="R43" s="11">
        <v>20</v>
      </c>
      <c r="S43" s="11"/>
      <c r="T43" s="11"/>
      <c r="U43" s="11">
        <f>161.67+50+235.67</f>
        <v>447.34</v>
      </c>
      <c r="V43" s="94" t="s">
        <v>2056</v>
      </c>
      <c r="W43" s="35" t="str">
        <f t="shared" si="2"/>
        <v>OK</v>
      </c>
      <c r="X43" s="38" t="str">
        <f t="shared" si="4"/>
        <v/>
      </c>
      <c r="Y43" s="3"/>
      <c r="Z43" s="116"/>
    </row>
    <row r="44" spans="1:26" ht="15.75" customHeight="1" outlineLevel="1" x14ac:dyDescent="0.3">
      <c r="A44" s="3"/>
      <c r="B44" s="99" t="s">
        <v>468</v>
      </c>
      <c r="C44" s="53" t="s">
        <v>2054</v>
      </c>
      <c r="D44" s="53" t="s">
        <v>95</v>
      </c>
      <c r="E44" s="11">
        <v>167.74</v>
      </c>
      <c r="F44" s="92">
        <f t="shared" si="18"/>
        <v>261.48</v>
      </c>
      <c r="G44" s="61" t="s">
        <v>2055</v>
      </c>
      <c r="H44" s="54" t="s">
        <v>37</v>
      </c>
      <c r="I44" s="54"/>
      <c r="J44" s="55"/>
      <c r="K44" s="11"/>
      <c r="L44" s="53">
        <f t="shared" si="3"/>
        <v>1</v>
      </c>
      <c r="M44" s="11">
        <f>55.73*2</f>
        <v>111.46</v>
      </c>
      <c r="N44" s="11">
        <f t="shared" si="19"/>
        <v>49.14</v>
      </c>
      <c r="O44" s="11">
        <v>24</v>
      </c>
      <c r="P44" s="11">
        <v>2.88</v>
      </c>
      <c r="Q44" s="11"/>
      <c r="R44" s="11"/>
      <c r="S44" s="11"/>
      <c r="T44" s="11"/>
      <c r="U44" s="11">
        <v>74</v>
      </c>
      <c r="V44" s="94" t="s">
        <v>2057</v>
      </c>
      <c r="W44" s="35" t="str">
        <f t="shared" si="2"/>
        <v>OK</v>
      </c>
      <c r="X44" s="38" t="str">
        <f t="shared" si="4"/>
        <v/>
      </c>
      <c r="Y44" s="3"/>
      <c r="Z44" s="116"/>
    </row>
    <row r="45" spans="1:26" ht="15.75" customHeight="1" outlineLevel="1" x14ac:dyDescent="0.3">
      <c r="A45" s="3"/>
      <c r="B45" s="99" t="s">
        <v>469</v>
      </c>
      <c r="C45" s="53">
        <v>1</v>
      </c>
      <c r="D45" s="53" t="s">
        <v>95</v>
      </c>
      <c r="E45" s="11">
        <f t="shared" ref="E45:E54" si="20">SUM(M45:U45)</f>
        <v>204.08999999999997</v>
      </c>
      <c r="F45" s="92">
        <f t="shared" ref="F45:F51" si="21">E45</f>
        <v>204.08999999999997</v>
      </c>
      <c r="G45" s="61"/>
      <c r="H45" s="54" t="s">
        <v>37</v>
      </c>
      <c r="I45" s="54"/>
      <c r="J45" s="55"/>
      <c r="K45" s="11"/>
      <c r="L45" s="53" t="str">
        <f t="shared" si="3"/>
        <v/>
      </c>
      <c r="M45" s="11">
        <v>58.19</v>
      </c>
      <c r="N45" s="11">
        <v>24.57</v>
      </c>
      <c r="O45" s="11">
        <v>12</v>
      </c>
      <c r="P45" s="11" t="s">
        <v>44</v>
      </c>
      <c r="Q45" s="11" t="s">
        <v>44</v>
      </c>
      <c r="R45" s="11" t="s">
        <v>44</v>
      </c>
      <c r="S45" s="11" t="s">
        <v>44</v>
      </c>
      <c r="T45" s="11"/>
      <c r="U45" s="11">
        <v>109.33</v>
      </c>
      <c r="V45" s="94" t="s">
        <v>2058</v>
      </c>
      <c r="W45" s="35" t="str">
        <f t="shared" si="2"/>
        <v>OK</v>
      </c>
      <c r="X45" s="38" t="str">
        <f t="shared" si="4"/>
        <v/>
      </c>
      <c r="Y45" s="3"/>
      <c r="Z45" s="116"/>
    </row>
    <row r="46" spans="1:26" ht="15.75" customHeight="1" outlineLevel="1" x14ac:dyDescent="0.3">
      <c r="A46" s="3"/>
      <c r="B46" s="99" t="s">
        <v>470</v>
      </c>
      <c r="C46" s="53">
        <v>1</v>
      </c>
      <c r="D46" s="53" t="s">
        <v>95</v>
      </c>
      <c r="E46" s="11">
        <f t="shared" si="20"/>
        <v>96.45</v>
      </c>
      <c r="F46" s="92">
        <f t="shared" si="21"/>
        <v>96.45</v>
      </c>
      <c r="G46" s="61"/>
      <c r="H46" s="54" t="s">
        <v>37</v>
      </c>
      <c r="I46" s="54"/>
      <c r="J46" s="55"/>
      <c r="K46" s="11"/>
      <c r="L46" s="53" t="str">
        <f t="shared" si="3"/>
        <v/>
      </c>
      <c r="M46" s="11">
        <v>33.880000000000003</v>
      </c>
      <c r="N46" s="11">
        <v>24.57</v>
      </c>
      <c r="O46" s="11">
        <v>12</v>
      </c>
      <c r="P46" s="11" t="s">
        <v>44</v>
      </c>
      <c r="Q46" s="11"/>
      <c r="R46" s="11" t="s">
        <v>44</v>
      </c>
      <c r="S46" s="11"/>
      <c r="T46" s="11"/>
      <c r="U46" s="11">
        <v>26</v>
      </c>
      <c r="V46" s="94" t="s">
        <v>2040</v>
      </c>
      <c r="W46" s="35" t="str">
        <f t="shared" si="2"/>
        <v>OK</v>
      </c>
      <c r="X46" s="38" t="str">
        <f t="shared" si="4"/>
        <v/>
      </c>
      <c r="Y46" s="3"/>
      <c r="Z46" s="116"/>
    </row>
    <row r="47" spans="1:26" ht="15.75" customHeight="1" outlineLevel="1" x14ac:dyDescent="0.3">
      <c r="A47" s="3"/>
      <c r="B47" s="99" t="s">
        <v>471</v>
      </c>
      <c r="C47" s="53">
        <v>17</v>
      </c>
      <c r="D47" s="53" t="s">
        <v>95</v>
      </c>
      <c r="E47" s="11">
        <f t="shared" si="20"/>
        <v>182.69</v>
      </c>
      <c r="F47" s="92">
        <f t="shared" si="21"/>
        <v>182.69</v>
      </c>
      <c r="G47" s="61"/>
      <c r="H47" s="54" t="s">
        <v>39</v>
      </c>
      <c r="I47" s="54"/>
      <c r="J47" s="55"/>
      <c r="K47" s="11"/>
      <c r="L47" s="53">
        <f t="shared" si="3"/>
        <v>1</v>
      </c>
      <c r="M47" s="11">
        <v>93.62</v>
      </c>
      <c r="N47" s="11">
        <v>24.57</v>
      </c>
      <c r="O47" s="11">
        <v>12</v>
      </c>
      <c r="P47" s="11">
        <v>1.5</v>
      </c>
      <c r="Q47" s="11"/>
      <c r="R47" s="11"/>
      <c r="S47" s="11">
        <v>10</v>
      </c>
      <c r="T47" s="11"/>
      <c r="U47" s="11">
        <v>41</v>
      </c>
      <c r="V47" s="94" t="s">
        <v>2048</v>
      </c>
      <c r="W47" s="35" t="str">
        <f t="shared" si="2"/>
        <v>OK</v>
      </c>
      <c r="X47" s="38" t="str">
        <f t="shared" si="4"/>
        <v/>
      </c>
      <c r="Y47" s="3"/>
      <c r="Z47" s="116"/>
    </row>
    <row r="48" spans="1:26" ht="15.75" customHeight="1" outlineLevel="1" x14ac:dyDescent="0.3">
      <c r="A48" s="3"/>
      <c r="B48" s="99" t="s">
        <v>473</v>
      </c>
      <c r="C48" s="53">
        <v>17</v>
      </c>
      <c r="D48" s="53" t="s">
        <v>95</v>
      </c>
      <c r="E48" s="11">
        <f t="shared" si="20"/>
        <v>157.69</v>
      </c>
      <c r="F48" s="92">
        <f t="shared" si="21"/>
        <v>157.69</v>
      </c>
      <c r="G48" s="61"/>
      <c r="H48" s="54" t="s">
        <v>39</v>
      </c>
      <c r="I48" s="54"/>
      <c r="J48" s="55"/>
      <c r="K48" s="11"/>
      <c r="L48" s="53">
        <f t="shared" si="3"/>
        <v>1</v>
      </c>
      <c r="M48" s="11">
        <v>93.62</v>
      </c>
      <c r="N48" s="11">
        <v>24.57</v>
      </c>
      <c r="O48" s="11">
        <v>12</v>
      </c>
      <c r="P48" s="11">
        <v>1.5</v>
      </c>
      <c r="Q48" s="11"/>
      <c r="R48" s="11"/>
      <c r="S48" s="11"/>
      <c r="T48" s="11"/>
      <c r="U48" s="11">
        <v>26</v>
      </c>
      <c r="V48" s="94" t="s">
        <v>2040</v>
      </c>
      <c r="W48" s="35" t="str">
        <f t="shared" si="2"/>
        <v>OK</v>
      </c>
      <c r="X48" s="38" t="str">
        <f t="shared" si="4"/>
        <v/>
      </c>
      <c r="Y48" s="3"/>
      <c r="Z48" s="116"/>
    </row>
    <row r="49" spans="1:26" ht="15.75" customHeight="1" outlineLevel="1" x14ac:dyDescent="0.3">
      <c r="A49" s="3"/>
      <c r="B49" s="99" t="s">
        <v>474</v>
      </c>
      <c r="C49" s="53">
        <v>7</v>
      </c>
      <c r="D49" s="53" t="s">
        <v>95</v>
      </c>
      <c r="E49" s="11">
        <f t="shared" si="20"/>
        <v>208.44</v>
      </c>
      <c r="F49" s="92">
        <f t="shared" si="21"/>
        <v>208.44</v>
      </c>
      <c r="G49" s="61"/>
      <c r="H49" s="54" t="s">
        <v>37</v>
      </c>
      <c r="I49" s="54"/>
      <c r="J49" s="55"/>
      <c r="K49" s="11"/>
      <c r="L49" s="53" t="str">
        <f t="shared" si="3"/>
        <v/>
      </c>
      <c r="M49" s="11">
        <v>139.43</v>
      </c>
      <c r="N49" s="11">
        <v>24.57</v>
      </c>
      <c r="O49" s="11">
        <v>12</v>
      </c>
      <c r="P49" s="11">
        <v>1.44</v>
      </c>
      <c r="Q49" s="11">
        <v>5</v>
      </c>
      <c r="R49" s="11"/>
      <c r="S49" s="11"/>
      <c r="T49" s="11"/>
      <c r="U49" s="11">
        <v>26</v>
      </c>
      <c r="V49" s="94" t="s">
        <v>2040</v>
      </c>
      <c r="W49" s="35" t="str">
        <f t="shared" si="2"/>
        <v>OK</v>
      </c>
      <c r="X49" s="38" t="str">
        <f t="shared" si="4"/>
        <v/>
      </c>
      <c r="Y49" s="3"/>
      <c r="Z49" s="116"/>
    </row>
    <row r="50" spans="1:26" ht="15.75" customHeight="1" outlineLevel="1" x14ac:dyDescent="0.3">
      <c r="A50" s="3"/>
      <c r="B50" s="99" t="s">
        <v>475</v>
      </c>
      <c r="C50" s="53">
        <v>9</v>
      </c>
      <c r="D50" s="53" t="s">
        <v>95</v>
      </c>
      <c r="E50" s="11">
        <f t="shared" si="20"/>
        <v>272.28999999999996</v>
      </c>
      <c r="F50" s="92">
        <f t="shared" si="21"/>
        <v>272.28999999999996</v>
      </c>
      <c r="G50" s="61" t="s">
        <v>2059</v>
      </c>
      <c r="H50" s="54" t="s">
        <v>37</v>
      </c>
      <c r="I50" s="54"/>
      <c r="J50" s="55"/>
      <c r="K50" s="11"/>
      <c r="L50" s="53" t="str">
        <f t="shared" si="3"/>
        <v/>
      </c>
      <c r="M50" s="11">
        <v>98.28</v>
      </c>
      <c r="N50" s="11">
        <v>24.57</v>
      </c>
      <c r="O50" s="11">
        <v>12</v>
      </c>
      <c r="P50" s="11">
        <v>1.44</v>
      </c>
      <c r="Q50" s="11"/>
      <c r="R50" s="11">
        <v>10</v>
      </c>
      <c r="S50" s="11"/>
      <c r="T50" s="11">
        <v>100</v>
      </c>
      <c r="U50" s="11">
        <v>26</v>
      </c>
      <c r="V50" s="94" t="s">
        <v>2040</v>
      </c>
      <c r="W50" s="35" t="str">
        <f t="shared" si="2"/>
        <v>OK</v>
      </c>
      <c r="X50" s="38" t="str">
        <f t="shared" si="4"/>
        <v/>
      </c>
      <c r="Y50" s="3"/>
      <c r="Z50" s="116"/>
    </row>
    <row r="51" spans="1:26" ht="15.75" customHeight="1" outlineLevel="1" x14ac:dyDescent="0.3">
      <c r="A51" s="3"/>
      <c r="B51" s="99" t="s">
        <v>477</v>
      </c>
      <c r="C51" s="53">
        <v>9</v>
      </c>
      <c r="D51" s="53" t="s">
        <v>95</v>
      </c>
      <c r="E51" s="11">
        <f t="shared" si="20"/>
        <v>172.29</v>
      </c>
      <c r="F51" s="92">
        <f t="shared" si="21"/>
        <v>172.29</v>
      </c>
      <c r="G51" s="61" t="s">
        <v>2059</v>
      </c>
      <c r="H51" s="54" t="s">
        <v>37</v>
      </c>
      <c r="I51" s="54"/>
      <c r="J51" s="55"/>
      <c r="K51" s="11"/>
      <c r="L51" s="53" t="str">
        <f t="shared" si="3"/>
        <v/>
      </c>
      <c r="M51" s="11">
        <v>98.28</v>
      </c>
      <c r="N51" s="11">
        <v>24.57</v>
      </c>
      <c r="O51" s="11">
        <v>12</v>
      </c>
      <c r="P51" s="11">
        <v>1.44</v>
      </c>
      <c r="Q51" s="11"/>
      <c r="R51" s="11">
        <v>10</v>
      </c>
      <c r="S51" s="11"/>
      <c r="T51" s="11"/>
      <c r="U51" s="11">
        <v>26</v>
      </c>
      <c r="V51" s="94" t="s">
        <v>2040</v>
      </c>
      <c r="W51" s="35" t="str">
        <f t="shared" si="2"/>
        <v>OK</v>
      </c>
      <c r="X51" s="38" t="str">
        <f t="shared" si="4"/>
        <v/>
      </c>
      <c r="Y51" s="3"/>
      <c r="Z51" s="116"/>
    </row>
    <row r="52" spans="1:26" ht="15.75" customHeight="1" outlineLevel="1" x14ac:dyDescent="0.3">
      <c r="A52" s="3"/>
      <c r="B52" s="99" t="s">
        <v>478</v>
      </c>
      <c r="C52" s="53"/>
      <c r="D52" s="53" t="s">
        <v>105</v>
      </c>
      <c r="E52" s="11">
        <f t="shared" si="20"/>
        <v>166.32999999999998</v>
      </c>
      <c r="F52" s="92"/>
      <c r="G52" s="61"/>
      <c r="H52" s="54"/>
      <c r="I52" s="54"/>
      <c r="J52" s="55"/>
      <c r="K52" s="11"/>
      <c r="L52" s="53" t="str">
        <f t="shared" si="3"/>
        <v/>
      </c>
      <c r="M52" s="11">
        <v>13.93</v>
      </c>
      <c r="N52" s="11">
        <v>24.57</v>
      </c>
      <c r="O52" s="11">
        <v>12</v>
      </c>
      <c r="P52" s="11">
        <v>1.5</v>
      </c>
      <c r="Q52" s="11">
        <v>5</v>
      </c>
      <c r="R52" s="11"/>
      <c r="S52" s="11"/>
      <c r="T52" s="11"/>
      <c r="U52" s="11">
        <v>109.33</v>
      </c>
      <c r="V52" s="150" t="s">
        <v>2058</v>
      </c>
      <c r="W52" s="35" t="str">
        <f t="shared" si="2"/>
        <v>Diferente</v>
      </c>
      <c r="X52" s="38">
        <f t="shared" si="4"/>
        <v>-166.32999999999998</v>
      </c>
      <c r="Y52" s="3"/>
      <c r="Z52" s="116"/>
    </row>
    <row r="53" spans="1:26" ht="15.75" customHeight="1" outlineLevel="1" x14ac:dyDescent="0.3">
      <c r="A53" s="3"/>
      <c r="B53" s="99" t="s">
        <v>479</v>
      </c>
      <c r="C53" s="53"/>
      <c r="D53" s="53" t="s">
        <v>105</v>
      </c>
      <c r="E53" s="11">
        <f t="shared" si="20"/>
        <v>166.5</v>
      </c>
      <c r="F53" s="92"/>
      <c r="G53" s="61"/>
      <c r="H53" s="54"/>
      <c r="I53" s="54"/>
      <c r="J53" s="55"/>
      <c r="K53" s="11"/>
      <c r="L53" s="53" t="str">
        <f t="shared" si="3"/>
        <v/>
      </c>
      <c r="M53" s="11">
        <v>93.43</v>
      </c>
      <c r="N53" s="11">
        <v>24.57</v>
      </c>
      <c r="O53" s="11">
        <v>12</v>
      </c>
      <c r="P53" s="11">
        <v>1.5</v>
      </c>
      <c r="Q53" s="11"/>
      <c r="R53" s="11">
        <v>0</v>
      </c>
      <c r="S53" s="11">
        <v>4</v>
      </c>
      <c r="T53" s="11">
        <v>5</v>
      </c>
      <c r="U53" s="11">
        <v>26</v>
      </c>
      <c r="V53" s="94" t="s">
        <v>2040</v>
      </c>
      <c r="W53" s="35" t="str">
        <f t="shared" si="2"/>
        <v>Diferente</v>
      </c>
      <c r="X53" s="38">
        <f t="shared" si="4"/>
        <v>-166.5</v>
      </c>
      <c r="Y53" s="3"/>
      <c r="Z53" s="116"/>
    </row>
    <row r="54" spans="1:26" ht="15.75" customHeight="1" outlineLevel="1" x14ac:dyDescent="0.3">
      <c r="A54" s="3"/>
      <c r="B54" s="99" t="s">
        <v>480</v>
      </c>
      <c r="C54" s="53"/>
      <c r="D54" s="53" t="s">
        <v>105</v>
      </c>
      <c r="E54" s="11">
        <f t="shared" si="20"/>
        <v>180.5</v>
      </c>
      <c r="F54" s="92"/>
      <c r="G54" s="61"/>
      <c r="H54" s="54"/>
      <c r="I54" s="54"/>
      <c r="J54" s="55"/>
      <c r="K54" s="11"/>
      <c r="L54" s="53" t="str">
        <f t="shared" si="3"/>
        <v/>
      </c>
      <c r="M54" s="11">
        <v>93.43</v>
      </c>
      <c r="N54" s="11">
        <v>24.57</v>
      </c>
      <c r="O54" s="11">
        <v>12</v>
      </c>
      <c r="P54" s="11">
        <v>1.5</v>
      </c>
      <c r="Q54" s="11"/>
      <c r="R54" s="11">
        <v>0</v>
      </c>
      <c r="S54" s="11">
        <v>3</v>
      </c>
      <c r="T54" s="11">
        <v>5</v>
      </c>
      <c r="U54" s="11">
        <v>41</v>
      </c>
      <c r="V54" s="94" t="s">
        <v>2048</v>
      </c>
      <c r="W54" s="35" t="str">
        <f t="shared" si="2"/>
        <v>Diferente</v>
      </c>
      <c r="X54" s="38">
        <f t="shared" si="4"/>
        <v>-180.5</v>
      </c>
      <c r="Y54" s="3"/>
      <c r="Z54" s="116"/>
    </row>
    <row r="55" spans="1:26" ht="21" customHeight="1" outlineLevel="1" x14ac:dyDescent="0.3">
      <c r="A55" s="3"/>
      <c r="B55" s="99" t="s">
        <v>482</v>
      </c>
      <c r="C55" s="53">
        <v>5</v>
      </c>
      <c r="D55" s="53" t="s">
        <v>130</v>
      </c>
      <c r="E55" s="11">
        <v>130.04000000000002</v>
      </c>
      <c r="F55" s="92">
        <f>SUM(M55:U55)</f>
        <v>88.37</v>
      </c>
      <c r="G55" s="61" t="s">
        <v>2060</v>
      </c>
      <c r="H55" s="54" t="s">
        <v>37</v>
      </c>
      <c r="I55" s="54"/>
      <c r="J55" s="55"/>
      <c r="K55" s="11"/>
      <c r="L55" s="53" t="str">
        <f t="shared" si="3"/>
        <v/>
      </c>
      <c r="M55" s="11">
        <v>19.36</v>
      </c>
      <c r="N55" s="11">
        <v>24.57</v>
      </c>
      <c r="O55" s="11">
        <v>12</v>
      </c>
      <c r="P55" s="11">
        <v>1.44</v>
      </c>
      <c r="Q55" s="11">
        <v>5</v>
      </c>
      <c r="R55" s="11"/>
      <c r="S55" s="11"/>
      <c r="T55" s="11"/>
      <c r="U55" s="11">
        <v>26</v>
      </c>
      <c r="V55" s="94" t="s">
        <v>2061</v>
      </c>
      <c r="W55" s="35" t="str">
        <f t="shared" si="2"/>
        <v>OK</v>
      </c>
      <c r="X55" s="38" t="str">
        <f t="shared" si="4"/>
        <v/>
      </c>
      <c r="Y55" s="3"/>
      <c r="Z55" s="116"/>
    </row>
    <row r="56" spans="1:26" ht="21" customHeight="1" outlineLevel="1" x14ac:dyDescent="0.3">
      <c r="A56" s="3"/>
      <c r="B56" s="99" t="s">
        <v>483</v>
      </c>
      <c r="C56" s="53"/>
      <c r="D56" s="53" t="s">
        <v>105</v>
      </c>
      <c r="E56" s="11">
        <f t="shared" ref="E56:E86" si="22">SUM(M56:U56)</f>
        <v>249.47</v>
      </c>
      <c r="F56" s="92"/>
      <c r="G56" s="61"/>
      <c r="H56" s="54"/>
      <c r="I56" s="54"/>
      <c r="J56" s="55"/>
      <c r="K56" s="11"/>
      <c r="L56" s="53" t="str">
        <f t="shared" si="3"/>
        <v/>
      </c>
      <c r="M56" s="11">
        <v>0</v>
      </c>
      <c r="N56" s="11">
        <v>24.57</v>
      </c>
      <c r="O56" s="11">
        <v>12</v>
      </c>
      <c r="P56" s="11">
        <v>0</v>
      </c>
      <c r="Q56" s="11">
        <v>0</v>
      </c>
      <c r="R56" s="11"/>
      <c r="S56" s="11"/>
      <c r="T56" s="11"/>
      <c r="U56" s="11">
        <v>212.9</v>
      </c>
      <c r="V56" s="94" t="s">
        <v>2062</v>
      </c>
      <c r="W56" s="35" t="str">
        <f t="shared" si="2"/>
        <v>Diferente</v>
      </c>
      <c r="X56" s="38">
        <f t="shared" si="4"/>
        <v>-249.47</v>
      </c>
      <c r="Y56" s="3"/>
      <c r="Z56" s="116"/>
    </row>
    <row r="57" spans="1:26" ht="15.75" customHeight="1" outlineLevel="1" x14ac:dyDescent="0.3">
      <c r="A57" s="3"/>
      <c r="B57" s="99" t="s">
        <v>484</v>
      </c>
      <c r="C57" s="53"/>
      <c r="D57" s="53" t="s">
        <v>105</v>
      </c>
      <c r="E57" s="11">
        <f t="shared" si="22"/>
        <v>62.57</v>
      </c>
      <c r="F57" s="92"/>
      <c r="G57" s="61"/>
      <c r="H57" s="54"/>
      <c r="I57" s="54"/>
      <c r="J57" s="55"/>
      <c r="K57" s="11"/>
      <c r="L57" s="53" t="str">
        <f t="shared" si="3"/>
        <v/>
      </c>
      <c r="M57" s="11">
        <v>0</v>
      </c>
      <c r="N57" s="11">
        <v>24.57</v>
      </c>
      <c r="O57" s="11">
        <v>12</v>
      </c>
      <c r="P57" s="11">
        <v>0</v>
      </c>
      <c r="Q57" s="11">
        <v>0</v>
      </c>
      <c r="R57" s="11"/>
      <c r="S57" s="11"/>
      <c r="T57" s="11"/>
      <c r="U57" s="11">
        <v>26</v>
      </c>
      <c r="V57" s="94" t="s">
        <v>2040</v>
      </c>
      <c r="W57" s="35" t="str">
        <f t="shared" si="2"/>
        <v>Diferente</v>
      </c>
      <c r="X57" s="38">
        <f t="shared" si="4"/>
        <v>-62.57</v>
      </c>
      <c r="Y57" s="3"/>
      <c r="Z57" s="116"/>
    </row>
    <row r="58" spans="1:26" ht="15.75" customHeight="1" outlineLevel="1" x14ac:dyDescent="0.3">
      <c r="A58" s="3"/>
      <c r="B58" s="99" t="s">
        <v>485</v>
      </c>
      <c r="C58" s="53"/>
      <c r="D58" s="53" t="s">
        <v>105</v>
      </c>
      <c r="E58" s="11">
        <f t="shared" si="22"/>
        <v>160</v>
      </c>
      <c r="F58" s="92"/>
      <c r="G58" s="61"/>
      <c r="H58" s="54"/>
      <c r="I58" s="54"/>
      <c r="J58" s="55"/>
      <c r="K58" s="11"/>
      <c r="L58" s="53" t="str">
        <f t="shared" si="3"/>
        <v/>
      </c>
      <c r="M58" s="11">
        <v>61.99</v>
      </c>
      <c r="N58" s="11">
        <v>24.57</v>
      </c>
      <c r="O58" s="11">
        <v>12</v>
      </c>
      <c r="P58" s="11">
        <v>1.44</v>
      </c>
      <c r="Q58" s="11"/>
      <c r="R58" s="11"/>
      <c r="S58" s="11"/>
      <c r="T58" s="11"/>
      <c r="U58" s="11">
        <v>60</v>
      </c>
      <c r="V58" s="94" t="s">
        <v>2063</v>
      </c>
      <c r="W58" s="35" t="str">
        <f t="shared" si="2"/>
        <v>Diferente</v>
      </c>
      <c r="X58" s="38">
        <f t="shared" si="4"/>
        <v>-160</v>
      </c>
      <c r="Y58" s="3"/>
      <c r="Z58" s="116"/>
    </row>
    <row r="59" spans="1:26" ht="15.75" customHeight="1" outlineLevel="1" x14ac:dyDescent="0.3">
      <c r="A59" s="3"/>
      <c r="B59" s="99" t="s">
        <v>489</v>
      </c>
      <c r="C59" s="53"/>
      <c r="D59" s="53" t="s">
        <v>105</v>
      </c>
      <c r="E59" s="11">
        <f t="shared" si="22"/>
        <v>320.74</v>
      </c>
      <c r="F59" s="92"/>
      <c r="G59" s="61"/>
      <c r="H59" s="54"/>
      <c r="I59" s="54"/>
      <c r="J59" s="55"/>
      <c r="K59" s="11"/>
      <c r="L59" s="53" t="str">
        <f t="shared" si="3"/>
        <v/>
      </c>
      <c r="M59" s="11">
        <v>100</v>
      </c>
      <c r="N59" s="11">
        <v>24.57</v>
      </c>
      <c r="O59" s="11">
        <v>12</v>
      </c>
      <c r="P59" s="11">
        <v>1.5</v>
      </c>
      <c r="Q59" s="11"/>
      <c r="R59" s="11"/>
      <c r="S59" s="11"/>
      <c r="T59" s="11"/>
      <c r="U59" s="11">
        <v>182.67</v>
      </c>
      <c r="V59" s="94" t="s">
        <v>2064</v>
      </c>
      <c r="W59" s="35" t="str">
        <f t="shared" si="2"/>
        <v>Diferente</v>
      </c>
      <c r="X59" s="38">
        <f t="shared" si="4"/>
        <v>-320.74</v>
      </c>
      <c r="Y59" s="3"/>
      <c r="Z59" s="116"/>
    </row>
    <row r="60" spans="1:26" ht="15.75" customHeight="1" outlineLevel="1" x14ac:dyDescent="0.3">
      <c r="A60" s="3"/>
      <c r="B60" s="99" t="s">
        <v>1422</v>
      </c>
      <c r="C60" s="53">
        <v>1</v>
      </c>
      <c r="D60" s="53" t="s">
        <v>95</v>
      </c>
      <c r="E60" s="11">
        <f t="shared" si="22"/>
        <v>468.15</v>
      </c>
      <c r="F60" s="92">
        <f t="shared" ref="F60:F63" si="23">E60</f>
        <v>468.15</v>
      </c>
      <c r="G60" s="61"/>
      <c r="H60" s="54" t="s">
        <v>37</v>
      </c>
      <c r="I60" s="54"/>
      <c r="J60" s="55"/>
      <c r="K60" s="11"/>
      <c r="L60" s="53" t="str">
        <f t="shared" si="3"/>
        <v/>
      </c>
      <c r="M60" s="11">
        <v>122.25</v>
      </c>
      <c r="N60" s="11">
        <v>24.57</v>
      </c>
      <c r="O60" s="11">
        <v>12</v>
      </c>
      <c r="P60" s="11">
        <v>10</v>
      </c>
      <c r="Q60" s="11">
        <v>5</v>
      </c>
      <c r="R60" s="11">
        <v>5</v>
      </c>
      <c r="S60" s="11">
        <v>15</v>
      </c>
      <c r="T60" s="11">
        <v>25</v>
      </c>
      <c r="U60" s="11">
        <v>249.33</v>
      </c>
      <c r="V60" s="94" t="s">
        <v>2065</v>
      </c>
      <c r="W60" s="35" t="str">
        <f t="shared" si="2"/>
        <v>OK</v>
      </c>
      <c r="X60" s="38" t="str">
        <f t="shared" si="4"/>
        <v/>
      </c>
      <c r="Y60" s="3"/>
      <c r="Z60" s="116"/>
    </row>
    <row r="61" spans="1:26" ht="15.75" customHeight="1" outlineLevel="1" x14ac:dyDescent="0.3">
      <c r="A61" s="3"/>
      <c r="B61" s="99" t="s">
        <v>491</v>
      </c>
      <c r="C61" s="53">
        <v>1</v>
      </c>
      <c r="D61" s="53" t="s">
        <v>95</v>
      </c>
      <c r="E61" s="11">
        <f t="shared" si="22"/>
        <v>244.82</v>
      </c>
      <c r="F61" s="92">
        <f t="shared" si="23"/>
        <v>244.82</v>
      </c>
      <c r="G61" s="61"/>
      <c r="H61" s="54" t="s">
        <v>37</v>
      </c>
      <c r="I61" s="54"/>
      <c r="J61" s="55"/>
      <c r="K61" s="11"/>
      <c r="L61" s="53" t="str">
        <f t="shared" si="3"/>
        <v/>
      </c>
      <c r="M61" s="11">
        <v>122.25</v>
      </c>
      <c r="N61" s="11">
        <v>24.57</v>
      </c>
      <c r="O61" s="11">
        <v>12</v>
      </c>
      <c r="P61" s="11">
        <v>10</v>
      </c>
      <c r="Q61" s="11">
        <v>5</v>
      </c>
      <c r="R61" s="11">
        <v>5</v>
      </c>
      <c r="S61" s="11">
        <v>15</v>
      </c>
      <c r="T61" s="11">
        <v>25</v>
      </c>
      <c r="U61" s="11">
        <v>26</v>
      </c>
      <c r="V61" s="150" t="s">
        <v>2040</v>
      </c>
      <c r="W61" s="35" t="str">
        <f t="shared" si="2"/>
        <v>OK</v>
      </c>
      <c r="X61" s="38" t="str">
        <f t="shared" si="4"/>
        <v/>
      </c>
      <c r="Y61" s="116"/>
      <c r="Z61" s="116"/>
    </row>
    <row r="62" spans="1:26" ht="15.75" customHeight="1" outlineLevel="1" x14ac:dyDescent="0.3">
      <c r="A62" s="3"/>
      <c r="B62" s="99" t="s">
        <v>492</v>
      </c>
      <c r="C62" s="53">
        <v>1</v>
      </c>
      <c r="D62" s="53" t="s">
        <v>95</v>
      </c>
      <c r="E62" s="11">
        <f t="shared" si="22"/>
        <v>305.77</v>
      </c>
      <c r="F62" s="92">
        <f t="shared" si="23"/>
        <v>305.77</v>
      </c>
      <c r="G62" s="61"/>
      <c r="H62" s="54" t="s">
        <v>37</v>
      </c>
      <c r="I62" s="54"/>
      <c r="J62" s="55"/>
      <c r="K62" s="11"/>
      <c r="L62" s="53" t="str">
        <f t="shared" si="3"/>
        <v/>
      </c>
      <c r="M62" s="11">
        <v>113.43</v>
      </c>
      <c r="N62" s="11">
        <v>24.57</v>
      </c>
      <c r="O62" s="11">
        <v>12</v>
      </c>
      <c r="P62" s="11">
        <v>1.44</v>
      </c>
      <c r="Q62" s="11">
        <v>5</v>
      </c>
      <c r="R62" s="11">
        <v>20</v>
      </c>
      <c r="S62" s="11">
        <v>5</v>
      </c>
      <c r="T62" s="11"/>
      <c r="U62" s="11">
        <v>124.33</v>
      </c>
      <c r="V62" s="94" t="s">
        <v>2049</v>
      </c>
      <c r="W62" s="35" t="str">
        <f t="shared" si="2"/>
        <v>OK</v>
      </c>
      <c r="X62" s="38" t="str">
        <f t="shared" si="4"/>
        <v/>
      </c>
      <c r="Y62" s="3"/>
      <c r="Z62" s="116"/>
    </row>
    <row r="63" spans="1:26" ht="15.75" customHeight="1" outlineLevel="1" x14ac:dyDescent="0.3">
      <c r="A63" s="3"/>
      <c r="B63" s="99" t="s">
        <v>494</v>
      </c>
      <c r="C63" s="53">
        <v>7</v>
      </c>
      <c r="D63" s="53" t="s">
        <v>95</v>
      </c>
      <c r="E63" s="11">
        <f t="shared" si="22"/>
        <v>220.17000000000002</v>
      </c>
      <c r="F63" s="92">
        <f t="shared" si="23"/>
        <v>220.17000000000002</v>
      </c>
      <c r="G63" s="61"/>
      <c r="H63" s="54" t="s">
        <v>37</v>
      </c>
      <c r="I63" s="54"/>
      <c r="J63" s="55"/>
      <c r="K63" s="11"/>
      <c r="L63" s="53" t="str">
        <f t="shared" si="3"/>
        <v/>
      </c>
      <c r="M63" s="11">
        <v>81.93</v>
      </c>
      <c r="N63" s="11">
        <v>24.57</v>
      </c>
      <c r="O63" s="11">
        <v>12</v>
      </c>
      <c r="P63" s="11">
        <v>1.5</v>
      </c>
      <c r="Q63" s="11"/>
      <c r="R63" s="11"/>
      <c r="S63" s="11"/>
      <c r="T63" s="11"/>
      <c r="U63" s="11">
        <v>100.17</v>
      </c>
      <c r="V63" s="94" t="s">
        <v>2066</v>
      </c>
      <c r="W63" s="35" t="str">
        <f t="shared" si="2"/>
        <v>OK</v>
      </c>
      <c r="X63" s="38" t="str">
        <f t="shared" si="4"/>
        <v/>
      </c>
      <c r="Y63" s="3"/>
      <c r="Z63" s="116"/>
    </row>
    <row r="64" spans="1:26" ht="15.75" customHeight="1" outlineLevel="1" x14ac:dyDescent="0.3">
      <c r="A64" s="3"/>
      <c r="B64" s="99" t="s">
        <v>495</v>
      </c>
      <c r="C64" s="53"/>
      <c r="D64" s="53" t="s">
        <v>105</v>
      </c>
      <c r="E64" s="11">
        <f t="shared" si="22"/>
        <v>203</v>
      </c>
      <c r="F64" s="92"/>
      <c r="G64" s="61"/>
      <c r="H64" s="54"/>
      <c r="I64" s="54"/>
      <c r="J64" s="55"/>
      <c r="K64" s="11"/>
      <c r="L64" s="53" t="str">
        <f t="shared" si="3"/>
        <v/>
      </c>
      <c r="M64" s="11">
        <v>13.93</v>
      </c>
      <c r="N64" s="11">
        <v>24.57</v>
      </c>
      <c r="O64" s="11">
        <v>12</v>
      </c>
      <c r="P64" s="11">
        <v>1.5</v>
      </c>
      <c r="Q64" s="11"/>
      <c r="R64" s="11"/>
      <c r="S64" s="11"/>
      <c r="T64" s="11"/>
      <c r="U64" s="11">
        <v>151</v>
      </c>
      <c r="V64" s="94" t="s">
        <v>2041</v>
      </c>
      <c r="W64" s="35" t="str">
        <f t="shared" si="2"/>
        <v>Diferente</v>
      </c>
      <c r="X64" s="38">
        <f t="shared" si="4"/>
        <v>-203</v>
      </c>
      <c r="Y64" s="3"/>
      <c r="Z64" s="116"/>
    </row>
    <row r="65" spans="1:26" ht="15.75" customHeight="1" outlineLevel="1" x14ac:dyDescent="0.3">
      <c r="A65" s="3"/>
      <c r="B65" s="99" t="s">
        <v>496</v>
      </c>
      <c r="C65" s="53"/>
      <c r="D65" s="53" t="s">
        <v>105</v>
      </c>
      <c r="E65" s="11">
        <f t="shared" si="22"/>
        <v>78</v>
      </c>
      <c r="F65" s="92"/>
      <c r="G65" s="61"/>
      <c r="H65" s="54"/>
      <c r="I65" s="54"/>
      <c r="J65" s="55"/>
      <c r="K65" s="11"/>
      <c r="L65" s="53" t="str">
        <f t="shared" si="3"/>
        <v/>
      </c>
      <c r="M65" s="11">
        <v>13.93</v>
      </c>
      <c r="N65" s="11">
        <v>24.57</v>
      </c>
      <c r="O65" s="11">
        <v>12</v>
      </c>
      <c r="P65" s="11">
        <v>1.5</v>
      </c>
      <c r="Q65" s="11"/>
      <c r="R65" s="11"/>
      <c r="S65" s="11"/>
      <c r="T65" s="11"/>
      <c r="U65" s="11">
        <v>26</v>
      </c>
      <c r="V65" s="94" t="s">
        <v>2040</v>
      </c>
      <c r="W65" s="35" t="str">
        <f t="shared" si="2"/>
        <v>Diferente</v>
      </c>
      <c r="X65" s="38">
        <f t="shared" si="4"/>
        <v>-78</v>
      </c>
      <c r="Y65" s="3"/>
      <c r="Z65" s="116"/>
    </row>
    <row r="66" spans="1:26" ht="15.75" customHeight="1" outlineLevel="1" x14ac:dyDescent="0.3">
      <c r="A66" s="3"/>
      <c r="B66" s="99" t="s">
        <v>497</v>
      </c>
      <c r="C66" s="53">
        <v>10</v>
      </c>
      <c r="D66" s="53" t="s">
        <v>95</v>
      </c>
      <c r="E66" s="11">
        <f t="shared" si="22"/>
        <v>217.67000000000002</v>
      </c>
      <c r="F66" s="92">
        <f t="shared" ref="F66:F67" si="24">E66</f>
        <v>217.67000000000002</v>
      </c>
      <c r="G66" s="61"/>
      <c r="H66" s="54" t="s">
        <v>37</v>
      </c>
      <c r="I66" s="54"/>
      <c r="J66" s="55"/>
      <c r="K66" s="11"/>
      <c r="L66" s="53" t="str">
        <f t="shared" si="3"/>
        <v/>
      </c>
      <c r="M66" s="11">
        <v>56.93</v>
      </c>
      <c r="N66" s="11">
        <v>24.57</v>
      </c>
      <c r="O66" s="11">
        <v>12</v>
      </c>
      <c r="P66" s="11">
        <v>1.5</v>
      </c>
      <c r="Q66" s="11">
        <v>5</v>
      </c>
      <c r="R66" s="11"/>
      <c r="S66" s="11"/>
      <c r="T66" s="11"/>
      <c r="U66" s="11">
        <v>117.67</v>
      </c>
      <c r="V66" s="94" t="s">
        <v>2067</v>
      </c>
      <c r="W66" s="35" t="str">
        <f t="shared" si="2"/>
        <v>OK</v>
      </c>
      <c r="X66" s="38" t="str">
        <f t="shared" si="4"/>
        <v/>
      </c>
      <c r="Y66" s="3"/>
      <c r="Z66" s="116"/>
    </row>
    <row r="67" spans="1:26" ht="15.75" customHeight="1" outlineLevel="1" x14ac:dyDescent="0.3">
      <c r="A67" s="3"/>
      <c r="B67" s="99" t="s">
        <v>498</v>
      </c>
      <c r="C67" s="53">
        <v>4</v>
      </c>
      <c r="D67" s="53" t="s">
        <v>95</v>
      </c>
      <c r="E67" s="11">
        <f t="shared" si="22"/>
        <v>309.33</v>
      </c>
      <c r="F67" s="92">
        <f t="shared" si="24"/>
        <v>309.33</v>
      </c>
      <c r="G67" s="61"/>
      <c r="H67" s="54" t="s">
        <v>37</v>
      </c>
      <c r="I67" s="54"/>
      <c r="J67" s="55"/>
      <c r="K67" s="11"/>
      <c r="L67" s="53" t="str">
        <f t="shared" si="3"/>
        <v/>
      </c>
      <c r="M67" s="11">
        <v>148.43</v>
      </c>
      <c r="N67" s="11">
        <v>24.57</v>
      </c>
      <c r="O67" s="11">
        <v>12</v>
      </c>
      <c r="P67" s="11">
        <v>5</v>
      </c>
      <c r="Q67" s="11">
        <v>10</v>
      </c>
      <c r="R67" s="11"/>
      <c r="S67" s="11"/>
      <c r="T67" s="11"/>
      <c r="U67" s="11">
        <v>109.33</v>
      </c>
      <c r="V67" s="94" t="s">
        <v>2058</v>
      </c>
      <c r="W67" s="35" t="str">
        <f t="shared" si="2"/>
        <v>OK</v>
      </c>
      <c r="X67" s="38" t="str">
        <f t="shared" si="4"/>
        <v/>
      </c>
      <c r="Y67" s="3"/>
      <c r="Z67" s="116"/>
    </row>
    <row r="68" spans="1:26" ht="15.75" customHeight="1" outlineLevel="1" x14ac:dyDescent="0.3">
      <c r="A68" s="3"/>
      <c r="B68" s="99" t="s">
        <v>499</v>
      </c>
      <c r="C68" s="53"/>
      <c r="D68" s="53" t="s">
        <v>95</v>
      </c>
      <c r="E68" s="11">
        <f t="shared" si="22"/>
        <v>83.39</v>
      </c>
      <c r="F68" s="92"/>
      <c r="G68" s="61"/>
      <c r="H68" s="54"/>
      <c r="I68" s="54"/>
      <c r="J68" s="55"/>
      <c r="K68" s="11"/>
      <c r="L68" s="53" t="str">
        <f t="shared" si="3"/>
        <v/>
      </c>
      <c r="M68" s="11">
        <v>19.32</v>
      </c>
      <c r="N68" s="11">
        <v>24.57</v>
      </c>
      <c r="O68" s="11">
        <v>12</v>
      </c>
      <c r="P68" s="11">
        <v>1.5</v>
      </c>
      <c r="Q68" s="11"/>
      <c r="R68" s="11"/>
      <c r="S68" s="11"/>
      <c r="T68" s="11"/>
      <c r="U68" s="11">
        <v>26</v>
      </c>
      <c r="V68" s="94" t="s">
        <v>2040</v>
      </c>
      <c r="W68" s="35" t="str">
        <f t="shared" si="2"/>
        <v>Diferente</v>
      </c>
      <c r="X68" s="38">
        <f t="shared" si="4"/>
        <v>-83.39</v>
      </c>
      <c r="Y68" s="3"/>
      <c r="Z68" s="116"/>
    </row>
    <row r="69" spans="1:26" ht="15.75" customHeight="1" outlineLevel="1" x14ac:dyDescent="0.3">
      <c r="A69" s="3"/>
      <c r="B69" s="99" t="s">
        <v>501</v>
      </c>
      <c r="C69" s="53">
        <v>1</v>
      </c>
      <c r="D69" s="53" t="s">
        <v>95</v>
      </c>
      <c r="E69" s="11">
        <f t="shared" si="22"/>
        <v>213.76</v>
      </c>
      <c r="F69" s="92">
        <f t="shared" ref="F69:F74" si="25">E69</f>
        <v>213.76</v>
      </c>
      <c r="G69" s="61"/>
      <c r="H69" s="54" t="s">
        <v>37</v>
      </c>
      <c r="I69" s="54"/>
      <c r="J69" s="55"/>
      <c r="K69" s="11"/>
      <c r="L69" s="53" t="str">
        <f t="shared" si="3"/>
        <v/>
      </c>
      <c r="M69" s="11">
        <v>50.86</v>
      </c>
      <c r="N69" s="11">
        <v>24.57</v>
      </c>
      <c r="O69" s="11">
        <v>12</v>
      </c>
      <c r="P69" s="11">
        <v>2</v>
      </c>
      <c r="Q69" s="11">
        <v>5</v>
      </c>
      <c r="R69" s="11"/>
      <c r="S69" s="11"/>
      <c r="T69" s="11"/>
      <c r="U69" s="11">
        <v>119.33</v>
      </c>
      <c r="V69" s="94" t="s">
        <v>2068</v>
      </c>
      <c r="W69" s="35" t="str">
        <f t="shared" si="2"/>
        <v>OK</v>
      </c>
      <c r="X69" s="38" t="str">
        <f t="shared" si="4"/>
        <v/>
      </c>
      <c r="Y69" s="3"/>
      <c r="Z69" s="116"/>
    </row>
    <row r="70" spans="1:26" ht="15.75" customHeight="1" outlineLevel="1" x14ac:dyDescent="0.3">
      <c r="A70" s="3"/>
      <c r="B70" s="99" t="s">
        <v>502</v>
      </c>
      <c r="C70" s="53">
        <v>1</v>
      </c>
      <c r="D70" s="53" t="s">
        <v>95</v>
      </c>
      <c r="E70" s="11">
        <f t="shared" si="22"/>
        <v>119.57</v>
      </c>
      <c r="F70" s="92">
        <f t="shared" si="25"/>
        <v>119.57</v>
      </c>
      <c r="G70" s="61"/>
      <c r="H70" s="54" t="s">
        <v>37</v>
      </c>
      <c r="I70" s="54"/>
      <c r="J70" s="55"/>
      <c r="K70" s="11"/>
      <c r="L70" s="53" t="str">
        <f t="shared" si="3"/>
        <v/>
      </c>
      <c r="M70" s="11">
        <v>50</v>
      </c>
      <c r="N70" s="11">
        <v>24.57</v>
      </c>
      <c r="O70" s="11">
        <v>12</v>
      </c>
      <c r="P70" s="11">
        <v>2</v>
      </c>
      <c r="Q70" s="11">
        <v>5</v>
      </c>
      <c r="R70" s="11"/>
      <c r="S70" s="11"/>
      <c r="T70" s="11"/>
      <c r="U70" s="11">
        <v>26</v>
      </c>
      <c r="V70" s="94" t="s">
        <v>2040</v>
      </c>
      <c r="W70" s="35" t="str">
        <f t="shared" si="2"/>
        <v>OK</v>
      </c>
      <c r="X70" s="38" t="str">
        <f t="shared" si="4"/>
        <v/>
      </c>
      <c r="Y70" s="3"/>
      <c r="Z70" s="116"/>
    </row>
    <row r="71" spans="1:26" ht="15.75" customHeight="1" outlineLevel="1" x14ac:dyDescent="0.3">
      <c r="A71" s="3"/>
      <c r="B71" s="99" t="s">
        <v>503</v>
      </c>
      <c r="C71" s="53">
        <v>12</v>
      </c>
      <c r="D71" s="53" t="s">
        <v>95</v>
      </c>
      <c r="E71" s="11">
        <f t="shared" si="22"/>
        <v>157.69</v>
      </c>
      <c r="F71" s="92">
        <f t="shared" si="25"/>
        <v>157.69</v>
      </c>
      <c r="G71" s="61"/>
      <c r="H71" s="54" t="s">
        <v>37</v>
      </c>
      <c r="I71" s="54"/>
      <c r="J71" s="55"/>
      <c r="K71" s="11"/>
      <c r="L71" s="53" t="str">
        <f t="shared" si="3"/>
        <v/>
      </c>
      <c r="M71" s="11">
        <v>93.62</v>
      </c>
      <c r="N71" s="11">
        <v>24.57</v>
      </c>
      <c r="O71" s="11">
        <v>12</v>
      </c>
      <c r="P71" s="11">
        <v>1.5</v>
      </c>
      <c r="Q71" s="11"/>
      <c r="R71" s="11"/>
      <c r="S71" s="11"/>
      <c r="T71" s="11"/>
      <c r="U71" s="11">
        <v>26</v>
      </c>
      <c r="V71" s="94" t="s">
        <v>2040</v>
      </c>
      <c r="W71" s="35" t="str">
        <f t="shared" si="2"/>
        <v>OK</v>
      </c>
      <c r="X71" s="38" t="str">
        <f t="shared" si="4"/>
        <v/>
      </c>
      <c r="Y71" s="3"/>
      <c r="Z71" s="116"/>
    </row>
    <row r="72" spans="1:26" ht="15.75" customHeight="1" outlineLevel="1" x14ac:dyDescent="0.3">
      <c r="A72" s="3"/>
      <c r="B72" s="99" t="s">
        <v>504</v>
      </c>
      <c r="C72" s="53">
        <v>12</v>
      </c>
      <c r="D72" s="53" t="s">
        <v>95</v>
      </c>
      <c r="E72" s="11">
        <f t="shared" si="22"/>
        <v>157.69</v>
      </c>
      <c r="F72" s="92">
        <f t="shared" si="25"/>
        <v>157.69</v>
      </c>
      <c r="G72" s="61"/>
      <c r="H72" s="54" t="s">
        <v>37</v>
      </c>
      <c r="I72" s="54"/>
      <c r="J72" s="55"/>
      <c r="K72" s="11"/>
      <c r="L72" s="53" t="str">
        <f t="shared" si="3"/>
        <v/>
      </c>
      <c r="M72" s="11">
        <v>93.62</v>
      </c>
      <c r="N72" s="11">
        <v>24.57</v>
      </c>
      <c r="O72" s="11">
        <v>12</v>
      </c>
      <c r="P72" s="11">
        <v>1.5</v>
      </c>
      <c r="Q72" s="11"/>
      <c r="R72" s="11"/>
      <c r="S72" s="11"/>
      <c r="T72" s="11"/>
      <c r="U72" s="11">
        <v>26</v>
      </c>
      <c r="V72" s="94" t="s">
        <v>2040</v>
      </c>
      <c r="W72" s="35" t="str">
        <f t="shared" si="2"/>
        <v>OK</v>
      </c>
      <c r="X72" s="38" t="str">
        <f t="shared" si="4"/>
        <v/>
      </c>
      <c r="Y72" s="3"/>
      <c r="Z72" s="116"/>
    </row>
    <row r="73" spans="1:26" ht="15.75" customHeight="1" outlineLevel="1" x14ac:dyDescent="0.3">
      <c r="A73" s="3"/>
      <c r="B73" s="99" t="s">
        <v>505</v>
      </c>
      <c r="C73" s="53">
        <v>4</v>
      </c>
      <c r="D73" s="53" t="s">
        <v>130</v>
      </c>
      <c r="E73" s="11">
        <f t="shared" si="22"/>
        <v>169.57</v>
      </c>
      <c r="F73" s="92">
        <f t="shared" si="25"/>
        <v>169.57</v>
      </c>
      <c r="G73" s="61" t="s">
        <v>2069</v>
      </c>
      <c r="H73" s="54" t="s">
        <v>37</v>
      </c>
      <c r="I73" s="54"/>
      <c r="J73" s="55"/>
      <c r="K73" s="11"/>
      <c r="L73" s="53" t="str">
        <f t="shared" si="3"/>
        <v/>
      </c>
      <c r="M73" s="11">
        <v>100</v>
      </c>
      <c r="N73" s="11">
        <v>24.57</v>
      </c>
      <c r="O73" s="11">
        <v>12</v>
      </c>
      <c r="P73" s="11">
        <v>2</v>
      </c>
      <c r="Q73" s="11"/>
      <c r="R73" s="11"/>
      <c r="S73" s="11">
        <v>5</v>
      </c>
      <c r="T73" s="11"/>
      <c r="U73" s="11">
        <v>26</v>
      </c>
      <c r="V73" s="94" t="s">
        <v>2040</v>
      </c>
      <c r="W73" s="35" t="str">
        <f t="shared" si="2"/>
        <v>OK</v>
      </c>
      <c r="X73" s="38" t="str">
        <f t="shared" si="4"/>
        <v/>
      </c>
      <c r="Y73" s="3"/>
      <c r="Z73" s="116"/>
    </row>
    <row r="74" spans="1:26" ht="15.75" customHeight="1" outlineLevel="1" x14ac:dyDescent="0.3">
      <c r="A74" s="3"/>
      <c r="B74" s="99" t="s">
        <v>507</v>
      </c>
      <c r="C74" s="53">
        <v>4</v>
      </c>
      <c r="D74" s="53" t="s">
        <v>130</v>
      </c>
      <c r="E74" s="11">
        <f t="shared" si="22"/>
        <v>169.57</v>
      </c>
      <c r="F74" s="92">
        <f t="shared" si="25"/>
        <v>169.57</v>
      </c>
      <c r="G74" s="61" t="s">
        <v>2069</v>
      </c>
      <c r="H74" s="54" t="s">
        <v>37</v>
      </c>
      <c r="I74" s="54"/>
      <c r="J74" s="55"/>
      <c r="K74" s="11"/>
      <c r="L74" s="53" t="str">
        <f t="shared" si="3"/>
        <v/>
      </c>
      <c r="M74" s="11">
        <v>100</v>
      </c>
      <c r="N74" s="11">
        <v>24.57</v>
      </c>
      <c r="O74" s="11">
        <v>12</v>
      </c>
      <c r="P74" s="11">
        <v>2</v>
      </c>
      <c r="Q74" s="11"/>
      <c r="R74" s="11"/>
      <c r="S74" s="11">
        <v>5</v>
      </c>
      <c r="T74" s="11"/>
      <c r="U74" s="11">
        <v>26</v>
      </c>
      <c r="V74" s="94" t="s">
        <v>2040</v>
      </c>
      <c r="W74" s="35" t="str">
        <f t="shared" si="2"/>
        <v>OK</v>
      </c>
      <c r="X74" s="38" t="str">
        <f t="shared" si="4"/>
        <v/>
      </c>
      <c r="Y74" s="3"/>
      <c r="Z74" s="116"/>
    </row>
    <row r="75" spans="1:26" ht="15.75" customHeight="1" outlineLevel="1" x14ac:dyDescent="0.3">
      <c r="A75" s="3"/>
      <c r="B75" s="99" t="s">
        <v>493</v>
      </c>
      <c r="C75" s="53"/>
      <c r="D75" s="53" t="s">
        <v>105</v>
      </c>
      <c r="E75" s="11">
        <f t="shared" si="22"/>
        <v>91.67</v>
      </c>
      <c r="F75" s="92"/>
      <c r="G75" s="61"/>
      <c r="H75" s="54"/>
      <c r="I75" s="54"/>
      <c r="J75" s="55"/>
      <c r="K75" s="11"/>
      <c r="L75" s="53" t="str">
        <f t="shared" si="3"/>
        <v/>
      </c>
      <c r="M75" s="11">
        <v>27.66</v>
      </c>
      <c r="N75" s="11">
        <v>24.57</v>
      </c>
      <c r="O75" s="11">
        <v>12</v>
      </c>
      <c r="P75" s="11">
        <v>1.44</v>
      </c>
      <c r="Q75" s="11"/>
      <c r="R75" s="11"/>
      <c r="S75" s="11"/>
      <c r="T75" s="11"/>
      <c r="U75" s="11">
        <v>26</v>
      </c>
      <c r="V75" s="94" t="s">
        <v>2040</v>
      </c>
      <c r="W75" s="35" t="str">
        <f t="shared" si="2"/>
        <v>Diferente</v>
      </c>
      <c r="X75" s="38">
        <f t="shared" si="4"/>
        <v>-91.67</v>
      </c>
      <c r="Y75" s="3"/>
      <c r="Z75" s="116"/>
    </row>
    <row r="76" spans="1:26" ht="15.75" customHeight="1" outlineLevel="1" x14ac:dyDescent="0.3">
      <c r="A76" s="3"/>
      <c r="B76" s="99" t="s">
        <v>1424</v>
      </c>
      <c r="C76" s="53">
        <v>11</v>
      </c>
      <c r="D76" s="53" t="s">
        <v>95</v>
      </c>
      <c r="E76" s="11">
        <f t="shared" si="22"/>
        <v>291</v>
      </c>
      <c r="F76" s="92">
        <f t="shared" ref="F76:F77" si="26">E76</f>
        <v>291</v>
      </c>
      <c r="G76" s="61"/>
      <c r="H76" s="54" t="s">
        <v>37</v>
      </c>
      <c r="I76" s="54"/>
      <c r="J76" s="55"/>
      <c r="K76" s="11"/>
      <c r="L76" s="53" t="str">
        <f t="shared" si="3"/>
        <v/>
      </c>
      <c r="M76" s="11">
        <v>196.43</v>
      </c>
      <c r="N76" s="11">
        <v>24.57</v>
      </c>
      <c r="O76" s="11">
        <v>12</v>
      </c>
      <c r="P76" s="11">
        <v>2</v>
      </c>
      <c r="Q76" s="11"/>
      <c r="R76" s="11"/>
      <c r="S76" s="11">
        <v>5</v>
      </c>
      <c r="T76" s="11">
        <v>10</v>
      </c>
      <c r="U76" s="11">
        <v>41</v>
      </c>
      <c r="V76" s="94" t="s">
        <v>2048</v>
      </c>
      <c r="W76" s="35" t="str">
        <f t="shared" si="2"/>
        <v>OK</v>
      </c>
      <c r="X76" s="38" t="str">
        <f t="shared" si="4"/>
        <v/>
      </c>
      <c r="Y76" s="3"/>
      <c r="Z76" s="116"/>
    </row>
    <row r="77" spans="1:26" ht="15.75" customHeight="1" outlineLevel="1" x14ac:dyDescent="0.3">
      <c r="A77" s="3"/>
      <c r="B77" s="99" t="s">
        <v>1425</v>
      </c>
      <c r="C77" s="53">
        <v>11</v>
      </c>
      <c r="D77" s="53" t="s">
        <v>95</v>
      </c>
      <c r="E77" s="11">
        <f t="shared" si="22"/>
        <v>173.19</v>
      </c>
      <c r="F77" s="92">
        <f t="shared" si="26"/>
        <v>173.19</v>
      </c>
      <c r="G77" s="61"/>
      <c r="H77" s="54" t="s">
        <v>37</v>
      </c>
      <c r="I77" s="54"/>
      <c r="J77" s="55"/>
      <c r="K77" s="11"/>
      <c r="L77" s="53" t="str">
        <f t="shared" si="3"/>
        <v/>
      </c>
      <c r="M77" s="11">
        <v>93.62</v>
      </c>
      <c r="N77" s="11">
        <v>24.57</v>
      </c>
      <c r="O77" s="11">
        <v>12</v>
      </c>
      <c r="P77" s="11">
        <v>2</v>
      </c>
      <c r="Q77" s="11"/>
      <c r="R77" s="11"/>
      <c r="S77" s="11">
        <v>0</v>
      </c>
      <c r="T77" s="11">
        <v>0</v>
      </c>
      <c r="U77" s="11">
        <v>41</v>
      </c>
      <c r="V77" s="94" t="s">
        <v>2048</v>
      </c>
      <c r="W77" s="35" t="str">
        <f t="shared" si="2"/>
        <v>OK</v>
      </c>
      <c r="X77" s="38" t="str">
        <f t="shared" si="4"/>
        <v/>
      </c>
      <c r="Y77" s="3"/>
      <c r="Z77" s="116"/>
    </row>
    <row r="78" spans="1:26" ht="15.75" customHeight="1" outlineLevel="1" x14ac:dyDescent="0.3">
      <c r="A78" s="3"/>
      <c r="B78" s="99" t="s">
        <v>509</v>
      </c>
      <c r="C78" s="53"/>
      <c r="D78" s="53" t="s">
        <v>105</v>
      </c>
      <c r="E78" s="11">
        <f t="shared" si="22"/>
        <v>238</v>
      </c>
      <c r="F78" s="92"/>
      <c r="G78" s="61"/>
      <c r="H78" s="54"/>
      <c r="I78" s="54"/>
      <c r="J78" s="55"/>
      <c r="K78" s="11"/>
      <c r="L78" s="53" t="str">
        <f t="shared" si="3"/>
        <v/>
      </c>
      <c r="M78" s="11">
        <v>138.43</v>
      </c>
      <c r="N78" s="11">
        <v>24.57</v>
      </c>
      <c r="O78" s="11">
        <v>12</v>
      </c>
      <c r="P78" s="11">
        <v>2</v>
      </c>
      <c r="Q78" s="11">
        <v>5</v>
      </c>
      <c r="R78" s="11">
        <v>5</v>
      </c>
      <c r="S78" s="11">
        <v>10</v>
      </c>
      <c r="T78" s="11"/>
      <c r="U78" s="11">
        <v>41</v>
      </c>
      <c r="V78" s="94" t="s">
        <v>2048</v>
      </c>
      <c r="W78" s="35" t="str">
        <f t="shared" si="2"/>
        <v>Diferente</v>
      </c>
      <c r="X78" s="38">
        <f t="shared" si="4"/>
        <v>-238</v>
      </c>
      <c r="Y78" s="3"/>
      <c r="Z78" s="116"/>
    </row>
    <row r="79" spans="1:26" ht="15.75" customHeight="1" outlineLevel="1" x14ac:dyDescent="0.3">
      <c r="A79" s="3"/>
      <c r="B79" s="99" t="s">
        <v>510</v>
      </c>
      <c r="C79" s="53"/>
      <c r="D79" s="53" t="s">
        <v>105</v>
      </c>
      <c r="E79" s="11">
        <f t="shared" si="22"/>
        <v>223</v>
      </c>
      <c r="F79" s="92"/>
      <c r="G79" s="61"/>
      <c r="H79" s="54"/>
      <c r="I79" s="54"/>
      <c r="J79" s="55"/>
      <c r="K79" s="11"/>
      <c r="L79" s="53" t="str">
        <f t="shared" si="3"/>
        <v/>
      </c>
      <c r="M79" s="11">
        <v>138.43</v>
      </c>
      <c r="N79" s="11">
        <v>24.57</v>
      </c>
      <c r="O79" s="11">
        <v>12</v>
      </c>
      <c r="P79" s="11">
        <v>2</v>
      </c>
      <c r="Q79" s="11">
        <v>5</v>
      </c>
      <c r="R79" s="11">
        <v>5</v>
      </c>
      <c r="S79" s="11">
        <v>10</v>
      </c>
      <c r="T79" s="11"/>
      <c r="U79" s="11">
        <v>26</v>
      </c>
      <c r="V79" s="94" t="s">
        <v>2040</v>
      </c>
      <c r="W79" s="35" t="str">
        <f t="shared" si="2"/>
        <v>Diferente</v>
      </c>
      <c r="X79" s="38">
        <f t="shared" si="4"/>
        <v>-223</v>
      </c>
      <c r="Y79" s="3"/>
      <c r="Z79" s="116"/>
    </row>
    <row r="80" spans="1:26" ht="15.75" customHeight="1" outlineLevel="1" x14ac:dyDescent="0.3">
      <c r="A80" s="3"/>
      <c r="B80" s="99" t="s">
        <v>513</v>
      </c>
      <c r="C80" s="53">
        <v>3</v>
      </c>
      <c r="D80" s="53" t="s">
        <v>95</v>
      </c>
      <c r="E80" s="11">
        <f t="shared" si="22"/>
        <v>189.57</v>
      </c>
      <c r="F80" s="92">
        <f t="shared" ref="F80:F86" si="27">E80</f>
        <v>189.57</v>
      </c>
      <c r="G80" s="61"/>
      <c r="H80" s="54" t="s">
        <v>37</v>
      </c>
      <c r="I80" s="54"/>
      <c r="J80" s="55"/>
      <c r="K80" s="11"/>
      <c r="L80" s="53" t="str">
        <f t="shared" si="3"/>
        <v/>
      </c>
      <c r="M80" s="11">
        <v>120</v>
      </c>
      <c r="N80" s="11">
        <v>24.57</v>
      </c>
      <c r="O80" s="11">
        <v>12</v>
      </c>
      <c r="P80" s="11">
        <v>2</v>
      </c>
      <c r="Q80" s="11"/>
      <c r="R80" s="11"/>
      <c r="S80" s="11">
        <v>5</v>
      </c>
      <c r="T80" s="11"/>
      <c r="U80" s="11">
        <v>26</v>
      </c>
      <c r="V80" s="94" t="s">
        <v>2040</v>
      </c>
      <c r="W80" s="35" t="str">
        <f t="shared" si="2"/>
        <v>OK</v>
      </c>
      <c r="X80" s="38" t="str">
        <f t="shared" si="4"/>
        <v/>
      </c>
      <c r="Y80" s="3"/>
      <c r="Z80" s="116"/>
    </row>
    <row r="81" spans="1:26" ht="15.75" customHeight="1" outlineLevel="1" x14ac:dyDescent="0.3">
      <c r="A81" s="3"/>
      <c r="B81" s="99" t="s">
        <v>514</v>
      </c>
      <c r="C81" s="53">
        <v>3</v>
      </c>
      <c r="D81" s="53" t="s">
        <v>95</v>
      </c>
      <c r="E81" s="11">
        <f t="shared" si="22"/>
        <v>204.57</v>
      </c>
      <c r="F81" s="92">
        <f t="shared" si="27"/>
        <v>204.57</v>
      </c>
      <c r="G81" s="61"/>
      <c r="H81" s="54" t="s">
        <v>37</v>
      </c>
      <c r="I81" s="54"/>
      <c r="J81" s="55"/>
      <c r="K81" s="11"/>
      <c r="L81" s="53" t="str">
        <f t="shared" si="3"/>
        <v/>
      </c>
      <c r="M81" s="11">
        <v>120</v>
      </c>
      <c r="N81" s="11">
        <v>24.57</v>
      </c>
      <c r="O81" s="11">
        <v>12</v>
      </c>
      <c r="P81" s="11">
        <v>2</v>
      </c>
      <c r="Q81" s="11"/>
      <c r="R81" s="11"/>
      <c r="S81" s="11">
        <v>5</v>
      </c>
      <c r="T81" s="11"/>
      <c r="U81" s="11">
        <v>41</v>
      </c>
      <c r="V81" s="94" t="s">
        <v>2048</v>
      </c>
      <c r="W81" s="35" t="str">
        <f t="shared" si="2"/>
        <v>OK</v>
      </c>
      <c r="X81" s="38" t="str">
        <f t="shared" si="4"/>
        <v/>
      </c>
      <c r="Y81" s="3"/>
      <c r="Z81" s="116"/>
    </row>
    <row r="82" spans="1:26" ht="15.75" customHeight="1" outlineLevel="1" x14ac:dyDescent="0.3">
      <c r="A82" s="3"/>
      <c r="B82" s="99" t="s">
        <v>515</v>
      </c>
      <c r="C82" s="53">
        <v>18</v>
      </c>
      <c r="D82" s="53" t="s">
        <v>95</v>
      </c>
      <c r="E82" s="11">
        <f t="shared" si="22"/>
        <v>178</v>
      </c>
      <c r="F82" s="92">
        <f t="shared" si="27"/>
        <v>178</v>
      </c>
      <c r="G82" s="61"/>
      <c r="H82" s="54" t="s">
        <v>37</v>
      </c>
      <c r="I82" s="54"/>
      <c r="J82" s="55"/>
      <c r="K82" s="11"/>
      <c r="L82" s="53">
        <f t="shared" si="3"/>
        <v>1</v>
      </c>
      <c r="M82" s="11">
        <v>108.43</v>
      </c>
      <c r="N82" s="11">
        <v>24.57</v>
      </c>
      <c r="O82" s="11">
        <v>12</v>
      </c>
      <c r="P82" s="11">
        <v>2</v>
      </c>
      <c r="Q82" s="11"/>
      <c r="R82" s="11"/>
      <c r="S82" s="11">
        <v>5</v>
      </c>
      <c r="T82" s="11"/>
      <c r="U82" s="11">
        <v>26</v>
      </c>
      <c r="V82" s="94" t="s">
        <v>2040</v>
      </c>
      <c r="W82" s="35" t="str">
        <f t="shared" si="2"/>
        <v>OK</v>
      </c>
      <c r="X82" s="38" t="str">
        <f t="shared" si="4"/>
        <v/>
      </c>
      <c r="Y82" s="3"/>
      <c r="Z82" s="116"/>
    </row>
    <row r="83" spans="1:26" ht="15.75" customHeight="1" outlineLevel="1" x14ac:dyDescent="0.3">
      <c r="A83" s="3"/>
      <c r="B83" s="99" t="s">
        <v>516</v>
      </c>
      <c r="C83" s="53">
        <v>3</v>
      </c>
      <c r="D83" s="53" t="s">
        <v>95</v>
      </c>
      <c r="E83" s="11">
        <f t="shared" si="22"/>
        <v>202.5</v>
      </c>
      <c r="F83" s="92">
        <f t="shared" si="27"/>
        <v>202.5</v>
      </c>
      <c r="G83" s="61"/>
      <c r="H83" s="54" t="s">
        <v>37</v>
      </c>
      <c r="I83" s="54"/>
      <c r="J83" s="55"/>
      <c r="K83" s="11"/>
      <c r="L83" s="53" t="str">
        <f t="shared" si="3"/>
        <v/>
      </c>
      <c r="M83" s="11">
        <v>88.43</v>
      </c>
      <c r="N83" s="11">
        <v>24.57</v>
      </c>
      <c r="O83" s="11">
        <v>12</v>
      </c>
      <c r="P83" s="11">
        <v>1.5</v>
      </c>
      <c r="Q83" s="11"/>
      <c r="R83" s="11"/>
      <c r="S83" s="11"/>
      <c r="T83" s="11"/>
      <c r="U83" s="11">
        <v>76</v>
      </c>
      <c r="V83" s="94" t="s">
        <v>2070</v>
      </c>
      <c r="W83" s="35" t="str">
        <f t="shared" si="2"/>
        <v>OK</v>
      </c>
      <c r="X83" s="38" t="str">
        <f t="shared" si="4"/>
        <v/>
      </c>
      <c r="Y83" s="3"/>
      <c r="Z83" s="116"/>
    </row>
    <row r="84" spans="1:26" ht="15.75" customHeight="1" outlineLevel="1" x14ac:dyDescent="0.3">
      <c r="A84" s="3"/>
      <c r="B84" s="99" t="s">
        <v>517</v>
      </c>
      <c r="C84" s="53">
        <v>3</v>
      </c>
      <c r="D84" s="53" t="s">
        <v>95</v>
      </c>
      <c r="E84" s="11">
        <f t="shared" si="22"/>
        <v>300</v>
      </c>
      <c r="F84" s="92">
        <f t="shared" si="27"/>
        <v>300</v>
      </c>
      <c r="G84" s="61"/>
      <c r="H84" s="54" t="s">
        <v>37</v>
      </c>
      <c r="I84" s="54"/>
      <c r="J84" s="55"/>
      <c r="K84" s="11"/>
      <c r="L84" s="53" t="str">
        <f t="shared" si="3"/>
        <v/>
      </c>
      <c r="M84" s="11">
        <v>88.43</v>
      </c>
      <c r="N84" s="11">
        <v>24.57</v>
      </c>
      <c r="O84" s="11">
        <v>12</v>
      </c>
      <c r="P84" s="11">
        <v>1.5</v>
      </c>
      <c r="Q84" s="11"/>
      <c r="R84" s="11"/>
      <c r="S84" s="11"/>
      <c r="T84" s="11"/>
      <c r="U84" s="11">
        <v>173.5</v>
      </c>
      <c r="V84" s="94" t="s">
        <v>2071</v>
      </c>
      <c r="W84" s="35" t="str">
        <f t="shared" si="2"/>
        <v>OK</v>
      </c>
      <c r="X84" s="38" t="str">
        <f t="shared" si="4"/>
        <v/>
      </c>
      <c r="Y84" s="3"/>
      <c r="Z84" s="116"/>
    </row>
    <row r="85" spans="1:26" ht="15.75" customHeight="1" outlineLevel="1" x14ac:dyDescent="0.3">
      <c r="A85" s="3"/>
      <c r="B85" s="99" t="s">
        <v>518</v>
      </c>
      <c r="C85" s="53">
        <v>10</v>
      </c>
      <c r="D85" s="53" t="s">
        <v>95</v>
      </c>
      <c r="E85" s="11">
        <f t="shared" si="22"/>
        <v>277.13</v>
      </c>
      <c r="F85" s="92">
        <f t="shared" si="27"/>
        <v>277.13</v>
      </c>
      <c r="G85" s="61"/>
      <c r="H85" s="54" t="s">
        <v>37</v>
      </c>
      <c r="I85" s="54"/>
      <c r="J85" s="55"/>
      <c r="K85" s="11"/>
      <c r="L85" s="53" t="str">
        <f t="shared" si="3"/>
        <v/>
      </c>
      <c r="M85" s="11">
        <v>93.93</v>
      </c>
      <c r="N85" s="11">
        <v>24.57</v>
      </c>
      <c r="O85" s="11">
        <v>12</v>
      </c>
      <c r="P85" s="11">
        <v>1.5</v>
      </c>
      <c r="Q85" s="11">
        <v>5</v>
      </c>
      <c r="R85" s="11"/>
      <c r="S85" s="11">
        <v>10</v>
      </c>
      <c r="T85" s="11"/>
      <c r="U85" s="11">
        <v>130.13</v>
      </c>
      <c r="V85" s="94" t="s">
        <v>2072</v>
      </c>
      <c r="W85" s="35" t="str">
        <f t="shared" si="2"/>
        <v>OK</v>
      </c>
      <c r="X85" s="38" t="str">
        <f t="shared" si="4"/>
        <v/>
      </c>
      <c r="Y85" s="3"/>
      <c r="Z85" s="116"/>
    </row>
    <row r="86" spans="1:26" ht="15.75" customHeight="1" outlineLevel="1" x14ac:dyDescent="0.3">
      <c r="A86" s="3"/>
      <c r="B86" s="99" t="s">
        <v>519</v>
      </c>
      <c r="C86" s="53">
        <v>17</v>
      </c>
      <c r="D86" s="53" t="s">
        <v>95</v>
      </c>
      <c r="E86" s="11">
        <f t="shared" si="22"/>
        <v>320</v>
      </c>
      <c r="F86" s="92">
        <f t="shared" si="27"/>
        <v>320</v>
      </c>
      <c r="G86" s="61"/>
      <c r="H86" s="54" t="s">
        <v>37</v>
      </c>
      <c r="I86" s="54"/>
      <c r="J86" s="55"/>
      <c r="K86" s="11"/>
      <c r="L86" s="53">
        <f t="shared" si="3"/>
        <v>1</v>
      </c>
      <c r="M86" s="11">
        <f>108.43+0.33</f>
        <v>108.76</v>
      </c>
      <c r="N86" s="11">
        <v>24.57</v>
      </c>
      <c r="O86" s="11">
        <v>12</v>
      </c>
      <c r="P86" s="11">
        <v>2</v>
      </c>
      <c r="Q86" s="11"/>
      <c r="R86" s="11"/>
      <c r="S86" s="11">
        <v>5</v>
      </c>
      <c r="T86" s="11"/>
      <c r="U86" s="11">
        <v>167.67</v>
      </c>
      <c r="V86" s="94" t="s">
        <v>2073</v>
      </c>
      <c r="W86" s="35" t="str">
        <f t="shared" si="2"/>
        <v>OK</v>
      </c>
      <c r="X86" s="38" t="str">
        <f t="shared" si="4"/>
        <v/>
      </c>
      <c r="Y86" s="3"/>
      <c r="Z86" s="116"/>
    </row>
    <row r="87" spans="1:26" ht="15.75" customHeight="1" outlineLevel="1" x14ac:dyDescent="0.3">
      <c r="A87" s="3"/>
      <c r="B87" s="99" t="s">
        <v>524</v>
      </c>
      <c r="C87" s="53">
        <v>5</v>
      </c>
      <c r="D87" s="53" t="s">
        <v>130</v>
      </c>
      <c r="E87" s="11">
        <v>150.17000000000002</v>
      </c>
      <c r="F87" s="92">
        <f>SUM(M87:U87)</f>
        <v>108.5</v>
      </c>
      <c r="G87" s="61" t="s">
        <v>2069</v>
      </c>
      <c r="H87" s="54" t="s">
        <v>37</v>
      </c>
      <c r="I87" s="54"/>
      <c r="J87" s="55"/>
      <c r="K87" s="11"/>
      <c r="L87" s="53" t="str">
        <f t="shared" si="3"/>
        <v/>
      </c>
      <c r="M87" s="11">
        <v>13.43</v>
      </c>
      <c r="N87" s="11">
        <v>24.57</v>
      </c>
      <c r="O87" s="11">
        <v>12</v>
      </c>
      <c r="P87" s="11"/>
      <c r="Q87" s="11"/>
      <c r="R87" s="11"/>
      <c r="S87" s="11"/>
      <c r="T87" s="11"/>
      <c r="U87" s="11">
        <f>100.17-41.67</f>
        <v>58.5</v>
      </c>
      <c r="V87" s="94" t="s">
        <v>2066</v>
      </c>
      <c r="W87" s="35" t="str">
        <f t="shared" si="2"/>
        <v>OK</v>
      </c>
      <c r="X87" s="38" t="str">
        <f t="shared" si="4"/>
        <v/>
      </c>
      <c r="Y87" s="3"/>
      <c r="Z87" s="116"/>
    </row>
    <row r="88" spans="1:26" ht="15.75" customHeight="1" outlineLevel="1" x14ac:dyDescent="0.3">
      <c r="A88" s="3"/>
      <c r="B88" s="99" t="s">
        <v>520</v>
      </c>
      <c r="C88" s="53">
        <v>10</v>
      </c>
      <c r="D88" s="53" t="s">
        <v>95</v>
      </c>
      <c r="E88" s="11">
        <f>SUM(M88:U88)</f>
        <v>226</v>
      </c>
      <c r="F88" s="92">
        <f>E88</f>
        <v>226</v>
      </c>
      <c r="G88" s="61"/>
      <c r="H88" s="54" t="s">
        <v>37</v>
      </c>
      <c r="I88" s="54"/>
      <c r="J88" s="55"/>
      <c r="K88" s="11"/>
      <c r="L88" s="53" t="str">
        <f t="shared" si="3"/>
        <v/>
      </c>
      <c r="M88" s="11">
        <v>113.43</v>
      </c>
      <c r="N88" s="11">
        <v>24.57</v>
      </c>
      <c r="O88" s="11">
        <v>12</v>
      </c>
      <c r="P88" s="11"/>
      <c r="Q88" s="11"/>
      <c r="R88" s="11"/>
      <c r="S88" s="11"/>
      <c r="T88" s="11"/>
      <c r="U88" s="11">
        <v>76</v>
      </c>
      <c r="V88" s="94" t="s">
        <v>2070</v>
      </c>
      <c r="W88" s="35" t="str">
        <f t="shared" si="2"/>
        <v>OK</v>
      </c>
      <c r="X88" s="38" t="str">
        <f t="shared" si="4"/>
        <v/>
      </c>
      <c r="Y88" s="3"/>
      <c r="Z88" s="116"/>
    </row>
    <row r="89" spans="1:26" ht="15.75" customHeight="1" outlineLevel="1" x14ac:dyDescent="0.3">
      <c r="A89" s="3"/>
      <c r="B89" s="99" t="s">
        <v>521</v>
      </c>
      <c r="C89" s="53">
        <v>25</v>
      </c>
      <c r="D89" s="53" t="s">
        <v>130</v>
      </c>
      <c r="E89" s="11">
        <v>24</v>
      </c>
      <c r="F89" s="92">
        <f>SUM(M89:U89)</f>
        <v>100</v>
      </c>
      <c r="G89" s="61"/>
      <c r="H89" s="54" t="s">
        <v>37</v>
      </c>
      <c r="I89" s="54"/>
      <c r="J89" s="55"/>
      <c r="K89" s="11"/>
      <c r="L89" s="53">
        <f t="shared" si="3"/>
        <v>1</v>
      </c>
      <c r="M89" s="11">
        <f>100-N89-O89</f>
        <v>63.430000000000007</v>
      </c>
      <c r="N89" s="11">
        <v>24.57</v>
      </c>
      <c r="O89" s="11">
        <v>12</v>
      </c>
      <c r="P89" s="11"/>
      <c r="Q89" s="11"/>
      <c r="R89" s="11"/>
      <c r="S89" s="11"/>
      <c r="T89" s="11"/>
      <c r="U89" s="11"/>
      <c r="V89" s="94"/>
      <c r="W89" s="35" t="str">
        <f t="shared" si="2"/>
        <v>OK</v>
      </c>
      <c r="X89" s="38" t="str">
        <f t="shared" si="4"/>
        <v/>
      </c>
      <c r="Y89" s="3"/>
      <c r="Z89" s="116"/>
    </row>
    <row r="90" spans="1:26" ht="15.75" customHeight="1" outlineLevel="1" x14ac:dyDescent="0.3">
      <c r="A90" s="3"/>
      <c r="B90" s="99" t="s">
        <v>523</v>
      </c>
      <c r="C90" s="53">
        <v>7</v>
      </c>
      <c r="D90" s="53" t="s">
        <v>95</v>
      </c>
      <c r="E90" s="11">
        <f t="shared" ref="E90:E91" si="28">SUM(M90:U90)</f>
        <v>266.83000000000004</v>
      </c>
      <c r="F90" s="92">
        <f>E90</f>
        <v>266.83000000000004</v>
      </c>
      <c r="G90" s="61"/>
      <c r="H90" s="54" t="s">
        <v>37</v>
      </c>
      <c r="I90" s="54"/>
      <c r="J90" s="55"/>
      <c r="K90" s="11"/>
      <c r="L90" s="53" t="str">
        <f t="shared" si="3"/>
        <v/>
      </c>
      <c r="M90" s="11">
        <v>88.43</v>
      </c>
      <c r="N90" s="11">
        <v>24.57</v>
      </c>
      <c r="O90" s="11">
        <v>12</v>
      </c>
      <c r="P90" s="11"/>
      <c r="Q90" s="11"/>
      <c r="R90" s="11"/>
      <c r="S90" s="11"/>
      <c r="T90" s="11"/>
      <c r="U90" s="11">
        <v>141.83000000000001</v>
      </c>
      <c r="V90" s="94" t="s">
        <v>2074</v>
      </c>
      <c r="W90" s="35" t="str">
        <f t="shared" si="2"/>
        <v>OK</v>
      </c>
      <c r="X90" s="38" t="str">
        <f t="shared" si="4"/>
        <v/>
      </c>
      <c r="Y90" s="3"/>
      <c r="Z90" s="116"/>
    </row>
    <row r="91" spans="1:26" ht="15.75" customHeight="1" outlineLevel="1" x14ac:dyDescent="0.3">
      <c r="A91" s="3"/>
      <c r="B91" s="99" t="s">
        <v>527</v>
      </c>
      <c r="C91" s="53"/>
      <c r="D91" s="53" t="s">
        <v>105</v>
      </c>
      <c r="E91" s="11">
        <f t="shared" si="28"/>
        <v>132.67000000000002</v>
      </c>
      <c r="F91" s="92"/>
      <c r="G91" s="61"/>
      <c r="H91" s="54"/>
      <c r="I91" s="54"/>
      <c r="J91" s="55"/>
      <c r="K91" s="11"/>
      <c r="L91" s="53" t="str">
        <f t="shared" si="3"/>
        <v/>
      </c>
      <c r="M91" s="11">
        <v>26.43</v>
      </c>
      <c r="N91" s="11">
        <v>24.57</v>
      </c>
      <c r="O91" s="11">
        <v>12</v>
      </c>
      <c r="P91" s="11">
        <v>2</v>
      </c>
      <c r="Q91" s="11"/>
      <c r="R91" s="11"/>
      <c r="S91" s="11"/>
      <c r="T91" s="11"/>
      <c r="U91" s="11">
        <v>67.67</v>
      </c>
      <c r="V91" s="94" t="s">
        <v>2061</v>
      </c>
      <c r="W91" s="35" t="str">
        <f t="shared" si="2"/>
        <v>Diferente</v>
      </c>
      <c r="X91" s="38">
        <f t="shared" si="4"/>
        <v>-132.67000000000002</v>
      </c>
      <c r="Y91" s="3"/>
      <c r="Z91" s="116"/>
    </row>
    <row r="92" spans="1:26" ht="15.75" customHeight="1" outlineLevel="1" x14ac:dyDescent="0.3">
      <c r="A92" s="3"/>
      <c r="B92" s="99" t="s">
        <v>528</v>
      </c>
      <c r="C92" s="53"/>
      <c r="D92" s="53" t="s">
        <v>95</v>
      </c>
      <c r="E92" s="11"/>
      <c r="F92" s="92"/>
      <c r="G92" s="61"/>
      <c r="H92" s="54"/>
      <c r="I92" s="54"/>
      <c r="J92" s="55"/>
      <c r="K92" s="11"/>
      <c r="L92" s="53" t="str">
        <f t="shared" si="3"/>
        <v/>
      </c>
      <c r="M92" s="11"/>
      <c r="N92" s="11"/>
      <c r="O92" s="11"/>
      <c r="P92" s="11"/>
      <c r="Q92" s="11"/>
      <c r="R92" s="11"/>
      <c r="S92" s="11"/>
      <c r="T92" s="11"/>
      <c r="U92" s="11"/>
      <c r="V92" s="94" t="s">
        <v>2048</v>
      </c>
      <c r="W92" s="35" t="str">
        <f t="shared" si="2"/>
        <v>OK</v>
      </c>
      <c r="X92" s="38" t="str">
        <f t="shared" si="4"/>
        <v/>
      </c>
      <c r="Y92" s="3"/>
      <c r="Z92" s="116"/>
    </row>
    <row r="93" spans="1:26" ht="15.75" customHeight="1" outlineLevel="1" x14ac:dyDescent="0.3">
      <c r="A93" s="3"/>
      <c r="B93" s="99" t="s">
        <v>1890</v>
      </c>
      <c r="C93" s="53"/>
      <c r="D93" s="53" t="s">
        <v>95</v>
      </c>
      <c r="E93" s="11"/>
      <c r="F93" s="92"/>
      <c r="G93" s="61"/>
      <c r="H93" s="54"/>
      <c r="I93" s="54"/>
      <c r="J93" s="55"/>
      <c r="K93" s="11"/>
      <c r="L93" s="53" t="str">
        <f t="shared" si="3"/>
        <v/>
      </c>
      <c r="M93" s="11"/>
      <c r="N93" s="11"/>
      <c r="O93" s="11"/>
      <c r="P93" s="11"/>
      <c r="Q93" s="11"/>
      <c r="R93" s="11"/>
      <c r="S93" s="11"/>
      <c r="T93" s="11"/>
      <c r="U93" s="11"/>
      <c r="V93" s="94"/>
      <c r="W93" s="35" t="str">
        <f t="shared" si="2"/>
        <v>OK</v>
      </c>
      <c r="X93" s="38" t="str">
        <f t="shared" si="4"/>
        <v/>
      </c>
      <c r="Y93" s="3"/>
      <c r="Z93" s="116"/>
    </row>
    <row r="94" spans="1:26" ht="15.75" customHeight="1" outlineLevel="1" x14ac:dyDescent="0.3">
      <c r="A94" s="3"/>
      <c r="B94" s="99" t="s">
        <v>713</v>
      </c>
      <c r="C94" s="53">
        <v>10</v>
      </c>
      <c r="D94" s="53" t="s">
        <v>95</v>
      </c>
      <c r="E94" s="11">
        <f t="shared" ref="E94:E109" si="29">SUM(M94:U94)</f>
        <v>179.32999999999998</v>
      </c>
      <c r="F94" s="92">
        <f t="shared" ref="F94:F109" si="30">E94</f>
        <v>179.32999999999998</v>
      </c>
      <c r="G94" s="61"/>
      <c r="H94" s="54" t="s">
        <v>37</v>
      </c>
      <c r="I94" s="54"/>
      <c r="J94" s="55"/>
      <c r="K94" s="11"/>
      <c r="L94" s="53" t="str">
        <f t="shared" si="3"/>
        <v/>
      </c>
      <c r="M94" s="11">
        <v>31.43</v>
      </c>
      <c r="N94" s="11">
        <v>24.57</v>
      </c>
      <c r="O94" s="11">
        <v>12</v>
      </c>
      <c r="P94" s="11">
        <v>2</v>
      </c>
      <c r="Q94" s="11"/>
      <c r="R94" s="11"/>
      <c r="S94" s="11"/>
      <c r="T94" s="11"/>
      <c r="U94" s="11">
        <v>109.33</v>
      </c>
      <c r="V94" s="94" t="s">
        <v>2058</v>
      </c>
      <c r="W94" s="35" t="str">
        <f t="shared" si="2"/>
        <v>OK</v>
      </c>
      <c r="X94" s="38" t="str">
        <f t="shared" si="4"/>
        <v/>
      </c>
      <c r="Y94" s="3"/>
      <c r="Z94" s="116"/>
    </row>
    <row r="95" spans="1:26" ht="15.75" customHeight="1" outlineLevel="1" x14ac:dyDescent="0.3">
      <c r="A95" s="3"/>
      <c r="B95" s="99" t="s">
        <v>2075</v>
      </c>
      <c r="C95" s="71">
        <v>10</v>
      </c>
      <c r="D95" s="53" t="s">
        <v>95</v>
      </c>
      <c r="E95" s="11">
        <f t="shared" si="29"/>
        <v>70</v>
      </c>
      <c r="F95" s="92">
        <f t="shared" si="30"/>
        <v>70</v>
      </c>
      <c r="G95" s="61"/>
      <c r="H95" s="54" t="s">
        <v>37</v>
      </c>
      <c r="I95" s="54"/>
      <c r="J95" s="55"/>
      <c r="K95" s="11"/>
      <c r="L95" s="53" t="str">
        <f t="shared" si="3"/>
        <v/>
      </c>
      <c r="M95" s="11">
        <v>31.43</v>
      </c>
      <c r="N95" s="11">
        <v>24.57</v>
      </c>
      <c r="O95" s="11">
        <v>12</v>
      </c>
      <c r="P95" s="11">
        <v>2</v>
      </c>
      <c r="Q95" s="11"/>
      <c r="R95" s="11"/>
      <c r="S95" s="11"/>
      <c r="T95" s="11"/>
      <c r="U95" s="11"/>
      <c r="V95" s="94"/>
      <c r="W95" s="35" t="str">
        <f t="shared" si="2"/>
        <v>OK</v>
      </c>
      <c r="X95" s="38" t="str">
        <f t="shared" si="4"/>
        <v/>
      </c>
      <c r="Y95" s="3"/>
      <c r="Z95" s="116"/>
    </row>
    <row r="96" spans="1:26" ht="15.75" customHeight="1" outlineLevel="1" x14ac:dyDescent="0.3">
      <c r="A96" s="3"/>
      <c r="B96" s="99" t="s">
        <v>896</v>
      </c>
      <c r="C96" s="53">
        <v>14</v>
      </c>
      <c r="D96" s="53" t="s">
        <v>95</v>
      </c>
      <c r="E96" s="11">
        <f t="shared" si="29"/>
        <v>338.9</v>
      </c>
      <c r="F96" s="92">
        <f t="shared" si="30"/>
        <v>338.9</v>
      </c>
      <c r="G96" s="61"/>
      <c r="H96" s="54" t="s">
        <v>37</v>
      </c>
      <c r="I96" s="54"/>
      <c r="J96" s="55"/>
      <c r="K96" s="11"/>
      <c r="L96" s="53">
        <f t="shared" si="3"/>
        <v>1</v>
      </c>
      <c r="M96" s="11">
        <v>94</v>
      </c>
      <c r="N96" s="11">
        <v>24.57</v>
      </c>
      <c r="O96" s="11">
        <v>12</v>
      </c>
      <c r="P96" s="11">
        <v>0</v>
      </c>
      <c r="Q96" s="11"/>
      <c r="R96" s="11"/>
      <c r="S96" s="11"/>
      <c r="T96" s="11"/>
      <c r="U96" s="11">
        <v>208.33</v>
      </c>
      <c r="V96" s="94" t="s">
        <v>2076</v>
      </c>
      <c r="W96" s="35" t="str">
        <f t="shared" si="2"/>
        <v>OK</v>
      </c>
      <c r="X96" s="38" t="str">
        <f t="shared" si="4"/>
        <v/>
      </c>
      <c r="Y96" s="3"/>
      <c r="Z96" s="116"/>
    </row>
    <row r="97" spans="1:26" ht="15.75" customHeight="1" outlineLevel="1" x14ac:dyDescent="0.3">
      <c r="A97" s="3"/>
      <c r="B97" s="99" t="s">
        <v>897</v>
      </c>
      <c r="C97" s="53">
        <v>14</v>
      </c>
      <c r="D97" s="53" t="s">
        <v>95</v>
      </c>
      <c r="E97" s="11">
        <f t="shared" si="29"/>
        <v>156.57</v>
      </c>
      <c r="F97" s="92">
        <f t="shared" si="30"/>
        <v>156.57</v>
      </c>
      <c r="G97" s="61"/>
      <c r="H97" s="54" t="s">
        <v>37</v>
      </c>
      <c r="I97" s="54"/>
      <c r="J97" s="55"/>
      <c r="K97" s="11"/>
      <c r="L97" s="53">
        <f t="shared" si="3"/>
        <v>1</v>
      </c>
      <c r="M97" s="11">
        <v>94</v>
      </c>
      <c r="N97" s="11">
        <v>24.57</v>
      </c>
      <c r="O97" s="11">
        <v>12</v>
      </c>
      <c r="P97" s="11">
        <v>0</v>
      </c>
      <c r="Q97" s="11"/>
      <c r="R97" s="11"/>
      <c r="S97" s="11"/>
      <c r="T97" s="11"/>
      <c r="U97" s="11">
        <v>26</v>
      </c>
      <c r="V97" s="94" t="s">
        <v>2040</v>
      </c>
      <c r="W97" s="35" t="str">
        <f t="shared" si="2"/>
        <v>OK</v>
      </c>
      <c r="X97" s="38" t="str">
        <f t="shared" si="4"/>
        <v/>
      </c>
      <c r="Y97" s="3"/>
      <c r="Z97" s="116"/>
    </row>
    <row r="98" spans="1:26" ht="15.75" customHeight="1" outlineLevel="1" x14ac:dyDescent="0.3">
      <c r="A98" s="3"/>
      <c r="B98" s="99" t="s">
        <v>1317</v>
      </c>
      <c r="C98" s="53">
        <v>1</v>
      </c>
      <c r="D98" s="53" t="s">
        <v>95</v>
      </c>
      <c r="E98" s="11">
        <f t="shared" si="29"/>
        <v>132.80000000000001</v>
      </c>
      <c r="F98" s="92">
        <f t="shared" si="30"/>
        <v>132.80000000000001</v>
      </c>
      <c r="G98" s="61"/>
      <c r="H98" s="54" t="s">
        <v>37</v>
      </c>
      <c r="I98" s="54"/>
      <c r="J98" s="55"/>
      <c r="K98" s="11"/>
      <c r="L98" s="53" t="str">
        <f t="shared" si="3"/>
        <v/>
      </c>
      <c r="M98" s="11">
        <v>68.23</v>
      </c>
      <c r="N98" s="11">
        <v>24.57</v>
      </c>
      <c r="O98" s="11">
        <v>12</v>
      </c>
      <c r="P98" s="11">
        <v>2</v>
      </c>
      <c r="Q98" s="11"/>
      <c r="R98" s="11"/>
      <c r="S98" s="11"/>
      <c r="T98" s="11"/>
      <c r="U98" s="11">
        <v>26</v>
      </c>
      <c r="V98" s="94" t="s">
        <v>2040</v>
      </c>
      <c r="W98" s="35" t="str">
        <f t="shared" si="2"/>
        <v>OK</v>
      </c>
      <c r="X98" s="38" t="str">
        <f t="shared" si="4"/>
        <v/>
      </c>
      <c r="Y98" s="3"/>
      <c r="Z98" s="3"/>
    </row>
    <row r="99" spans="1:26" ht="15.75" customHeight="1" outlineLevel="1" x14ac:dyDescent="0.3">
      <c r="A99" s="3"/>
      <c r="B99" s="99" t="s">
        <v>1319</v>
      </c>
      <c r="C99" s="53">
        <v>7</v>
      </c>
      <c r="D99" s="53" t="s">
        <v>95</v>
      </c>
      <c r="E99" s="11">
        <f t="shared" si="29"/>
        <v>210</v>
      </c>
      <c r="F99" s="92">
        <f t="shared" si="30"/>
        <v>210</v>
      </c>
      <c r="G99" s="61"/>
      <c r="H99" s="54" t="s">
        <v>37</v>
      </c>
      <c r="I99" s="54"/>
      <c r="J99" s="55"/>
      <c r="K99" s="53"/>
      <c r="L99" s="53" t="str">
        <f t="shared" si="3"/>
        <v/>
      </c>
      <c r="M99" s="11">
        <f>93.43+4</f>
        <v>97.43</v>
      </c>
      <c r="N99" s="11">
        <v>24.57</v>
      </c>
      <c r="O99" s="11">
        <v>12</v>
      </c>
      <c r="P99" s="11">
        <v>0</v>
      </c>
      <c r="Q99" s="11"/>
      <c r="R99" s="11"/>
      <c r="S99" s="11"/>
      <c r="T99" s="11"/>
      <c r="U99" s="11">
        <v>76</v>
      </c>
      <c r="V99" s="94" t="s">
        <v>2077</v>
      </c>
      <c r="W99" s="35" t="str">
        <f t="shared" si="2"/>
        <v>OK</v>
      </c>
      <c r="X99" s="38" t="str">
        <f t="shared" si="4"/>
        <v/>
      </c>
      <c r="Y99" s="3"/>
      <c r="Z99" s="3"/>
    </row>
    <row r="100" spans="1:26" ht="15.75" customHeight="1" outlineLevel="1" x14ac:dyDescent="0.3">
      <c r="A100" s="3"/>
      <c r="B100" s="99" t="s">
        <v>487</v>
      </c>
      <c r="C100" s="53">
        <v>1</v>
      </c>
      <c r="D100" s="53" t="s">
        <v>95</v>
      </c>
      <c r="E100" s="11">
        <f t="shared" si="29"/>
        <v>122</v>
      </c>
      <c r="F100" s="92">
        <f t="shared" si="30"/>
        <v>122</v>
      </c>
      <c r="G100" s="61"/>
      <c r="H100" s="54" t="s">
        <v>37</v>
      </c>
      <c r="I100" s="54"/>
      <c r="J100" s="55"/>
      <c r="K100" s="53"/>
      <c r="L100" s="53" t="str">
        <f t="shared" si="3"/>
        <v/>
      </c>
      <c r="M100" s="11">
        <v>33.43</v>
      </c>
      <c r="N100" s="11">
        <v>24.57</v>
      </c>
      <c r="O100" s="11">
        <v>12</v>
      </c>
      <c r="P100" s="11">
        <v>0</v>
      </c>
      <c r="Q100" s="11"/>
      <c r="R100" s="11"/>
      <c r="S100" s="11"/>
      <c r="T100" s="11"/>
      <c r="U100" s="11">
        <v>52</v>
      </c>
      <c r="V100" s="94" t="s">
        <v>2078</v>
      </c>
      <c r="W100" s="35" t="str">
        <f t="shared" si="2"/>
        <v>OK</v>
      </c>
      <c r="X100" s="38" t="str">
        <f t="shared" si="4"/>
        <v/>
      </c>
      <c r="Y100" s="3"/>
      <c r="Z100" s="3"/>
    </row>
    <row r="101" spans="1:26" ht="15.75" customHeight="1" outlineLevel="1" x14ac:dyDescent="0.3">
      <c r="A101" s="3"/>
      <c r="B101" s="99" t="s">
        <v>1428</v>
      </c>
      <c r="C101" s="53">
        <v>3</v>
      </c>
      <c r="D101" s="53" t="s">
        <v>95</v>
      </c>
      <c r="E101" s="11">
        <f t="shared" si="29"/>
        <v>166</v>
      </c>
      <c r="F101" s="92">
        <f t="shared" si="30"/>
        <v>166</v>
      </c>
      <c r="G101" s="61"/>
      <c r="H101" s="54" t="s">
        <v>37</v>
      </c>
      <c r="I101" s="54"/>
      <c r="J101" s="55"/>
      <c r="K101" s="53"/>
      <c r="L101" s="53" t="str">
        <f t="shared" si="3"/>
        <v/>
      </c>
      <c r="M101" s="11">
        <v>88.43</v>
      </c>
      <c r="N101" s="11">
        <v>24.57</v>
      </c>
      <c r="O101" s="11">
        <v>12</v>
      </c>
      <c r="P101" s="11">
        <v>0</v>
      </c>
      <c r="Q101" s="11"/>
      <c r="R101" s="11"/>
      <c r="S101" s="11"/>
      <c r="T101" s="11"/>
      <c r="U101" s="11">
        <v>41</v>
      </c>
      <c r="V101" s="94" t="s">
        <v>2048</v>
      </c>
      <c r="W101" s="35" t="str">
        <f t="shared" si="2"/>
        <v>OK</v>
      </c>
      <c r="X101" s="38" t="str">
        <f t="shared" si="4"/>
        <v/>
      </c>
      <c r="Y101" s="3"/>
      <c r="Z101" s="3"/>
    </row>
    <row r="102" spans="1:26" ht="15.75" customHeight="1" outlineLevel="1" x14ac:dyDescent="0.3">
      <c r="A102" s="3"/>
      <c r="B102" s="99" t="s">
        <v>1429</v>
      </c>
      <c r="C102" s="53">
        <v>3</v>
      </c>
      <c r="D102" s="53" t="s">
        <v>95</v>
      </c>
      <c r="E102" s="11">
        <f t="shared" si="29"/>
        <v>151</v>
      </c>
      <c r="F102" s="92">
        <f t="shared" si="30"/>
        <v>151</v>
      </c>
      <c r="G102" s="61"/>
      <c r="H102" s="54" t="s">
        <v>37</v>
      </c>
      <c r="I102" s="54"/>
      <c r="J102" s="55"/>
      <c r="K102" s="53"/>
      <c r="L102" s="53" t="str">
        <f t="shared" si="3"/>
        <v/>
      </c>
      <c r="M102" s="11">
        <v>88.43</v>
      </c>
      <c r="N102" s="11">
        <v>24.57</v>
      </c>
      <c r="O102" s="11">
        <v>12</v>
      </c>
      <c r="P102" s="11">
        <v>0</v>
      </c>
      <c r="Q102" s="11"/>
      <c r="R102" s="11"/>
      <c r="S102" s="11"/>
      <c r="T102" s="11"/>
      <c r="U102" s="11">
        <v>26</v>
      </c>
      <c r="V102" s="94" t="s">
        <v>2040</v>
      </c>
      <c r="W102" s="35" t="str">
        <f t="shared" si="2"/>
        <v>OK</v>
      </c>
      <c r="X102" s="38" t="str">
        <f t="shared" si="4"/>
        <v/>
      </c>
      <c r="Y102" s="3"/>
      <c r="Z102" s="3"/>
    </row>
    <row r="103" spans="1:26" ht="15.75" customHeight="1" outlineLevel="1" x14ac:dyDescent="0.3">
      <c r="A103" s="3"/>
      <c r="B103" s="99" t="s">
        <v>1430</v>
      </c>
      <c r="C103" s="53">
        <v>4</v>
      </c>
      <c r="D103" s="53" t="s">
        <v>95</v>
      </c>
      <c r="E103" s="11">
        <f t="shared" si="29"/>
        <v>122</v>
      </c>
      <c r="F103" s="11">
        <f t="shared" si="30"/>
        <v>122</v>
      </c>
      <c r="G103" s="61"/>
      <c r="H103" s="54" t="s">
        <v>37</v>
      </c>
      <c r="I103" s="54"/>
      <c r="J103" s="55"/>
      <c r="K103" s="53"/>
      <c r="L103" s="53" t="str">
        <f t="shared" si="3"/>
        <v/>
      </c>
      <c r="M103" s="11">
        <v>33.43</v>
      </c>
      <c r="N103" s="11">
        <v>24.57</v>
      </c>
      <c r="O103" s="11">
        <v>12</v>
      </c>
      <c r="P103" s="11">
        <v>0</v>
      </c>
      <c r="Q103" s="11"/>
      <c r="R103" s="11"/>
      <c r="S103" s="11"/>
      <c r="T103" s="11"/>
      <c r="U103" s="11">
        <v>52</v>
      </c>
      <c r="V103" s="94" t="s">
        <v>2078</v>
      </c>
      <c r="W103" s="35" t="str">
        <f t="shared" si="2"/>
        <v>OK</v>
      </c>
      <c r="X103" s="38" t="str">
        <f t="shared" si="4"/>
        <v/>
      </c>
      <c r="Y103" s="3"/>
      <c r="Z103" s="3"/>
    </row>
    <row r="104" spans="1:26" ht="15.75" customHeight="1" outlineLevel="1" x14ac:dyDescent="0.3">
      <c r="A104" s="3"/>
      <c r="B104" s="99" t="s">
        <v>1740</v>
      </c>
      <c r="C104" s="53">
        <v>8</v>
      </c>
      <c r="D104" s="53" t="s">
        <v>95</v>
      </c>
      <c r="E104" s="11">
        <f t="shared" si="29"/>
        <v>316.66999999999996</v>
      </c>
      <c r="F104" s="11">
        <f t="shared" si="30"/>
        <v>316.66999999999996</v>
      </c>
      <c r="G104" s="61"/>
      <c r="H104" s="54" t="s">
        <v>37</v>
      </c>
      <c r="I104" s="54"/>
      <c r="J104" s="55"/>
      <c r="K104" s="53"/>
      <c r="L104" s="53" t="str">
        <f t="shared" si="3"/>
        <v/>
      </c>
      <c r="M104" s="11">
        <v>113.43</v>
      </c>
      <c r="N104" s="11">
        <v>24.57</v>
      </c>
      <c r="O104" s="11">
        <v>12</v>
      </c>
      <c r="P104" s="11">
        <v>0</v>
      </c>
      <c r="Q104" s="11"/>
      <c r="R104" s="11"/>
      <c r="S104" s="11"/>
      <c r="T104" s="11"/>
      <c r="U104" s="11">
        <v>166.67</v>
      </c>
      <c r="V104" s="94" t="s">
        <v>2079</v>
      </c>
      <c r="W104" s="35" t="str">
        <f t="shared" si="2"/>
        <v>OK</v>
      </c>
      <c r="X104" s="38" t="str">
        <f t="shared" si="4"/>
        <v/>
      </c>
      <c r="Y104" s="3"/>
      <c r="Z104" s="3"/>
    </row>
    <row r="105" spans="1:26" ht="15.75" customHeight="1" outlineLevel="1" x14ac:dyDescent="0.3">
      <c r="A105" s="3"/>
      <c r="B105" s="99" t="s">
        <v>1741</v>
      </c>
      <c r="C105" s="53">
        <v>8</v>
      </c>
      <c r="D105" s="53" t="s">
        <v>95</v>
      </c>
      <c r="E105" s="11">
        <f t="shared" si="29"/>
        <v>150</v>
      </c>
      <c r="F105" s="11">
        <f t="shared" si="30"/>
        <v>150</v>
      </c>
      <c r="G105" s="61"/>
      <c r="H105" s="54" t="s">
        <v>37</v>
      </c>
      <c r="I105" s="54"/>
      <c r="J105" s="55"/>
      <c r="K105" s="53"/>
      <c r="L105" s="53" t="str">
        <f t="shared" si="3"/>
        <v/>
      </c>
      <c r="M105" s="11">
        <v>113.43</v>
      </c>
      <c r="N105" s="11">
        <v>24.57</v>
      </c>
      <c r="O105" s="11">
        <v>12</v>
      </c>
      <c r="P105" s="11">
        <v>0</v>
      </c>
      <c r="Q105" s="11"/>
      <c r="R105" s="11"/>
      <c r="S105" s="11"/>
      <c r="T105" s="11"/>
      <c r="U105" s="11"/>
      <c r="V105" s="94"/>
      <c r="W105" s="35" t="str">
        <f t="shared" si="2"/>
        <v>OK</v>
      </c>
      <c r="X105" s="38" t="str">
        <f t="shared" si="4"/>
        <v/>
      </c>
      <c r="Y105" s="3"/>
      <c r="Z105" s="3"/>
    </row>
    <row r="106" spans="1:26" ht="15.75" customHeight="1" outlineLevel="1" x14ac:dyDescent="0.3">
      <c r="A106" s="3"/>
      <c r="B106" s="99" t="s">
        <v>1742</v>
      </c>
      <c r="C106" s="53">
        <v>1</v>
      </c>
      <c r="D106" s="53" t="s">
        <v>95</v>
      </c>
      <c r="E106" s="11">
        <f t="shared" si="29"/>
        <v>178</v>
      </c>
      <c r="F106" s="11">
        <f t="shared" si="30"/>
        <v>178</v>
      </c>
      <c r="G106" s="58"/>
      <c r="H106" s="54" t="s">
        <v>37</v>
      </c>
      <c r="I106" s="54"/>
      <c r="J106" s="55" t="s">
        <v>97</v>
      </c>
      <c r="K106" s="53"/>
      <c r="L106" s="53" t="str">
        <f t="shared" si="3"/>
        <v/>
      </c>
      <c r="M106" s="11">
        <v>113.43</v>
      </c>
      <c r="N106" s="11">
        <v>24.57</v>
      </c>
      <c r="O106" s="11">
        <v>12</v>
      </c>
      <c r="P106" s="11">
        <v>0</v>
      </c>
      <c r="Q106" s="11"/>
      <c r="R106" s="11"/>
      <c r="S106" s="11"/>
      <c r="T106" s="11"/>
      <c r="U106" s="11">
        <v>28</v>
      </c>
      <c r="V106" s="94" t="s">
        <v>2040</v>
      </c>
      <c r="W106" s="35" t="str">
        <f t="shared" si="2"/>
        <v>OK</v>
      </c>
      <c r="X106" s="38" t="str">
        <f t="shared" si="4"/>
        <v/>
      </c>
      <c r="Y106" s="3"/>
      <c r="Z106" s="3"/>
    </row>
    <row r="107" spans="1:26" ht="15.75" customHeight="1" outlineLevel="1" x14ac:dyDescent="0.3">
      <c r="A107" s="3"/>
      <c r="B107" s="99" t="s">
        <v>2080</v>
      </c>
      <c r="C107" s="53">
        <v>7</v>
      </c>
      <c r="D107" s="53" t="s">
        <v>95</v>
      </c>
      <c r="E107" s="11">
        <f t="shared" si="29"/>
        <v>100</v>
      </c>
      <c r="F107" s="11">
        <f t="shared" si="30"/>
        <v>100</v>
      </c>
      <c r="G107" s="58"/>
      <c r="H107" s="54" t="s">
        <v>37</v>
      </c>
      <c r="I107" s="54"/>
      <c r="J107" s="55" t="s">
        <v>97</v>
      </c>
      <c r="K107" s="53"/>
      <c r="L107" s="53" t="str">
        <f t="shared" si="3"/>
        <v/>
      </c>
      <c r="M107" s="11">
        <v>63.43</v>
      </c>
      <c r="N107" s="11">
        <v>24.57</v>
      </c>
      <c r="O107" s="11">
        <v>12</v>
      </c>
      <c r="P107" s="11">
        <v>0</v>
      </c>
      <c r="Q107" s="11"/>
      <c r="R107" s="11"/>
      <c r="S107" s="11"/>
      <c r="T107" s="11"/>
      <c r="U107" s="11"/>
      <c r="V107" s="53"/>
      <c r="W107" s="35" t="str">
        <f t="shared" si="2"/>
        <v>OK</v>
      </c>
      <c r="X107" s="38" t="str">
        <f t="shared" si="4"/>
        <v/>
      </c>
      <c r="Y107" s="3"/>
      <c r="Z107" s="3"/>
    </row>
    <row r="108" spans="1:26" ht="15.75" customHeight="1" outlineLevel="1" x14ac:dyDescent="0.3">
      <c r="A108" s="3"/>
      <c r="B108" s="99" t="s">
        <v>1896</v>
      </c>
      <c r="C108" s="53">
        <v>13</v>
      </c>
      <c r="D108" s="53" t="s">
        <v>95</v>
      </c>
      <c r="E108" s="11">
        <f t="shared" si="29"/>
        <v>120</v>
      </c>
      <c r="F108" s="11">
        <f t="shared" si="30"/>
        <v>120</v>
      </c>
      <c r="G108" s="58"/>
      <c r="H108" s="54" t="s">
        <v>37</v>
      </c>
      <c r="I108" s="54"/>
      <c r="J108" s="55" t="s">
        <v>97</v>
      </c>
      <c r="K108" s="53"/>
      <c r="L108" s="53">
        <f t="shared" si="3"/>
        <v>1</v>
      </c>
      <c r="M108" s="11">
        <v>83.43</v>
      </c>
      <c r="N108" s="11">
        <v>24.57</v>
      </c>
      <c r="O108" s="11">
        <v>12</v>
      </c>
      <c r="P108" s="11">
        <v>0</v>
      </c>
      <c r="Q108" s="11"/>
      <c r="R108" s="11"/>
      <c r="S108" s="11"/>
      <c r="T108" s="11"/>
      <c r="U108" s="11"/>
      <c r="V108" s="53"/>
      <c r="W108" s="35" t="str">
        <f t="shared" si="2"/>
        <v>OK</v>
      </c>
      <c r="X108" s="38" t="str">
        <f t="shared" si="4"/>
        <v/>
      </c>
      <c r="Y108" s="3"/>
      <c r="Z108" s="3"/>
    </row>
    <row r="109" spans="1:26" ht="15.75" customHeight="1" outlineLevel="1" x14ac:dyDescent="0.3">
      <c r="A109" s="3"/>
      <c r="B109" s="99" t="s">
        <v>1895</v>
      </c>
      <c r="C109" s="53">
        <v>4</v>
      </c>
      <c r="D109" s="53" t="s">
        <v>95</v>
      </c>
      <c r="E109" s="11">
        <f t="shared" si="29"/>
        <v>250</v>
      </c>
      <c r="F109" s="11">
        <f t="shared" si="30"/>
        <v>250</v>
      </c>
      <c r="G109" s="58"/>
      <c r="H109" s="54" t="s">
        <v>37</v>
      </c>
      <c r="I109" s="54"/>
      <c r="J109" s="55" t="s">
        <v>97</v>
      </c>
      <c r="K109" s="53"/>
      <c r="L109" s="53" t="str">
        <f t="shared" si="3"/>
        <v/>
      </c>
      <c r="M109" s="11">
        <v>213.43</v>
      </c>
      <c r="N109" s="11">
        <v>24.57</v>
      </c>
      <c r="O109" s="11">
        <v>12</v>
      </c>
      <c r="P109" s="11">
        <v>0</v>
      </c>
      <c r="Q109" s="11"/>
      <c r="R109" s="11"/>
      <c r="S109" s="11"/>
      <c r="T109" s="11"/>
      <c r="U109" s="11"/>
      <c r="V109" s="53"/>
      <c r="W109" s="35" t="str">
        <f t="shared" si="2"/>
        <v>OK</v>
      </c>
      <c r="X109" s="38" t="str">
        <f t="shared" si="4"/>
        <v/>
      </c>
      <c r="Y109" s="3"/>
      <c r="Z109" s="3"/>
    </row>
    <row r="110" spans="1:26" ht="15.75" customHeight="1" outlineLevel="1" x14ac:dyDescent="0.3">
      <c r="A110" s="3"/>
      <c r="B110" s="9"/>
      <c r="C110" s="53"/>
      <c r="D110" s="53"/>
      <c r="E110" s="11"/>
      <c r="F110" s="11"/>
      <c r="G110" s="58"/>
      <c r="H110" s="54"/>
      <c r="I110" s="54"/>
      <c r="J110" s="55" t="s">
        <v>97</v>
      </c>
      <c r="K110" s="53"/>
      <c r="L110" s="53" t="str">
        <f t="shared" si="3"/>
        <v/>
      </c>
      <c r="M110" s="11"/>
      <c r="N110" s="11"/>
      <c r="O110" s="11"/>
      <c r="P110" s="11"/>
      <c r="Q110" s="11"/>
      <c r="R110" s="11"/>
      <c r="S110" s="11"/>
      <c r="T110" s="11"/>
      <c r="U110" s="11"/>
      <c r="V110" s="53"/>
      <c r="W110" s="35" t="str">
        <f t="shared" si="2"/>
        <v>OK</v>
      </c>
      <c r="X110" s="38" t="str">
        <f t="shared" si="4"/>
        <v/>
      </c>
      <c r="Y110" s="3"/>
      <c r="Z110" s="3"/>
    </row>
    <row r="111" spans="1:26" ht="15.75" customHeight="1" outlineLevel="1" x14ac:dyDescent="0.3">
      <c r="A111" s="3"/>
      <c r="B111" s="9"/>
      <c r="C111" s="53"/>
      <c r="D111" s="53"/>
      <c r="E111" s="11"/>
      <c r="F111" s="11"/>
      <c r="G111" s="58"/>
      <c r="H111" s="54"/>
      <c r="I111" s="54"/>
      <c r="J111" s="55" t="s">
        <v>97</v>
      </c>
      <c r="K111" s="53"/>
      <c r="L111" s="53" t="str">
        <f t="shared" si="3"/>
        <v/>
      </c>
      <c r="M111" s="11"/>
      <c r="N111" s="11"/>
      <c r="O111" s="11"/>
      <c r="P111" s="11"/>
      <c r="Q111" s="11"/>
      <c r="R111" s="11"/>
      <c r="S111" s="11"/>
      <c r="T111" s="11"/>
      <c r="U111" s="11"/>
      <c r="V111" s="53"/>
      <c r="W111" s="35" t="str">
        <f t="shared" si="2"/>
        <v>OK</v>
      </c>
      <c r="X111" s="38" t="str">
        <f t="shared" si="4"/>
        <v/>
      </c>
      <c r="Y111" s="3"/>
      <c r="Z111" s="3"/>
    </row>
    <row r="112" spans="1:26" ht="15.75" customHeight="1" outlineLevel="1" x14ac:dyDescent="0.3">
      <c r="A112" s="3"/>
      <c r="B112" s="9"/>
      <c r="C112" s="53"/>
      <c r="D112" s="53"/>
      <c r="E112" s="11"/>
      <c r="F112" s="11"/>
      <c r="G112" s="58"/>
      <c r="H112" s="54"/>
      <c r="I112" s="54"/>
      <c r="J112" s="55" t="s">
        <v>97</v>
      </c>
      <c r="K112" s="53"/>
      <c r="L112" s="53" t="str">
        <f t="shared" si="3"/>
        <v/>
      </c>
      <c r="M112" s="11"/>
      <c r="N112" s="11"/>
      <c r="O112" s="11"/>
      <c r="P112" s="11"/>
      <c r="Q112" s="11"/>
      <c r="R112" s="11"/>
      <c r="S112" s="11"/>
      <c r="T112" s="11"/>
      <c r="U112" s="11"/>
      <c r="V112" s="53"/>
      <c r="W112" s="35" t="str">
        <f t="shared" si="2"/>
        <v>OK</v>
      </c>
      <c r="X112" s="38" t="str">
        <f t="shared" si="4"/>
        <v/>
      </c>
      <c r="Y112" s="3"/>
      <c r="Z112" s="3"/>
    </row>
    <row r="113" spans="1:26" ht="15.75" customHeight="1" outlineLevel="1" x14ac:dyDescent="0.3">
      <c r="A113" s="3"/>
      <c r="B113" s="9"/>
      <c r="C113" s="53"/>
      <c r="D113" s="53"/>
      <c r="E113" s="11"/>
      <c r="F113" s="11"/>
      <c r="G113" s="58"/>
      <c r="H113" s="54"/>
      <c r="I113" s="54"/>
      <c r="J113" s="55" t="s">
        <v>97</v>
      </c>
      <c r="K113" s="53"/>
      <c r="L113" s="53" t="str">
        <f t="shared" si="3"/>
        <v/>
      </c>
      <c r="M113" s="11"/>
      <c r="N113" s="11"/>
      <c r="O113" s="11"/>
      <c r="P113" s="11"/>
      <c r="Q113" s="11"/>
      <c r="R113" s="11"/>
      <c r="S113" s="11"/>
      <c r="T113" s="11"/>
      <c r="U113" s="11"/>
      <c r="V113" s="53"/>
      <c r="W113" s="35" t="str">
        <f t="shared" si="2"/>
        <v>OK</v>
      </c>
      <c r="X113" s="38" t="str">
        <f t="shared" si="4"/>
        <v/>
      </c>
      <c r="Y113" s="3"/>
      <c r="Z113" s="3"/>
    </row>
    <row r="114" spans="1:26" ht="15.75" customHeight="1" outlineLevel="1" x14ac:dyDescent="0.3">
      <c r="A114" s="3"/>
      <c r="B114" s="9"/>
      <c r="C114" s="53"/>
      <c r="D114" s="53"/>
      <c r="E114" s="11"/>
      <c r="F114" s="11"/>
      <c r="G114" s="58"/>
      <c r="H114" s="54"/>
      <c r="I114" s="54"/>
      <c r="J114" s="55" t="s">
        <v>97</v>
      </c>
      <c r="K114" s="53"/>
      <c r="L114" s="53" t="str">
        <f t="shared" si="3"/>
        <v/>
      </c>
      <c r="M114" s="11"/>
      <c r="N114" s="11"/>
      <c r="O114" s="11"/>
      <c r="P114" s="11"/>
      <c r="Q114" s="11"/>
      <c r="R114" s="11"/>
      <c r="S114" s="11"/>
      <c r="T114" s="11"/>
      <c r="U114" s="11"/>
      <c r="V114" s="53"/>
      <c r="W114" s="35" t="str">
        <f t="shared" si="2"/>
        <v>OK</v>
      </c>
      <c r="X114" s="38" t="str">
        <f t="shared" si="4"/>
        <v/>
      </c>
      <c r="Y114" s="3"/>
      <c r="Z114" s="3"/>
    </row>
    <row r="115" spans="1:26" ht="15.75" customHeight="1" outlineLevel="1" x14ac:dyDescent="0.3">
      <c r="A115" s="3"/>
      <c r="B115" s="9"/>
      <c r="C115" s="53"/>
      <c r="D115" s="53"/>
      <c r="E115" s="11"/>
      <c r="F115" s="11"/>
      <c r="G115" s="58"/>
      <c r="H115" s="54"/>
      <c r="I115" s="54"/>
      <c r="J115" s="55" t="s">
        <v>97</v>
      </c>
      <c r="K115" s="53"/>
      <c r="L115" s="53" t="str">
        <f t="shared" si="3"/>
        <v/>
      </c>
      <c r="M115" s="11"/>
      <c r="N115" s="11"/>
      <c r="O115" s="11"/>
      <c r="P115" s="11"/>
      <c r="Q115" s="11"/>
      <c r="R115" s="11"/>
      <c r="S115" s="11"/>
      <c r="T115" s="11"/>
      <c r="U115" s="11"/>
      <c r="V115" s="53"/>
      <c r="W115" s="35" t="str">
        <f t="shared" si="2"/>
        <v>OK</v>
      </c>
      <c r="X115" s="38" t="str">
        <f t="shared" si="4"/>
        <v/>
      </c>
      <c r="Y115" s="3"/>
      <c r="Z115" s="3"/>
    </row>
    <row r="116" spans="1:26" ht="15.75" customHeight="1" outlineLevel="1" x14ac:dyDescent="0.3">
      <c r="A116" s="3"/>
      <c r="B116" s="9"/>
      <c r="C116" s="53"/>
      <c r="D116" s="53"/>
      <c r="E116" s="11"/>
      <c r="F116" s="11"/>
      <c r="G116" s="58"/>
      <c r="H116" s="54"/>
      <c r="I116" s="54"/>
      <c r="J116" s="55" t="s">
        <v>97</v>
      </c>
      <c r="K116" s="53"/>
      <c r="L116" s="53" t="str">
        <f t="shared" si="3"/>
        <v/>
      </c>
      <c r="M116" s="11"/>
      <c r="N116" s="11"/>
      <c r="O116" s="11"/>
      <c r="P116" s="11"/>
      <c r="Q116" s="11"/>
      <c r="R116" s="11"/>
      <c r="S116" s="11"/>
      <c r="T116" s="11"/>
      <c r="U116" s="11"/>
      <c r="V116" s="53"/>
      <c r="W116" s="35" t="str">
        <f t="shared" si="2"/>
        <v>OK</v>
      </c>
      <c r="X116" s="38" t="str">
        <f t="shared" si="4"/>
        <v/>
      </c>
      <c r="Y116" s="3"/>
      <c r="Z116" s="3"/>
    </row>
    <row r="117" spans="1:26" ht="15.75" customHeight="1" outlineLevel="1" x14ac:dyDescent="0.3">
      <c r="A117" s="3"/>
      <c r="B117" s="9"/>
      <c r="C117" s="53"/>
      <c r="D117" s="53"/>
      <c r="E117" s="11"/>
      <c r="F117" s="11"/>
      <c r="G117" s="58"/>
      <c r="H117" s="54"/>
      <c r="I117" s="54"/>
      <c r="J117" s="55" t="s">
        <v>97</v>
      </c>
      <c r="K117" s="53"/>
      <c r="L117" s="53" t="str">
        <f t="shared" si="3"/>
        <v/>
      </c>
      <c r="M117" s="11"/>
      <c r="N117" s="11"/>
      <c r="O117" s="11"/>
      <c r="P117" s="11"/>
      <c r="Q117" s="11"/>
      <c r="R117" s="11"/>
      <c r="S117" s="11"/>
      <c r="T117" s="11"/>
      <c r="U117" s="11"/>
      <c r="V117" s="53"/>
      <c r="W117" s="35" t="str">
        <f t="shared" si="2"/>
        <v>OK</v>
      </c>
      <c r="X117" s="38" t="str">
        <f t="shared" si="4"/>
        <v/>
      </c>
      <c r="Y117" s="3"/>
      <c r="Z117" s="3"/>
    </row>
    <row r="118" spans="1:26" ht="15.75" customHeight="1" outlineLevel="1" x14ac:dyDescent="0.3">
      <c r="A118" s="3"/>
      <c r="B118" s="9"/>
      <c r="C118" s="53"/>
      <c r="D118" s="53"/>
      <c r="E118" s="11"/>
      <c r="F118" s="11"/>
      <c r="G118" s="58"/>
      <c r="H118" s="54"/>
      <c r="I118" s="54"/>
      <c r="J118" s="55"/>
      <c r="K118" s="53"/>
      <c r="L118" s="53" t="str">
        <f t="shared" si="3"/>
        <v/>
      </c>
      <c r="M118" s="11"/>
      <c r="N118" s="11"/>
      <c r="O118" s="11"/>
      <c r="P118" s="11"/>
      <c r="Q118" s="11"/>
      <c r="R118" s="11"/>
      <c r="S118" s="11"/>
      <c r="T118" s="11"/>
      <c r="U118" s="11"/>
      <c r="V118" s="53"/>
      <c r="W118" s="35" t="str">
        <f t="shared" si="2"/>
        <v>OK</v>
      </c>
      <c r="X118" s="38" t="str">
        <f t="shared" si="4"/>
        <v/>
      </c>
      <c r="Y118" s="3"/>
      <c r="Z118" s="3"/>
    </row>
    <row r="119" spans="1:26" ht="15.75" customHeight="1" outlineLevel="1" x14ac:dyDescent="0.3">
      <c r="A119" s="3"/>
      <c r="B119" s="9"/>
      <c r="C119" s="53"/>
      <c r="D119" s="53"/>
      <c r="E119" s="11"/>
      <c r="F119" s="11"/>
      <c r="G119" s="58"/>
      <c r="H119" s="54"/>
      <c r="I119" s="54"/>
      <c r="J119" s="55"/>
      <c r="K119" s="53"/>
      <c r="L119" s="53" t="str">
        <f t="shared" si="3"/>
        <v/>
      </c>
      <c r="M119" s="11"/>
      <c r="N119" s="11"/>
      <c r="O119" s="11"/>
      <c r="P119" s="11"/>
      <c r="Q119" s="11"/>
      <c r="R119" s="11"/>
      <c r="S119" s="11"/>
      <c r="T119" s="11"/>
      <c r="U119" s="11"/>
      <c r="V119" s="53"/>
      <c r="W119" s="35" t="str">
        <f t="shared" si="2"/>
        <v>OK</v>
      </c>
      <c r="X119" s="38" t="str">
        <f t="shared" si="4"/>
        <v/>
      </c>
      <c r="Y119" s="3"/>
      <c r="Z119" s="3"/>
    </row>
    <row r="120" spans="1:26" ht="15.75" customHeight="1" outlineLevel="1" x14ac:dyDescent="0.3">
      <c r="A120" s="3"/>
      <c r="B120" s="9"/>
      <c r="C120" s="53"/>
      <c r="D120" s="53"/>
      <c r="E120" s="11"/>
      <c r="F120" s="11"/>
      <c r="G120" s="58"/>
      <c r="H120" s="54"/>
      <c r="I120" s="54"/>
      <c r="J120" s="55"/>
      <c r="K120" s="53"/>
      <c r="L120" s="53" t="str">
        <f t="shared" si="3"/>
        <v/>
      </c>
      <c r="M120" s="11"/>
      <c r="N120" s="11"/>
      <c r="O120" s="11"/>
      <c r="P120" s="11"/>
      <c r="Q120" s="11"/>
      <c r="R120" s="11"/>
      <c r="S120" s="11"/>
      <c r="T120" s="11"/>
      <c r="U120" s="11"/>
      <c r="V120" s="53"/>
      <c r="W120" s="35" t="str">
        <f t="shared" si="2"/>
        <v>OK</v>
      </c>
      <c r="X120" s="38" t="str">
        <f t="shared" si="4"/>
        <v/>
      </c>
      <c r="Y120" s="3"/>
      <c r="Z120" s="3"/>
    </row>
    <row r="121" spans="1:26" ht="15.75" customHeight="1" outlineLevel="1" x14ac:dyDescent="0.3">
      <c r="A121" s="3"/>
      <c r="B121" s="9"/>
      <c r="C121" s="53"/>
      <c r="D121" s="53"/>
      <c r="E121" s="11"/>
      <c r="F121" s="11"/>
      <c r="G121" s="58"/>
      <c r="H121" s="54"/>
      <c r="I121" s="54"/>
      <c r="J121" s="55"/>
      <c r="K121" s="53"/>
      <c r="L121" s="53" t="str">
        <f t="shared" si="3"/>
        <v/>
      </c>
      <c r="M121" s="11"/>
      <c r="N121" s="11"/>
      <c r="O121" s="11"/>
      <c r="P121" s="11"/>
      <c r="Q121" s="11"/>
      <c r="R121" s="11"/>
      <c r="S121" s="11"/>
      <c r="T121" s="11"/>
      <c r="U121" s="11"/>
      <c r="V121" s="53"/>
      <c r="W121" s="35" t="str">
        <f t="shared" si="2"/>
        <v>OK</v>
      </c>
      <c r="X121" s="38" t="str">
        <f t="shared" si="4"/>
        <v/>
      </c>
      <c r="Y121" s="3"/>
      <c r="Z121" s="3"/>
    </row>
    <row r="122" spans="1:26" ht="15.75" customHeight="1" outlineLevel="1" x14ac:dyDescent="0.3">
      <c r="A122" s="3"/>
      <c r="B122" s="9"/>
      <c r="C122" s="53"/>
      <c r="D122" s="53"/>
      <c r="E122" s="11"/>
      <c r="F122" s="11"/>
      <c r="G122" s="58"/>
      <c r="H122" s="54"/>
      <c r="I122" s="54"/>
      <c r="J122" s="55"/>
      <c r="K122" s="53"/>
      <c r="L122" s="53" t="str">
        <f t="shared" si="3"/>
        <v/>
      </c>
      <c r="M122" s="11"/>
      <c r="N122" s="11"/>
      <c r="O122" s="11"/>
      <c r="P122" s="11"/>
      <c r="Q122" s="11"/>
      <c r="R122" s="11"/>
      <c r="S122" s="11"/>
      <c r="T122" s="11"/>
      <c r="U122" s="11"/>
      <c r="V122" s="53"/>
      <c r="W122" s="35" t="str">
        <f t="shared" si="2"/>
        <v>OK</v>
      </c>
      <c r="X122" s="38" t="str">
        <f t="shared" si="4"/>
        <v/>
      </c>
      <c r="Y122" s="3"/>
      <c r="Z122" s="3"/>
    </row>
    <row r="123" spans="1:26" ht="15.75" customHeight="1" outlineLevel="1" x14ac:dyDescent="0.3">
      <c r="A123" s="3"/>
      <c r="B123" s="9"/>
      <c r="C123" s="53"/>
      <c r="D123" s="53"/>
      <c r="E123" s="11"/>
      <c r="F123" s="11"/>
      <c r="G123" s="58"/>
      <c r="H123" s="54"/>
      <c r="I123" s="54"/>
      <c r="J123" s="55"/>
      <c r="K123" s="53"/>
      <c r="L123" s="53" t="str">
        <f t="shared" si="3"/>
        <v/>
      </c>
      <c r="M123" s="11"/>
      <c r="N123" s="11"/>
      <c r="O123" s="11"/>
      <c r="P123" s="11"/>
      <c r="Q123" s="11"/>
      <c r="R123" s="11"/>
      <c r="S123" s="11"/>
      <c r="T123" s="11"/>
      <c r="U123" s="11"/>
      <c r="V123" s="53"/>
      <c r="W123" s="35" t="str">
        <f t="shared" si="2"/>
        <v>OK</v>
      </c>
      <c r="X123" s="38" t="str">
        <f t="shared" si="4"/>
        <v/>
      </c>
      <c r="Y123" s="3"/>
      <c r="Z123" s="3"/>
    </row>
    <row r="124" spans="1:26" ht="15.75" customHeight="1" outlineLevel="1" x14ac:dyDescent="0.3">
      <c r="A124" s="3"/>
      <c r="B124" s="9"/>
      <c r="C124" s="53"/>
      <c r="D124" s="53"/>
      <c r="E124" s="11"/>
      <c r="F124" s="11"/>
      <c r="G124" s="58"/>
      <c r="H124" s="54"/>
      <c r="I124" s="54"/>
      <c r="J124" s="55"/>
      <c r="K124" s="53"/>
      <c r="L124" s="53" t="str">
        <f t="shared" si="3"/>
        <v/>
      </c>
      <c r="M124" s="11"/>
      <c r="N124" s="11"/>
      <c r="O124" s="11"/>
      <c r="P124" s="11"/>
      <c r="Q124" s="11"/>
      <c r="R124" s="11"/>
      <c r="S124" s="11"/>
      <c r="T124" s="11"/>
      <c r="U124" s="11"/>
      <c r="V124" s="53"/>
      <c r="W124" s="35" t="str">
        <f t="shared" si="2"/>
        <v>OK</v>
      </c>
      <c r="X124" s="38" t="str">
        <f t="shared" si="4"/>
        <v/>
      </c>
      <c r="Y124" s="3"/>
      <c r="Z124" s="3"/>
    </row>
    <row r="125" spans="1:26" ht="19.5" customHeight="1" x14ac:dyDescent="0.3">
      <c r="A125" s="3"/>
      <c r="B125" s="64" t="s">
        <v>63</v>
      </c>
      <c r="C125" s="47" t="s">
        <v>44</v>
      </c>
      <c r="D125" s="47" t="s">
        <v>44</v>
      </c>
      <c r="E125" s="48">
        <f t="shared" ref="E125:F125" si="31">SUM(E126,E129,,E133,E138,E145)</f>
        <v>0</v>
      </c>
      <c r="F125" s="48">
        <f t="shared" si="31"/>
        <v>39641.390000000007</v>
      </c>
      <c r="G125" s="49" t="s">
        <v>44</v>
      </c>
      <c r="H125" s="65"/>
      <c r="I125" s="65"/>
      <c r="J125" s="3"/>
      <c r="K125" s="3"/>
      <c r="L125" s="3"/>
      <c r="M125" s="3"/>
      <c r="N125" s="3"/>
      <c r="O125" s="3"/>
      <c r="P125" s="3"/>
      <c r="Q125" s="3"/>
      <c r="R125" s="3"/>
      <c r="S125" s="3"/>
      <c r="T125" s="3"/>
      <c r="U125" s="3"/>
      <c r="V125" s="3"/>
      <c r="W125" s="35"/>
      <c r="X125" s="32"/>
      <c r="Y125" s="3"/>
      <c r="Z125" s="3"/>
    </row>
    <row r="126" spans="1:26" ht="15.75" hidden="1" customHeight="1" outlineLevel="1" x14ac:dyDescent="0.3">
      <c r="A126" s="3"/>
      <c r="B126" s="66" t="s">
        <v>231</v>
      </c>
      <c r="C126" s="67" t="s">
        <v>44</v>
      </c>
      <c r="D126" s="67" t="s">
        <v>44</v>
      </c>
      <c r="E126" s="68">
        <f>SUM(E127:E128)</f>
        <v>0</v>
      </c>
      <c r="F126" s="68">
        <f>SUMIF(D127:D128,"OK",F127:F128)</f>
        <v>356.93</v>
      </c>
      <c r="G126" s="69" t="s">
        <v>44</v>
      </c>
      <c r="H126" s="70"/>
      <c r="I126" s="70"/>
      <c r="J126" s="3"/>
      <c r="K126" s="3"/>
      <c r="L126" s="3"/>
      <c r="M126" s="3"/>
      <c r="N126" s="3"/>
      <c r="O126" s="3"/>
      <c r="P126" s="3"/>
      <c r="Q126" s="3"/>
      <c r="R126" s="3"/>
      <c r="S126" s="3"/>
      <c r="T126" s="3"/>
      <c r="U126" s="3"/>
      <c r="V126" s="3"/>
      <c r="W126" s="35"/>
      <c r="X126" s="32"/>
      <c r="Y126" s="3"/>
      <c r="Z126" s="3"/>
    </row>
    <row r="127" spans="1:26" ht="15.75" hidden="1" customHeight="1" outlineLevel="1" x14ac:dyDescent="0.3">
      <c r="A127" s="3"/>
      <c r="B127" s="9" t="s">
        <v>232</v>
      </c>
      <c r="C127" s="53">
        <v>5</v>
      </c>
      <c r="D127" s="53" t="s">
        <v>95</v>
      </c>
      <c r="E127" s="11">
        <v>0</v>
      </c>
      <c r="F127" s="11">
        <v>356.93</v>
      </c>
      <c r="G127" s="61"/>
      <c r="H127" s="54" t="s">
        <v>37</v>
      </c>
      <c r="I127" s="54"/>
      <c r="J127" s="3"/>
      <c r="K127" s="3"/>
      <c r="L127" s="3"/>
      <c r="M127" s="3"/>
      <c r="N127" s="3"/>
      <c r="O127" s="3"/>
      <c r="P127" s="3"/>
      <c r="Q127" s="3"/>
      <c r="R127" s="3"/>
      <c r="S127" s="3"/>
      <c r="T127" s="3"/>
      <c r="U127" s="3"/>
      <c r="V127" s="3"/>
      <c r="W127" s="35"/>
      <c r="X127" s="32"/>
      <c r="Y127" s="3"/>
      <c r="Z127" s="3"/>
    </row>
    <row r="128" spans="1:26" ht="15.75" hidden="1" customHeight="1" outlineLevel="1" x14ac:dyDescent="0.3">
      <c r="A128" s="3"/>
      <c r="B128" s="9" t="s">
        <v>62</v>
      </c>
      <c r="C128" s="53"/>
      <c r="D128" s="53"/>
      <c r="E128" s="11">
        <v>0</v>
      </c>
      <c r="F128" s="11">
        <v>0</v>
      </c>
      <c r="G128" s="58"/>
      <c r="H128" s="54"/>
      <c r="I128" s="54"/>
      <c r="J128" s="3"/>
      <c r="K128" s="3"/>
      <c r="L128" s="3"/>
      <c r="M128" s="3"/>
      <c r="N128" s="3"/>
      <c r="O128" s="3"/>
      <c r="P128" s="3"/>
      <c r="Q128" s="3"/>
      <c r="R128" s="3"/>
      <c r="S128" s="3"/>
      <c r="T128" s="3"/>
      <c r="U128" s="3"/>
      <c r="V128" s="3"/>
      <c r="W128" s="35"/>
      <c r="X128" s="32"/>
      <c r="Y128" s="3"/>
      <c r="Z128" s="3"/>
    </row>
    <row r="129" spans="1:26" ht="15.75" hidden="1" customHeight="1" outlineLevel="1" x14ac:dyDescent="0.3">
      <c r="A129" s="3"/>
      <c r="B129" s="66" t="s">
        <v>233</v>
      </c>
      <c r="C129" s="67" t="s">
        <v>44</v>
      </c>
      <c r="D129" s="67" t="s">
        <v>44</v>
      </c>
      <c r="E129" s="68">
        <f>SUM(E130:E132)</f>
        <v>0</v>
      </c>
      <c r="F129" s="68">
        <f>SUMIF(D130:D132,"OK",F130:F132)</f>
        <v>1197.6500000000001</v>
      </c>
      <c r="G129" s="69" t="s">
        <v>44</v>
      </c>
      <c r="H129" s="70"/>
      <c r="I129" s="70"/>
      <c r="J129" s="3"/>
      <c r="K129" s="3"/>
      <c r="L129" s="3"/>
      <c r="M129" s="3"/>
      <c r="N129" s="3"/>
      <c r="O129" s="3"/>
      <c r="P129" s="3"/>
      <c r="Q129" s="3"/>
      <c r="R129" s="3"/>
      <c r="S129" s="3"/>
      <c r="T129" s="3"/>
      <c r="U129" s="3"/>
      <c r="V129" s="3"/>
      <c r="W129" s="35"/>
      <c r="X129" s="32"/>
      <c r="Y129" s="3"/>
      <c r="Z129" s="3"/>
    </row>
    <row r="130" spans="1:26" ht="15.75" hidden="1" customHeight="1" outlineLevel="1" x14ac:dyDescent="0.3">
      <c r="A130" s="3"/>
      <c r="B130" s="9" t="s">
        <v>716</v>
      </c>
      <c r="C130" s="53"/>
      <c r="D130" s="53"/>
      <c r="E130" s="11">
        <v>0</v>
      </c>
      <c r="F130" s="11">
        <v>0</v>
      </c>
      <c r="G130" s="60"/>
      <c r="H130" s="54"/>
      <c r="I130" s="54"/>
      <c r="J130" s="3"/>
      <c r="K130" s="3"/>
      <c r="L130" s="3"/>
      <c r="M130" s="3"/>
      <c r="N130" s="3"/>
      <c r="O130" s="3"/>
      <c r="P130" s="3"/>
      <c r="Q130" s="3"/>
      <c r="R130" s="3"/>
      <c r="S130" s="3"/>
      <c r="T130" s="3"/>
      <c r="U130" s="3"/>
      <c r="V130" s="3"/>
      <c r="W130" s="35"/>
      <c r="X130" s="32"/>
      <c r="Y130" s="3"/>
      <c r="Z130" s="3"/>
    </row>
    <row r="131" spans="1:26" ht="15.75" hidden="1" customHeight="1" outlineLevel="1" x14ac:dyDescent="0.3">
      <c r="A131" s="3"/>
      <c r="B131" s="9" t="s">
        <v>530</v>
      </c>
      <c r="C131" s="53" t="s">
        <v>714</v>
      </c>
      <c r="D131" s="53" t="s">
        <v>95</v>
      </c>
      <c r="E131" s="11">
        <v>0</v>
      </c>
      <c r="F131" s="11">
        <f>809.38+316.62+40</f>
        <v>1166</v>
      </c>
      <c r="G131" s="61"/>
      <c r="H131" s="54" t="s">
        <v>39</v>
      </c>
      <c r="I131" s="54"/>
      <c r="J131" s="3"/>
      <c r="K131" s="3"/>
      <c r="L131" s="3"/>
      <c r="M131" s="3"/>
      <c r="N131" s="3"/>
      <c r="O131" s="3"/>
      <c r="P131" s="3"/>
      <c r="Q131" s="3"/>
      <c r="R131" s="3"/>
      <c r="S131" s="3"/>
      <c r="T131" s="3"/>
      <c r="U131" s="3"/>
      <c r="V131" s="3"/>
      <c r="W131" s="35"/>
      <c r="X131" s="32"/>
      <c r="Y131" s="3"/>
      <c r="Z131" s="3"/>
    </row>
    <row r="132" spans="1:26" ht="15.75" hidden="1" customHeight="1" outlineLevel="1" x14ac:dyDescent="0.3">
      <c r="A132" s="3"/>
      <c r="B132" s="9" t="s">
        <v>533</v>
      </c>
      <c r="C132" s="53" t="s">
        <v>2081</v>
      </c>
      <c r="D132" s="53" t="s">
        <v>95</v>
      </c>
      <c r="E132" s="11">
        <v>0</v>
      </c>
      <c r="F132" s="11">
        <f>19.65+12</f>
        <v>31.65</v>
      </c>
      <c r="G132" s="60"/>
      <c r="H132" s="54" t="s">
        <v>38</v>
      </c>
      <c r="I132" s="54"/>
      <c r="J132" s="3"/>
      <c r="K132" s="3"/>
      <c r="L132" s="3"/>
      <c r="M132" s="3"/>
      <c r="N132" s="3"/>
      <c r="O132" s="3"/>
      <c r="P132" s="3"/>
      <c r="Q132" s="3"/>
      <c r="R132" s="3"/>
      <c r="S132" s="3"/>
      <c r="T132" s="3"/>
      <c r="U132" s="3"/>
      <c r="V132" s="3"/>
      <c r="W132" s="35"/>
      <c r="X132" s="32"/>
      <c r="Y132" s="3"/>
      <c r="Z132" s="3"/>
    </row>
    <row r="133" spans="1:26" ht="15.75" hidden="1" customHeight="1" outlineLevel="1" x14ac:dyDescent="0.3">
      <c r="A133" s="3"/>
      <c r="B133" s="66" t="s">
        <v>652</v>
      </c>
      <c r="C133" s="67" t="s">
        <v>44</v>
      </c>
      <c r="D133" s="67" t="s">
        <v>44</v>
      </c>
      <c r="E133" s="68">
        <f>SUM(E134:E137)</f>
        <v>0</v>
      </c>
      <c r="F133" s="68">
        <f>SUMIF(D134:D137,"OK",F134:F137)</f>
        <v>0</v>
      </c>
      <c r="G133" s="69" t="s">
        <v>44</v>
      </c>
      <c r="H133" s="70"/>
      <c r="I133" s="70"/>
      <c r="J133" s="3"/>
      <c r="K133" s="3"/>
      <c r="L133" s="3"/>
      <c r="M133" s="3"/>
      <c r="N133" s="3"/>
      <c r="O133" s="3"/>
      <c r="P133" s="3"/>
      <c r="Q133" s="3"/>
      <c r="R133" s="3"/>
      <c r="S133" s="3"/>
      <c r="T133" s="3"/>
      <c r="U133" s="3"/>
      <c r="V133" s="3"/>
      <c r="W133" s="35"/>
      <c r="X133" s="32"/>
      <c r="Y133" s="3"/>
      <c r="Z133" s="3"/>
    </row>
    <row r="134" spans="1:26" ht="15.75" hidden="1" customHeight="1" outlineLevel="1" x14ac:dyDescent="0.3">
      <c r="A134" s="3"/>
      <c r="B134" s="9" t="s">
        <v>716</v>
      </c>
      <c r="C134" s="53"/>
      <c r="D134" s="53"/>
      <c r="E134" s="11">
        <v>0</v>
      </c>
      <c r="F134" s="11">
        <v>0</v>
      </c>
      <c r="G134" s="60"/>
      <c r="H134" s="54"/>
      <c r="I134" s="54"/>
      <c r="J134" s="3"/>
      <c r="K134" s="3"/>
      <c r="L134" s="3"/>
      <c r="M134" s="3"/>
      <c r="N134" s="3"/>
      <c r="O134" s="3"/>
      <c r="P134" s="3"/>
      <c r="Q134" s="3"/>
      <c r="R134" s="3"/>
      <c r="S134" s="3"/>
      <c r="T134" s="3"/>
      <c r="U134" s="3"/>
      <c r="V134" s="3"/>
      <c r="W134" s="35"/>
      <c r="X134" s="32"/>
      <c r="Y134" s="3"/>
      <c r="Z134" s="3"/>
    </row>
    <row r="135" spans="1:26" ht="15.75" hidden="1" customHeight="1" outlineLevel="1" x14ac:dyDescent="0.3">
      <c r="A135" s="3"/>
      <c r="B135" s="9" t="s">
        <v>532</v>
      </c>
      <c r="C135" s="53"/>
      <c r="D135" s="53"/>
      <c r="E135" s="11">
        <v>0</v>
      </c>
      <c r="F135" s="11">
        <v>0</v>
      </c>
      <c r="G135" s="61"/>
      <c r="H135" s="54"/>
      <c r="I135" s="54"/>
      <c r="J135" s="3"/>
      <c r="K135" s="3"/>
      <c r="L135" s="3"/>
      <c r="M135" s="3"/>
      <c r="N135" s="3"/>
      <c r="O135" s="3"/>
      <c r="P135" s="3"/>
      <c r="Q135" s="3"/>
      <c r="R135" s="3"/>
      <c r="S135" s="3"/>
      <c r="T135" s="3"/>
      <c r="U135" s="3"/>
      <c r="V135" s="3"/>
      <c r="W135" s="35"/>
      <c r="X135" s="32"/>
      <c r="Y135" s="3"/>
      <c r="Z135" s="3"/>
    </row>
    <row r="136" spans="1:26" ht="15.75" hidden="1" customHeight="1" outlineLevel="1" x14ac:dyDescent="0.3">
      <c r="A136" s="3"/>
      <c r="B136" s="9" t="s">
        <v>533</v>
      </c>
      <c r="C136" s="53"/>
      <c r="D136" s="53"/>
      <c r="E136" s="11">
        <v>0</v>
      </c>
      <c r="F136" s="11">
        <v>0</v>
      </c>
      <c r="G136" s="60"/>
      <c r="H136" s="54"/>
      <c r="I136" s="54"/>
      <c r="J136" s="3"/>
      <c r="K136" s="3"/>
      <c r="L136" s="3"/>
      <c r="M136" s="3"/>
      <c r="N136" s="3"/>
      <c r="O136" s="3"/>
      <c r="P136" s="3"/>
      <c r="Q136" s="3"/>
      <c r="R136" s="3"/>
      <c r="S136" s="3"/>
      <c r="T136" s="3"/>
      <c r="U136" s="3"/>
      <c r="V136" s="3"/>
      <c r="W136" s="35"/>
      <c r="X136" s="32"/>
      <c r="Y136" s="3"/>
      <c r="Z136" s="3"/>
    </row>
    <row r="137" spans="1:26" ht="15.75" hidden="1" customHeight="1" outlineLevel="1" x14ac:dyDescent="0.3">
      <c r="A137" s="3"/>
      <c r="B137" s="9" t="s">
        <v>530</v>
      </c>
      <c r="C137" s="53"/>
      <c r="D137" s="53"/>
      <c r="E137" s="11">
        <v>0</v>
      </c>
      <c r="F137" s="11">
        <v>0</v>
      </c>
      <c r="G137" s="60"/>
      <c r="H137" s="54"/>
      <c r="I137" s="54"/>
      <c r="J137" s="3"/>
      <c r="K137" s="3"/>
      <c r="L137" s="3"/>
      <c r="M137" s="3"/>
      <c r="N137" s="3"/>
      <c r="O137" s="3"/>
      <c r="P137" s="3"/>
      <c r="Q137" s="3"/>
      <c r="R137" s="3"/>
      <c r="S137" s="3"/>
      <c r="T137" s="3"/>
      <c r="U137" s="3"/>
      <c r="V137" s="3"/>
      <c r="W137" s="35"/>
      <c r="X137" s="32"/>
      <c r="Y137" s="3"/>
      <c r="Z137" s="3"/>
    </row>
    <row r="138" spans="1:26" ht="15.75" hidden="1" customHeight="1" outlineLevel="1" x14ac:dyDescent="0.3">
      <c r="A138" s="3"/>
      <c r="B138" s="66" t="s">
        <v>902</v>
      </c>
      <c r="C138" s="67" t="s">
        <v>44</v>
      </c>
      <c r="D138" s="67" t="s">
        <v>44</v>
      </c>
      <c r="E138" s="68">
        <f>SUM(E139:E144)</f>
        <v>0</v>
      </c>
      <c r="F138" s="68">
        <f>SUMIF(D139:D144,"OK",F139:F144)</f>
        <v>0</v>
      </c>
      <c r="G138" s="69" t="s">
        <v>44</v>
      </c>
      <c r="H138" s="70"/>
      <c r="I138" s="70"/>
      <c r="J138" s="3"/>
      <c r="K138" s="3"/>
      <c r="L138" s="3"/>
      <c r="M138" s="3"/>
      <c r="N138" s="3"/>
      <c r="O138" s="3"/>
      <c r="P138" s="3"/>
      <c r="Q138" s="3"/>
      <c r="R138" s="3"/>
      <c r="S138" s="3"/>
      <c r="T138" s="3"/>
      <c r="U138" s="3"/>
      <c r="V138" s="3"/>
      <c r="W138" s="35"/>
      <c r="X138" s="32"/>
      <c r="Y138" s="3"/>
      <c r="Z138" s="3"/>
    </row>
    <row r="139" spans="1:26" ht="15.75" hidden="1" customHeight="1" outlineLevel="1" x14ac:dyDescent="0.3">
      <c r="A139" s="3"/>
      <c r="B139" s="9" t="s">
        <v>1037</v>
      </c>
      <c r="C139" s="53"/>
      <c r="D139" s="53"/>
      <c r="E139" s="11">
        <v>0</v>
      </c>
      <c r="F139" s="11">
        <v>0</v>
      </c>
      <c r="G139" s="58"/>
      <c r="H139" s="54"/>
      <c r="I139" s="54"/>
      <c r="J139" s="3"/>
      <c r="K139" s="3"/>
      <c r="L139" s="3"/>
      <c r="M139" s="3"/>
      <c r="N139" s="3"/>
      <c r="O139" s="3"/>
      <c r="P139" s="3"/>
      <c r="Q139" s="3"/>
      <c r="R139" s="3"/>
      <c r="S139" s="3"/>
      <c r="T139" s="3"/>
      <c r="U139" s="3"/>
      <c r="V139" s="3"/>
      <c r="W139" s="35"/>
      <c r="X139" s="32"/>
      <c r="Y139" s="3"/>
      <c r="Z139" s="3"/>
    </row>
    <row r="140" spans="1:26" ht="15.75" hidden="1" customHeight="1" outlineLevel="1" x14ac:dyDescent="0.3">
      <c r="A140" s="3"/>
      <c r="B140" s="9" t="s">
        <v>905</v>
      </c>
      <c r="C140" s="53"/>
      <c r="D140" s="53"/>
      <c r="E140" s="11">
        <v>0</v>
      </c>
      <c r="F140" s="11">
        <v>0</v>
      </c>
      <c r="G140" s="58"/>
      <c r="H140" s="54"/>
      <c r="I140" s="54"/>
      <c r="J140" s="3"/>
      <c r="K140" s="3"/>
      <c r="L140" s="3"/>
      <c r="M140" s="3"/>
      <c r="N140" s="3"/>
      <c r="O140" s="3"/>
      <c r="P140" s="3"/>
      <c r="Q140" s="3"/>
      <c r="R140" s="3"/>
      <c r="S140" s="3"/>
      <c r="T140" s="3"/>
      <c r="U140" s="3"/>
      <c r="V140" s="3"/>
      <c r="W140" s="35"/>
      <c r="X140" s="32"/>
      <c r="Y140" s="3"/>
      <c r="Z140" s="3"/>
    </row>
    <row r="141" spans="1:26" ht="15.75" hidden="1" customHeight="1" outlineLevel="1" x14ac:dyDescent="0.3">
      <c r="A141" s="3"/>
      <c r="B141" s="9" t="s">
        <v>906</v>
      </c>
      <c r="C141" s="53"/>
      <c r="D141" s="53"/>
      <c r="E141" s="11">
        <v>0</v>
      </c>
      <c r="F141" s="11">
        <v>0</v>
      </c>
      <c r="G141" s="58"/>
      <c r="H141" s="54"/>
      <c r="I141" s="54"/>
      <c r="J141" s="3"/>
      <c r="K141" s="3"/>
      <c r="L141" s="3"/>
      <c r="M141" s="3"/>
      <c r="N141" s="3"/>
      <c r="O141" s="3"/>
      <c r="P141" s="3"/>
      <c r="Q141" s="3"/>
      <c r="R141" s="3"/>
      <c r="S141" s="3"/>
      <c r="T141" s="3"/>
      <c r="U141" s="3"/>
      <c r="V141" s="3"/>
      <c r="W141" s="35"/>
      <c r="X141" s="32"/>
      <c r="Y141" s="3"/>
      <c r="Z141" s="3"/>
    </row>
    <row r="142" spans="1:26" ht="15.75" hidden="1" customHeight="1" outlineLevel="1" x14ac:dyDescent="0.3">
      <c r="A142" s="3"/>
      <c r="B142" s="9" t="s">
        <v>1041</v>
      </c>
      <c r="C142" s="53"/>
      <c r="D142" s="53"/>
      <c r="E142" s="11">
        <v>0</v>
      </c>
      <c r="F142" s="11">
        <v>0</v>
      </c>
      <c r="G142" s="58"/>
      <c r="H142" s="54"/>
      <c r="I142" s="54"/>
      <c r="J142" s="3"/>
      <c r="K142" s="3"/>
      <c r="L142" s="3"/>
      <c r="M142" s="3"/>
      <c r="N142" s="3"/>
      <c r="O142" s="3"/>
      <c r="P142" s="3"/>
      <c r="Q142" s="3"/>
      <c r="R142" s="3"/>
      <c r="S142" s="3"/>
      <c r="T142" s="3"/>
      <c r="U142" s="3"/>
      <c r="V142" s="3"/>
      <c r="W142" s="35"/>
      <c r="X142" s="32"/>
      <c r="Y142" s="3"/>
      <c r="Z142" s="3"/>
    </row>
    <row r="143" spans="1:26" ht="15.75" hidden="1" customHeight="1" outlineLevel="1" x14ac:dyDescent="0.3">
      <c r="A143" s="3"/>
      <c r="B143" s="9" t="s">
        <v>908</v>
      </c>
      <c r="C143" s="53"/>
      <c r="D143" s="53"/>
      <c r="E143" s="11">
        <v>0</v>
      </c>
      <c r="F143" s="11">
        <v>0</v>
      </c>
      <c r="G143" s="58"/>
      <c r="H143" s="54"/>
      <c r="I143" s="54"/>
      <c r="J143" s="3"/>
      <c r="K143" s="3"/>
      <c r="L143" s="3"/>
      <c r="M143" s="3"/>
      <c r="N143" s="3"/>
      <c r="O143" s="3"/>
      <c r="P143" s="3"/>
      <c r="Q143" s="3"/>
      <c r="R143" s="3"/>
      <c r="S143" s="3"/>
      <c r="T143" s="3"/>
      <c r="U143" s="3"/>
      <c r="V143" s="3"/>
      <c r="W143" s="35"/>
      <c r="X143" s="32"/>
      <c r="Y143" s="3"/>
      <c r="Z143" s="3"/>
    </row>
    <row r="144" spans="1:26" ht="15.75" hidden="1" customHeight="1" outlineLevel="1" x14ac:dyDescent="0.3">
      <c r="A144" s="3"/>
      <c r="B144" s="9" t="s">
        <v>909</v>
      </c>
      <c r="C144" s="53"/>
      <c r="D144" s="53"/>
      <c r="E144" s="11">
        <v>0</v>
      </c>
      <c r="F144" s="11">
        <v>0</v>
      </c>
      <c r="G144" s="58"/>
      <c r="H144" s="54"/>
      <c r="I144" s="54"/>
      <c r="J144" s="3"/>
      <c r="K144" s="3"/>
      <c r="L144" s="3"/>
      <c r="M144" s="3"/>
      <c r="N144" s="3"/>
      <c r="O144" s="3"/>
      <c r="P144" s="3"/>
      <c r="Q144" s="3"/>
      <c r="R144" s="3"/>
      <c r="S144" s="3"/>
      <c r="T144" s="3"/>
      <c r="U144" s="3"/>
      <c r="V144" s="3"/>
      <c r="W144" s="35"/>
      <c r="X144" s="32"/>
      <c r="Y144" s="3"/>
      <c r="Z144" s="3"/>
    </row>
    <row r="145" spans="1:26" ht="15.75" hidden="1" customHeight="1" outlineLevel="1" x14ac:dyDescent="0.3">
      <c r="A145" s="3"/>
      <c r="B145" s="66" t="s">
        <v>690</v>
      </c>
      <c r="C145" s="67" t="s">
        <v>44</v>
      </c>
      <c r="D145" s="67" t="s">
        <v>44</v>
      </c>
      <c r="E145" s="68">
        <f>SUM(E146:E152)</f>
        <v>0</v>
      </c>
      <c r="F145" s="68">
        <f>SUMIF(D146:D152,"OK",F146:F152)</f>
        <v>38086.810000000005</v>
      </c>
      <c r="G145" s="69" t="s">
        <v>44</v>
      </c>
      <c r="H145" s="70"/>
      <c r="I145" s="70"/>
      <c r="J145" s="3"/>
      <c r="K145" s="3"/>
      <c r="L145" s="3"/>
      <c r="M145" s="3"/>
      <c r="N145" s="3"/>
      <c r="O145" s="3"/>
      <c r="P145" s="3"/>
      <c r="Q145" s="3"/>
      <c r="R145" s="3"/>
      <c r="S145" s="3"/>
      <c r="T145" s="3"/>
      <c r="U145" s="3"/>
      <c r="V145" s="3"/>
      <c r="W145" s="35"/>
      <c r="X145" s="32"/>
      <c r="Y145" s="3"/>
      <c r="Z145" s="3"/>
    </row>
    <row r="146" spans="1:26" ht="30" hidden="1" customHeight="1" outlineLevel="1" x14ac:dyDescent="0.3">
      <c r="A146" s="3"/>
      <c r="B146" s="9" t="s">
        <v>2082</v>
      </c>
      <c r="C146" s="53" t="s">
        <v>2083</v>
      </c>
      <c r="D146" s="53" t="s">
        <v>95</v>
      </c>
      <c r="E146" s="11">
        <v>0</v>
      </c>
      <c r="F146" s="11">
        <f>30+30+30+60+30+60+60-84.1</f>
        <v>215.9</v>
      </c>
      <c r="G146" s="60" t="s">
        <v>2084</v>
      </c>
      <c r="H146" s="54" t="s">
        <v>37</v>
      </c>
      <c r="I146" s="54"/>
      <c r="J146" s="3"/>
      <c r="K146" s="3"/>
      <c r="L146" s="3"/>
      <c r="M146" s="3"/>
      <c r="N146" s="3"/>
      <c r="O146" s="3"/>
      <c r="P146" s="3"/>
      <c r="Q146" s="3"/>
      <c r="R146" s="3"/>
      <c r="S146" s="3"/>
      <c r="T146" s="3"/>
      <c r="U146" s="3"/>
      <c r="V146" s="3"/>
      <c r="W146" s="35"/>
      <c r="X146" s="32"/>
      <c r="Y146" s="3"/>
      <c r="Z146" s="3"/>
    </row>
    <row r="147" spans="1:26" ht="15.75" hidden="1" customHeight="1" outlineLevel="1" x14ac:dyDescent="0.3">
      <c r="A147" s="3"/>
      <c r="B147" s="9" t="s">
        <v>2085</v>
      </c>
      <c r="C147" s="53">
        <v>9</v>
      </c>
      <c r="D147" s="53" t="s">
        <v>95</v>
      </c>
      <c r="E147" s="11">
        <v>0</v>
      </c>
      <c r="F147" s="11">
        <v>60</v>
      </c>
      <c r="G147" s="60"/>
      <c r="H147" s="54" t="s">
        <v>37</v>
      </c>
      <c r="I147" s="54"/>
      <c r="J147" s="3"/>
      <c r="K147" s="3"/>
      <c r="L147" s="3"/>
      <c r="M147" s="3"/>
      <c r="N147" s="3"/>
      <c r="O147" s="3"/>
      <c r="P147" s="3"/>
      <c r="Q147" s="3"/>
      <c r="R147" s="3"/>
      <c r="S147" s="3"/>
      <c r="T147" s="3"/>
      <c r="U147" s="3"/>
      <c r="V147" s="3"/>
      <c r="W147" s="35"/>
      <c r="X147" s="32"/>
      <c r="Y147" s="3"/>
      <c r="Z147" s="3"/>
    </row>
    <row r="148" spans="1:26" ht="15.75" hidden="1" customHeight="1" outlineLevel="1" x14ac:dyDescent="0.3">
      <c r="A148" s="3"/>
      <c r="B148" s="9" t="s">
        <v>2085</v>
      </c>
      <c r="C148" s="53">
        <v>9</v>
      </c>
      <c r="D148" s="53" t="s">
        <v>95</v>
      </c>
      <c r="E148" s="11">
        <v>0</v>
      </c>
      <c r="F148" s="11">
        <f>23086.51-18</f>
        <v>23068.51</v>
      </c>
      <c r="G148" s="60"/>
      <c r="H148" s="54" t="s">
        <v>38</v>
      </c>
      <c r="I148" s="54"/>
      <c r="J148" s="3"/>
      <c r="K148" s="3"/>
      <c r="L148" s="3"/>
      <c r="M148" s="3"/>
      <c r="N148" s="3"/>
      <c r="O148" s="3"/>
      <c r="P148" s="3"/>
      <c r="Q148" s="3"/>
      <c r="R148" s="3"/>
      <c r="S148" s="3"/>
      <c r="T148" s="3"/>
      <c r="U148" s="3"/>
      <c r="V148" s="3"/>
      <c r="W148" s="35"/>
      <c r="X148" s="32"/>
      <c r="Y148" s="3"/>
      <c r="Z148" s="3"/>
    </row>
    <row r="149" spans="1:26" ht="15.75" hidden="1" customHeight="1" outlineLevel="1" x14ac:dyDescent="0.3">
      <c r="A149" s="3"/>
      <c r="B149" s="9" t="s">
        <v>2086</v>
      </c>
      <c r="C149" s="53">
        <v>9</v>
      </c>
      <c r="D149" s="53" t="s">
        <v>95</v>
      </c>
      <c r="E149" s="11">
        <v>0</v>
      </c>
      <c r="F149" s="11">
        <v>3467</v>
      </c>
      <c r="G149" s="60"/>
      <c r="H149" s="54" t="s">
        <v>36</v>
      </c>
      <c r="I149" s="54"/>
      <c r="J149" s="3"/>
      <c r="K149" s="3"/>
      <c r="L149" s="3"/>
      <c r="M149" s="3"/>
      <c r="N149" s="3"/>
      <c r="O149" s="3"/>
      <c r="P149" s="3"/>
      <c r="Q149" s="3"/>
      <c r="R149" s="3"/>
      <c r="S149" s="3"/>
      <c r="T149" s="3"/>
      <c r="U149" s="3"/>
      <c r="V149" s="3"/>
      <c r="W149" s="35"/>
      <c r="X149" s="32"/>
      <c r="Y149" s="3"/>
      <c r="Z149" s="3"/>
    </row>
    <row r="150" spans="1:26" ht="15.75" hidden="1" customHeight="1" outlineLevel="1" x14ac:dyDescent="0.3">
      <c r="A150" s="3"/>
      <c r="B150" s="9" t="s">
        <v>2087</v>
      </c>
      <c r="C150" s="53">
        <v>9</v>
      </c>
      <c r="D150" s="53" t="s">
        <v>95</v>
      </c>
      <c r="E150" s="11">
        <v>0</v>
      </c>
      <c r="F150" s="11">
        <v>10809</v>
      </c>
      <c r="G150" s="60"/>
      <c r="H150" s="54" t="s">
        <v>40</v>
      </c>
      <c r="I150" s="54"/>
      <c r="J150" s="3"/>
      <c r="K150" s="3"/>
      <c r="L150" s="3"/>
      <c r="M150" s="3"/>
      <c r="N150" s="3"/>
      <c r="O150" s="3"/>
      <c r="P150" s="3"/>
      <c r="Q150" s="3"/>
      <c r="R150" s="3"/>
      <c r="S150" s="3"/>
      <c r="T150" s="3"/>
      <c r="U150" s="3"/>
      <c r="V150" s="3"/>
      <c r="W150" s="35"/>
      <c r="X150" s="32"/>
      <c r="Y150" s="3"/>
      <c r="Z150" s="3"/>
    </row>
    <row r="151" spans="1:26" ht="15.75" hidden="1" customHeight="1" outlineLevel="1" x14ac:dyDescent="0.3">
      <c r="A151" s="3"/>
      <c r="B151" s="9" t="s">
        <v>2088</v>
      </c>
      <c r="C151" s="53" t="s">
        <v>2089</v>
      </c>
      <c r="D151" s="53" t="s">
        <v>95</v>
      </c>
      <c r="E151" s="11">
        <v>0</v>
      </c>
      <c r="F151" s="11">
        <f>65+65</f>
        <v>130</v>
      </c>
      <c r="G151" s="60"/>
      <c r="H151" s="54" t="s">
        <v>38</v>
      </c>
      <c r="I151" s="54"/>
      <c r="J151" s="116"/>
      <c r="K151" s="3"/>
      <c r="L151" s="3"/>
      <c r="M151" s="3"/>
      <c r="N151" s="3"/>
      <c r="O151" s="3"/>
      <c r="P151" s="3"/>
      <c r="Q151" s="3"/>
      <c r="R151" s="3"/>
      <c r="S151" s="3"/>
      <c r="T151" s="3"/>
      <c r="U151" s="3"/>
      <c r="V151" s="3"/>
      <c r="W151" s="35"/>
      <c r="X151" s="32"/>
      <c r="Y151" s="3"/>
      <c r="Z151" s="3"/>
    </row>
    <row r="152" spans="1:26" ht="15.75" hidden="1" customHeight="1" outlineLevel="1" x14ac:dyDescent="0.3">
      <c r="A152" s="3"/>
      <c r="B152" s="9" t="s">
        <v>690</v>
      </c>
      <c r="C152" s="53" t="s">
        <v>2090</v>
      </c>
      <c r="D152" s="53" t="s">
        <v>95</v>
      </c>
      <c r="E152" s="11">
        <v>0</v>
      </c>
      <c r="F152" s="11">
        <f>115.4+221</f>
        <v>336.4</v>
      </c>
      <c r="G152" s="60" t="s">
        <v>2091</v>
      </c>
      <c r="H152" s="54" t="s">
        <v>38</v>
      </c>
      <c r="I152" s="54"/>
      <c r="J152" s="3"/>
      <c r="K152" s="3"/>
      <c r="L152" s="3"/>
      <c r="M152" s="3"/>
      <c r="N152" s="3"/>
      <c r="O152" s="3"/>
      <c r="P152" s="3"/>
      <c r="Q152" s="3"/>
      <c r="R152" s="3"/>
      <c r="S152" s="3"/>
      <c r="T152" s="3"/>
      <c r="U152" s="3"/>
      <c r="V152" s="3"/>
      <c r="W152" s="35"/>
      <c r="X152" s="32"/>
      <c r="Y152" s="3"/>
      <c r="Z152" s="3"/>
    </row>
    <row r="153" spans="1:26" ht="19.5" customHeight="1" collapsed="1" x14ac:dyDescent="0.3">
      <c r="A153" s="3"/>
      <c r="B153" s="64" t="s">
        <v>240</v>
      </c>
      <c r="C153" s="47" t="s">
        <v>44</v>
      </c>
      <c r="D153" s="47" t="s">
        <v>44</v>
      </c>
      <c r="E153" s="48">
        <f t="shared" ref="E153:F153" si="32">SUM(E154,E159,E164,E168)</f>
        <v>0</v>
      </c>
      <c r="F153" s="48">
        <f t="shared" si="32"/>
        <v>1542.23</v>
      </c>
      <c r="G153" s="49" t="s">
        <v>44</v>
      </c>
      <c r="H153" s="65"/>
      <c r="I153" s="65"/>
      <c r="J153" s="3"/>
      <c r="K153" s="3"/>
      <c r="L153" s="3"/>
      <c r="M153" s="3"/>
      <c r="N153" s="3"/>
      <c r="O153" s="3"/>
      <c r="P153" s="3"/>
      <c r="Q153" s="3"/>
      <c r="R153" s="3"/>
      <c r="S153" s="3"/>
      <c r="T153" s="3"/>
      <c r="U153" s="3"/>
      <c r="V153" s="3"/>
      <c r="W153" s="35"/>
      <c r="X153" s="32"/>
      <c r="Y153" s="3"/>
      <c r="Z153" s="3"/>
    </row>
    <row r="154" spans="1:26" ht="15.75" hidden="1" customHeight="1" outlineLevel="1" x14ac:dyDescent="0.3">
      <c r="A154" s="3"/>
      <c r="B154" s="66" t="s">
        <v>241</v>
      </c>
      <c r="C154" s="67" t="s">
        <v>44</v>
      </c>
      <c r="D154" s="67" t="s">
        <v>44</v>
      </c>
      <c r="E154" s="68">
        <f>SUM(E155:E158)</f>
        <v>0</v>
      </c>
      <c r="F154" s="68">
        <f>SUMIF(D155:D158,"OK",F155:F158)</f>
        <v>662.23</v>
      </c>
      <c r="G154" s="69" t="s">
        <v>44</v>
      </c>
      <c r="H154" s="70"/>
      <c r="I154" s="70"/>
      <c r="J154" s="3"/>
      <c r="K154" s="3"/>
      <c r="L154" s="3"/>
      <c r="M154" s="3"/>
      <c r="N154" s="3"/>
      <c r="O154" s="3"/>
      <c r="P154" s="3"/>
      <c r="Q154" s="3"/>
      <c r="R154" s="3"/>
      <c r="S154" s="3"/>
      <c r="T154" s="3"/>
      <c r="U154" s="3"/>
      <c r="V154" s="3"/>
      <c r="W154" s="35"/>
      <c r="X154" s="32"/>
      <c r="Y154" s="3"/>
      <c r="Z154" s="3"/>
    </row>
    <row r="155" spans="1:26" ht="15.75" hidden="1" customHeight="1" outlineLevel="1" x14ac:dyDescent="0.3">
      <c r="A155" s="3"/>
      <c r="B155" s="9" t="s">
        <v>242</v>
      </c>
      <c r="C155" s="53"/>
      <c r="D155" s="53"/>
      <c r="E155" s="11">
        <v>0</v>
      </c>
      <c r="F155" s="11">
        <v>0</v>
      </c>
      <c r="G155" s="61"/>
      <c r="H155" s="54" t="s">
        <v>37</v>
      </c>
      <c r="I155" s="54"/>
      <c r="J155" s="3"/>
      <c r="K155" s="3"/>
      <c r="L155" s="3"/>
      <c r="M155" s="3"/>
      <c r="N155" s="3"/>
      <c r="O155" s="3"/>
      <c r="P155" s="3"/>
      <c r="Q155" s="3"/>
      <c r="R155" s="3"/>
      <c r="S155" s="3"/>
      <c r="T155" s="3"/>
      <c r="U155" s="3"/>
      <c r="V155" s="3"/>
      <c r="W155" s="35"/>
      <c r="X155" s="32"/>
      <c r="Y155" s="3"/>
      <c r="Z155" s="3"/>
    </row>
    <row r="156" spans="1:26" ht="15.75" hidden="1" customHeight="1" outlineLevel="1" x14ac:dyDescent="0.3">
      <c r="A156" s="3"/>
      <c r="B156" s="9" t="s">
        <v>243</v>
      </c>
      <c r="C156" s="53"/>
      <c r="D156" s="53"/>
      <c r="E156" s="11">
        <v>0</v>
      </c>
      <c r="F156" s="11">
        <v>0</v>
      </c>
      <c r="G156" s="58"/>
      <c r="H156" s="54" t="s">
        <v>36</v>
      </c>
      <c r="I156" s="54"/>
      <c r="J156" s="3"/>
      <c r="K156" s="3"/>
      <c r="L156" s="3"/>
      <c r="M156" s="3"/>
      <c r="N156" s="3"/>
      <c r="O156" s="3"/>
      <c r="P156" s="3"/>
      <c r="Q156" s="3"/>
      <c r="R156" s="3"/>
      <c r="S156" s="3"/>
      <c r="T156" s="3"/>
      <c r="U156" s="3"/>
      <c r="V156" s="3"/>
      <c r="W156" s="35"/>
      <c r="X156" s="32"/>
      <c r="Y156" s="3"/>
      <c r="Z156" s="3"/>
    </row>
    <row r="157" spans="1:26" ht="15.75" hidden="1" customHeight="1" outlineLevel="1" x14ac:dyDescent="0.3">
      <c r="A157" s="3"/>
      <c r="B157" s="9" t="s">
        <v>244</v>
      </c>
      <c r="C157" s="53">
        <v>14</v>
      </c>
      <c r="D157" s="53" t="s">
        <v>95</v>
      </c>
      <c r="E157" s="11">
        <v>0</v>
      </c>
      <c r="F157" s="11">
        <f>30+10+5+5+10+3+4.23+20+150+5+30+10+30+10+300+40</f>
        <v>662.23</v>
      </c>
      <c r="G157" s="58"/>
      <c r="H157" s="54" t="s">
        <v>37</v>
      </c>
      <c r="I157" s="54"/>
      <c r="J157" s="3"/>
      <c r="K157" s="3"/>
      <c r="L157" s="3"/>
      <c r="M157" s="3"/>
      <c r="N157" s="3"/>
      <c r="O157" s="3"/>
      <c r="P157" s="3"/>
      <c r="Q157" s="3"/>
      <c r="R157" s="3"/>
      <c r="S157" s="3"/>
      <c r="T157" s="3"/>
      <c r="U157" s="3"/>
      <c r="V157" s="3"/>
      <c r="W157" s="35"/>
      <c r="X157" s="32"/>
      <c r="Y157" s="3"/>
      <c r="Z157" s="3"/>
    </row>
    <row r="158" spans="1:26" ht="15.75" hidden="1" customHeight="1" outlineLevel="1" x14ac:dyDescent="0.3">
      <c r="A158" s="3"/>
      <c r="B158" s="9" t="s">
        <v>245</v>
      </c>
      <c r="C158" s="53"/>
      <c r="D158" s="53"/>
      <c r="E158" s="11">
        <v>0</v>
      </c>
      <c r="F158" s="11">
        <v>0</v>
      </c>
      <c r="G158" s="120"/>
      <c r="H158" s="54" t="s">
        <v>36</v>
      </c>
      <c r="I158" s="54"/>
      <c r="J158" s="3"/>
      <c r="K158" s="3"/>
      <c r="L158" s="3"/>
      <c r="M158" s="3"/>
      <c r="N158" s="3"/>
      <c r="O158" s="3"/>
      <c r="P158" s="3"/>
      <c r="Q158" s="3"/>
      <c r="R158" s="3"/>
      <c r="S158" s="3"/>
      <c r="T158" s="3"/>
      <c r="U158" s="3"/>
      <c r="V158" s="3"/>
      <c r="W158" s="35"/>
      <c r="X158" s="32"/>
      <c r="Y158" s="3"/>
      <c r="Z158" s="3"/>
    </row>
    <row r="159" spans="1:26" ht="15.75" hidden="1" customHeight="1" outlineLevel="1" x14ac:dyDescent="0.3">
      <c r="A159" s="3"/>
      <c r="B159" s="66" t="s">
        <v>246</v>
      </c>
      <c r="C159" s="67" t="s">
        <v>44</v>
      </c>
      <c r="D159" s="67" t="s">
        <v>44</v>
      </c>
      <c r="E159" s="68">
        <f>SUM(E160:E163)</f>
        <v>0</v>
      </c>
      <c r="F159" s="68">
        <f>SUMIF(D160:D163,"OK",F160:F163)</f>
        <v>830</v>
      </c>
      <c r="G159" s="69" t="s">
        <v>44</v>
      </c>
      <c r="H159" s="70"/>
      <c r="I159" s="70"/>
      <c r="J159" s="3"/>
      <c r="K159" s="3"/>
      <c r="L159" s="3"/>
      <c r="M159" s="3"/>
      <c r="N159" s="3"/>
      <c r="O159" s="3"/>
      <c r="P159" s="3"/>
      <c r="Q159" s="3"/>
      <c r="R159" s="3"/>
      <c r="S159" s="3"/>
      <c r="T159" s="3"/>
      <c r="U159" s="3"/>
      <c r="V159" s="3"/>
      <c r="W159" s="35"/>
      <c r="X159" s="32"/>
      <c r="Y159" s="3"/>
      <c r="Z159" s="3"/>
    </row>
    <row r="160" spans="1:26" ht="15.75" hidden="1" customHeight="1" outlineLevel="1" x14ac:dyDescent="0.3">
      <c r="A160" s="3"/>
      <c r="B160" s="9" t="s">
        <v>242</v>
      </c>
      <c r="C160" s="53">
        <v>1</v>
      </c>
      <c r="D160" s="53" t="s">
        <v>95</v>
      </c>
      <c r="E160" s="11">
        <v>0</v>
      </c>
      <c r="F160" s="11">
        <f>30+10+20+30+20+20+20+40+10+10+20+10+10+20+30+10</f>
        <v>310</v>
      </c>
      <c r="G160" s="60"/>
      <c r="H160" s="54" t="s">
        <v>37</v>
      </c>
      <c r="I160" s="54"/>
      <c r="J160" s="3"/>
      <c r="K160" s="3"/>
      <c r="L160" s="3"/>
      <c r="M160" s="3"/>
      <c r="N160" s="3"/>
      <c r="O160" s="3"/>
      <c r="P160" s="3"/>
      <c r="Q160" s="3"/>
      <c r="R160" s="3"/>
      <c r="S160" s="3"/>
      <c r="T160" s="3"/>
      <c r="U160" s="3"/>
      <c r="V160" s="3"/>
      <c r="W160" s="35"/>
      <c r="X160" s="32"/>
      <c r="Y160" s="3"/>
      <c r="Z160" s="3"/>
    </row>
    <row r="161" spans="1:26" ht="15.75" hidden="1" customHeight="1" outlineLevel="1" x14ac:dyDescent="0.3">
      <c r="A161" s="3"/>
      <c r="B161" s="9" t="s">
        <v>242</v>
      </c>
      <c r="C161" s="53" t="s">
        <v>2044</v>
      </c>
      <c r="D161" s="53" t="s">
        <v>95</v>
      </c>
      <c r="E161" s="11">
        <v>0</v>
      </c>
      <c r="F161" s="11">
        <f>10+20</f>
        <v>30</v>
      </c>
      <c r="G161" s="58"/>
      <c r="H161" s="54" t="s">
        <v>38</v>
      </c>
      <c r="I161" s="54"/>
      <c r="J161" s="3"/>
      <c r="K161" s="3"/>
      <c r="L161" s="3"/>
      <c r="M161" s="3"/>
      <c r="N161" s="3"/>
      <c r="O161" s="3"/>
      <c r="P161" s="3"/>
      <c r="Q161" s="3"/>
      <c r="R161" s="3"/>
      <c r="S161" s="3"/>
      <c r="T161" s="3"/>
      <c r="U161" s="3"/>
      <c r="V161" s="3"/>
      <c r="W161" s="35"/>
      <c r="X161" s="32"/>
      <c r="Y161" s="3"/>
      <c r="Z161" s="3"/>
    </row>
    <row r="162" spans="1:26" ht="15.75" hidden="1" customHeight="1" outlineLevel="1" x14ac:dyDescent="0.3">
      <c r="A162" s="3"/>
      <c r="B162" s="9" t="s">
        <v>244</v>
      </c>
      <c r="C162" s="53">
        <v>14</v>
      </c>
      <c r="D162" s="53" t="s">
        <v>95</v>
      </c>
      <c r="E162" s="11">
        <v>0</v>
      </c>
      <c r="F162" s="11">
        <f>20+20+20+10+30+10+10+20+40+40+10+30+10+20+20+10+20+30+10+20+10+30+10+10+10+20</f>
        <v>490</v>
      </c>
      <c r="G162" s="58"/>
      <c r="H162" s="54" t="s">
        <v>37</v>
      </c>
      <c r="I162" s="54"/>
      <c r="J162" s="3"/>
      <c r="K162" s="3"/>
      <c r="L162" s="3"/>
      <c r="M162" s="3"/>
      <c r="N162" s="3"/>
      <c r="O162" s="3"/>
      <c r="P162" s="3"/>
      <c r="Q162" s="3"/>
      <c r="R162" s="3"/>
      <c r="S162" s="3"/>
      <c r="T162" s="3"/>
      <c r="U162" s="3"/>
      <c r="V162" s="3"/>
      <c r="W162" s="35"/>
      <c r="X162" s="32"/>
      <c r="Y162" s="3"/>
      <c r="Z162" s="3"/>
    </row>
    <row r="163" spans="1:26" ht="15.75" hidden="1" customHeight="1" outlineLevel="1" x14ac:dyDescent="0.3">
      <c r="A163" s="3"/>
      <c r="B163" s="9" t="s">
        <v>245</v>
      </c>
      <c r="C163" s="53"/>
      <c r="D163" s="53"/>
      <c r="E163" s="11">
        <v>0</v>
      </c>
      <c r="F163" s="11">
        <v>0</v>
      </c>
      <c r="G163" s="58"/>
      <c r="H163" s="54" t="s">
        <v>36</v>
      </c>
      <c r="I163" s="54"/>
      <c r="J163" s="3"/>
      <c r="K163" s="3"/>
      <c r="L163" s="3"/>
      <c r="M163" s="3"/>
      <c r="N163" s="3"/>
      <c r="O163" s="3"/>
      <c r="P163" s="3"/>
      <c r="Q163" s="3"/>
      <c r="R163" s="3"/>
      <c r="S163" s="3"/>
      <c r="T163" s="3"/>
      <c r="U163" s="3"/>
      <c r="V163" s="3"/>
      <c r="W163" s="35"/>
      <c r="X163" s="32"/>
      <c r="Y163" s="3"/>
      <c r="Z163" s="3"/>
    </row>
    <row r="164" spans="1:26" ht="15.75" hidden="1" customHeight="1" outlineLevel="1" x14ac:dyDescent="0.3">
      <c r="A164" s="3"/>
      <c r="B164" s="66" t="s">
        <v>247</v>
      </c>
      <c r="C164" s="67" t="s">
        <v>44</v>
      </c>
      <c r="D164" s="67" t="s">
        <v>44</v>
      </c>
      <c r="E164" s="68">
        <f>SUM(E165:E167)</f>
        <v>0</v>
      </c>
      <c r="F164" s="68">
        <f>SUMIF(D165:D167,"OK",F165:F167)</f>
        <v>0</v>
      </c>
      <c r="G164" s="69" t="s">
        <v>44</v>
      </c>
      <c r="H164" s="70"/>
      <c r="I164" s="70"/>
      <c r="J164" s="3"/>
      <c r="K164" s="3"/>
      <c r="L164" s="3"/>
      <c r="M164" s="3"/>
      <c r="N164" s="3"/>
      <c r="O164" s="3"/>
      <c r="P164" s="3"/>
      <c r="Q164" s="3"/>
      <c r="R164" s="3"/>
      <c r="S164" s="3"/>
      <c r="T164" s="3"/>
      <c r="U164" s="3"/>
      <c r="V164" s="3"/>
      <c r="W164" s="35"/>
      <c r="X164" s="32"/>
      <c r="Y164" s="3"/>
      <c r="Z164" s="3"/>
    </row>
    <row r="165" spans="1:26" ht="15.75" hidden="1" customHeight="1" outlineLevel="1" x14ac:dyDescent="0.3">
      <c r="A165" s="3"/>
      <c r="B165" s="9" t="s">
        <v>2092</v>
      </c>
      <c r="C165" s="71"/>
      <c r="D165" s="53"/>
      <c r="E165" s="11">
        <v>0</v>
      </c>
      <c r="F165" s="11">
        <v>0</v>
      </c>
      <c r="G165" s="60"/>
      <c r="H165" s="54"/>
      <c r="I165" s="54"/>
      <c r="J165" s="3"/>
      <c r="K165" s="3"/>
      <c r="L165" s="3"/>
      <c r="M165" s="3"/>
      <c r="N165" s="3"/>
      <c r="O165" s="3"/>
      <c r="P165" s="3"/>
      <c r="Q165" s="3"/>
      <c r="R165" s="3"/>
      <c r="S165" s="3"/>
      <c r="T165" s="3"/>
      <c r="U165" s="3"/>
      <c r="V165" s="3"/>
      <c r="W165" s="35"/>
      <c r="X165" s="32"/>
      <c r="Y165" s="3"/>
      <c r="Z165" s="3"/>
    </row>
    <row r="166" spans="1:26" ht="15.75" hidden="1" customHeight="1" outlineLevel="1" x14ac:dyDescent="0.3">
      <c r="A166" s="3"/>
      <c r="B166" s="9" t="s">
        <v>2093</v>
      </c>
      <c r="C166" s="71"/>
      <c r="D166" s="53"/>
      <c r="E166" s="11">
        <v>0</v>
      </c>
      <c r="F166" s="11">
        <v>0</v>
      </c>
      <c r="G166" s="60"/>
      <c r="H166" s="54"/>
      <c r="I166" s="54"/>
      <c r="J166" s="3"/>
      <c r="K166" s="3"/>
      <c r="L166" s="3"/>
      <c r="M166" s="3"/>
      <c r="N166" s="3"/>
      <c r="O166" s="3"/>
      <c r="P166" s="3"/>
      <c r="Q166" s="3"/>
      <c r="R166" s="3"/>
      <c r="S166" s="3"/>
      <c r="T166" s="3"/>
      <c r="U166" s="3"/>
      <c r="V166" s="3"/>
      <c r="W166" s="35"/>
      <c r="X166" s="32"/>
      <c r="Y166" s="3"/>
      <c r="Z166" s="3"/>
    </row>
    <row r="167" spans="1:26" ht="15.75" hidden="1" customHeight="1" outlineLevel="1" x14ac:dyDescent="0.3">
      <c r="A167" s="3"/>
      <c r="B167" s="9" t="s">
        <v>43</v>
      </c>
      <c r="C167" s="53"/>
      <c r="D167" s="53"/>
      <c r="E167" s="11">
        <v>0</v>
      </c>
      <c r="F167" s="11">
        <v>0</v>
      </c>
      <c r="G167" s="60"/>
      <c r="H167" s="54"/>
      <c r="I167" s="54"/>
      <c r="J167" s="3"/>
      <c r="K167" s="3"/>
      <c r="L167" s="3"/>
      <c r="M167" s="3"/>
      <c r="N167" s="3"/>
      <c r="O167" s="3"/>
      <c r="P167" s="3"/>
      <c r="Q167" s="3"/>
      <c r="R167" s="3"/>
      <c r="S167" s="3"/>
      <c r="T167" s="3"/>
      <c r="U167" s="3"/>
      <c r="V167" s="3"/>
      <c r="W167" s="35"/>
      <c r="X167" s="32"/>
      <c r="Y167" s="3"/>
      <c r="Z167" s="3"/>
    </row>
    <row r="168" spans="1:26" ht="15.75" hidden="1" customHeight="1" outlineLevel="1" x14ac:dyDescent="0.3">
      <c r="A168" s="3"/>
      <c r="B168" s="66" t="s">
        <v>62</v>
      </c>
      <c r="C168" s="67" t="s">
        <v>44</v>
      </c>
      <c r="D168" s="67" t="s">
        <v>44</v>
      </c>
      <c r="E168" s="68">
        <f>SUM(E169:E182)</f>
        <v>0</v>
      </c>
      <c r="F168" s="68">
        <f>SUMIF(D169:D182,"OK",F169:F182)</f>
        <v>50</v>
      </c>
      <c r="G168" s="69" t="s">
        <v>44</v>
      </c>
      <c r="H168" s="70"/>
      <c r="I168" s="70"/>
      <c r="J168" s="3"/>
      <c r="K168" s="3"/>
      <c r="L168" s="3"/>
      <c r="M168" s="3"/>
      <c r="N168" s="3"/>
      <c r="O168" s="3"/>
      <c r="P168" s="3"/>
      <c r="Q168" s="3"/>
      <c r="R168" s="3"/>
      <c r="S168" s="3"/>
      <c r="T168" s="3"/>
      <c r="U168" s="3"/>
      <c r="V168" s="3"/>
      <c r="W168" s="35"/>
      <c r="X168" s="32"/>
      <c r="Y168" s="3"/>
      <c r="Z168" s="3"/>
    </row>
    <row r="169" spans="1:26" ht="15.75" hidden="1" customHeight="1" outlineLevel="1" x14ac:dyDescent="0.3">
      <c r="A169" s="3"/>
      <c r="B169" s="9" t="s">
        <v>2094</v>
      </c>
      <c r="C169" s="53">
        <v>1</v>
      </c>
      <c r="D169" s="53" t="s">
        <v>95</v>
      </c>
      <c r="E169" s="11">
        <v>0</v>
      </c>
      <c r="F169" s="11">
        <f>50</f>
        <v>50</v>
      </c>
      <c r="G169" s="60" t="s">
        <v>2095</v>
      </c>
      <c r="H169" s="54" t="s">
        <v>37</v>
      </c>
      <c r="I169" s="54"/>
      <c r="J169" s="3"/>
      <c r="K169" s="3"/>
      <c r="L169" s="3"/>
      <c r="M169" s="3"/>
      <c r="N169" s="3"/>
      <c r="O169" s="3"/>
      <c r="P169" s="3"/>
      <c r="Q169" s="3"/>
      <c r="R169" s="3"/>
      <c r="S169" s="3"/>
      <c r="T169" s="3"/>
      <c r="U169" s="3"/>
      <c r="V169" s="3"/>
      <c r="W169" s="35"/>
      <c r="X169" s="32"/>
      <c r="Y169" s="3"/>
      <c r="Z169" s="3"/>
    </row>
    <row r="170" spans="1:26" ht="15.75" hidden="1" customHeight="1" outlineLevel="1" x14ac:dyDescent="0.3">
      <c r="A170" s="3"/>
      <c r="B170" s="9" t="s">
        <v>62</v>
      </c>
      <c r="C170" s="71"/>
      <c r="D170" s="53"/>
      <c r="E170" s="11">
        <v>0</v>
      </c>
      <c r="F170" s="11">
        <v>0</v>
      </c>
      <c r="G170" s="61"/>
      <c r="H170" s="54"/>
      <c r="I170" s="54"/>
      <c r="J170" s="3"/>
      <c r="K170" s="3"/>
      <c r="L170" s="3"/>
      <c r="M170" s="3"/>
      <c r="N170" s="3"/>
      <c r="O170" s="3"/>
      <c r="P170" s="3"/>
      <c r="Q170" s="3"/>
      <c r="R170" s="3"/>
      <c r="S170" s="3"/>
      <c r="T170" s="3"/>
      <c r="U170" s="3"/>
      <c r="V170" s="3"/>
      <c r="W170" s="35"/>
      <c r="X170" s="32"/>
      <c r="Y170" s="3"/>
      <c r="Z170" s="3"/>
    </row>
    <row r="171" spans="1:26" ht="15.75" hidden="1" customHeight="1" outlineLevel="1" x14ac:dyDescent="0.3">
      <c r="A171" s="3"/>
      <c r="B171" s="9" t="s">
        <v>62</v>
      </c>
      <c r="C171" s="53"/>
      <c r="D171" s="53"/>
      <c r="E171" s="11">
        <v>0</v>
      </c>
      <c r="F171" s="11">
        <v>0</v>
      </c>
      <c r="G171" s="60"/>
      <c r="H171" s="54"/>
      <c r="I171" s="54"/>
      <c r="J171" s="3"/>
      <c r="K171" s="3"/>
      <c r="L171" s="3"/>
      <c r="M171" s="3"/>
      <c r="N171" s="3"/>
      <c r="O171" s="3"/>
      <c r="P171" s="3"/>
      <c r="Q171" s="3"/>
      <c r="R171" s="3"/>
      <c r="S171" s="3"/>
      <c r="T171" s="3"/>
      <c r="U171" s="3"/>
      <c r="V171" s="3"/>
      <c r="W171" s="35"/>
      <c r="X171" s="32"/>
      <c r="Y171" s="3"/>
      <c r="Z171" s="3"/>
    </row>
    <row r="172" spans="1:26" ht="15.75" hidden="1" customHeight="1" outlineLevel="1" x14ac:dyDescent="0.3">
      <c r="A172" s="3"/>
      <c r="B172" s="9" t="s">
        <v>62</v>
      </c>
      <c r="C172" s="53"/>
      <c r="D172" s="53"/>
      <c r="E172" s="11">
        <v>0</v>
      </c>
      <c r="F172" s="11">
        <v>0</v>
      </c>
      <c r="G172" s="61"/>
      <c r="H172" s="54"/>
      <c r="I172" s="54"/>
      <c r="J172" s="3"/>
      <c r="K172" s="3"/>
      <c r="L172" s="3"/>
      <c r="M172" s="3"/>
      <c r="N172" s="3"/>
      <c r="O172" s="3"/>
      <c r="P172" s="3"/>
      <c r="Q172" s="3"/>
      <c r="R172" s="3"/>
      <c r="S172" s="3"/>
      <c r="T172" s="3"/>
      <c r="U172" s="3"/>
      <c r="V172" s="3"/>
      <c r="W172" s="35"/>
      <c r="X172" s="32"/>
      <c r="Y172" s="3"/>
      <c r="Z172" s="3"/>
    </row>
    <row r="173" spans="1:26" ht="15.75" hidden="1" customHeight="1" outlineLevel="1" x14ac:dyDescent="0.3">
      <c r="A173" s="3"/>
      <c r="B173" s="9" t="s">
        <v>62</v>
      </c>
      <c r="C173" s="53"/>
      <c r="D173" s="53"/>
      <c r="E173" s="11">
        <v>0</v>
      </c>
      <c r="F173" s="11">
        <v>0</v>
      </c>
      <c r="G173" s="60"/>
      <c r="H173" s="54"/>
      <c r="I173" s="54"/>
      <c r="J173" s="3"/>
      <c r="K173" s="3"/>
      <c r="L173" s="3"/>
      <c r="M173" s="3"/>
      <c r="N173" s="3"/>
      <c r="O173" s="3"/>
      <c r="P173" s="3"/>
      <c r="Q173" s="3"/>
      <c r="R173" s="3"/>
      <c r="S173" s="3"/>
      <c r="T173" s="3"/>
      <c r="U173" s="3"/>
      <c r="V173" s="3"/>
      <c r="W173" s="35"/>
      <c r="X173" s="32"/>
      <c r="Y173" s="3"/>
      <c r="Z173" s="3"/>
    </row>
    <row r="174" spans="1:26" ht="15.75" hidden="1" customHeight="1" outlineLevel="1" x14ac:dyDescent="0.3">
      <c r="A174" s="3"/>
      <c r="B174" s="9" t="s">
        <v>62</v>
      </c>
      <c r="C174" s="53"/>
      <c r="D174" s="53"/>
      <c r="E174" s="11">
        <v>0</v>
      </c>
      <c r="F174" s="11">
        <v>0</v>
      </c>
      <c r="G174" s="60"/>
      <c r="H174" s="54"/>
      <c r="I174" s="54"/>
      <c r="J174" s="3"/>
      <c r="K174" s="3"/>
      <c r="L174" s="3"/>
      <c r="M174" s="3"/>
      <c r="N174" s="3"/>
      <c r="O174" s="3"/>
      <c r="P174" s="3"/>
      <c r="Q174" s="3"/>
      <c r="R174" s="3"/>
      <c r="S174" s="3"/>
      <c r="T174" s="3"/>
      <c r="U174" s="3"/>
      <c r="V174" s="3"/>
      <c r="W174" s="35"/>
      <c r="X174" s="32"/>
      <c r="Y174" s="3"/>
      <c r="Z174" s="3"/>
    </row>
    <row r="175" spans="1:26" ht="15.75" hidden="1" customHeight="1" outlineLevel="1" x14ac:dyDescent="0.3">
      <c r="A175" s="3"/>
      <c r="B175" s="9" t="s">
        <v>62</v>
      </c>
      <c r="C175" s="53"/>
      <c r="D175" s="53"/>
      <c r="E175" s="11">
        <v>0</v>
      </c>
      <c r="F175" s="11">
        <v>0</v>
      </c>
      <c r="G175" s="60"/>
      <c r="H175" s="54"/>
      <c r="I175" s="54"/>
      <c r="J175" s="3"/>
      <c r="K175" s="3"/>
      <c r="L175" s="3"/>
      <c r="M175" s="3"/>
      <c r="N175" s="3"/>
      <c r="O175" s="3"/>
      <c r="P175" s="3"/>
      <c r="Q175" s="3"/>
      <c r="R175" s="3"/>
      <c r="S175" s="3"/>
      <c r="T175" s="3"/>
      <c r="U175" s="3"/>
      <c r="V175" s="3"/>
      <c r="W175" s="35"/>
      <c r="X175" s="32"/>
      <c r="Y175" s="3"/>
      <c r="Z175" s="3"/>
    </row>
    <row r="176" spans="1:26" ht="15.75" hidden="1" customHeight="1" outlineLevel="1" x14ac:dyDescent="0.3">
      <c r="A176" s="3"/>
      <c r="B176" s="9" t="s">
        <v>62</v>
      </c>
      <c r="C176" s="53"/>
      <c r="D176" s="53"/>
      <c r="E176" s="11">
        <v>0</v>
      </c>
      <c r="F176" s="11">
        <v>0</v>
      </c>
      <c r="G176" s="60"/>
      <c r="H176" s="54"/>
      <c r="I176" s="54"/>
      <c r="J176" s="3"/>
      <c r="K176" s="3"/>
      <c r="L176" s="3"/>
      <c r="M176" s="3"/>
      <c r="N176" s="3"/>
      <c r="O176" s="3"/>
      <c r="P176" s="3"/>
      <c r="Q176" s="3"/>
      <c r="R176" s="3"/>
      <c r="S176" s="3"/>
      <c r="T176" s="3"/>
      <c r="U176" s="3"/>
      <c r="V176" s="3"/>
      <c r="W176" s="35"/>
      <c r="X176" s="32"/>
      <c r="Y176" s="3"/>
      <c r="Z176" s="3"/>
    </row>
    <row r="177" spans="1:26" ht="15.75" hidden="1" customHeight="1" outlineLevel="1" x14ac:dyDescent="0.3">
      <c r="A177" s="3"/>
      <c r="B177" s="9" t="s">
        <v>62</v>
      </c>
      <c r="C177" s="53"/>
      <c r="D177" s="53"/>
      <c r="E177" s="11">
        <v>0</v>
      </c>
      <c r="F177" s="11">
        <v>0</v>
      </c>
      <c r="G177" s="60"/>
      <c r="H177" s="54"/>
      <c r="I177" s="54"/>
      <c r="J177" s="3"/>
      <c r="K177" s="3"/>
      <c r="L177" s="3"/>
      <c r="M177" s="3"/>
      <c r="N177" s="3"/>
      <c r="O177" s="3"/>
      <c r="P177" s="3"/>
      <c r="Q177" s="3"/>
      <c r="R177" s="3"/>
      <c r="S177" s="3"/>
      <c r="T177" s="3"/>
      <c r="U177" s="3"/>
      <c r="V177" s="3"/>
      <c r="W177" s="35"/>
      <c r="X177" s="32"/>
      <c r="Y177" s="3"/>
      <c r="Z177" s="3"/>
    </row>
    <row r="178" spans="1:26" ht="15.75" hidden="1" customHeight="1" outlineLevel="1" x14ac:dyDescent="0.3">
      <c r="A178" s="3"/>
      <c r="B178" s="9" t="s">
        <v>62</v>
      </c>
      <c r="C178" s="53"/>
      <c r="D178" s="53"/>
      <c r="E178" s="11">
        <v>0</v>
      </c>
      <c r="F178" s="11">
        <v>0</v>
      </c>
      <c r="G178" s="60"/>
      <c r="H178" s="54"/>
      <c r="I178" s="54"/>
      <c r="J178" s="3"/>
      <c r="K178" s="3"/>
      <c r="L178" s="3"/>
      <c r="M178" s="3"/>
      <c r="N178" s="3"/>
      <c r="O178" s="3"/>
      <c r="P178" s="3"/>
      <c r="Q178" s="3"/>
      <c r="R178" s="3"/>
      <c r="S178" s="3"/>
      <c r="T178" s="3"/>
      <c r="U178" s="3"/>
      <c r="V178" s="3"/>
      <c r="W178" s="35"/>
      <c r="X178" s="32"/>
      <c r="Y178" s="3"/>
      <c r="Z178" s="3"/>
    </row>
    <row r="179" spans="1:26" ht="15.75" hidden="1" customHeight="1" outlineLevel="1" x14ac:dyDescent="0.3">
      <c r="A179" s="3"/>
      <c r="B179" s="9" t="s">
        <v>62</v>
      </c>
      <c r="C179" s="53"/>
      <c r="D179" s="53"/>
      <c r="E179" s="11">
        <v>0</v>
      </c>
      <c r="F179" s="11">
        <v>0</v>
      </c>
      <c r="G179" s="60"/>
      <c r="H179" s="54"/>
      <c r="I179" s="54"/>
      <c r="J179" s="3"/>
      <c r="K179" s="3"/>
      <c r="L179" s="3"/>
      <c r="M179" s="3"/>
      <c r="N179" s="3"/>
      <c r="O179" s="3"/>
      <c r="P179" s="3"/>
      <c r="Q179" s="3"/>
      <c r="R179" s="3"/>
      <c r="S179" s="3"/>
      <c r="T179" s="3"/>
      <c r="U179" s="3"/>
      <c r="V179" s="3"/>
      <c r="W179" s="35"/>
      <c r="X179" s="32"/>
      <c r="Y179" s="3"/>
      <c r="Z179" s="3"/>
    </row>
    <row r="180" spans="1:26" ht="15.75" hidden="1" customHeight="1" outlineLevel="1" x14ac:dyDescent="0.3">
      <c r="A180" s="3"/>
      <c r="B180" s="9" t="s">
        <v>62</v>
      </c>
      <c r="C180" s="53"/>
      <c r="D180" s="53"/>
      <c r="E180" s="11">
        <v>0</v>
      </c>
      <c r="F180" s="11">
        <v>0</v>
      </c>
      <c r="G180" s="60"/>
      <c r="H180" s="54"/>
      <c r="I180" s="54"/>
      <c r="J180" s="3"/>
      <c r="K180" s="3"/>
      <c r="L180" s="3"/>
      <c r="M180" s="3"/>
      <c r="N180" s="3"/>
      <c r="O180" s="3"/>
      <c r="P180" s="3"/>
      <c r="Q180" s="3"/>
      <c r="R180" s="3"/>
      <c r="S180" s="3"/>
      <c r="T180" s="3"/>
      <c r="U180" s="3"/>
      <c r="V180" s="3"/>
      <c r="W180" s="35"/>
      <c r="X180" s="32"/>
      <c r="Y180" s="3"/>
      <c r="Z180" s="3"/>
    </row>
    <row r="181" spans="1:26" ht="15.75" hidden="1" customHeight="1" outlineLevel="1" x14ac:dyDescent="0.3">
      <c r="A181" s="3"/>
      <c r="B181" s="9" t="s">
        <v>62</v>
      </c>
      <c r="C181" s="53"/>
      <c r="D181" s="53"/>
      <c r="E181" s="11">
        <v>0</v>
      </c>
      <c r="F181" s="11">
        <v>0</v>
      </c>
      <c r="G181" s="60"/>
      <c r="H181" s="54"/>
      <c r="I181" s="54"/>
      <c r="J181" s="3"/>
      <c r="K181" s="3"/>
      <c r="L181" s="3"/>
      <c r="M181" s="3"/>
      <c r="N181" s="3"/>
      <c r="O181" s="3"/>
      <c r="P181" s="3"/>
      <c r="Q181" s="3"/>
      <c r="R181" s="3"/>
      <c r="S181" s="3"/>
      <c r="T181" s="3"/>
      <c r="U181" s="3"/>
      <c r="V181" s="3"/>
      <c r="W181" s="35"/>
      <c r="X181" s="32"/>
      <c r="Y181" s="3"/>
      <c r="Z181" s="3"/>
    </row>
    <row r="182" spans="1:26" ht="15.75" hidden="1" customHeight="1" outlineLevel="1" x14ac:dyDescent="0.3">
      <c r="A182" s="3"/>
      <c r="B182" s="9" t="s">
        <v>62</v>
      </c>
      <c r="C182" s="53"/>
      <c r="D182" s="53"/>
      <c r="E182" s="11">
        <v>0</v>
      </c>
      <c r="F182" s="11">
        <v>0</v>
      </c>
      <c r="G182" s="60"/>
      <c r="H182" s="54"/>
      <c r="I182" s="54"/>
      <c r="J182" s="3"/>
      <c r="K182" s="3"/>
      <c r="L182" s="3"/>
      <c r="M182" s="3"/>
      <c r="N182" s="3"/>
      <c r="O182" s="3"/>
      <c r="P182" s="3"/>
      <c r="Q182" s="3"/>
      <c r="R182" s="3"/>
      <c r="S182" s="3"/>
      <c r="T182" s="3"/>
      <c r="U182" s="3"/>
      <c r="V182" s="3"/>
      <c r="W182" s="35"/>
      <c r="X182" s="32"/>
      <c r="Y182" s="3"/>
      <c r="Z182" s="3"/>
    </row>
    <row r="183" spans="1:26" ht="19.5" customHeight="1" collapsed="1" x14ac:dyDescent="0.3">
      <c r="A183" s="3"/>
      <c r="B183" s="64" t="s">
        <v>64</v>
      </c>
      <c r="C183" s="47" t="s">
        <v>44</v>
      </c>
      <c r="D183" s="47" t="s">
        <v>44</v>
      </c>
      <c r="E183" s="48">
        <f>SUM(E184:E186)</f>
        <v>0</v>
      </c>
      <c r="F183" s="48">
        <f>SUMIF(D184:D186,"OK",F184:F186)</f>
        <v>3628</v>
      </c>
      <c r="G183" s="49" t="s">
        <v>44</v>
      </c>
      <c r="H183" s="65"/>
      <c r="I183" s="65"/>
      <c r="J183" s="3"/>
      <c r="K183" s="3"/>
      <c r="L183" s="3"/>
      <c r="M183" s="3"/>
      <c r="N183" s="3"/>
      <c r="O183" s="3"/>
      <c r="P183" s="3"/>
      <c r="Q183" s="3"/>
      <c r="R183" s="3"/>
      <c r="S183" s="3"/>
      <c r="T183" s="3"/>
      <c r="U183" s="3"/>
      <c r="V183" s="3"/>
      <c r="W183" s="35"/>
      <c r="X183" s="32"/>
      <c r="Y183" s="3"/>
      <c r="Z183" s="3"/>
    </row>
    <row r="184" spans="1:26" ht="15.75" hidden="1" customHeight="1" outlineLevel="1" x14ac:dyDescent="0.3">
      <c r="A184" s="3"/>
      <c r="B184" s="9" t="s">
        <v>2096</v>
      </c>
      <c r="C184" s="53">
        <v>1</v>
      </c>
      <c r="D184" s="53" t="s">
        <v>95</v>
      </c>
      <c r="E184" s="11">
        <v>0</v>
      </c>
      <c r="F184" s="11">
        <v>140</v>
      </c>
      <c r="G184" s="60" t="s">
        <v>2097</v>
      </c>
      <c r="H184" s="54" t="s">
        <v>37</v>
      </c>
      <c r="I184" s="54"/>
      <c r="J184" s="3"/>
      <c r="K184" s="3"/>
      <c r="L184" s="3"/>
      <c r="M184" s="3"/>
      <c r="N184" s="3"/>
      <c r="O184" s="3"/>
      <c r="P184" s="3"/>
      <c r="Q184" s="3"/>
      <c r="R184" s="3"/>
      <c r="S184" s="3"/>
      <c r="T184" s="3"/>
      <c r="U184" s="3"/>
      <c r="V184" s="3"/>
      <c r="W184" s="35"/>
      <c r="X184" s="32"/>
      <c r="Y184" s="3"/>
      <c r="Z184" s="3"/>
    </row>
    <row r="185" spans="1:26" ht="15.75" hidden="1" customHeight="1" outlineLevel="1" x14ac:dyDescent="0.3">
      <c r="A185" s="3"/>
      <c r="B185" s="9" t="s">
        <v>644</v>
      </c>
      <c r="C185" s="53" t="s">
        <v>2098</v>
      </c>
      <c r="D185" s="53" t="s">
        <v>95</v>
      </c>
      <c r="E185" s="11">
        <v>0</v>
      </c>
      <c r="F185" s="11">
        <f>3000+250</f>
        <v>3250</v>
      </c>
      <c r="G185" s="60"/>
      <c r="H185" s="54" t="s">
        <v>37</v>
      </c>
      <c r="I185" s="54"/>
      <c r="J185" s="3"/>
      <c r="K185" s="3"/>
      <c r="L185" s="3"/>
      <c r="M185" s="3"/>
      <c r="N185" s="3"/>
      <c r="O185" s="3"/>
      <c r="P185" s="3"/>
      <c r="Q185" s="3"/>
      <c r="R185" s="3"/>
      <c r="S185" s="3"/>
      <c r="T185" s="3"/>
      <c r="U185" s="3"/>
      <c r="V185" s="3"/>
      <c r="W185" s="35"/>
      <c r="X185" s="32"/>
      <c r="Y185" s="3"/>
      <c r="Z185" s="3"/>
    </row>
    <row r="186" spans="1:26" ht="15.75" hidden="1" customHeight="1" outlineLevel="1" x14ac:dyDescent="0.3">
      <c r="A186" s="3"/>
      <c r="B186" s="9" t="s">
        <v>2099</v>
      </c>
      <c r="C186" s="53">
        <v>23</v>
      </c>
      <c r="D186" s="53" t="s">
        <v>95</v>
      </c>
      <c r="E186" s="11">
        <v>0</v>
      </c>
      <c r="F186" s="11">
        <f>238</f>
        <v>238</v>
      </c>
      <c r="G186" s="58"/>
      <c r="H186" s="54" t="s">
        <v>37</v>
      </c>
      <c r="I186" s="54"/>
      <c r="J186" s="3"/>
      <c r="K186" s="3"/>
      <c r="L186" s="3"/>
      <c r="M186" s="3"/>
      <c r="N186" s="3"/>
      <c r="O186" s="3"/>
      <c r="P186" s="3"/>
      <c r="Q186" s="3"/>
      <c r="R186" s="3"/>
      <c r="S186" s="3"/>
      <c r="T186" s="3"/>
      <c r="U186" s="3"/>
      <c r="V186" s="3"/>
      <c r="W186" s="35"/>
      <c r="X186" s="32"/>
      <c r="Y186" s="3"/>
      <c r="Z186" s="3"/>
    </row>
    <row r="187" spans="1:26" ht="19.5" customHeight="1" collapsed="1" x14ac:dyDescent="0.3">
      <c r="A187" s="3"/>
      <c r="B187" s="64" t="s">
        <v>260</v>
      </c>
      <c r="C187" s="47" t="s">
        <v>44</v>
      </c>
      <c r="D187" s="47" t="s">
        <v>44</v>
      </c>
      <c r="E187" s="48">
        <f>SUM(E188:E194)</f>
        <v>0</v>
      </c>
      <c r="F187" s="48">
        <f>SUMIF(D188:D194,"OK",F188:F194)</f>
        <v>7.01</v>
      </c>
      <c r="G187" s="49" t="s">
        <v>44</v>
      </c>
      <c r="H187" s="65"/>
      <c r="I187" s="65"/>
      <c r="J187" s="3"/>
      <c r="K187" s="3"/>
      <c r="L187" s="3"/>
      <c r="M187" s="3"/>
      <c r="N187" s="3"/>
      <c r="O187" s="3"/>
      <c r="P187" s="3"/>
      <c r="Q187" s="3"/>
      <c r="R187" s="3"/>
      <c r="S187" s="3"/>
      <c r="T187" s="3"/>
      <c r="U187" s="3"/>
      <c r="V187" s="3"/>
      <c r="W187" s="35"/>
      <c r="X187" s="32"/>
      <c r="Y187" s="3"/>
      <c r="Z187" s="3"/>
    </row>
    <row r="188" spans="1:26" ht="15.75" hidden="1" customHeight="1" outlineLevel="1" x14ac:dyDescent="0.3">
      <c r="A188" s="3"/>
      <c r="B188" s="9" t="s">
        <v>261</v>
      </c>
      <c r="C188" s="53"/>
      <c r="D188" s="53"/>
      <c r="E188" s="11">
        <v>0</v>
      </c>
      <c r="F188" s="11">
        <v>0</v>
      </c>
      <c r="G188" s="58"/>
      <c r="H188" s="54" t="s">
        <v>37</v>
      </c>
      <c r="I188" s="54"/>
      <c r="J188" s="3"/>
      <c r="K188" s="3"/>
      <c r="L188" s="3"/>
      <c r="M188" s="3"/>
      <c r="N188" s="3"/>
      <c r="O188" s="3"/>
      <c r="P188" s="3"/>
      <c r="Q188" s="3"/>
      <c r="R188" s="3"/>
      <c r="S188" s="3"/>
      <c r="T188" s="3"/>
      <c r="U188" s="3"/>
      <c r="V188" s="3"/>
      <c r="W188" s="35"/>
      <c r="X188" s="32"/>
      <c r="Y188" s="3"/>
      <c r="Z188" s="3"/>
    </row>
    <row r="189" spans="1:26" ht="15.75" hidden="1" customHeight="1" outlineLevel="1" x14ac:dyDescent="0.3">
      <c r="A189" s="3"/>
      <c r="B189" s="9" t="s">
        <v>262</v>
      </c>
      <c r="C189" s="53" t="s">
        <v>2100</v>
      </c>
      <c r="D189" s="53" t="s">
        <v>95</v>
      </c>
      <c r="E189" s="11">
        <v>0</v>
      </c>
      <c r="F189" s="11">
        <f>0.13+0.13</f>
        <v>0.26</v>
      </c>
      <c r="G189" s="60"/>
      <c r="H189" s="54" t="s">
        <v>38</v>
      </c>
      <c r="I189" s="54"/>
      <c r="J189" s="3"/>
      <c r="K189" s="3"/>
      <c r="L189" s="3"/>
      <c r="M189" s="3"/>
      <c r="N189" s="3"/>
      <c r="O189" s="3"/>
      <c r="P189" s="3"/>
      <c r="Q189" s="3"/>
      <c r="R189" s="3"/>
      <c r="S189" s="3"/>
      <c r="T189" s="3"/>
      <c r="U189" s="3"/>
      <c r="V189" s="3"/>
      <c r="W189" s="35"/>
      <c r="X189" s="32"/>
      <c r="Y189" s="3"/>
      <c r="Z189" s="3"/>
    </row>
    <row r="190" spans="1:26" ht="15.75" hidden="1" customHeight="1" outlineLevel="1" x14ac:dyDescent="0.3">
      <c r="A190" s="3"/>
      <c r="B190" s="9" t="s">
        <v>2101</v>
      </c>
      <c r="C190" s="53">
        <v>17</v>
      </c>
      <c r="D190" s="53" t="s">
        <v>95</v>
      </c>
      <c r="E190" s="11">
        <v>0</v>
      </c>
      <c r="F190" s="11">
        <v>6.75</v>
      </c>
      <c r="G190" s="58"/>
      <c r="H190" s="54" t="s">
        <v>40</v>
      </c>
      <c r="I190" s="54"/>
      <c r="J190" s="3"/>
      <c r="K190" s="3"/>
      <c r="L190" s="3"/>
      <c r="M190" s="3"/>
      <c r="N190" s="3"/>
      <c r="O190" s="3"/>
      <c r="P190" s="3"/>
      <c r="Q190" s="3"/>
      <c r="R190" s="3"/>
      <c r="S190" s="3"/>
      <c r="T190" s="3"/>
      <c r="U190" s="3"/>
      <c r="V190" s="3"/>
      <c r="W190" s="35"/>
      <c r="X190" s="32"/>
      <c r="Y190" s="3"/>
      <c r="Z190" s="3"/>
    </row>
    <row r="191" spans="1:26" ht="15.75" hidden="1" customHeight="1" outlineLevel="1" x14ac:dyDescent="0.3">
      <c r="A191" s="3"/>
      <c r="B191" s="9" t="s">
        <v>265</v>
      </c>
      <c r="C191" s="53"/>
      <c r="D191" s="53"/>
      <c r="E191" s="11">
        <v>0</v>
      </c>
      <c r="F191" s="11">
        <v>0</v>
      </c>
      <c r="G191" s="58"/>
      <c r="H191" s="54" t="s">
        <v>266</v>
      </c>
      <c r="I191" s="54"/>
      <c r="J191" s="3"/>
      <c r="K191" s="3"/>
      <c r="L191" s="3"/>
      <c r="M191" s="3"/>
      <c r="N191" s="3"/>
      <c r="O191" s="3"/>
      <c r="P191" s="3"/>
      <c r="Q191" s="3"/>
      <c r="R191" s="3"/>
      <c r="S191" s="3"/>
      <c r="T191" s="3"/>
      <c r="U191" s="3"/>
      <c r="V191" s="3"/>
      <c r="W191" s="35"/>
      <c r="X191" s="32"/>
      <c r="Y191" s="3"/>
      <c r="Z191" s="3"/>
    </row>
    <row r="192" spans="1:26" ht="15.75" hidden="1" customHeight="1" outlineLevel="1" x14ac:dyDescent="0.3">
      <c r="A192" s="3"/>
      <c r="B192" s="9" t="s">
        <v>552</v>
      </c>
      <c r="C192" s="53"/>
      <c r="D192" s="53"/>
      <c r="E192" s="11">
        <v>0</v>
      </c>
      <c r="F192" s="11">
        <v>0</v>
      </c>
      <c r="G192" s="58"/>
      <c r="H192" s="54" t="s">
        <v>39</v>
      </c>
      <c r="I192" s="54"/>
      <c r="J192" s="3"/>
      <c r="K192" s="3"/>
      <c r="L192" s="3"/>
      <c r="M192" s="3"/>
      <c r="N192" s="3"/>
      <c r="O192" s="3"/>
      <c r="P192" s="3"/>
      <c r="Q192" s="3"/>
      <c r="R192" s="3"/>
      <c r="S192" s="3"/>
      <c r="T192" s="3"/>
      <c r="U192" s="3"/>
      <c r="V192" s="3"/>
      <c r="W192" s="35"/>
      <c r="X192" s="32"/>
      <c r="Y192" s="3"/>
      <c r="Z192" s="3"/>
    </row>
    <row r="193" spans="1:26" ht="15.75" hidden="1" customHeight="1" outlineLevel="1" x14ac:dyDescent="0.3">
      <c r="A193" s="3"/>
      <c r="B193" s="9" t="s">
        <v>1581</v>
      </c>
      <c r="C193" s="53"/>
      <c r="D193" s="53"/>
      <c r="E193" s="11">
        <v>0</v>
      </c>
      <c r="F193" s="11">
        <v>0</v>
      </c>
      <c r="G193" s="58"/>
      <c r="H193" s="54" t="s">
        <v>38</v>
      </c>
      <c r="I193" s="54"/>
      <c r="J193" s="3"/>
      <c r="K193" s="3"/>
      <c r="L193" s="3"/>
      <c r="M193" s="3"/>
      <c r="N193" s="3"/>
      <c r="O193" s="3"/>
      <c r="P193" s="3"/>
      <c r="Q193" s="3"/>
      <c r="R193" s="3"/>
      <c r="S193" s="3"/>
      <c r="T193" s="3"/>
      <c r="U193" s="3"/>
      <c r="V193" s="3"/>
      <c r="W193" s="35"/>
      <c r="X193" s="32"/>
      <c r="Y193" s="3"/>
      <c r="Z193" s="3"/>
    </row>
    <row r="194" spans="1:26" ht="15.75" hidden="1" customHeight="1" outlineLevel="1" x14ac:dyDescent="0.3">
      <c r="A194" s="3"/>
      <c r="B194" s="9" t="s">
        <v>917</v>
      </c>
      <c r="C194" s="53"/>
      <c r="D194" s="53"/>
      <c r="E194" s="11">
        <v>0</v>
      </c>
      <c r="F194" s="11">
        <v>0</v>
      </c>
      <c r="G194" s="58"/>
      <c r="H194" s="54"/>
      <c r="I194" s="54"/>
      <c r="J194" s="3"/>
      <c r="K194" s="3"/>
      <c r="L194" s="3"/>
      <c r="M194" s="3"/>
      <c r="N194" s="3"/>
      <c r="O194" s="3"/>
      <c r="P194" s="3"/>
      <c r="Q194" s="3"/>
      <c r="R194" s="3"/>
      <c r="S194" s="3"/>
      <c r="T194" s="3"/>
      <c r="U194" s="3"/>
      <c r="V194" s="3"/>
      <c r="W194" s="35"/>
      <c r="X194" s="32"/>
      <c r="Y194" s="3"/>
      <c r="Z194" s="3"/>
    </row>
    <row r="195" spans="1:26" ht="15.75" customHeight="1" collapsed="1" x14ac:dyDescent="0.3">
      <c r="A195" s="3"/>
      <c r="B195" s="3"/>
      <c r="C195" s="28"/>
      <c r="D195" s="28"/>
      <c r="E195" s="28"/>
      <c r="F195" s="28"/>
      <c r="G195" s="112"/>
      <c r="H195" s="28"/>
      <c r="I195" s="28"/>
      <c r="J195" s="28"/>
      <c r="K195" s="28"/>
      <c r="L195" s="28"/>
      <c r="M195" s="28"/>
      <c r="N195" s="28"/>
      <c r="O195" s="28"/>
      <c r="P195" s="28"/>
      <c r="Q195" s="28"/>
      <c r="R195" s="28"/>
      <c r="S195" s="28"/>
      <c r="T195" s="28"/>
      <c r="U195" s="28"/>
      <c r="V195" s="28"/>
      <c r="W195" s="35"/>
      <c r="X195" s="32"/>
    </row>
    <row r="196" spans="1:26" ht="15.75" customHeight="1" x14ac:dyDescent="0.3">
      <c r="A196" s="3"/>
      <c r="B196" s="3"/>
      <c r="C196" s="28"/>
      <c r="D196" s="28"/>
      <c r="E196" s="28"/>
      <c r="F196" s="101"/>
      <c r="G196" s="112"/>
      <c r="H196" s="28"/>
      <c r="I196" s="28"/>
      <c r="J196" s="28"/>
      <c r="K196" s="28"/>
      <c r="L196" s="28"/>
      <c r="M196" s="28"/>
      <c r="N196" s="28"/>
      <c r="O196" s="28"/>
      <c r="P196" s="28"/>
      <c r="Q196" s="28"/>
      <c r="R196" s="28"/>
      <c r="S196" s="28"/>
      <c r="T196" s="28"/>
      <c r="U196" s="28"/>
      <c r="V196" s="28"/>
      <c r="W196" s="35"/>
      <c r="X196" s="32"/>
    </row>
    <row r="197" spans="1:26" ht="15.75" customHeight="1" x14ac:dyDescent="0.3">
      <c r="A197" s="3"/>
      <c r="B197" s="3"/>
      <c r="C197" s="28"/>
      <c r="D197" s="28"/>
      <c r="E197" s="28"/>
      <c r="F197" s="28"/>
      <c r="G197" s="112"/>
      <c r="H197" s="28"/>
      <c r="I197" s="28"/>
      <c r="J197" s="28"/>
      <c r="K197" s="28"/>
      <c r="L197" s="28"/>
      <c r="M197" s="28"/>
      <c r="N197" s="28"/>
      <c r="O197" s="28"/>
      <c r="P197" s="28"/>
      <c r="Q197" s="28"/>
      <c r="R197" s="28"/>
      <c r="S197" s="28"/>
      <c r="T197" s="28"/>
      <c r="U197" s="28"/>
      <c r="V197" s="28"/>
      <c r="W197" s="35"/>
      <c r="X197" s="32"/>
    </row>
    <row r="198" spans="1:26" ht="15.75" customHeight="1" x14ac:dyDescent="0.3">
      <c r="A198" s="3"/>
      <c r="B198" s="3"/>
      <c r="C198" s="28"/>
      <c r="D198" s="28"/>
      <c r="E198" s="28"/>
      <c r="F198" s="28"/>
      <c r="G198" s="112"/>
      <c r="H198" s="28"/>
      <c r="I198" s="28"/>
      <c r="J198" s="28"/>
      <c r="K198" s="28"/>
      <c r="L198" s="28"/>
      <c r="M198" s="28"/>
      <c r="N198" s="28"/>
      <c r="O198" s="28"/>
      <c r="P198" s="28"/>
      <c r="Q198" s="28"/>
      <c r="R198" s="28"/>
      <c r="S198" s="28"/>
      <c r="T198" s="28"/>
      <c r="U198" s="28"/>
      <c r="V198" s="28"/>
      <c r="W198" s="35"/>
      <c r="X198" s="32"/>
    </row>
    <row r="199" spans="1:26" ht="15.75" customHeight="1" x14ac:dyDescent="0.3">
      <c r="A199" s="3"/>
      <c r="B199" s="3"/>
      <c r="C199" s="28"/>
      <c r="D199" s="28"/>
      <c r="E199" s="28"/>
      <c r="F199" s="28"/>
      <c r="G199" s="112"/>
      <c r="H199" s="28"/>
      <c r="I199" s="28"/>
      <c r="J199" s="28"/>
      <c r="K199" s="28"/>
      <c r="L199" s="28"/>
      <c r="M199" s="28"/>
      <c r="N199" s="28"/>
      <c r="O199" s="28"/>
      <c r="P199" s="28"/>
      <c r="Q199" s="28"/>
      <c r="R199" s="28"/>
      <c r="S199" s="28"/>
      <c r="T199" s="28"/>
      <c r="U199" s="28"/>
      <c r="V199" s="28"/>
      <c r="W199" s="35"/>
      <c r="X199" s="32"/>
    </row>
    <row r="200" spans="1:26" ht="15.75" customHeight="1" x14ac:dyDescent="0.3">
      <c r="A200" s="3"/>
      <c r="B200" s="3"/>
      <c r="C200" s="28"/>
      <c r="D200" s="28"/>
      <c r="E200" s="28"/>
      <c r="F200" s="28"/>
      <c r="G200" s="112"/>
      <c r="H200" s="28"/>
      <c r="I200" s="28"/>
      <c r="J200" s="28"/>
      <c r="K200" s="28"/>
      <c r="L200" s="28"/>
      <c r="M200" s="28"/>
      <c r="N200" s="28"/>
      <c r="O200" s="28"/>
      <c r="P200" s="28"/>
      <c r="Q200" s="28"/>
      <c r="R200" s="28"/>
      <c r="S200" s="28"/>
      <c r="T200" s="28"/>
      <c r="U200" s="28"/>
      <c r="V200" s="28"/>
      <c r="W200" s="35"/>
      <c r="X200" s="32"/>
    </row>
    <row r="201" spans="1:26" ht="15.75" customHeight="1" x14ac:dyDescent="0.3">
      <c r="A201" s="3"/>
      <c r="B201" s="3"/>
      <c r="C201" s="28"/>
      <c r="D201" s="28"/>
      <c r="E201" s="28"/>
      <c r="F201" s="28"/>
      <c r="G201" s="112"/>
      <c r="H201" s="28"/>
      <c r="I201" s="28"/>
      <c r="J201" s="28"/>
      <c r="K201" s="28"/>
      <c r="L201" s="28"/>
      <c r="M201" s="28"/>
      <c r="N201" s="28"/>
      <c r="O201" s="28"/>
      <c r="P201" s="28"/>
      <c r="Q201" s="28"/>
      <c r="R201" s="28"/>
      <c r="S201" s="28"/>
      <c r="T201" s="28"/>
      <c r="U201" s="28"/>
      <c r="V201" s="28"/>
      <c r="W201" s="35"/>
      <c r="X201" s="32"/>
    </row>
    <row r="202" spans="1:26" ht="15.75" customHeight="1" x14ac:dyDescent="0.3">
      <c r="A202" s="3"/>
      <c r="B202" s="3"/>
      <c r="C202" s="28"/>
      <c r="D202" s="28"/>
      <c r="E202" s="28"/>
      <c r="F202" s="28"/>
      <c r="G202" s="112"/>
      <c r="H202" s="28"/>
      <c r="I202" s="28"/>
      <c r="J202" s="28"/>
      <c r="K202" s="28"/>
      <c r="L202" s="28"/>
      <c r="M202" s="28"/>
      <c r="N202" s="28"/>
      <c r="O202" s="28"/>
      <c r="P202" s="28"/>
      <c r="Q202" s="28"/>
      <c r="R202" s="28"/>
      <c r="S202" s="28"/>
      <c r="T202" s="28"/>
      <c r="U202" s="28"/>
      <c r="V202" s="28"/>
      <c r="W202" s="35"/>
      <c r="X202" s="32"/>
    </row>
    <row r="203" spans="1:26" ht="15.75" customHeight="1" x14ac:dyDescent="0.3">
      <c r="A203" s="3"/>
      <c r="B203" s="3"/>
      <c r="C203" s="28"/>
      <c r="D203" s="28"/>
      <c r="E203" s="28"/>
      <c r="F203" s="28"/>
      <c r="G203" s="112"/>
      <c r="H203" s="28"/>
      <c r="I203" s="28"/>
      <c r="J203" s="28"/>
      <c r="K203" s="28"/>
      <c r="L203" s="28"/>
      <c r="M203" s="28"/>
      <c r="N203" s="28"/>
      <c r="O203" s="28"/>
      <c r="P203" s="28"/>
      <c r="Q203" s="28"/>
      <c r="R203" s="28"/>
      <c r="S203" s="28"/>
      <c r="T203" s="28"/>
      <c r="U203" s="28"/>
      <c r="V203" s="28"/>
      <c r="W203" s="35"/>
      <c r="X203" s="32"/>
    </row>
    <row r="204" spans="1:26" ht="15.75" customHeight="1" x14ac:dyDescent="0.3">
      <c r="A204" s="3"/>
      <c r="B204" s="3"/>
      <c r="C204" s="28"/>
      <c r="D204" s="28"/>
      <c r="E204" s="28"/>
      <c r="F204" s="28"/>
      <c r="G204" s="112"/>
      <c r="H204" s="28"/>
      <c r="I204" s="28"/>
      <c r="J204" s="28"/>
      <c r="K204" s="28"/>
      <c r="L204" s="28"/>
      <c r="M204" s="28"/>
      <c r="N204" s="28"/>
      <c r="O204" s="28"/>
      <c r="P204" s="28"/>
      <c r="Q204" s="28"/>
      <c r="R204" s="28"/>
      <c r="S204" s="28"/>
      <c r="T204" s="28"/>
      <c r="U204" s="28"/>
      <c r="V204" s="28"/>
      <c r="W204" s="35"/>
      <c r="X204" s="32"/>
    </row>
    <row r="205" spans="1:26" ht="15.75" customHeight="1" x14ac:dyDescent="0.3">
      <c r="A205" s="3"/>
      <c r="B205" s="3"/>
      <c r="C205" s="28"/>
      <c r="D205" s="28"/>
      <c r="E205" s="28"/>
      <c r="F205" s="28"/>
      <c r="G205" s="112"/>
      <c r="H205" s="28"/>
      <c r="I205" s="28"/>
      <c r="J205" s="28"/>
      <c r="K205" s="28"/>
      <c r="L205" s="28"/>
      <c r="M205" s="28"/>
      <c r="N205" s="28"/>
      <c r="O205" s="28"/>
      <c r="P205" s="28"/>
      <c r="Q205" s="28"/>
      <c r="R205" s="28"/>
      <c r="S205" s="28"/>
      <c r="T205" s="28"/>
      <c r="U205" s="28"/>
      <c r="V205" s="28"/>
      <c r="W205" s="35"/>
      <c r="X205" s="32"/>
    </row>
    <row r="206" spans="1:26" ht="15.75" customHeight="1" x14ac:dyDescent="0.3">
      <c r="A206" s="3"/>
      <c r="B206" s="3"/>
      <c r="C206" s="28"/>
      <c r="D206" s="28"/>
      <c r="E206" s="28"/>
      <c r="F206" s="28"/>
      <c r="G206" s="112"/>
      <c r="H206" s="28"/>
      <c r="I206" s="28"/>
      <c r="J206" s="28"/>
      <c r="K206" s="28"/>
      <c r="L206" s="28"/>
      <c r="M206" s="28"/>
      <c r="N206" s="28"/>
      <c r="O206" s="28"/>
      <c r="P206" s="28"/>
      <c r="Q206" s="28"/>
      <c r="R206" s="28"/>
      <c r="S206" s="28"/>
      <c r="T206" s="28"/>
      <c r="U206" s="28"/>
      <c r="V206" s="28"/>
      <c r="W206" s="35"/>
      <c r="X206" s="32"/>
    </row>
    <row r="207" spans="1:26" ht="15.75" customHeight="1" x14ac:dyDescent="0.3">
      <c r="A207" s="3"/>
      <c r="B207" s="3"/>
      <c r="C207" s="28"/>
      <c r="D207" s="28"/>
      <c r="E207" s="28"/>
      <c r="F207" s="28"/>
      <c r="G207" s="112"/>
      <c r="H207" s="28"/>
      <c r="I207" s="28"/>
      <c r="J207" s="28"/>
      <c r="K207" s="28"/>
      <c r="L207" s="28"/>
      <c r="M207" s="28"/>
      <c r="N207" s="28"/>
      <c r="O207" s="28"/>
      <c r="P207" s="28"/>
      <c r="Q207" s="28"/>
      <c r="R207" s="28"/>
      <c r="S207" s="28"/>
      <c r="T207" s="28"/>
      <c r="U207" s="28"/>
      <c r="V207" s="28"/>
      <c r="W207" s="35"/>
      <c r="X207" s="32"/>
    </row>
    <row r="208" spans="1:26" ht="15.75" customHeight="1" x14ac:dyDescent="0.3">
      <c r="A208" s="3"/>
      <c r="B208" s="3"/>
      <c r="C208" s="28"/>
      <c r="D208" s="28"/>
      <c r="E208" s="28"/>
      <c r="F208" s="28"/>
      <c r="G208" s="112"/>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12"/>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12"/>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12"/>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12"/>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12"/>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12"/>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12"/>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12"/>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12"/>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12"/>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12"/>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12"/>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12"/>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12"/>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12"/>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12"/>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12"/>
      <c r="H225" s="28"/>
      <c r="I225" s="28"/>
      <c r="J225" s="28"/>
      <c r="K225" s="28"/>
      <c r="L225" s="28"/>
      <c r="M225" s="28"/>
      <c r="N225" s="28"/>
      <c r="O225" s="28"/>
      <c r="P225" s="28"/>
      <c r="Q225" s="28"/>
      <c r="R225" s="28"/>
      <c r="S225" s="28"/>
      <c r="T225" s="28"/>
      <c r="U225" s="28"/>
      <c r="V225" s="28"/>
      <c r="W225" s="35"/>
      <c r="X225" s="32"/>
    </row>
    <row r="226" spans="1:24" ht="15.75" customHeight="1" x14ac:dyDescent="0.3">
      <c r="A226" s="3"/>
      <c r="B226" s="3"/>
      <c r="C226" s="28"/>
      <c r="D226" s="28"/>
      <c r="E226" s="28"/>
      <c r="F226" s="28"/>
      <c r="G226" s="112"/>
      <c r="H226" s="28"/>
      <c r="I226" s="28"/>
      <c r="J226" s="28"/>
      <c r="K226" s="28"/>
      <c r="L226" s="28"/>
      <c r="M226" s="28"/>
      <c r="N226" s="28"/>
      <c r="O226" s="28"/>
      <c r="P226" s="28"/>
      <c r="Q226" s="28"/>
      <c r="R226" s="28"/>
      <c r="S226" s="28"/>
      <c r="T226" s="28"/>
      <c r="U226" s="28"/>
      <c r="V226" s="28"/>
      <c r="W226" s="35"/>
      <c r="X226" s="32"/>
    </row>
    <row r="227" spans="1:24" ht="15.75" customHeight="1" x14ac:dyDescent="0.3">
      <c r="A227" s="3"/>
      <c r="B227" s="3"/>
      <c r="C227" s="28"/>
      <c r="D227" s="28"/>
      <c r="E227" s="28"/>
      <c r="F227" s="28"/>
      <c r="G227" s="112"/>
      <c r="H227" s="28"/>
      <c r="I227" s="28"/>
      <c r="J227" s="28"/>
      <c r="K227" s="28"/>
      <c r="L227" s="28"/>
      <c r="M227" s="28"/>
      <c r="N227" s="28"/>
      <c r="O227" s="28"/>
      <c r="P227" s="28"/>
      <c r="Q227" s="28"/>
      <c r="R227" s="28"/>
      <c r="S227" s="28"/>
      <c r="T227" s="28"/>
      <c r="U227" s="28"/>
      <c r="V227" s="28"/>
      <c r="W227" s="35"/>
      <c r="X227" s="32"/>
    </row>
    <row r="228" spans="1:24" ht="15.75" customHeight="1" x14ac:dyDescent="0.3">
      <c r="A228" s="3"/>
      <c r="B228" s="3"/>
      <c r="C228" s="28"/>
      <c r="D228" s="28"/>
      <c r="E228" s="28"/>
      <c r="F228" s="28"/>
      <c r="G228" s="112"/>
      <c r="H228" s="28"/>
      <c r="I228" s="28"/>
      <c r="J228" s="28"/>
      <c r="K228" s="28"/>
      <c r="L228" s="28"/>
      <c r="M228" s="28"/>
      <c r="N228" s="28"/>
      <c r="O228" s="28"/>
      <c r="P228" s="28"/>
      <c r="Q228" s="28"/>
      <c r="R228" s="28"/>
      <c r="S228" s="28"/>
      <c r="T228" s="28"/>
      <c r="U228" s="28"/>
      <c r="V228" s="28"/>
      <c r="W228" s="35"/>
      <c r="X228" s="32"/>
    </row>
    <row r="229" spans="1:24" ht="15.75" customHeight="1" x14ac:dyDescent="0.3">
      <c r="A229" s="3"/>
      <c r="B229" s="3"/>
      <c r="C229" s="28"/>
      <c r="D229" s="28"/>
      <c r="E229" s="28"/>
      <c r="F229" s="28"/>
      <c r="G229" s="112"/>
      <c r="H229" s="28"/>
      <c r="I229" s="28"/>
      <c r="J229" s="28"/>
      <c r="K229" s="28"/>
      <c r="L229" s="28"/>
      <c r="M229" s="28"/>
      <c r="N229" s="28"/>
      <c r="O229" s="28"/>
      <c r="P229" s="28"/>
      <c r="Q229" s="28"/>
      <c r="R229" s="28"/>
      <c r="S229" s="28"/>
      <c r="T229" s="28"/>
      <c r="U229" s="28"/>
      <c r="V229" s="28"/>
      <c r="W229" s="35"/>
      <c r="X229" s="32"/>
    </row>
    <row r="230" spans="1:24" ht="15.75" customHeight="1" x14ac:dyDescent="0.3">
      <c r="A230" s="3"/>
      <c r="B230" s="3"/>
      <c r="C230" s="28"/>
      <c r="D230" s="28"/>
      <c r="E230" s="28"/>
      <c r="F230" s="28"/>
      <c r="G230" s="112"/>
      <c r="H230" s="28"/>
      <c r="I230" s="28"/>
      <c r="J230" s="28"/>
      <c r="K230" s="28"/>
      <c r="L230" s="28"/>
      <c r="M230" s="28"/>
      <c r="N230" s="28"/>
      <c r="O230" s="28"/>
      <c r="P230" s="28"/>
      <c r="Q230" s="28"/>
      <c r="R230" s="28"/>
      <c r="S230" s="28"/>
      <c r="T230" s="28"/>
      <c r="U230" s="28"/>
      <c r="V230" s="28"/>
      <c r="W230" s="35"/>
      <c r="X230" s="32"/>
    </row>
    <row r="231" spans="1:24" ht="15.75" customHeight="1" x14ac:dyDescent="0.3">
      <c r="A231" s="3"/>
      <c r="B231" s="3"/>
      <c r="C231" s="28"/>
      <c r="D231" s="28"/>
      <c r="E231" s="28"/>
      <c r="F231" s="28"/>
      <c r="G231" s="112"/>
      <c r="H231" s="28"/>
      <c r="I231" s="28"/>
      <c r="J231" s="28"/>
      <c r="K231" s="28"/>
      <c r="L231" s="28"/>
      <c r="M231" s="28"/>
      <c r="N231" s="28"/>
      <c r="O231" s="28"/>
      <c r="P231" s="28"/>
      <c r="Q231" s="28"/>
      <c r="R231" s="28"/>
      <c r="S231" s="28"/>
      <c r="T231" s="28"/>
      <c r="U231" s="28"/>
      <c r="V231" s="28"/>
      <c r="W231" s="35"/>
      <c r="X231" s="32"/>
    </row>
    <row r="232" spans="1:24" ht="15.75" customHeight="1" x14ac:dyDescent="0.3">
      <c r="A232" s="3"/>
      <c r="B232" s="3"/>
      <c r="C232" s="28"/>
      <c r="D232" s="28"/>
      <c r="E232" s="28"/>
      <c r="F232" s="28"/>
      <c r="G232" s="112"/>
      <c r="H232" s="28"/>
      <c r="I232" s="28"/>
      <c r="J232" s="28"/>
      <c r="K232" s="28"/>
      <c r="L232" s="28"/>
      <c r="M232" s="28"/>
      <c r="N232" s="28"/>
      <c r="O232" s="28"/>
      <c r="P232" s="28"/>
      <c r="Q232" s="28"/>
      <c r="R232" s="28"/>
      <c r="S232" s="28"/>
      <c r="T232" s="28"/>
      <c r="U232" s="28"/>
      <c r="V232" s="28"/>
      <c r="W232" s="35"/>
      <c r="X232" s="32"/>
    </row>
    <row r="233" spans="1:24" ht="15.75" customHeight="1" x14ac:dyDescent="0.3">
      <c r="A233" s="3"/>
      <c r="B233" s="3"/>
      <c r="C233" s="28"/>
      <c r="D233" s="28"/>
      <c r="E233" s="28"/>
      <c r="F233" s="28"/>
      <c r="G233" s="112"/>
      <c r="H233" s="28"/>
      <c r="I233" s="28"/>
      <c r="J233" s="28"/>
      <c r="K233" s="28"/>
      <c r="L233" s="28"/>
      <c r="M233" s="28"/>
      <c r="N233" s="28"/>
      <c r="O233" s="28"/>
      <c r="P233" s="28"/>
      <c r="Q233" s="28"/>
      <c r="R233" s="28"/>
      <c r="S233" s="28"/>
      <c r="T233" s="28"/>
      <c r="U233" s="28"/>
      <c r="V233" s="28"/>
      <c r="W233" s="35"/>
      <c r="X233" s="32"/>
    </row>
    <row r="234" spans="1:24" ht="15.75" customHeight="1" x14ac:dyDescent="0.3">
      <c r="A234" s="3"/>
      <c r="B234" s="3"/>
      <c r="C234" s="28"/>
      <c r="D234" s="28"/>
      <c r="E234" s="28"/>
      <c r="F234" s="28"/>
      <c r="G234" s="112"/>
      <c r="H234" s="28"/>
      <c r="I234" s="28"/>
      <c r="J234" s="28"/>
      <c r="K234" s="28"/>
      <c r="L234" s="28"/>
      <c r="M234" s="28"/>
      <c r="N234" s="28"/>
      <c r="O234" s="28"/>
      <c r="P234" s="28"/>
      <c r="Q234" s="28"/>
      <c r="R234" s="28"/>
      <c r="S234" s="28"/>
      <c r="T234" s="28"/>
      <c r="U234" s="28"/>
      <c r="V234" s="28"/>
      <c r="W234" s="35"/>
      <c r="X234" s="32"/>
    </row>
    <row r="235" spans="1:24" ht="15.75" customHeight="1" x14ac:dyDescent="0.3">
      <c r="A235" s="3"/>
      <c r="B235" s="3"/>
      <c r="C235" s="28"/>
      <c r="D235" s="28"/>
      <c r="E235" s="28"/>
      <c r="F235" s="28"/>
      <c r="G235" s="112"/>
      <c r="H235" s="28"/>
      <c r="I235" s="28"/>
      <c r="J235" s="28"/>
      <c r="K235" s="28"/>
      <c r="L235" s="28"/>
      <c r="M235" s="28"/>
      <c r="N235" s="28"/>
      <c r="O235" s="28"/>
      <c r="P235" s="28"/>
      <c r="Q235" s="28"/>
      <c r="R235" s="28"/>
      <c r="S235" s="28"/>
      <c r="T235" s="28"/>
      <c r="U235" s="28"/>
      <c r="V235" s="28"/>
      <c r="W235" s="35"/>
      <c r="X235" s="32"/>
    </row>
    <row r="236" spans="1:24" ht="15.75" customHeight="1" x14ac:dyDescent="0.3">
      <c r="A236" s="3"/>
      <c r="B236" s="3"/>
      <c r="C236" s="28"/>
      <c r="D236" s="28"/>
      <c r="E236" s="28"/>
      <c r="F236" s="28"/>
      <c r="G236" s="112"/>
      <c r="H236" s="28"/>
      <c r="I236" s="28"/>
      <c r="J236" s="28"/>
      <c r="K236" s="28"/>
      <c r="L236" s="28"/>
      <c r="M236" s="28"/>
      <c r="N236" s="28"/>
      <c r="O236" s="28"/>
      <c r="P236" s="28"/>
      <c r="Q236" s="28"/>
      <c r="R236" s="28"/>
      <c r="S236" s="28"/>
      <c r="T236" s="28"/>
      <c r="U236" s="28"/>
      <c r="V236" s="28"/>
      <c r="W236" s="35"/>
      <c r="X236" s="32"/>
    </row>
    <row r="237" spans="1:24" ht="15.75" customHeight="1" x14ac:dyDescent="0.3">
      <c r="A237" s="3"/>
      <c r="B237" s="3"/>
      <c r="C237" s="28"/>
      <c r="D237" s="28"/>
      <c r="E237" s="28"/>
      <c r="F237" s="28"/>
      <c r="G237" s="112"/>
      <c r="H237" s="28"/>
      <c r="I237" s="28"/>
      <c r="J237" s="28"/>
      <c r="K237" s="28"/>
      <c r="L237" s="28"/>
      <c r="M237" s="28"/>
      <c r="N237" s="28"/>
      <c r="O237" s="28"/>
      <c r="P237" s="28"/>
      <c r="Q237" s="28"/>
      <c r="R237" s="28"/>
      <c r="S237" s="28"/>
      <c r="T237" s="28"/>
      <c r="U237" s="28"/>
      <c r="V237" s="28"/>
      <c r="W237" s="35"/>
      <c r="X237" s="32"/>
    </row>
    <row r="238" spans="1:24" ht="15.75" customHeight="1" x14ac:dyDescent="0.3">
      <c r="A238" s="3"/>
      <c r="B238" s="3"/>
      <c r="C238" s="28"/>
      <c r="D238" s="28"/>
      <c r="E238" s="28"/>
      <c r="F238" s="28"/>
      <c r="G238" s="112"/>
      <c r="H238" s="28"/>
      <c r="I238" s="28"/>
      <c r="J238" s="28"/>
      <c r="K238" s="28"/>
      <c r="L238" s="28"/>
      <c r="M238" s="28"/>
      <c r="N238" s="28"/>
      <c r="O238" s="28"/>
      <c r="P238" s="28"/>
      <c r="Q238" s="28"/>
      <c r="R238" s="28"/>
      <c r="S238" s="28"/>
      <c r="T238" s="28"/>
      <c r="U238" s="28"/>
      <c r="V238" s="28"/>
      <c r="W238" s="35"/>
      <c r="X238" s="32"/>
    </row>
    <row r="239" spans="1:24" ht="15.75" customHeight="1" x14ac:dyDescent="0.3">
      <c r="A239" s="3"/>
      <c r="B239" s="3"/>
      <c r="C239" s="28"/>
      <c r="D239" s="28"/>
      <c r="E239" s="28"/>
      <c r="F239" s="28"/>
      <c r="G239" s="112"/>
      <c r="H239" s="28"/>
      <c r="I239" s="28"/>
      <c r="J239" s="28"/>
      <c r="K239" s="28"/>
      <c r="L239" s="28"/>
      <c r="M239" s="28"/>
      <c r="N239" s="28"/>
      <c r="O239" s="28"/>
      <c r="P239" s="28"/>
      <c r="Q239" s="28"/>
      <c r="R239" s="28"/>
      <c r="S239" s="28"/>
      <c r="T239" s="28"/>
      <c r="U239" s="28"/>
      <c r="V239" s="28"/>
      <c r="W239" s="35"/>
      <c r="X239" s="32"/>
    </row>
    <row r="240" spans="1:24" ht="15.75" customHeight="1" x14ac:dyDescent="0.3">
      <c r="A240" s="3"/>
      <c r="B240" s="3"/>
      <c r="C240" s="28"/>
      <c r="D240" s="28"/>
      <c r="E240" s="28"/>
      <c r="F240" s="28"/>
      <c r="G240" s="112"/>
      <c r="H240" s="28"/>
      <c r="I240" s="28"/>
      <c r="J240" s="28"/>
      <c r="K240" s="28"/>
      <c r="L240" s="28"/>
      <c r="M240" s="28"/>
      <c r="N240" s="28"/>
      <c r="O240" s="28"/>
      <c r="P240" s="28"/>
      <c r="Q240" s="28"/>
      <c r="R240" s="28"/>
      <c r="S240" s="28"/>
      <c r="T240" s="28"/>
      <c r="U240" s="28"/>
      <c r="V240" s="28"/>
      <c r="W240" s="35"/>
      <c r="X240" s="32"/>
    </row>
    <row r="241" spans="1:24" ht="15.75" customHeight="1" x14ac:dyDescent="0.3">
      <c r="A241" s="3"/>
      <c r="B241" s="3"/>
      <c r="C241" s="28"/>
      <c r="D241" s="28"/>
      <c r="E241" s="28"/>
      <c r="F241" s="28"/>
      <c r="G241" s="112"/>
      <c r="H241" s="28"/>
      <c r="I241" s="28"/>
      <c r="J241" s="28"/>
      <c r="K241" s="28"/>
      <c r="L241" s="28"/>
      <c r="M241" s="28"/>
      <c r="N241" s="28"/>
      <c r="O241" s="28"/>
      <c r="P241" s="28"/>
      <c r="Q241" s="28"/>
      <c r="R241" s="28"/>
      <c r="S241" s="28"/>
      <c r="T241" s="28"/>
      <c r="U241" s="28"/>
      <c r="V241" s="28"/>
      <c r="W241" s="35"/>
      <c r="X241" s="32"/>
    </row>
    <row r="242" spans="1:24" ht="15.75" customHeight="1" x14ac:dyDescent="0.3">
      <c r="A242" s="3"/>
      <c r="B242" s="3"/>
      <c r="C242" s="28"/>
      <c r="D242" s="28"/>
      <c r="E242" s="28"/>
      <c r="F242" s="28"/>
      <c r="G242" s="112"/>
      <c r="H242" s="28"/>
      <c r="I242" s="28"/>
      <c r="J242" s="28"/>
      <c r="K242" s="28"/>
      <c r="L242" s="28"/>
      <c r="M242" s="28"/>
      <c r="N242" s="28"/>
      <c r="O242" s="28"/>
      <c r="P242" s="28"/>
      <c r="Q242" s="28"/>
      <c r="R242" s="28"/>
      <c r="S242" s="28"/>
      <c r="T242" s="28"/>
      <c r="U242" s="28"/>
      <c r="V242" s="28"/>
      <c r="W242" s="35"/>
      <c r="X242" s="32"/>
    </row>
    <row r="243" spans="1:24" ht="15.75" customHeight="1" x14ac:dyDescent="0.3">
      <c r="A243" s="3"/>
      <c r="B243" s="3"/>
      <c r="C243" s="28"/>
      <c r="D243" s="28"/>
      <c r="E243" s="28"/>
      <c r="F243" s="28"/>
      <c r="G243" s="112"/>
      <c r="H243" s="28"/>
      <c r="I243" s="28"/>
      <c r="J243" s="28"/>
      <c r="K243" s="28"/>
      <c r="L243" s="28"/>
      <c r="M243" s="28"/>
      <c r="N243" s="28"/>
      <c r="O243" s="28"/>
      <c r="P243" s="28"/>
      <c r="Q243" s="28"/>
      <c r="R243" s="28"/>
      <c r="S243" s="28"/>
      <c r="T243" s="28"/>
      <c r="U243" s="28"/>
      <c r="V243" s="28"/>
      <c r="W243" s="35"/>
      <c r="X243" s="32"/>
    </row>
    <row r="244" spans="1:24" ht="15.75" customHeight="1" x14ac:dyDescent="0.3">
      <c r="A244" s="3"/>
      <c r="B244" s="3"/>
      <c r="C244" s="28"/>
      <c r="D244" s="28"/>
      <c r="E244" s="28"/>
      <c r="F244" s="28"/>
      <c r="G244" s="112"/>
      <c r="H244" s="28"/>
      <c r="I244" s="28"/>
      <c r="J244" s="28"/>
      <c r="K244" s="28"/>
      <c r="L244" s="28"/>
      <c r="M244" s="28"/>
      <c r="N244" s="28"/>
      <c r="O244" s="28"/>
      <c r="P244" s="28"/>
      <c r="Q244" s="28"/>
      <c r="R244" s="28"/>
      <c r="S244" s="28"/>
      <c r="T244" s="28"/>
      <c r="U244" s="28"/>
      <c r="V244" s="28"/>
      <c r="W244" s="35"/>
      <c r="X244" s="32"/>
    </row>
    <row r="245" spans="1:24" ht="15.75" customHeight="1" x14ac:dyDescent="0.3">
      <c r="A245" s="3"/>
      <c r="B245" s="3"/>
      <c r="C245" s="28"/>
      <c r="D245" s="28"/>
      <c r="E245" s="28"/>
      <c r="F245" s="28"/>
      <c r="G245" s="112"/>
      <c r="H245" s="28"/>
      <c r="I245" s="28"/>
      <c r="J245" s="28"/>
      <c r="K245" s="28"/>
      <c r="L245" s="28"/>
      <c r="M245" s="28"/>
      <c r="N245" s="28"/>
      <c r="O245" s="28"/>
      <c r="P245" s="28"/>
      <c r="Q245" s="28"/>
      <c r="R245" s="28"/>
      <c r="S245" s="28"/>
      <c r="T245" s="28"/>
      <c r="U245" s="28"/>
      <c r="V245" s="28"/>
      <c r="W245" s="35"/>
      <c r="X245" s="32"/>
    </row>
    <row r="246" spans="1:24" ht="15.75" customHeight="1" x14ac:dyDescent="0.3">
      <c r="A246" s="3"/>
      <c r="B246" s="3"/>
      <c r="C246" s="28"/>
      <c r="D246" s="28"/>
      <c r="E246" s="28"/>
      <c r="F246" s="28"/>
      <c r="G246" s="112"/>
      <c r="H246" s="28"/>
      <c r="I246" s="28"/>
      <c r="J246" s="28"/>
      <c r="K246" s="28"/>
      <c r="L246" s="28"/>
      <c r="M246" s="28"/>
      <c r="N246" s="28"/>
      <c r="O246" s="28"/>
      <c r="P246" s="28"/>
      <c r="Q246" s="28"/>
      <c r="R246" s="28"/>
      <c r="S246" s="28"/>
      <c r="T246" s="28"/>
      <c r="U246" s="28"/>
      <c r="V246" s="28"/>
      <c r="W246" s="35"/>
      <c r="X246" s="32"/>
    </row>
    <row r="247" spans="1:24" ht="15.75" customHeight="1" x14ac:dyDescent="0.3">
      <c r="A247" s="3"/>
      <c r="B247" s="3"/>
      <c r="C247" s="28"/>
      <c r="D247" s="28"/>
      <c r="E247" s="28"/>
      <c r="F247" s="28"/>
      <c r="G247" s="112"/>
      <c r="H247" s="28"/>
      <c r="I247" s="28"/>
      <c r="J247" s="28"/>
      <c r="K247" s="28"/>
      <c r="L247" s="28"/>
      <c r="M247" s="28"/>
      <c r="N247" s="28"/>
      <c r="O247" s="28"/>
      <c r="P247" s="28"/>
      <c r="Q247" s="28"/>
      <c r="R247" s="28"/>
      <c r="S247" s="28"/>
      <c r="T247" s="28"/>
      <c r="U247" s="28"/>
      <c r="V247" s="28"/>
      <c r="W247" s="35"/>
      <c r="X247" s="32"/>
    </row>
    <row r="248" spans="1:24" ht="15.75" customHeight="1" x14ac:dyDescent="0.3">
      <c r="A248" s="3"/>
      <c r="B248" s="3"/>
      <c r="C248" s="28"/>
      <c r="D248" s="28"/>
      <c r="E248" s="28"/>
      <c r="F248" s="28"/>
      <c r="G248" s="112"/>
      <c r="H248" s="28"/>
      <c r="I248" s="28"/>
      <c r="J248" s="28"/>
      <c r="K248" s="28"/>
      <c r="L248" s="28"/>
      <c r="M248" s="28"/>
      <c r="N248" s="28"/>
      <c r="O248" s="28"/>
      <c r="P248" s="28"/>
      <c r="Q248" s="28"/>
      <c r="R248" s="28"/>
      <c r="S248" s="28"/>
      <c r="T248" s="28"/>
      <c r="U248" s="28"/>
      <c r="V248" s="28"/>
      <c r="W248" s="35"/>
      <c r="X248" s="32"/>
    </row>
    <row r="249" spans="1:24" ht="15.75" customHeight="1" x14ac:dyDescent="0.3">
      <c r="A249" s="3"/>
      <c r="B249" s="3"/>
      <c r="C249" s="28"/>
      <c r="D249" s="28"/>
      <c r="E249" s="28"/>
      <c r="F249" s="28"/>
      <c r="G249" s="112"/>
      <c r="H249" s="28"/>
      <c r="I249" s="28"/>
      <c r="J249" s="28"/>
      <c r="K249" s="28"/>
      <c r="L249" s="28"/>
      <c r="M249" s="28"/>
      <c r="N249" s="28"/>
      <c r="O249" s="28"/>
      <c r="P249" s="28"/>
      <c r="Q249" s="28"/>
      <c r="R249" s="28"/>
      <c r="S249" s="28"/>
      <c r="T249" s="28"/>
      <c r="U249" s="28"/>
      <c r="V249" s="28"/>
      <c r="W249" s="35"/>
      <c r="X249" s="32"/>
    </row>
    <row r="250" spans="1:24" ht="15.75" customHeight="1" x14ac:dyDescent="0.3">
      <c r="A250" s="3"/>
      <c r="B250" s="3"/>
      <c r="C250" s="28"/>
      <c r="D250" s="28"/>
      <c r="E250" s="28"/>
      <c r="F250" s="28"/>
      <c r="G250" s="112"/>
      <c r="H250" s="28"/>
      <c r="I250" s="28"/>
      <c r="J250" s="28"/>
      <c r="K250" s="28"/>
      <c r="L250" s="28"/>
      <c r="M250" s="28"/>
      <c r="N250" s="28"/>
      <c r="O250" s="28"/>
      <c r="P250" s="28"/>
      <c r="Q250" s="28"/>
      <c r="R250" s="28"/>
      <c r="S250" s="28"/>
      <c r="T250" s="28"/>
      <c r="U250" s="28"/>
      <c r="V250" s="28"/>
      <c r="W250" s="35"/>
      <c r="X250" s="32"/>
    </row>
    <row r="251" spans="1:24" ht="15.75" customHeight="1" x14ac:dyDescent="0.3">
      <c r="A251" s="3"/>
      <c r="B251" s="3"/>
      <c r="C251" s="28"/>
      <c r="D251" s="28"/>
      <c r="E251" s="28"/>
      <c r="F251" s="28"/>
      <c r="G251" s="112"/>
      <c r="H251" s="28"/>
      <c r="I251" s="28"/>
      <c r="J251" s="28"/>
      <c r="K251" s="28"/>
      <c r="L251" s="28"/>
      <c r="M251" s="28"/>
      <c r="N251" s="28"/>
      <c r="O251" s="28"/>
      <c r="P251" s="28"/>
      <c r="Q251" s="28"/>
      <c r="R251" s="28"/>
      <c r="S251" s="28"/>
      <c r="T251" s="28"/>
      <c r="U251" s="28"/>
      <c r="V251" s="28"/>
      <c r="W251" s="35"/>
      <c r="X251" s="32"/>
    </row>
    <row r="252" spans="1:24" ht="15.75" customHeight="1" x14ac:dyDescent="0.3">
      <c r="A252" s="3"/>
      <c r="B252" s="3"/>
      <c r="C252" s="28"/>
      <c r="D252" s="28"/>
      <c r="E252" s="28"/>
      <c r="F252" s="28"/>
      <c r="G252" s="112"/>
      <c r="H252" s="28"/>
      <c r="I252" s="28"/>
      <c r="J252" s="28"/>
      <c r="K252" s="28"/>
      <c r="L252" s="28"/>
      <c r="M252" s="28"/>
      <c r="N252" s="28"/>
      <c r="O252" s="28"/>
      <c r="P252" s="28"/>
      <c r="Q252" s="28"/>
      <c r="R252" s="28"/>
      <c r="S252" s="28"/>
      <c r="T252" s="28"/>
      <c r="U252" s="28"/>
      <c r="V252" s="28"/>
      <c r="W252" s="35"/>
      <c r="X252" s="32"/>
    </row>
    <row r="253" spans="1:24" ht="15.75" customHeight="1" x14ac:dyDescent="0.3">
      <c r="A253" s="3"/>
      <c r="B253" s="3"/>
      <c r="C253" s="28"/>
      <c r="D253" s="28"/>
      <c r="E253" s="28"/>
      <c r="F253" s="28"/>
      <c r="G253" s="112"/>
      <c r="H253" s="28"/>
      <c r="I253" s="28"/>
      <c r="J253" s="28"/>
      <c r="K253" s="28"/>
      <c r="L253" s="28"/>
      <c r="M253" s="28"/>
      <c r="N253" s="28"/>
      <c r="O253" s="28"/>
      <c r="P253" s="28"/>
      <c r="Q253" s="28"/>
      <c r="R253" s="28"/>
      <c r="S253" s="28"/>
      <c r="T253" s="28"/>
      <c r="U253" s="28"/>
      <c r="V253" s="28"/>
      <c r="W253" s="35"/>
      <c r="X253" s="32"/>
    </row>
    <row r="254" spans="1:24" ht="15.75" customHeight="1" x14ac:dyDescent="0.3">
      <c r="A254" s="3"/>
      <c r="B254" s="3"/>
      <c r="C254" s="28"/>
      <c r="D254" s="28"/>
      <c r="E254" s="28"/>
      <c r="F254" s="28"/>
      <c r="G254" s="112"/>
      <c r="H254" s="28"/>
      <c r="I254" s="28"/>
      <c r="J254" s="28"/>
      <c r="K254" s="28"/>
      <c r="L254" s="28"/>
      <c r="M254" s="28"/>
      <c r="N254" s="28"/>
      <c r="O254" s="28"/>
      <c r="P254" s="28"/>
      <c r="Q254" s="28"/>
      <c r="R254" s="28"/>
      <c r="S254" s="28"/>
      <c r="T254" s="28"/>
      <c r="U254" s="28"/>
      <c r="V254" s="28"/>
      <c r="W254" s="35"/>
      <c r="X254" s="32"/>
    </row>
    <row r="255" spans="1:24" ht="15.75" customHeight="1" x14ac:dyDescent="0.3">
      <c r="A255" s="3"/>
      <c r="B255" s="3"/>
      <c r="C255" s="28"/>
      <c r="D255" s="28"/>
      <c r="E255" s="28"/>
      <c r="F255" s="28"/>
      <c r="G255" s="112"/>
      <c r="H255" s="28"/>
      <c r="I255" s="28"/>
      <c r="J255" s="28"/>
      <c r="K255" s="28"/>
      <c r="L255" s="28"/>
      <c r="M255" s="28"/>
      <c r="N255" s="28"/>
      <c r="O255" s="28"/>
      <c r="P255" s="28"/>
      <c r="Q255" s="28"/>
      <c r="R255" s="28"/>
      <c r="S255" s="28"/>
      <c r="T255" s="28"/>
      <c r="U255" s="28"/>
      <c r="V255" s="28"/>
      <c r="W255" s="35"/>
      <c r="X255" s="32"/>
    </row>
    <row r="256" spans="1:24" ht="15.75" customHeight="1" x14ac:dyDescent="0.3">
      <c r="A256" s="3"/>
      <c r="B256" s="3"/>
      <c r="C256" s="28"/>
      <c r="D256" s="28"/>
      <c r="E256" s="28"/>
      <c r="F256" s="28"/>
      <c r="G256" s="112"/>
      <c r="H256" s="28"/>
      <c r="I256" s="28"/>
      <c r="J256" s="28"/>
      <c r="K256" s="28"/>
      <c r="L256" s="28"/>
      <c r="M256" s="28"/>
      <c r="N256" s="28"/>
      <c r="O256" s="28"/>
      <c r="P256" s="28"/>
      <c r="Q256" s="28"/>
      <c r="R256" s="28"/>
      <c r="S256" s="28"/>
      <c r="T256" s="28"/>
      <c r="U256" s="28"/>
      <c r="V256" s="28"/>
      <c r="W256" s="35"/>
      <c r="X256" s="32"/>
    </row>
    <row r="257" spans="1:24" ht="15.75" customHeight="1" x14ac:dyDescent="0.3">
      <c r="A257" s="3"/>
      <c r="B257" s="3"/>
      <c r="C257" s="28"/>
      <c r="D257" s="28"/>
      <c r="E257" s="28"/>
      <c r="F257" s="28"/>
      <c r="G257" s="112"/>
      <c r="H257" s="28"/>
      <c r="I257" s="28"/>
      <c r="J257" s="28"/>
      <c r="K257" s="28"/>
      <c r="L257" s="28"/>
      <c r="M257" s="28"/>
      <c r="N257" s="28"/>
      <c r="O257" s="28"/>
      <c r="P257" s="28"/>
      <c r="Q257" s="28"/>
      <c r="R257" s="28"/>
      <c r="S257" s="28"/>
      <c r="T257" s="28"/>
      <c r="U257" s="28"/>
      <c r="V257" s="28"/>
      <c r="W257" s="35"/>
      <c r="X257" s="32"/>
    </row>
    <row r="258" spans="1:24" ht="15.75" customHeight="1" x14ac:dyDescent="0.3">
      <c r="A258" s="3"/>
      <c r="B258" s="3"/>
      <c r="C258" s="28"/>
      <c r="D258" s="28"/>
      <c r="E258" s="28"/>
      <c r="F258" s="28"/>
      <c r="G258" s="112"/>
      <c r="H258" s="28"/>
      <c r="I258" s="28"/>
      <c r="J258" s="28"/>
      <c r="K258" s="28"/>
      <c r="L258" s="28"/>
      <c r="M258" s="28"/>
      <c r="N258" s="28"/>
      <c r="O258" s="28"/>
      <c r="P258" s="28"/>
      <c r="Q258" s="28"/>
      <c r="R258" s="28"/>
      <c r="S258" s="28"/>
      <c r="T258" s="28"/>
      <c r="U258" s="28"/>
      <c r="V258" s="28"/>
      <c r="W258" s="35"/>
      <c r="X258" s="32"/>
    </row>
    <row r="259" spans="1:24" ht="15.75" customHeight="1" x14ac:dyDescent="0.3">
      <c r="A259" s="3"/>
      <c r="B259" s="3"/>
      <c r="C259" s="28"/>
      <c r="D259" s="28"/>
      <c r="E259" s="28"/>
      <c r="F259" s="28"/>
      <c r="G259" s="112"/>
      <c r="H259" s="28"/>
      <c r="I259" s="28"/>
      <c r="J259" s="28"/>
      <c r="K259" s="28"/>
      <c r="L259" s="28"/>
      <c r="M259" s="28"/>
      <c r="N259" s="28"/>
      <c r="O259" s="28"/>
      <c r="P259" s="28"/>
      <c r="Q259" s="28"/>
      <c r="R259" s="28"/>
      <c r="S259" s="28"/>
      <c r="T259" s="28"/>
      <c r="U259" s="28"/>
      <c r="V259" s="28"/>
      <c r="W259" s="35"/>
      <c r="X259" s="32"/>
    </row>
    <row r="260" spans="1:24" ht="15.75" customHeight="1" x14ac:dyDescent="0.3">
      <c r="A260" s="3"/>
      <c r="B260" s="3"/>
      <c r="C260" s="28"/>
      <c r="D260" s="28"/>
      <c r="E260" s="28"/>
      <c r="F260" s="28"/>
      <c r="G260" s="112"/>
      <c r="H260" s="28"/>
      <c r="I260" s="28"/>
      <c r="J260" s="28"/>
      <c r="K260" s="28"/>
      <c r="L260" s="28"/>
      <c r="M260" s="28"/>
      <c r="N260" s="28"/>
      <c r="O260" s="28"/>
      <c r="P260" s="28"/>
      <c r="Q260" s="28"/>
      <c r="R260" s="28"/>
      <c r="S260" s="28"/>
      <c r="T260" s="28"/>
      <c r="U260" s="28"/>
      <c r="V260" s="28"/>
      <c r="W260" s="35"/>
      <c r="X260" s="32"/>
    </row>
    <row r="261" spans="1:24" ht="15.75" customHeight="1" x14ac:dyDescent="0.3">
      <c r="A261" s="3"/>
      <c r="B261" s="3"/>
      <c r="C261" s="28"/>
      <c r="D261" s="28"/>
      <c r="E261" s="28"/>
      <c r="F261" s="28"/>
      <c r="G261" s="112"/>
      <c r="H261" s="28"/>
      <c r="I261" s="28"/>
      <c r="J261" s="28"/>
      <c r="K261" s="28"/>
      <c r="L261" s="28"/>
      <c r="M261" s="28"/>
      <c r="N261" s="28"/>
      <c r="O261" s="28"/>
      <c r="P261" s="28"/>
      <c r="Q261" s="28"/>
      <c r="R261" s="28"/>
      <c r="S261" s="28"/>
      <c r="T261" s="28"/>
      <c r="U261" s="28"/>
      <c r="V261" s="28"/>
      <c r="W261" s="35"/>
      <c r="X261" s="32"/>
    </row>
    <row r="262" spans="1:24" ht="15.75" customHeight="1" x14ac:dyDescent="0.3">
      <c r="A262" s="3"/>
      <c r="B262" s="3"/>
      <c r="C262" s="28"/>
      <c r="D262" s="28"/>
      <c r="E262" s="28"/>
      <c r="F262" s="28"/>
      <c r="G262" s="112"/>
      <c r="H262" s="28"/>
      <c r="I262" s="28"/>
      <c r="J262" s="28"/>
      <c r="K262" s="28"/>
      <c r="L262" s="28"/>
      <c r="M262" s="28"/>
      <c r="N262" s="28"/>
      <c r="O262" s="28"/>
      <c r="P262" s="28"/>
      <c r="Q262" s="28"/>
      <c r="R262" s="28"/>
      <c r="S262" s="28"/>
      <c r="T262" s="28"/>
      <c r="U262" s="28"/>
      <c r="V262" s="28"/>
      <c r="W262" s="35"/>
      <c r="X262" s="32"/>
    </row>
    <row r="263" spans="1:24" ht="15.75" customHeight="1" x14ac:dyDescent="0.3">
      <c r="A263" s="3"/>
      <c r="B263" s="3"/>
      <c r="C263" s="28"/>
      <c r="D263" s="28"/>
      <c r="E263" s="28"/>
      <c r="F263" s="28"/>
      <c r="G263" s="112"/>
      <c r="H263" s="28"/>
      <c r="I263" s="28"/>
      <c r="J263" s="28"/>
      <c r="K263" s="28"/>
      <c r="L263" s="28"/>
      <c r="M263" s="28"/>
      <c r="N263" s="28"/>
      <c r="O263" s="28"/>
      <c r="P263" s="28"/>
      <c r="Q263" s="28"/>
      <c r="R263" s="28"/>
      <c r="S263" s="28"/>
      <c r="T263" s="28"/>
      <c r="U263" s="28"/>
      <c r="V263" s="28"/>
      <c r="W263" s="35"/>
      <c r="X263" s="32"/>
    </row>
    <row r="264" spans="1:24" ht="15.75" customHeight="1" x14ac:dyDescent="0.3">
      <c r="A264" s="3"/>
      <c r="B264" s="3"/>
      <c r="C264" s="28"/>
      <c r="D264" s="28"/>
      <c r="E264" s="28"/>
      <c r="F264" s="28"/>
      <c r="G264" s="112"/>
      <c r="H264" s="28"/>
      <c r="I264" s="28"/>
      <c r="J264" s="28"/>
      <c r="K264" s="28"/>
      <c r="L264" s="28"/>
      <c r="M264" s="28"/>
      <c r="N264" s="28"/>
      <c r="O264" s="28"/>
      <c r="P264" s="28"/>
      <c r="Q264" s="28"/>
      <c r="R264" s="28"/>
      <c r="S264" s="28"/>
      <c r="T264" s="28"/>
      <c r="U264" s="28"/>
      <c r="V264" s="28"/>
      <c r="W264" s="35"/>
      <c r="X264" s="32"/>
    </row>
    <row r="265" spans="1:24" ht="15.75" customHeight="1" x14ac:dyDescent="0.3">
      <c r="A265" s="3"/>
      <c r="B265" s="3"/>
      <c r="C265" s="28"/>
      <c r="D265" s="28"/>
      <c r="E265" s="28"/>
      <c r="F265" s="28"/>
      <c r="G265" s="112"/>
      <c r="H265" s="28"/>
      <c r="I265" s="28"/>
      <c r="J265" s="28"/>
      <c r="K265" s="28"/>
      <c r="L265" s="28"/>
      <c r="M265" s="28"/>
      <c r="N265" s="28"/>
      <c r="O265" s="28"/>
      <c r="P265" s="28"/>
      <c r="Q265" s="28"/>
      <c r="R265" s="28"/>
      <c r="S265" s="28"/>
      <c r="T265" s="28"/>
      <c r="U265" s="28"/>
      <c r="V265" s="28"/>
      <c r="W265" s="35"/>
      <c r="X265" s="32"/>
    </row>
    <row r="266" spans="1:24" ht="15.75" customHeight="1" x14ac:dyDescent="0.3">
      <c r="A266" s="3"/>
      <c r="B266" s="3"/>
      <c r="C266" s="28"/>
      <c r="D266" s="28"/>
      <c r="E266" s="28"/>
      <c r="F266" s="28"/>
      <c r="G266" s="112"/>
      <c r="H266" s="28"/>
      <c r="I266" s="28"/>
      <c r="J266" s="28"/>
      <c r="K266" s="28"/>
      <c r="L266" s="28"/>
      <c r="M266" s="28"/>
      <c r="N266" s="28"/>
      <c r="O266" s="28"/>
      <c r="P266" s="28"/>
      <c r="Q266" s="28"/>
      <c r="R266" s="28"/>
      <c r="S266" s="28"/>
      <c r="T266" s="28"/>
      <c r="U266" s="28"/>
      <c r="V266" s="28"/>
      <c r="W266" s="35"/>
      <c r="X266" s="32"/>
    </row>
    <row r="267" spans="1:24" ht="15.75" customHeight="1" x14ac:dyDescent="0.3">
      <c r="A267" s="3"/>
      <c r="B267" s="3"/>
      <c r="C267" s="28"/>
      <c r="D267" s="28"/>
      <c r="E267" s="28"/>
      <c r="F267" s="28"/>
      <c r="G267" s="112"/>
      <c r="H267" s="28"/>
      <c r="I267" s="28"/>
      <c r="J267" s="28"/>
      <c r="K267" s="28"/>
      <c r="L267" s="28"/>
      <c r="M267" s="28"/>
      <c r="N267" s="28"/>
      <c r="O267" s="28"/>
      <c r="P267" s="28"/>
      <c r="Q267" s="28"/>
      <c r="R267" s="28"/>
      <c r="S267" s="28"/>
      <c r="T267" s="28"/>
      <c r="U267" s="28"/>
      <c r="V267" s="28"/>
      <c r="W267" s="35"/>
      <c r="X267" s="32"/>
    </row>
    <row r="268" spans="1:24" ht="15.75" customHeight="1" x14ac:dyDescent="0.3">
      <c r="A268" s="3"/>
      <c r="B268" s="3"/>
      <c r="C268" s="28"/>
      <c r="D268" s="28"/>
      <c r="E268" s="28"/>
      <c r="F268" s="28"/>
      <c r="G268" s="112"/>
      <c r="H268" s="28"/>
      <c r="I268" s="28"/>
      <c r="J268" s="28"/>
      <c r="K268" s="28"/>
      <c r="L268" s="28"/>
      <c r="M268" s="28"/>
      <c r="N268" s="28"/>
      <c r="O268" s="28"/>
      <c r="P268" s="28"/>
      <c r="Q268" s="28"/>
      <c r="R268" s="28"/>
      <c r="S268" s="28"/>
      <c r="T268" s="28"/>
      <c r="U268" s="28"/>
      <c r="V268" s="28"/>
      <c r="W268" s="35"/>
      <c r="X268" s="32"/>
    </row>
    <row r="269" spans="1:24" ht="15.75" customHeight="1" x14ac:dyDescent="0.3">
      <c r="A269" s="3"/>
      <c r="B269" s="3"/>
      <c r="C269" s="28"/>
      <c r="D269" s="28"/>
      <c r="E269" s="28"/>
      <c r="F269" s="28"/>
      <c r="G269" s="112"/>
      <c r="H269" s="28"/>
      <c r="I269" s="28"/>
      <c r="J269" s="28"/>
      <c r="K269" s="28"/>
      <c r="L269" s="28"/>
      <c r="M269" s="28"/>
      <c r="N269" s="28"/>
      <c r="O269" s="28"/>
      <c r="P269" s="28"/>
      <c r="Q269" s="28"/>
      <c r="R269" s="28"/>
      <c r="S269" s="28"/>
      <c r="T269" s="28"/>
      <c r="U269" s="28"/>
      <c r="V269" s="28"/>
      <c r="W269" s="35"/>
      <c r="X269" s="32"/>
    </row>
    <row r="270" spans="1:24" ht="15.75" customHeight="1" x14ac:dyDescent="0.3">
      <c r="A270" s="3"/>
      <c r="B270" s="3"/>
      <c r="C270" s="28"/>
      <c r="D270" s="28"/>
      <c r="E270" s="28"/>
      <c r="F270" s="28"/>
      <c r="G270" s="112"/>
      <c r="H270" s="28"/>
      <c r="I270" s="28"/>
      <c r="J270" s="28"/>
      <c r="K270" s="28"/>
      <c r="L270" s="28"/>
      <c r="M270" s="28"/>
      <c r="N270" s="28"/>
      <c r="O270" s="28"/>
      <c r="P270" s="28"/>
      <c r="Q270" s="28"/>
      <c r="R270" s="28"/>
      <c r="S270" s="28"/>
      <c r="T270" s="28"/>
      <c r="U270" s="28"/>
      <c r="V270" s="28"/>
      <c r="W270" s="35"/>
      <c r="X270" s="32"/>
    </row>
    <row r="271" spans="1:24" ht="15.75" customHeight="1" x14ac:dyDescent="0.3">
      <c r="A271" s="3"/>
      <c r="B271" s="3"/>
      <c r="C271" s="28"/>
      <c r="D271" s="28"/>
      <c r="E271" s="28"/>
      <c r="F271" s="28"/>
      <c r="G271" s="112"/>
      <c r="H271" s="28"/>
      <c r="I271" s="28"/>
      <c r="J271" s="28"/>
      <c r="K271" s="28"/>
      <c r="L271" s="28"/>
      <c r="M271" s="28"/>
      <c r="N271" s="28"/>
      <c r="O271" s="28"/>
      <c r="P271" s="28"/>
      <c r="Q271" s="28"/>
      <c r="R271" s="28"/>
      <c r="S271" s="28"/>
      <c r="T271" s="28"/>
      <c r="U271" s="28"/>
      <c r="V271" s="28"/>
      <c r="W271" s="35"/>
      <c r="X271" s="32"/>
    </row>
    <row r="272" spans="1:24" ht="15.75" customHeight="1" x14ac:dyDescent="0.3">
      <c r="A272" s="3"/>
      <c r="B272" s="3"/>
      <c r="C272" s="28"/>
      <c r="D272" s="28"/>
      <c r="E272" s="28"/>
      <c r="F272" s="28"/>
      <c r="G272" s="112"/>
      <c r="H272" s="28"/>
      <c r="I272" s="28"/>
      <c r="J272" s="28"/>
      <c r="K272" s="28"/>
      <c r="L272" s="28"/>
      <c r="M272" s="28"/>
      <c r="N272" s="28"/>
      <c r="O272" s="28"/>
      <c r="P272" s="28"/>
      <c r="Q272" s="28"/>
      <c r="R272" s="28"/>
      <c r="S272" s="28"/>
      <c r="T272" s="28"/>
      <c r="U272" s="28"/>
      <c r="V272" s="28"/>
      <c r="W272" s="35"/>
      <c r="X272" s="32"/>
    </row>
    <row r="273" spans="1:24" ht="15.75" customHeight="1" x14ac:dyDescent="0.3">
      <c r="A273" s="3"/>
      <c r="B273" s="3"/>
      <c r="C273" s="28"/>
      <c r="D273" s="28"/>
      <c r="E273" s="28"/>
      <c r="F273" s="28"/>
      <c r="G273" s="112"/>
      <c r="H273" s="28"/>
      <c r="I273" s="28"/>
      <c r="J273" s="28"/>
      <c r="K273" s="28"/>
      <c r="L273" s="28"/>
      <c r="M273" s="28"/>
      <c r="N273" s="28"/>
      <c r="O273" s="28"/>
      <c r="P273" s="28"/>
      <c r="Q273" s="28"/>
      <c r="R273" s="28"/>
      <c r="S273" s="28"/>
      <c r="T273" s="28"/>
      <c r="U273" s="28"/>
      <c r="V273" s="28"/>
      <c r="W273" s="35"/>
      <c r="X273" s="32"/>
    </row>
    <row r="274" spans="1:24" ht="15.75" customHeight="1" x14ac:dyDescent="0.3">
      <c r="A274" s="3"/>
      <c r="B274" s="3"/>
      <c r="C274" s="28"/>
      <c r="D274" s="28"/>
      <c r="E274" s="28"/>
      <c r="F274" s="28"/>
      <c r="G274" s="112"/>
      <c r="H274" s="28"/>
      <c r="I274" s="28"/>
      <c r="J274" s="28"/>
      <c r="K274" s="28"/>
      <c r="L274" s="28"/>
      <c r="M274" s="28"/>
      <c r="N274" s="28"/>
      <c r="O274" s="28"/>
      <c r="P274" s="28"/>
      <c r="Q274" s="28"/>
      <c r="R274" s="28"/>
      <c r="S274" s="28"/>
      <c r="T274" s="28"/>
      <c r="U274" s="28"/>
      <c r="V274" s="28"/>
      <c r="W274" s="35"/>
      <c r="X274" s="32"/>
    </row>
    <row r="275" spans="1:24" ht="15.75" customHeight="1" x14ac:dyDescent="0.3">
      <c r="A275" s="3"/>
      <c r="B275" s="3"/>
      <c r="C275" s="28"/>
      <c r="D275" s="28"/>
      <c r="E275" s="28"/>
      <c r="F275" s="28"/>
      <c r="G275" s="112"/>
      <c r="H275" s="28"/>
      <c r="I275" s="28"/>
      <c r="J275" s="28"/>
      <c r="K275" s="28"/>
      <c r="L275" s="28"/>
      <c r="M275" s="28"/>
      <c r="N275" s="28"/>
      <c r="O275" s="28"/>
      <c r="P275" s="28"/>
      <c r="Q275" s="28"/>
      <c r="R275" s="28"/>
      <c r="S275" s="28"/>
      <c r="T275" s="28"/>
      <c r="U275" s="28"/>
      <c r="V275" s="28"/>
      <c r="W275" s="35"/>
      <c r="X275" s="32"/>
    </row>
    <row r="276" spans="1:24" ht="15.75" customHeight="1" x14ac:dyDescent="0.3">
      <c r="A276" s="3"/>
      <c r="B276" s="3"/>
      <c r="C276" s="28"/>
      <c r="D276" s="28"/>
      <c r="E276" s="28"/>
      <c r="F276" s="28"/>
      <c r="G276" s="112"/>
      <c r="H276" s="28"/>
      <c r="I276" s="28"/>
      <c r="J276" s="28"/>
      <c r="K276" s="28"/>
      <c r="L276" s="28"/>
      <c r="M276" s="28"/>
      <c r="N276" s="28"/>
      <c r="O276" s="28"/>
      <c r="P276" s="28"/>
      <c r="Q276" s="28"/>
      <c r="R276" s="28"/>
      <c r="S276" s="28"/>
      <c r="T276" s="28"/>
      <c r="U276" s="28"/>
      <c r="V276" s="28"/>
      <c r="W276" s="35"/>
      <c r="X276" s="32"/>
    </row>
    <row r="277" spans="1:24" ht="15.75" customHeight="1" x14ac:dyDescent="0.3">
      <c r="A277" s="3"/>
      <c r="B277" s="3"/>
      <c r="C277" s="28"/>
      <c r="D277" s="28"/>
      <c r="E277" s="28"/>
      <c r="F277" s="28"/>
      <c r="G277" s="112"/>
      <c r="H277" s="28"/>
      <c r="I277" s="28"/>
      <c r="J277" s="28"/>
      <c r="K277" s="28"/>
      <c r="L277" s="28"/>
      <c r="M277" s="28"/>
      <c r="N277" s="28"/>
      <c r="O277" s="28"/>
      <c r="P277" s="28"/>
      <c r="Q277" s="28"/>
      <c r="R277" s="28"/>
      <c r="S277" s="28"/>
      <c r="T277" s="28"/>
      <c r="U277" s="28"/>
      <c r="V277" s="28"/>
      <c r="W277" s="35"/>
      <c r="X277" s="32"/>
    </row>
    <row r="278" spans="1:24" ht="15.75" customHeight="1" x14ac:dyDescent="0.3">
      <c r="A278" s="3"/>
      <c r="B278" s="3"/>
      <c r="C278" s="28"/>
      <c r="D278" s="28"/>
      <c r="E278" s="28"/>
      <c r="F278" s="28"/>
      <c r="G278" s="112"/>
      <c r="H278" s="28"/>
      <c r="I278" s="28"/>
      <c r="J278" s="28"/>
      <c r="K278" s="28"/>
      <c r="L278" s="28"/>
      <c r="M278" s="28"/>
      <c r="N278" s="28"/>
      <c r="O278" s="28"/>
      <c r="P278" s="28"/>
      <c r="Q278" s="28"/>
      <c r="R278" s="28"/>
      <c r="S278" s="28"/>
      <c r="T278" s="28"/>
      <c r="U278" s="28"/>
      <c r="V278" s="28"/>
      <c r="W278" s="35"/>
      <c r="X278" s="32"/>
    </row>
    <row r="279" spans="1:24" ht="15.75" customHeight="1" x14ac:dyDescent="0.3">
      <c r="A279" s="3"/>
      <c r="B279" s="3"/>
      <c r="C279" s="28"/>
      <c r="D279" s="28"/>
      <c r="E279" s="28"/>
      <c r="F279" s="28"/>
      <c r="G279" s="112"/>
      <c r="H279" s="28"/>
      <c r="I279" s="28"/>
      <c r="J279" s="28"/>
      <c r="K279" s="28"/>
      <c r="L279" s="28"/>
      <c r="M279" s="28"/>
      <c r="N279" s="28"/>
      <c r="O279" s="28"/>
      <c r="P279" s="28"/>
      <c r="Q279" s="28"/>
      <c r="R279" s="28"/>
      <c r="S279" s="28"/>
      <c r="T279" s="28"/>
      <c r="U279" s="28"/>
      <c r="V279" s="28"/>
      <c r="W279" s="35"/>
      <c r="X279" s="32"/>
    </row>
    <row r="280" spans="1:24" ht="15.75" customHeight="1" x14ac:dyDescent="0.3">
      <c r="A280" s="3"/>
      <c r="B280" s="3"/>
      <c r="C280" s="28"/>
      <c r="D280" s="28"/>
      <c r="E280" s="28"/>
      <c r="F280" s="28"/>
      <c r="G280" s="112"/>
      <c r="H280" s="28"/>
      <c r="I280" s="28"/>
      <c r="J280" s="28"/>
      <c r="K280" s="28"/>
      <c r="L280" s="28"/>
      <c r="M280" s="28"/>
      <c r="N280" s="28"/>
      <c r="O280" s="28"/>
      <c r="P280" s="28"/>
      <c r="Q280" s="28"/>
      <c r="R280" s="28"/>
      <c r="S280" s="28"/>
      <c r="T280" s="28"/>
      <c r="U280" s="28"/>
      <c r="V280" s="28"/>
      <c r="W280" s="35"/>
      <c r="X280" s="32"/>
    </row>
    <row r="281" spans="1:24" ht="15.75" customHeight="1" x14ac:dyDescent="0.3">
      <c r="A281" s="3"/>
      <c r="B281" s="3"/>
      <c r="C281" s="28"/>
      <c r="D281" s="28"/>
      <c r="E281" s="28"/>
      <c r="F281" s="28"/>
      <c r="G281" s="112"/>
      <c r="H281" s="28"/>
      <c r="I281" s="28"/>
      <c r="J281" s="28"/>
      <c r="K281" s="28"/>
      <c r="L281" s="28"/>
      <c r="M281" s="28"/>
      <c r="N281" s="28"/>
      <c r="O281" s="28"/>
      <c r="P281" s="28"/>
      <c r="Q281" s="28"/>
      <c r="R281" s="28"/>
      <c r="S281" s="28"/>
      <c r="T281" s="28"/>
      <c r="U281" s="28"/>
      <c r="V281" s="28"/>
      <c r="W281" s="35"/>
      <c r="X281" s="32"/>
    </row>
    <row r="282" spans="1:24" ht="15.75" customHeight="1" x14ac:dyDescent="0.3">
      <c r="A282" s="3"/>
      <c r="B282" s="3"/>
      <c r="C282" s="28"/>
      <c r="D282" s="28"/>
      <c r="E282" s="28"/>
      <c r="F282" s="28"/>
      <c r="G282" s="112"/>
      <c r="H282" s="28"/>
      <c r="I282" s="28"/>
      <c r="J282" s="28"/>
      <c r="K282" s="28"/>
      <c r="L282" s="28"/>
      <c r="M282" s="28"/>
      <c r="N282" s="28"/>
      <c r="O282" s="28"/>
      <c r="P282" s="28"/>
      <c r="Q282" s="28"/>
      <c r="R282" s="28"/>
      <c r="S282" s="28"/>
      <c r="T282" s="28"/>
      <c r="U282" s="28"/>
      <c r="V282" s="28"/>
      <c r="W282" s="35"/>
      <c r="X282" s="32"/>
    </row>
    <row r="283" spans="1:24" ht="15.75" customHeight="1" x14ac:dyDescent="0.3">
      <c r="A283" s="3"/>
      <c r="B283" s="3"/>
      <c r="C283" s="28"/>
      <c r="D283" s="28"/>
      <c r="E283" s="28"/>
      <c r="F283" s="28"/>
      <c r="G283" s="112"/>
      <c r="H283" s="28"/>
      <c r="I283" s="28"/>
      <c r="J283" s="28"/>
      <c r="K283" s="28"/>
      <c r="L283" s="28"/>
      <c r="M283" s="28"/>
      <c r="N283" s="28"/>
      <c r="O283" s="28"/>
      <c r="P283" s="28"/>
      <c r="Q283" s="28"/>
      <c r="R283" s="28"/>
      <c r="S283" s="28"/>
      <c r="T283" s="28"/>
      <c r="U283" s="28"/>
      <c r="V283" s="28"/>
      <c r="W283" s="35"/>
      <c r="X283" s="32"/>
    </row>
    <row r="284" spans="1:24" ht="15.75" customHeight="1" x14ac:dyDescent="0.3">
      <c r="A284" s="3"/>
      <c r="B284" s="3"/>
      <c r="C284" s="28"/>
      <c r="D284" s="28"/>
      <c r="E284" s="28"/>
      <c r="F284" s="28"/>
      <c r="G284" s="112"/>
      <c r="H284" s="28"/>
      <c r="I284" s="28"/>
      <c r="J284" s="28"/>
      <c r="K284" s="28"/>
      <c r="L284" s="28"/>
      <c r="M284" s="28"/>
      <c r="N284" s="28"/>
      <c r="O284" s="28"/>
      <c r="P284" s="28"/>
      <c r="Q284" s="28"/>
      <c r="R284" s="28"/>
      <c r="S284" s="28"/>
      <c r="T284" s="28"/>
      <c r="U284" s="28"/>
      <c r="V284" s="28"/>
      <c r="W284" s="35"/>
      <c r="X284" s="32"/>
    </row>
    <row r="285" spans="1:24" ht="15.75" customHeight="1" x14ac:dyDescent="0.3">
      <c r="A285" s="3"/>
      <c r="B285" s="3"/>
      <c r="C285" s="28"/>
      <c r="D285" s="28"/>
      <c r="E285" s="28"/>
      <c r="F285" s="28"/>
      <c r="G285" s="112"/>
      <c r="H285" s="28"/>
      <c r="I285" s="28"/>
      <c r="J285" s="28"/>
      <c r="K285" s="28"/>
      <c r="L285" s="28"/>
      <c r="M285" s="28"/>
      <c r="N285" s="28"/>
      <c r="O285" s="28"/>
      <c r="P285" s="28"/>
      <c r="Q285" s="28"/>
      <c r="R285" s="28"/>
      <c r="S285" s="28"/>
      <c r="T285" s="28"/>
      <c r="U285" s="28"/>
      <c r="V285" s="28"/>
      <c r="W285" s="35"/>
      <c r="X285" s="32"/>
    </row>
    <row r="286" spans="1:24" ht="15.75" customHeight="1" x14ac:dyDescent="0.3">
      <c r="A286" s="3"/>
      <c r="B286" s="3"/>
      <c r="C286" s="28"/>
      <c r="D286" s="28"/>
      <c r="E286" s="28"/>
      <c r="F286" s="28"/>
      <c r="G286" s="112"/>
      <c r="H286" s="28"/>
      <c r="I286" s="28"/>
      <c r="J286" s="28"/>
      <c r="K286" s="28"/>
      <c r="L286" s="28"/>
      <c r="M286" s="28"/>
      <c r="N286" s="28"/>
      <c r="O286" s="28"/>
      <c r="P286" s="28"/>
      <c r="Q286" s="28"/>
      <c r="R286" s="28"/>
      <c r="S286" s="28"/>
      <c r="T286" s="28"/>
      <c r="U286" s="28"/>
      <c r="V286" s="28"/>
      <c r="W286" s="35"/>
      <c r="X286" s="32"/>
    </row>
    <row r="287" spans="1:24" ht="15.75" customHeight="1" x14ac:dyDescent="0.3">
      <c r="A287" s="3"/>
      <c r="B287" s="3"/>
      <c r="C287" s="28"/>
      <c r="D287" s="28"/>
      <c r="E287" s="28"/>
      <c r="F287" s="28"/>
      <c r="G287" s="112"/>
      <c r="H287" s="28"/>
      <c r="I287" s="28"/>
      <c r="J287" s="28"/>
      <c r="K287" s="28"/>
      <c r="L287" s="28"/>
      <c r="M287" s="28"/>
      <c r="N287" s="28"/>
      <c r="O287" s="28"/>
      <c r="P287" s="28"/>
      <c r="Q287" s="28"/>
      <c r="R287" s="28"/>
      <c r="S287" s="28"/>
      <c r="T287" s="28"/>
      <c r="U287" s="28"/>
      <c r="V287" s="28"/>
      <c r="W287" s="35"/>
      <c r="X287" s="32"/>
    </row>
    <row r="288" spans="1:24" ht="15.75" customHeight="1" x14ac:dyDescent="0.3">
      <c r="A288" s="3"/>
      <c r="B288" s="3"/>
      <c r="C288" s="28"/>
      <c r="D288" s="28"/>
      <c r="E288" s="28"/>
      <c r="F288" s="28"/>
      <c r="G288" s="112"/>
      <c r="H288" s="28"/>
      <c r="I288" s="28"/>
      <c r="J288" s="28"/>
      <c r="K288" s="28"/>
      <c r="L288" s="28"/>
      <c r="M288" s="28"/>
      <c r="N288" s="28"/>
      <c r="O288" s="28"/>
      <c r="P288" s="28"/>
      <c r="Q288" s="28"/>
      <c r="R288" s="28"/>
      <c r="S288" s="28"/>
      <c r="T288" s="28"/>
      <c r="U288" s="28"/>
      <c r="V288" s="28"/>
      <c r="W288" s="35"/>
      <c r="X288" s="32"/>
    </row>
    <row r="289" spans="1:24" ht="15.75" customHeight="1" x14ac:dyDescent="0.3">
      <c r="A289" s="3"/>
      <c r="B289" s="3"/>
      <c r="C289" s="28"/>
      <c r="D289" s="28"/>
      <c r="E289" s="28"/>
      <c r="F289" s="28"/>
      <c r="G289" s="112"/>
      <c r="H289" s="28"/>
      <c r="I289" s="28"/>
      <c r="J289" s="28"/>
      <c r="K289" s="28"/>
      <c r="L289" s="28"/>
      <c r="M289" s="28"/>
      <c r="N289" s="28"/>
      <c r="O289" s="28"/>
      <c r="P289" s="28"/>
      <c r="Q289" s="28"/>
      <c r="R289" s="28"/>
      <c r="S289" s="28"/>
      <c r="T289" s="28"/>
      <c r="U289" s="28"/>
      <c r="V289" s="28"/>
      <c r="W289" s="35"/>
      <c r="X289" s="32"/>
    </row>
    <row r="290" spans="1:24" ht="15.75" customHeight="1" x14ac:dyDescent="0.3">
      <c r="A290" s="3"/>
      <c r="B290" s="3"/>
      <c r="C290" s="28"/>
      <c r="D290" s="28"/>
      <c r="E290" s="28"/>
      <c r="F290" s="28"/>
      <c r="G290" s="112"/>
      <c r="H290" s="28"/>
      <c r="I290" s="28"/>
      <c r="J290" s="28"/>
      <c r="K290" s="28"/>
      <c r="L290" s="28"/>
      <c r="M290" s="28"/>
      <c r="N290" s="28"/>
      <c r="O290" s="28"/>
      <c r="P290" s="28"/>
      <c r="Q290" s="28"/>
      <c r="R290" s="28"/>
      <c r="S290" s="28"/>
      <c r="T290" s="28"/>
      <c r="U290" s="28"/>
      <c r="V290" s="28"/>
      <c r="W290" s="35"/>
      <c r="X290" s="32"/>
    </row>
    <row r="291" spans="1:24" ht="15.75" customHeight="1" x14ac:dyDescent="0.3">
      <c r="A291" s="3"/>
      <c r="B291" s="3"/>
      <c r="C291" s="28"/>
      <c r="D291" s="28"/>
      <c r="E291" s="28"/>
      <c r="F291" s="28"/>
      <c r="G291" s="112"/>
      <c r="H291" s="28"/>
      <c r="I291" s="28"/>
      <c r="J291" s="28"/>
      <c r="K291" s="28"/>
      <c r="L291" s="28"/>
      <c r="M291" s="28"/>
      <c r="N291" s="28"/>
      <c r="O291" s="28"/>
      <c r="P291" s="28"/>
      <c r="Q291" s="28"/>
      <c r="R291" s="28"/>
      <c r="S291" s="28"/>
      <c r="T291" s="28"/>
      <c r="U291" s="28"/>
      <c r="V291" s="28"/>
      <c r="W291" s="35"/>
      <c r="X291" s="32"/>
    </row>
    <row r="292" spans="1:24" ht="15.75" customHeight="1" x14ac:dyDescent="0.3">
      <c r="A292" s="3"/>
      <c r="B292" s="3"/>
      <c r="C292" s="28"/>
      <c r="D292" s="28"/>
      <c r="E292" s="28"/>
      <c r="F292" s="28"/>
      <c r="G292" s="112"/>
      <c r="H292" s="28"/>
      <c r="I292" s="28"/>
      <c r="J292" s="28"/>
      <c r="K292" s="28"/>
      <c r="L292" s="28"/>
      <c r="M292" s="28"/>
      <c r="N292" s="28"/>
      <c r="O292" s="28"/>
      <c r="P292" s="28"/>
      <c r="Q292" s="28"/>
      <c r="R292" s="28"/>
      <c r="S292" s="28"/>
      <c r="T292" s="28"/>
      <c r="U292" s="28"/>
      <c r="V292" s="28"/>
      <c r="W292" s="35"/>
      <c r="X292" s="32"/>
    </row>
    <row r="293" spans="1:24" ht="15.75" customHeight="1" x14ac:dyDescent="0.3">
      <c r="A293" s="3"/>
      <c r="B293" s="3"/>
      <c r="C293" s="28"/>
      <c r="D293" s="28"/>
      <c r="E293" s="28"/>
      <c r="F293" s="28"/>
      <c r="G293" s="112"/>
      <c r="H293" s="28"/>
      <c r="I293" s="28"/>
      <c r="J293" s="28"/>
      <c r="K293" s="28"/>
      <c r="L293" s="28"/>
      <c r="M293" s="28"/>
      <c r="N293" s="28"/>
      <c r="O293" s="28"/>
      <c r="P293" s="28"/>
      <c r="Q293" s="28"/>
      <c r="R293" s="28"/>
      <c r="S293" s="28"/>
      <c r="T293" s="28"/>
      <c r="U293" s="28"/>
      <c r="V293" s="28"/>
      <c r="W293" s="35"/>
      <c r="X293" s="32"/>
    </row>
    <row r="294" spans="1:24" ht="15.75" customHeight="1" x14ac:dyDescent="0.3">
      <c r="A294" s="3"/>
      <c r="B294" s="3"/>
      <c r="C294" s="28"/>
      <c r="D294" s="28"/>
      <c r="E294" s="28"/>
      <c r="F294" s="28"/>
      <c r="G294" s="112"/>
      <c r="H294" s="28"/>
      <c r="I294" s="28"/>
      <c r="J294" s="28"/>
      <c r="K294" s="28"/>
      <c r="L294" s="28"/>
      <c r="M294" s="28"/>
      <c r="N294" s="28"/>
      <c r="O294" s="28"/>
      <c r="P294" s="28"/>
      <c r="Q294" s="28"/>
      <c r="R294" s="28"/>
      <c r="S294" s="28"/>
      <c r="T294" s="28"/>
      <c r="U294" s="28"/>
      <c r="V294" s="28"/>
      <c r="W294" s="35"/>
      <c r="X294" s="32"/>
    </row>
    <row r="295" spans="1:24" ht="15.75" customHeight="1" x14ac:dyDescent="0.3">
      <c r="A295" s="3"/>
      <c r="B295" s="3"/>
      <c r="C295" s="28"/>
      <c r="D295" s="28"/>
      <c r="E295" s="28"/>
      <c r="F295" s="28"/>
      <c r="G295" s="112"/>
      <c r="H295" s="28"/>
      <c r="I295" s="28"/>
      <c r="J295" s="28"/>
      <c r="K295" s="28"/>
      <c r="L295" s="28"/>
      <c r="M295" s="28"/>
      <c r="N295" s="28"/>
      <c r="O295" s="28"/>
      <c r="P295" s="28"/>
      <c r="Q295" s="28"/>
      <c r="R295" s="28"/>
      <c r="S295" s="28"/>
      <c r="T295" s="28"/>
      <c r="U295" s="28"/>
      <c r="V295" s="28"/>
      <c r="W295" s="35"/>
      <c r="X295" s="32"/>
    </row>
    <row r="296" spans="1:24" ht="15.75" customHeight="1" x14ac:dyDescent="0.3">
      <c r="A296" s="3"/>
      <c r="B296" s="3"/>
      <c r="C296" s="28"/>
      <c r="D296" s="28"/>
      <c r="E296" s="28"/>
      <c r="F296" s="28"/>
      <c r="G296" s="112"/>
      <c r="H296" s="28"/>
      <c r="I296" s="28"/>
      <c r="J296" s="28"/>
      <c r="K296" s="28"/>
      <c r="L296" s="28"/>
      <c r="M296" s="28"/>
      <c r="N296" s="28"/>
      <c r="O296" s="28"/>
      <c r="P296" s="28"/>
      <c r="Q296" s="28"/>
      <c r="R296" s="28"/>
      <c r="S296" s="28"/>
      <c r="T296" s="28"/>
      <c r="U296" s="28"/>
      <c r="V296" s="28"/>
      <c r="W296" s="35"/>
      <c r="X296" s="32"/>
    </row>
    <row r="297" spans="1:24" ht="15.75" customHeight="1" x14ac:dyDescent="0.3">
      <c r="A297" s="3"/>
      <c r="B297" s="3"/>
      <c r="C297" s="28"/>
      <c r="D297" s="28"/>
      <c r="E297" s="28"/>
      <c r="F297" s="28"/>
      <c r="G297" s="112"/>
      <c r="H297" s="28"/>
      <c r="I297" s="28"/>
      <c r="J297" s="28"/>
      <c r="K297" s="28"/>
      <c r="L297" s="28"/>
      <c r="M297" s="28"/>
      <c r="N297" s="28"/>
      <c r="O297" s="28"/>
      <c r="P297" s="28"/>
      <c r="Q297" s="28"/>
      <c r="R297" s="28"/>
      <c r="S297" s="28"/>
      <c r="T297" s="28"/>
      <c r="U297" s="28"/>
      <c r="V297" s="28"/>
      <c r="W297" s="35"/>
      <c r="X297" s="32"/>
    </row>
    <row r="298" spans="1:24" ht="15.75" customHeight="1" x14ac:dyDescent="0.3">
      <c r="A298" s="3"/>
      <c r="B298" s="3"/>
      <c r="C298" s="28"/>
      <c r="D298" s="28"/>
      <c r="E298" s="28"/>
      <c r="F298" s="28"/>
      <c r="G298" s="112"/>
      <c r="H298" s="28"/>
      <c r="I298" s="28"/>
      <c r="J298" s="28"/>
      <c r="K298" s="28"/>
      <c r="L298" s="28"/>
      <c r="M298" s="28"/>
      <c r="N298" s="28"/>
      <c r="O298" s="28"/>
      <c r="P298" s="28"/>
      <c r="Q298" s="28"/>
      <c r="R298" s="28"/>
      <c r="S298" s="28"/>
      <c r="T298" s="28"/>
      <c r="U298" s="28"/>
      <c r="V298" s="28"/>
      <c r="W298" s="35"/>
      <c r="X298" s="32"/>
    </row>
    <row r="299" spans="1:24" ht="15.75" customHeight="1" x14ac:dyDescent="0.3">
      <c r="A299" s="3"/>
      <c r="B299" s="3"/>
      <c r="C299" s="28"/>
      <c r="D299" s="28"/>
      <c r="E299" s="28"/>
      <c r="F299" s="28"/>
      <c r="G299" s="112"/>
      <c r="H299" s="28"/>
      <c r="I299" s="28"/>
      <c r="J299" s="28"/>
      <c r="K299" s="28"/>
      <c r="L299" s="28"/>
      <c r="M299" s="28"/>
      <c r="N299" s="28"/>
      <c r="O299" s="28"/>
      <c r="P299" s="28"/>
      <c r="Q299" s="28"/>
      <c r="R299" s="28"/>
      <c r="S299" s="28"/>
      <c r="T299" s="28"/>
      <c r="U299" s="28"/>
      <c r="V299" s="28"/>
      <c r="W299" s="35"/>
      <c r="X299" s="32"/>
    </row>
    <row r="300" spans="1:24" ht="15.75" customHeight="1" x14ac:dyDescent="0.3">
      <c r="A300" s="3"/>
      <c r="B300" s="3"/>
      <c r="C300" s="28"/>
      <c r="D300" s="28"/>
      <c r="E300" s="28"/>
      <c r="F300" s="28"/>
      <c r="G300" s="112"/>
      <c r="H300" s="28"/>
      <c r="I300" s="28"/>
      <c r="J300" s="28"/>
      <c r="K300" s="28"/>
      <c r="L300" s="28"/>
      <c r="M300" s="28"/>
      <c r="N300" s="28"/>
      <c r="O300" s="28"/>
      <c r="P300" s="28"/>
      <c r="Q300" s="28"/>
      <c r="R300" s="28"/>
      <c r="S300" s="28"/>
      <c r="T300" s="28"/>
      <c r="U300" s="28"/>
      <c r="V300" s="28"/>
      <c r="W300" s="35"/>
      <c r="X300" s="32"/>
    </row>
    <row r="301" spans="1:24" ht="15.75" customHeight="1" x14ac:dyDescent="0.3">
      <c r="A301" s="3"/>
      <c r="B301" s="3"/>
      <c r="C301" s="28"/>
      <c r="D301" s="28"/>
      <c r="E301" s="28"/>
      <c r="F301" s="28"/>
      <c r="G301" s="112"/>
      <c r="H301" s="28"/>
      <c r="I301" s="28"/>
      <c r="J301" s="28"/>
      <c r="K301" s="28"/>
      <c r="L301" s="28"/>
      <c r="M301" s="28"/>
      <c r="N301" s="28"/>
      <c r="O301" s="28"/>
      <c r="P301" s="28"/>
      <c r="Q301" s="28"/>
      <c r="R301" s="28"/>
      <c r="S301" s="28"/>
      <c r="T301" s="28"/>
      <c r="U301" s="28"/>
      <c r="V301" s="28"/>
      <c r="W301" s="35"/>
      <c r="X301" s="32"/>
    </row>
    <row r="302" spans="1:24" ht="15.75" customHeight="1" x14ac:dyDescent="0.3">
      <c r="A302" s="3"/>
      <c r="B302" s="3"/>
      <c r="C302" s="28"/>
      <c r="D302" s="28"/>
      <c r="E302" s="28"/>
      <c r="F302" s="28"/>
      <c r="G302" s="112"/>
      <c r="H302" s="28"/>
      <c r="I302" s="28"/>
      <c r="J302" s="28"/>
      <c r="K302" s="28"/>
      <c r="L302" s="28"/>
      <c r="M302" s="28"/>
      <c r="N302" s="28"/>
      <c r="O302" s="28"/>
      <c r="P302" s="28"/>
      <c r="Q302" s="28"/>
      <c r="R302" s="28"/>
      <c r="S302" s="28"/>
      <c r="T302" s="28"/>
      <c r="U302" s="28"/>
      <c r="V302" s="28"/>
      <c r="W302" s="35"/>
      <c r="X302" s="32"/>
    </row>
    <row r="303" spans="1:24" ht="15.75" customHeight="1" x14ac:dyDescent="0.3">
      <c r="A303" s="3"/>
      <c r="B303" s="3"/>
      <c r="C303" s="28"/>
      <c r="D303" s="28"/>
      <c r="E303" s="28"/>
      <c r="F303" s="28"/>
      <c r="G303" s="112"/>
      <c r="H303" s="28"/>
      <c r="I303" s="28"/>
      <c r="J303" s="28"/>
      <c r="K303" s="28"/>
      <c r="L303" s="28"/>
      <c r="M303" s="28"/>
      <c r="N303" s="28"/>
      <c r="O303" s="28"/>
      <c r="P303" s="28"/>
      <c r="Q303" s="28"/>
      <c r="R303" s="28"/>
      <c r="S303" s="28"/>
      <c r="T303" s="28"/>
      <c r="U303" s="28"/>
      <c r="V303" s="28"/>
      <c r="W303" s="35"/>
      <c r="X303" s="32"/>
    </row>
    <row r="304" spans="1:24" ht="15.75" customHeight="1" x14ac:dyDescent="0.3">
      <c r="A304" s="3"/>
      <c r="B304" s="3"/>
      <c r="C304" s="28"/>
      <c r="D304" s="28"/>
      <c r="E304" s="28"/>
      <c r="F304" s="28"/>
      <c r="G304" s="112"/>
      <c r="H304" s="28"/>
      <c r="I304" s="28"/>
      <c r="J304" s="28"/>
      <c r="K304" s="28"/>
      <c r="L304" s="28"/>
      <c r="M304" s="28"/>
      <c r="N304" s="28"/>
      <c r="O304" s="28"/>
      <c r="P304" s="28"/>
      <c r="Q304" s="28"/>
      <c r="R304" s="28"/>
      <c r="S304" s="28"/>
      <c r="T304" s="28"/>
      <c r="U304" s="28"/>
      <c r="V304" s="28"/>
      <c r="W304" s="35"/>
      <c r="X304" s="32"/>
    </row>
    <row r="305" spans="1:24" ht="15.75" customHeight="1" x14ac:dyDescent="0.3">
      <c r="A305" s="3"/>
      <c r="B305" s="3"/>
      <c r="C305" s="28"/>
      <c r="D305" s="28"/>
      <c r="E305" s="28"/>
      <c r="F305" s="28"/>
      <c r="G305" s="112"/>
      <c r="H305" s="28"/>
      <c r="I305" s="28"/>
      <c r="J305" s="28"/>
      <c r="K305" s="28"/>
      <c r="L305" s="28"/>
      <c r="M305" s="28"/>
      <c r="N305" s="28"/>
      <c r="O305" s="28"/>
      <c r="P305" s="28"/>
      <c r="Q305" s="28"/>
      <c r="R305" s="28"/>
      <c r="S305" s="28"/>
      <c r="T305" s="28"/>
      <c r="U305" s="28"/>
      <c r="V305" s="28"/>
      <c r="W305" s="35"/>
      <c r="X305" s="32"/>
    </row>
    <row r="306" spans="1:24" ht="15.75" customHeight="1" x14ac:dyDescent="0.3">
      <c r="A306" s="3"/>
      <c r="B306" s="3"/>
      <c r="C306" s="28"/>
      <c r="D306" s="28"/>
      <c r="E306" s="28"/>
      <c r="F306" s="28"/>
      <c r="G306" s="112"/>
      <c r="H306" s="28"/>
      <c r="I306" s="28"/>
      <c r="J306" s="28"/>
      <c r="K306" s="28"/>
      <c r="L306" s="28"/>
      <c r="M306" s="28"/>
      <c r="N306" s="28"/>
      <c r="O306" s="28"/>
      <c r="P306" s="28"/>
      <c r="Q306" s="28"/>
      <c r="R306" s="28"/>
      <c r="S306" s="28"/>
      <c r="T306" s="28"/>
      <c r="U306" s="28"/>
      <c r="V306" s="28"/>
      <c r="W306" s="35"/>
      <c r="X306" s="32"/>
    </row>
    <row r="307" spans="1:24" ht="15.75" customHeight="1" x14ac:dyDescent="0.3">
      <c r="A307" s="3"/>
      <c r="B307" s="3"/>
      <c r="C307" s="28"/>
      <c r="D307" s="28"/>
      <c r="E307" s="28"/>
      <c r="F307" s="28"/>
      <c r="G307" s="112"/>
      <c r="H307" s="28"/>
      <c r="I307" s="28"/>
      <c r="J307" s="28"/>
      <c r="K307" s="28"/>
      <c r="L307" s="28"/>
      <c r="M307" s="28"/>
      <c r="N307" s="28"/>
      <c r="O307" s="28"/>
      <c r="P307" s="28"/>
      <c r="Q307" s="28"/>
      <c r="R307" s="28"/>
      <c r="S307" s="28"/>
      <c r="T307" s="28"/>
      <c r="U307" s="28"/>
      <c r="V307" s="28"/>
      <c r="W307" s="35"/>
      <c r="X307" s="32"/>
    </row>
    <row r="308" spans="1:24" ht="15.75" customHeight="1" x14ac:dyDescent="0.3">
      <c r="A308" s="3"/>
      <c r="B308" s="3"/>
      <c r="C308" s="28"/>
      <c r="D308" s="28"/>
      <c r="E308" s="28"/>
      <c r="F308" s="28"/>
      <c r="G308" s="112"/>
      <c r="H308" s="28"/>
      <c r="I308" s="28"/>
      <c r="J308" s="28"/>
      <c r="K308" s="28"/>
      <c r="L308" s="28"/>
      <c r="M308" s="28"/>
      <c r="N308" s="28"/>
      <c r="O308" s="28"/>
      <c r="P308" s="28"/>
      <c r="Q308" s="28"/>
      <c r="R308" s="28"/>
      <c r="S308" s="28"/>
      <c r="T308" s="28"/>
      <c r="U308" s="28"/>
      <c r="V308" s="28"/>
      <c r="W308" s="35"/>
      <c r="X308" s="32"/>
    </row>
    <row r="309" spans="1:24" ht="15.75" customHeight="1" x14ac:dyDescent="0.3">
      <c r="A309" s="3"/>
      <c r="B309" s="3"/>
      <c r="C309" s="28"/>
      <c r="D309" s="28"/>
      <c r="E309" s="28"/>
      <c r="F309" s="28"/>
      <c r="G309" s="112"/>
      <c r="H309" s="28"/>
      <c r="I309" s="28"/>
      <c r="J309" s="28"/>
      <c r="K309" s="28"/>
      <c r="L309" s="28"/>
      <c r="M309" s="28"/>
      <c r="N309" s="28"/>
      <c r="O309" s="28"/>
      <c r="P309" s="28"/>
      <c r="Q309" s="28"/>
      <c r="R309" s="28"/>
      <c r="S309" s="28"/>
      <c r="T309" s="28"/>
      <c r="U309" s="28"/>
      <c r="V309" s="28"/>
      <c r="W309" s="35"/>
      <c r="X309" s="32"/>
    </row>
    <row r="310" spans="1:24" ht="15.75" customHeight="1" x14ac:dyDescent="0.3">
      <c r="A310" s="3"/>
      <c r="B310" s="3"/>
      <c r="C310" s="28"/>
      <c r="D310" s="28"/>
      <c r="E310" s="28"/>
      <c r="F310" s="28"/>
      <c r="G310" s="112"/>
      <c r="H310" s="28"/>
      <c r="I310" s="28"/>
      <c r="J310" s="28"/>
      <c r="K310" s="28"/>
      <c r="L310" s="28"/>
      <c r="M310" s="28"/>
      <c r="N310" s="28"/>
      <c r="O310" s="28"/>
      <c r="P310" s="28"/>
      <c r="Q310" s="28"/>
      <c r="R310" s="28"/>
      <c r="S310" s="28"/>
      <c r="T310" s="28"/>
      <c r="U310" s="28"/>
      <c r="V310" s="28"/>
      <c r="W310" s="35"/>
      <c r="X310" s="32"/>
    </row>
    <row r="311" spans="1:24" ht="15.75" customHeight="1" x14ac:dyDescent="0.3">
      <c r="A311" s="3"/>
      <c r="B311" s="3"/>
      <c r="C311" s="28"/>
      <c r="D311" s="28"/>
      <c r="E311" s="28"/>
      <c r="F311" s="28"/>
      <c r="G311" s="112"/>
      <c r="H311" s="28"/>
      <c r="I311" s="28"/>
      <c r="J311" s="28"/>
      <c r="K311" s="28"/>
      <c r="L311" s="28"/>
      <c r="M311" s="28"/>
      <c r="N311" s="28"/>
      <c r="O311" s="28"/>
      <c r="P311" s="28"/>
      <c r="Q311" s="28"/>
      <c r="R311" s="28"/>
      <c r="S311" s="28"/>
      <c r="T311" s="28"/>
      <c r="U311" s="28"/>
      <c r="V311" s="28"/>
      <c r="W311" s="35"/>
      <c r="X311" s="32"/>
    </row>
    <row r="312" spans="1:24" ht="15.75" customHeight="1" x14ac:dyDescent="0.3">
      <c r="A312" s="3"/>
      <c r="B312" s="3"/>
      <c r="C312" s="28"/>
      <c r="D312" s="28"/>
      <c r="E312" s="28"/>
      <c r="F312" s="28"/>
      <c r="G312" s="112"/>
      <c r="H312" s="28"/>
      <c r="I312" s="28"/>
      <c r="J312" s="28"/>
      <c r="K312" s="28"/>
      <c r="L312" s="28"/>
      <c r="M312" s="28"/>
      <c r="N312" s="28"/>
      <c r="O312" s="28"/>
      <c r="P312" s="28"/>
      <c r="Q312" s="28"/>
      <c r="R312" s="28"/>
      <c r="S312" s="28"/>
      <c r="T312" s="28"/>
      <c r="U312" s="28"/>
      <c r="V312" s="28"/>
      <c r="W312" s="35"/>
      <c r="X312" s="32"/>
    </row>
    <row r="313" spans="1:24" ht="15.75" customHeight="1" x14ac:dyDescent="0.3">
      <c r="A313" s="3"/>
      <c r="B313" s="3"/>
      <c r="C313" s="28"/>
      <c r="D313" s="28"/>
      <c r="E313" s="28"/>
      <c r="F313" s="28"/>
      <c r="G313" s="112"/>
      <c r="H313" s="28"/>
      <c r="I313" s="28"/>
      <c r="J313" s="28"/>
      <c r="K313" s="28"/>
      <c r="L313" s="28"/>
      <c r="M313" s="28"/>
      <c r="N313" s="28"/>
      <c r="O313" s="28"/>
      <c r="P313" s="28"/>
      <c r="Q313" s="28"/>
      <c r="R313" s="28"/>
      <c r="S313" s="28"/>
      <c r="T313" s="28"/>
      <c r="U313" s="28"/>
      <c r="V313" s="28"/>
      <c r="W313" s="35"/>
      <c r="X313" s="32"/>
    </row>
    <row r="314" spans="1:24" ht="15.75" customHeight="1" x14ac:dyDescent="0.3">
      <c r="A314" s="3"/>
      <c r="B314" s="3"/>
      <c r="C314" s="28"/>
      <c r="D314" s="28"/>
      <c r="E314" s="28"/>
      <c r="F314" s="28"/>
      <c r="G314" s="112"/>
      <c r="H314" s="28"/>
      <c r="I314" s="28"/>
      <c r="J314" s="28"/>
      <c r="K314" s="28"/>
      <c r="L314" s="28"/>
      <c r="M314" s="28"/>
      <c r="N314" s="28"/>
      <c r="O314" s="28"/>
      <c r="P314" s="28"/>
      <c r="Q314" s="28"/>
      <c r="R314" s="28"/>
      <c r="S314" s="28"/>
      <c r="T314" s="28"/>
      <c r="U314" s="28"/>
      <c r="V314" s="28"/>
      <c r="W314" s="35"/>
      <c r="X314" s="32"/>
    </row>
    <row r="315" spans="1:24" ht="15.75" customHeight="1" x14ac:dyDescent="0.3">
      <c r="A315" s="3"/>
      <c r="B315" s="3"/>
      <c r="C315" s="28"/>
      <c r="D315" s="28"/>
      <c r="E315" s="28"/>
      <c r="F315" s="28"/>
      <c r="G315" s="112"/>
      <c r="H315" s="28"/>
      <c r="I315" s="28"/>
      <c r="J315" s="28"/>
      <c r="K315" s="28"/>
      <c r="L315" s="28"/>
      <c r="M315" s="28"/>
      <c r="N315" s="28"/>
      <c r="O315" s="28"/>
      <c r="P315" s="28"/>
      <c r="Q315" s="28"/>
      <c r="R315" s="28"/>
      <c r="S315" s="28"/>
      <c r="T315" s="28"/>
      <c r="U315" s="28"/>
      <c r="V315" s="28"/>
      <c r="W315" s="35"/>
      <c r="X315" s="32"/>
    </row>
    <row r="316" spans="1:24" ht="15.75" customHeight="1" x14ac:dyDescent="0.3">
      <c r="A316" s="3"/>
      <c r="B316" s="3"/>
      <c r="C316" s="28"/>
      <c r="D316" s="28"/>
      <c r="E316" s="28"/>
      <c r="F316" s="28"/>
      <c r="G316" s="112"/>
      <c r="H316" s="28"/>
      <c r="I316" s="28"/>
      <c r="J316" s="28"/>
      <c r="K316" s="28"/>
      <c r="L316" s="28"/>
      <c r="M316" s="28"/>
      <c r="N316" s="28"/>
      <c r="O316" s="28"/>
      <c r="P316" s="28"/>
      <c r="Q316" s="28"/>
      <c r="R316" s="28"/>
      <c r="S316" s="28"/>
      <c r="T316" s="28"/>
      <c r="U316" s="28"/>
      <c r="V316" s="28"/>
      <c r="W316" s="35"/>
      <c r="X316" s="32"/>
    </row>
    <row r="317" spans="1:24" ht="15.75" customHeight="1" x14ac:dyDescent="0.3">
      <c r="A317" s="3"/>
      <c r="B317" s="3"/>
      <c r="C317" s="28"/>
      <c r="D317" s="28"/>
      <c r="E317" s="28"/>
      <c r="F317" s="28"/>
      <c r="G317" s="112"/>
      <c r="H317" s="28"/>
      <c r="I317" s="28"/>
      <c r="J317" s="28"/>
      <c r="K317" s="28"/>
      <c r="L317" s="28"/>
      <c r="M317" s="28"/>
      <c r="N317" s="28"/>
      <c r="O317" s="28"/>
      <c r="P317" s="28"/>
      <c r="Q317" s="28"/>
      <c r="R317" s="28"/>
      <c r="S317" s="28"/>
      <c r="T317" s="28"/>
      <c r="U317" s="28"/>
      <c r="V317" s="28"/>
      <c r="W317" s="35"/>
      <c r="X317" s="32"/>
    </row>
    <row r="318" spans="1:24" ht="15.75" customHeight="1" x14ac:dyDescent="0.3">
      <c r="A318" s="3"/>
      <c r="B318" s="3"/>
      <c r="C318" s="28"/>
      <c r="D318" s="28"/>
      <c r="E318" s="28"/>
      <c r="F318" s="28"/>
      <c r="G318" s="112"/>
      <c r="H318" s="28"/>
      <c r="I318" s="28"/>
      <c r="J318" s="28"/>
      <c r="K318" s="28"/>
      <c r="L318" s="28"/>
      <c r="M318" s="28"/>
      <c r="N318" s="28"/>
      <c r="O318" s="28"/>
      <c r="P318" s="28"/>
      <c r="Q318" s="28"/>
      <c r="R318" s="28"/>
      <c r="S318" s="28"/>
      <c r="T318" s="28"/>
      <c r="U318" s="28"/>
      <c r="V318" s="28"/>
      <c r="W318" s="35"/>
      <c r="X318" s="32"/>
    </row>
    <row r="319" spans="1:24" ht="15.75" customHeight="1" x14ac:dyDescent="0.3">
      <c r="A319" s="3"/>
      <c r="B319" s="3"/>
      <c r="C319" s="28"/>
      <c r="D319" s="28"/>
      <c r="E319" s="28"/>
      <c r="F319" s="28"/>
      <c r="G319" s="112"/>
      <c r="H319" s="28"/>
      <c r="I319" s="28"/>
      <c r="J319" s="28"/>
      <c r="K319" s="28"/>
      <c r="L319" s="28"/>
      <c r="M319" s="28"/>
      <c r="N319" s="28"/>
      <c r="O319" s="28"/>
      <c r="P319" s="28"/>
      <c r="Q319" s="28"/>
      <c r="R319" s="28"/>
      <c r="S319" s="28"/>
      <c r="T319" s="28"/>
      <c r="U319" s="28"/>
      <c r="V319" s="28"/>
      <c r="W319" s="35"/>
      <c r="X319" s="32"/>
    </row>
    <row r="320" spans="1:24" ht="15.75" customHeight="1" x14ac:dyDescent="0.3">
      <c r="A320" s="3"/>
      <c r="B320" s="3"/>
      <c r="C320" s="28"/>
      <c r="D320" s="28"/>
      <c r="E320" s="28"/>
      <c r="F320" s="28"/>
      <c r="G320" s="112"/>
      <c r="H320" s="28"/>
      <c r="I320" s="28"/>
      <c r="J320" s="28"/>
      <c r="K320" s="28"/>
      <c r="L320" s="28"/>
      <c r="M320" s="28"/>
      <c r="N320" s="28"/>
      <c r="O320" s="28"/>
      <c r="P320" s="28"/>
      <c r="Q320" s="28"/>
      <c r="R320" s="28"/>
      <c r="S320" s="28"/>
      <c r="T320" s="28"/>
      <c r="U320" s="28"/>
      <c r="V320" s="28"/>
      <c r="W320" s="35"/>
      <c r="X320" s="32"/>
    </row>
    <row r="321" spans="1:24" ht="15.75" customHeight="1" x14ac:dyDescent="0.3">
      <c r="A321" s="3"/>
      <c r="B321" s="3"/>
      <c r="C321" s="28"/>
      <c r="D321" s="28"/>
      <c r="E321" s="28"/>
      <c r="F321" s="28"/>
      <c r="G321" s="112"/>
      <c r="H321" s="28"/>
      <c r="I321" s="28"/>
      <c r="J321" s="28"/>
      <c r="K321" s="28"/>
      <c r="L321" s="28"/>
      <c r="M321" s="28"/>
      <c r="N321" s="28"/>
      <c r="O321" s="28"/>
      <c r="P321" s="28"/>
      <c r="Q321" s="28"/>
      <c r="R321" s="28"/>
      <c r="S321" s="28"/>
      <c r="T321" s="28"/>
      <c r="U321" s="28"/>
      <c r="V321" s="28"/>
      <c r="W321" s="35"/>
      <c r="X321" s="32"/>
    </row>
    <row r="322" spans="1:24" ht="15.75" customHeight="1" x14ac:dyDescent="0.3">
      <c r="A322" s="3"/>
      <c r="B322" s="3"/>
      <c r="C322" s="28"/>
      <c r="D322" s="28"/>
      <c r="E322" s="28"/>
      <c r="F322" s="28"/>
      <c r="G322" s="112"/>
      <c r="H322" s="28"/>
      <c r="I322" s="28"/>
      <c r="J322" s="28"/>
      <c r="K322" s="28"/>
      <c r="L322" s="28"/>
      <c r="M322" s="28"/>
      <c r="N322" s="28"/>
      <c r="O322" s="28"/>
      <c r="P322" s="28"/>
      <c r="Q322" s="28"/>
      <c r="R322" s="28"/>
      <c r="S322" s="28"/>
      <c r="T322" s="28"/>
      <c r="U322" s="28"/>
      <c r="V322" s="28"/>
      <c r="W322" s="35"/>
      <c r="X322" s="32"/>
    </row>
    <row r="323" spans="1:24" ht="15.75" customHeight="1" x14ac:dyDescent="0.3">
      <c r="A323" s="3"/>
      <c r="B323" s="3"/>
      <c r="C323" s="28"/>
      <c r="D323" s="28"/>
      <c r="E323" s="28"/>
      <c r="F323" s="28"/>
      <c r="G323" s="112"/>
      <c r="H323" s="28"/>
      <c r="I323" s="28"/>
      <c r="J323" s="28"/>
      <c r="K323" s="28"/>
      <c r="L323" s="28"/>
      <c r="M323" s="28"/>
      <c r="N323" s="28"/>
      <c r="O323" s="28"/>
      <c r="P323" s="28"/>
      <c r="Q323" s="28"/>
      <c r="R323" s="28"/>
      <c r="S323" s="28"/>
      <c r="T323" s="28"/>
      <c r="U323" s="28"/>
      <c r="V323" s="28"/>
      <c r="W323" s="35"/>
      <c r="X323" s="32"/>
    </row>
    <row r="324" spans="1:24" ht="15.75" customHeight="1" x14ac:dyDescent="0.3">
      <c r="A324" s="3"/>
      <c r="B324" s="3"/>
      <c r="C324" s="28"/>
      <c r="D324" s="28"/>
      <c r="E324" s="28"/>
      <c r="F324" s="28"/>
      <c r="G324" s="112"/>
      <c r="H324" s="28"/>
      <c r="I324" s="28"/>
      <c r="J324" s="28"/>
      <c r="K324" s="28"/>
      <c r="L324" s="28"/>
      <c r="M324" s="28"/>
      <c r="N324" s="28"/>
      <c r="O324" s="28"/>
      <c r="P324" s="28"/>
      <c r="Q324" s="28"/>
      <c r="R324" s="28"/>
      <c r="S324" s="28"/>
      <c r="T324" s="28"/>
      <c r="U324" s="28"/>
      <c r="V324" s="28"/>
      <c r="W324" s="35"/>
      <c r="X324" s="32"/>
    </row>
    <row r="325" spans="1:24" ht="15.75" customHeight="1" x14ac:dyDescent="0.3">
      <c r="A325" s="3"/>
      <c r="B325" s="3"/>
      <c r="C325" s="28"/>
      <c r="D325" s="28"/>
      <c r="E325" s="28"/>
      <c r="F325" s="28"/>
      <c r="G325" s="112"/>
      <c r="H325" s="28"/>
      <c r="I325" s="28"/>
      <c r="J325" s="28"/>
      <c r="K325" s="28"/>
      <c r="L325" s="28"/>
      <c r="M325" s="28"/>
      <c r="N325" s="28"/>
      <c r="O325" s="28"/>
      <c r="P325" s="28"/>
      <c r="Q325" s="28"/>
      <c r="R325" s="28"/>
      <c r="S325" s="28"/>
      <c r="T325" s="28"/>
      <c r="U325" s="28"/>
      <c r="V325" s="28"/>
      <c r="W325" s="35"/>
      <c r="X325" s="32"/>
    </row>
    <row r="326" spans="1:24" ht="15.75" customHeight="1" x14ac:dyDescent="0.3">
      <c r="A326" s="3"/>
      <c r="B326" s="3"/>
      <c r="C326" s="28"/>
      <c r="D326" s="28"/>
      <c r="E326" s="28"/>
      <c r="F326" s="28"/>
      <c r="G326" s="112"/>
      <c r="H326" s="28"/>
      <c r="I326" s="28"/>
      <c r="J326" s="28"/>
      <c r="K326" s="28"/>
      <c r="L326" s="28"/>
      <c r="M326" s="28"/>
      <c r="N326" s="28"/>
      <c r="O326" s="28"/>
      <c r="P326" s="28"/>
      <c r="Q326" s="28"/>
      <c r="R326" s="28"/>
      <c r="S326" s="28"/>
      <c r="T326" s="28"/>
      <c r="U326" s="28"/>
      <c r="V326" s="28"/>
      <c r="W326" s="35"/>
      <c r="X326" s="32"/>
    </row>
    <row r="327" spans="1:24" ht="15.75" customHeight="1" x14ac:dyDescent="0.3">
      <c r="A327" s="3"/>
      <c r="B327" s="3"/>
      <c r="C327" s="28"/>
      <c r="D327" s="28"/>
      <c r="E327" s="28"/>
      <c r="F327" s="28"/>
      <c r="G327" s="112"/>
      <c r="H327" s="28"/>
      <c r="I327" s="28"/>
      <c r="J327" s="28"/>
      <c r="K327" s="28"/>
      <c r="L327" s="28"/>
      <c r="M327" s="28"/>
      <c r="N327" s="28"/>
      <c r="O327" s="28"/>
      <c r="P327" s="28"/>
      <c r="Q327" s="28"/>
      <c r="R327" s="28"/>
      <c r="S327" s="28"/>
      <c r="T327" s="28"/>
      <c r="U327" s="28"/>
      <c r="V327" s="28"/>
      <c r="W327" s="35"/>
      <c r="X327" s="32"/>
    </row>
    <row r="328" spans="1:24" ht="15.75" customHeight="1" x14ac:dyDescent="0.3">
      <c r="A328" s="3"/>
      <c r="B328" s="3"/>
      <c r="C328" s="28"/>
      <c r="D328" s="28"/>
      <c r="E328" s="28"/>
      <c r="F328" s="28"/>
      <c r="G328" s="112"/>
      <c r="H328" s="28"/>
      <c r="I328" s="28"/>
      <c r="J328" s="28"/>
      <c r="K328" s="28"/>
      <c r="L328" s="28"/>
      <c r="M328" s="28"/>
      <c r="N328" s="28"/>
      <c r="O328" s="28"/>
      <c r="P328" s="28"/>
      <c r="Q328" s="28"/>
      <c r="R328" s="28"/>
      <c r="S328" s="28"/>
      <c r="T328" s="28"/>
      <c r="U328" s="28"/>
      <c r="V328" s="28"/>
      <c r="W328" s="35"/>
      <c r="X328" s="32"/>
    </row>
    <row r="329" spans="1:24" ht="15.75" customHeight="1" x14ac:dyDescent="0.3">
      <c r="A329" s="3"/>
      <c r="B329" s="3"/>
      <c r="C329" s="28"/>
      <c r="D329" s="28"/>
      <c r="E329" s="28"/>
      <c r="F329" s="28"/>
      <c r="G329" s="112"/>
      <c r="H329" s="28"/>
      <c r="I329" s="28"/>
      <c r="J329" s="28"/>
      <c r="K329" s="28"/>
      <c r="L329" s="28"/>
      <c r="M329" s="28"/>
      <c r="N329" s="28"/>
      <c r="O329" s="28"/>
      <c r="P329" s="28"/>
      <c r="Q329" s="28"/>
      <c r="R329" s="28"/>
      <c r="S329" s="28"/>
      <c r="T329" s="28"/>
      <c r="U329" s="28"/>
      <c r="V329" s="28"/>
      <c r="W329" s="35"/>
      <c r="X329" s="32"/>
    </row>
    <row r="330" spans="1:24" ht="15.75" customHeight="1" x14ac:dyDescent="0.3">
      <c r="A330" s="3"/>
      <c r="B330" s="3"/>
      <c r="C330" s="28"/>
      <c r="D330" s="28"/>
      <c r="E330" s="28"/>
      <c r="F330" s="28"/>
      <c r="G330" s="112"/>
      <c r="H330" s="28"/>
      <c r="I330" s="28"/>
      <c r="J330" s="28"/>
      <c r="K330" s="28"/>
      <c r="L330" s="28"/>
      <c r="M330" s="28"/>
      <c r="N330" s="28"/>
      <c r="O330" s="28"/>
      <c r="P330" s="28"/>
      <c r="Q330" s="28"/>
      <c r="R330" s="28"/>
      <c r="S330" s="28"/>
      <c r="T330" s="28"/>
      <c r="U330" s="28"/>
      <c r="V330" s="28"/>
      <c r="W330" s="35"/>
      <c r="X330" s="32"/>
    </row>
    <row r="331" spans="1:24" ht="15.75" customHeight="1" x14ac:dyDescent="0.3">
      <c r="A331" s="3"/>
      <c r="B331" s="3"/>
      <c r="C331" s="28"/>
      <c r="D331" s="28"/>
      <c r="E331" s="28"/>
      <c r="F331" s="28"/>
      <c r="G331" s="112"/>
      <c r="H331" s="28"/>
      <c r="I331" s="28"/>
      <c r="J331" s="28"/>
      <c r="K331" s="28"/>
      <c r="L331" s="28"/>
      <c r="M331" s="28"/>
      <c r="N331" s="28"/>
      <c r="O331" s="28"/>
      <c r="P331" s="28"/>
      <c r="Q331" s="28"/>
      <c r="R331" s="28"/>
      <c r="S331" s="28"/>
      <c r="T331" s="28"/>
      <c r="U331" s="28"/>
      <c r="V331" s="28"/>
      <c r="W331" s="35"/>
      <c r="X331" s="32"/>
    </row>
    <row r="332" spans="1:24" ht="15.75" customHeight="1" x14ac:dyDescent="0.3">
      <c r="A332" s="3"/>
      <c r="B332" s="3"/>
      <c r="C332" s="28"/>
      <c r="D332" s="28"/>
      <c r="E332" s="28"/>
      <c r="F332" s="28"/>
      <c r="G332" s="112"/>
      <c r="H332" s="28"/>
      <c r="I332" s="28"/>
      <c r="J332" s="28"/>
      <c r="K332" s="28"/>
      <c r="L332" s="28"/>
      <c r="M332" s="28"/>
      <c r="N332" s="28"/>
      <c r="O332" s="28"/>
      <c r="P332" s="28"/>
      <c r="Q332" s="28"/>
      <c r="R332" s="28"/>
      <c r="S332" s="28"/>
      <c r="T332" s="28"/>
      <c r="U332" s="28"/>
      <c r="V332" s="28"/>
      <c r="W332" s="35"/>
      <c r="X332" s="32"/>
    </row>
    <row r="333" spans="1:24" ht="15.75" customHeight="1" x14ac:dyDescent="0.3">
      <c r="A333" s="3"/>
      <c r="B333" s="3"/>
      <c r="C333" s="28"/>
      <c r="D333" s="28"/>
      <c r="E333" s="28"/>
      <c r="F333" s="28"/>
      <c r="G333" s="112"/>
      <c r="H333" s="28"/>
      <c r="I333" s="28"/>
      <c r="J333" s="28"/>
      <c r="K333" s="28"/>
      <c r="L333" s="28"/>
      <c r="M333" s="28"/>
      <c r="N333" s="28"/>
      <c r="O333" s="28"/>
      <c r="P333" s="28"/>
      <c r="Q333" s="28"/>
      <c r="R333" s="28"/>
      <c r="S333" s="28"/>
      <c r="T333" s="28"/>
      <c r="U333" s="28"/>
      <c r="V333" s="28"/>
      <c r="W333" s="35"/>
      <c r="X333" s="32"/>
    </row>
    <row r="334" spans="1:24" ht="15.75" customHeight="1" x14ac:dyDescent="0.3">
      <c r="A334" s="3"/>
      <c r="B334" s="3"/>
      <c r="C334" s="28"/>
      <c r="D334" s="28"/>
      <c r="E334" s="28"/>
      <c r="F334" s="28"/>
      <c r="G334" s="112"/>
      <c r="H334" s="28"/>
      <c r="I334" s="28"/>
      <c r="J334" s="28"/>
      <c r="K334" s="28"/>
      <c r="L334" s="28"/>
      <c r="M334" s="28"/>
      <c r="N334" s="28"/>
      <c r="O334" s="28"/>
      <c r="P334" s="28"/>
      <c r="Q334" s="28"/>
      <c r="R334" s="28"/>
      <c r="S334" s="28"/>
      <c r="T334" s="28"/>
      <c r="U334" s="28"/>
      <c r="V334" s="28"/>
      <c r="W334" s="35"/>
      <c r="X334" s="32"/>
    </row>
    <row r="335" spans="1:24" ht="15.75" customHeight="1" x14ac:dyDescent="0.3">
      <c r="A335" s="3"/>
      <c r="B335" s="3"/>
      <c r="C335" s="28"/>
      <c r="D335" s="28"/>
      <c r="E335" s="28"/>
      <c r="F335" s="28"/>
      <c r="G335" s="112"/>
      <c r="H335" s="28"/>
      <c r="I335" s="28"/>
      <c r="J335" s="28"/>
      <c r="K335" s="28"/>
      <c r="L335" s="28"/>
      <c r="M335" s="28"/>
      <c r="N335" s="28"/>
      <c r="O335" s="28"/>
      <c r="P335" s="28"/>
      <c r="Q335" s="28"/>
      <c r="R335" s="28"/>
      <c r="S335" s="28"/>
      <c r="T335" s="28"/>
      <c r="U335" s="28"/>
      <c r="V335" s="28"/>
      <c r="W335" s="35"/>
      <c r="X335" s="32"/>
    </row>
    <row r="336" spans="1:24" ht="15.75" customHeight="1" x14ac:dyDescent="0.3">
      <c r="A336" s="3"/>
      <c r="B336" s="3"/>
      <c r="C336" s="28"/>
      <c r="D336" s="28"/>
      <c r="E336" s="28"/>
      <c r="F336" s="28"/>
      <c r="G336" s="112"/>
      <c r="H336" s="28"/>
      <c r="I336" s="28"/>
      <c r="J336" s="28"/>
      <c r="K336" s="28"/>
      <c r="L336" s="28"/>
      <c r="M336" s="28"/>
      <c r="N336" s="28"/>
      <c r="O336" s="28"/>
      <c r="P336" s="28"/>
      <c r="Q336" s="28"/>
      <c r="R336" s="28"/>
      <c r="S336" s="28"/>
      <c r="T336" s="28"/>
      <c r="U336" s="28"/>
      <c r="V336" s="28"/>
      <c r="W336" s="35"/>
      <c r="X336" s="32"/>
    </row>
    <row r="337" spans="1:24" ht="15.75" customHeight="1" x14ac:dyDescent="0.3">
      <c r="A337" s="3"/>
      <c r="B337" s="3"/>
      <c r="C337" s="28"/>
      <c r="D337" s="28"/>
      <c r="E337" s="28"/>
      <c r="F337" s="28"/>
      <c r="G337" s="112"/>
      <c r="H337" s="28"/>
      <c r="I337" s="28"/>
      <c r="J337" s="28"/>
      <c r="K337" s="28"/>
      <c r="L337" s="28"/>
      <c r="M337" s="28"/>
      <c r="N337" s="28"/>
      <c r="O337" s="28"/>
      <c r="P337" s="28"/>
      <c r="Q337" s="28"/>
      <c r="R337" s="28"/>
      <c r="S337" s="28"/>
      <c r="T337" s="28"/>
      <c r="U337" s="28"/>
      <c r="V337" s="28"/>
      <c r="W337" s="35"/>
      <c r="X337" s="32"/>
    </row>
    <row r="338" spans="1:24" ht="15.75" customHeight="1" x14ac:dyDescent="0.3">
      <c r="A338" s="3"/>
      <c r="B338" s="3"/>
      <c r="C338" s="28"/>
      <c r="D338" s="28"/>
      <c r="E338" s="28"/>
      <c r="F338" s="28"/>
      <c r="G338" s="112"/>
      <c r="H338" s="28"/>
      <c r="I338" s="28"/>
      <c r="J338" s="28"/>
      <c r="K338" s="28"/>
      <c r="L338" s="28"/>
      <c r="M338" s="28"/>
      <c r="N338" s="28"/>
      <c r="O338" s="28"/>
      <c r="P338" s="28"/>
      <c r="Q338" s="28"/>
      <c r="R338" s="28"/>
      <c r="S338" s="28"/>
      <c r="T338" s="28"/>
      <c r="U338" s="28"/>
      <c r="V338" s="28"/>
      <c r="W338" s="35"/>
      <c r="X338" s="32"/>
    </row>
    <row r="339" spans="1:24" ht="15.75" customHeight="1" x14ac:dyDescent="0.3">
      <c r="A339" s="3"/>
      <c r="B339" s="3"/>
      <c r="C339" s="28"/>
      <c r="D339" s="28"/>
      <c r="E339" s="28"/>
      <c r="F339" s="28"/>
      <c r="G339" s="112"/>
      <c r="H339" s="28"/>
      <c r="I339" s="28"/>
      <c r="J339" s="28"/>
      <c r="K339" s="28"/>
      <c r="L339" s="28"/>
      <c r="M339" s="28"/>
      <c r="N339" s="28"/>
      <c r="O339" s="28"/>
      <c r="P339" s="28"/>
      <c r="Q339" s="28"/>
      <c r="R339" s="28"/>
      <c r="S339" s="28"/>
      <c r="T339" s="28"/>
      <c r="U339" s="28"/>
      <c r="V339" s="28"/>
      <c r="W339" s="35"/>
      <c r="X339" s="32"/>
    </row>
    <row r="340" spans="1:24" ht="15.75" customHeight="1" x14ac:dyDescent="0.3">
      <c r="A340" s="3"/>
      <c r="B340" s="3"/>
      <c r="C340" s="28"/>
      <c r="D340" s="28"/>
      <c r="E340" s="28"/>
      <c r="F340" s="28"/>
      <c r="G340" s="112"/>
      <c r="H340" s="28"/>
      <c r="I340" s="28"/>
      <c r="J340" s="28"/>
      <c r="K340" s="28"/>
      <c r="L340" s="28"/>
      <c r="M340" s="28"/>
      <c r="N340" s="28"/>
      <c r="O340" s="28"/>
      <c r="P340" s="28"/>
      <c r="Q340" s="28"/>
      <c r="R340" s="28"/>
      <c r="S340" s="28"/>
      <c r="T340" s="28"/>
      <c r="U340" s="28"/>
      <c r="V340" s="28"/>
      <c r="W340" s="35"/>
      <c r="X340" s="32"/>
    </row>
    <row r="341" spans="1:24" ht="15.75" customHeight="1" x14ac:dyDescent="0.3">
      <c r="A341" s="3"/>
      <c r="B341" s="3"/>
      <c r="C341" s="28"/>
      <c r="D341" s="28"/>
      <c r="E341" s="28"/>
      <c r="F341" s="28"/>
      <c r="G341" s="112"/>
      <c r="H341" s="28"/>
      <c r="I341" s="28"/>
      <c r="J341" s="28"/>
      <c r="K341" s="28"/>
      <c r="L341" s="28"/>
      <c r="M341" s="28"/>
      <c r="N341" s="28"/>
      <c r="O341" s="28"/>
      <c r="P341" s="28"/>
      <c r="Q341" s="28"/>
      <c r="R341" s="28"/>
      <c r="S341" s="28"/>
      <c r="T341" s="28"/>
      <c r="U341" s="28"/>
      <c r="V341" s="28"/>
      <c r="W341" s="35"/>
      <c r="X341" s="32"/>
    </row>
    <row r="342" spans="1:24" ht="15.75" customHeight="1" x14ac:dyDescent="0.3">
      <c r="A342" s="3"/>
      <c r="B342" s="3"/>
      <c r="C342" s="28"/>
      <c r="D342" s="28"/>
      <c r="E342" s="28"/>
      <c r="F342" s="28"/>
      <c r="G342" s="112"/>
      <c r="H342" s="28"/>
      <c r="I342" s="28"/>
      <c r="J342" s="28"/>
      <c r="K342" s="28"/>
      <c r="L342" s="28"/>
      <c r="M342" s="28"/>
      <c r="N342" s="28"/>
      <c r="O342" s="28"/>
      <c r="P342" s="28"/>
      <c r="Q342" s="28"/>
      <c r="R342" s="28"/>
      <c r="S342" s="28"/>
      <c r="T342" s="28"/>
      <c r="U342" s="28"/>
      <c r="V342" s="28"/>
      <c r="W342" s="35"/>
      <c r="X342" s="32"/>
    </row>
    <row r="343" spans="1:24" ht="15.75" customHeight="1" x14ac:dyDescent="0.3">
      <c r="A343" s="3"/>
      <c r="B343" s="3"/>
      <c r="C343" s="28"/>
      <c r="D343" s="28"/>
      <c r="E343" s="28"/>
      <c r="F343" s="28"/>
      <c r="G343" s="112"/>
      <c r="H343" s="28"/>
      <c r="I343" s="28"/>
      <c r="J343" s="28"/>
      <c r="K343" s="28"/>
      <c r="L343" s="28"/>
      <c r="M343" s="28"/>
      <c r="N343" s="28"/>
      <c r="O343" s="28"/>
      <c r="P343" s="28"/>
      <c r="Q343" s="28"/>
      <c r="R343" s="28"/>
      <c r="S343" s="28"/>
      <c r="T343" s="28"/>
      <c r="U343" s="28"/>
      <c r="V343" s="28"/>
      <c r="W343" s="35"/>
      <c r="X343" s="32"/>
    </row>
    <row r="344" spans="1:24" ht="15.75" customHeight="1" x14ac:dyDescent="0.3">
      <c r="A344" s="3"/>
      <c r="B344" s="3"/>
      <c r="C344" s="28"/>
      <c r="D344" s="28"/>
      <c r="E344" s="28"/>
      <c r="F344" s="28"/>
      <c r="G344" s="112"/>
      <c r="H344" s="28"/>
      <c r="I344" s="28"/>
      <c r="J344" s="28"/>
      <c r="K344" s="28"/>
      <c r="L344" s="28"/>
      <c r="M344" s="28"/>
      <c r="N344" s="28"/>
      <c r="O344" s="28"/>
      <c r="P344" s="28"/>
      <c r="Q344" s="28"/>
      <c r="R344" s="28"/>
      <c r="S344" s="28"/>
      <c r="T344" s="28"/>
      <c r="U344" s="28"/>
      <c r="V344" s="28"/>
      <c r="W344" s="35"/>
      <c r="X344" s="32"/>
    </row>
    <row r="345" spans="1:24" ht="15.75" customHeight="1" x14ac:dyDescent="0.3">
      <c r="A345" s="3"/>
      <c r="B345" s="3"/>
      <c r="C345" s="28"/>
      <c r="D345" s="28"/>
      <c r="E345" s="28"/>
      <c r="F345" s="28"/>
      <c r="G345" s="112"/>
      <c r="H345" s="28"/>
      <c r="I345" s="28"/>
      <c r="J345" s="28"/>
      <c r="K345" s="28"/>
      <c r="L345" s="28"/>
      <c r="M345" s="28"/>
      <c r="N345" s="28"/>
      <c r="O345" s="28"/>
      <c r="P345" s="28"/>
      <c r="Q345" s="28"/>
      <c r="R345" s="28"/>
      <c r="S345" s="28"/>
      <c r="T345" s="28"/>
      <c r="U345" s="28"/>
      <c r="V345" s="28"/>
      <c r="W345" s="35"/>
      <c r="X345" s="32"/>
    </row>
    <row r="346" spans="1:24" ht="15.75" customHeight="1" x14ac:dyDescent="0.3">
      <c r="A346" s="3"/>
      <c r="B346" s="3"/>
      <c r="C346" s="28"/>
      <c r="D346" s="28"/>
      <c r="E346" s="28"/>
      <c r="F346" s="28"/>
      <c r="G346" s="112"/>
      <c r="H346" s="28"/>
      <c r="I346" s="28"/>
      <c r="J346" s="28"/>
      <c r="K346" s="28"/>
      <c r="L346" s="28"/>
      <c r="M346" s="28"/>
      <c r="N346" s="28"/>
      <c r="O346" s="28"/>
      <c r="P346" s="28"/>
      <c r="Q346" s="28"/>
      <c r="R346" s="28"/>
      <c r="S346" s="28"/>
      <c r="T346" s="28"/>
      <c r="U346" s="28"/>
      <c r="V346" s="28"/>
      <c r="W346" s="35"/>
      <c r="X346" s="32"/>
    </row>
    <row r="347" spans="1:24" ht="15.75" customHeight="1" x14ac:dyDescent="0.3">
      <c r="A347" s="3"/>
      <c r="B347" s="3"/>
      <c r="C347" s="28"/>
      <c r="D347" s="28"/>
      <c r="E347" s="28"/>
      <c r="F347" s="28"/>
      <c r="G347" s="112"/>
      <c r="H347" s="28"/>
      <c r="I347" s="28"/>
      <c r="J347" s="28"/>
      <c r="K347" s="28"/>
      <c r="L347" s="28"/>
      <c r="M347" s="28"/>
      <c r="N347" s="28"/>
      <c r="O347" s="28"/>
      <c r="P347" s="28"/>
      <c r="Q347" s="28"/>
      <c r="R347" s="28"/>
      <c r="S347" s="28"/>
      <c r="T347" s="28"/>
      <c r="U347" s="28"/>
      <c r="V347" s="28"/>
      <c r="W347" s="35"/>
      <c r="X347" s="32"/>
    </row>
    <row r="348" spans="1:24" ht="15.75" customHeight="1" x14ac:dyDescent="0.3">
      <c r="A348" s="3"/>
      <c r="B348" s="3"/>
      <c r="C348" s="28"/>
      <c r="D348" s="28"/>
      <c r="E348" s="28"/>
      <c r="F348" s="28"/>
      <c r="G348" s="112"/>
      <c r="H348" s="28"/>
      <c r="I348" s="28"/>
      <c r="J348" s="28"/>
      <c r="K348" s="28"/>
      <c r="L348" s="28"/>
      <c r="M348" s="28"/>
      <c r="N348" s="28"/>
      <c r="O348" s="28"/>
      <c r="P348" s="28"/>
      <c r="Q348" s="28"/>
      <c r="R348" s="28"/>
      <c r="S348" s="28"/>
      <c r="T348" s="28"/>
      <c r="U348" s="28"/>
      <c r="V348" s="28"/>
      <c r="W348" s="35"/>
      <c r="X348" s="32"/>
    </row>
    <row r="349" spans="1:24" ht="15.75" customHeight="1" x14ac:dyDescent="0.3">
      <c r="A349" s="3"/>
      <c r="B349" s="3"/>
      <c r="C349" s="28"/>
      <c r="D349" s="28"/>
      <c r="E349" s="28"/>
      <c r="F349" s="28"/>
      <c r="G349" s="112"/>
      <c r="H349" s="28"/>
      <c r="I349" s="28"/>
      <c r="J349" s="28"/>
      <c r="K349" s="28"/>
      <c r="L349" s="28"/>
      <c r="M349" s="28"/>
      <c r="N349" s="28"/>
      <c r="O349" s="28"/>
      <c r="P349" s="28"/>
      <c r="Q349" s="28"/>
      <c r="R349" s="28"/>
      <c r="S349" s="28"/>
      <c r="T349" s="28"/>
      <c r="U349" s="28"/>
      <c r="V349" s="28"/>
      <c r="W349" s="35"/>
      <c r="X349" s="32"/>
    </row>
    <row r="350" spans="1:24" ht="15.75" customHeight="1" x14ac:dyDescent="0.3">
      <c r="A350" s="3"/>
      <c r="B350" s="3"/>
      <c r="C350" s="28"/>
      <c r="D350" s="28"/>
      <c r="E350" s="28"/>
      <c r="F350" s="28"/>
      <c r="G350" s="112"/>
      <c r="H350" s="28"/>
      <c r="I350" s="28"/>
      <c r="J350" s="28"/>
      <c r="K350" s="28"/>
      <c r="L350" s="28"/>
      <c r="M350" s="28"/>
      <c r="N350" s="28"/>
      <c r="O350" s="28"/>
      <c r="P350" s="28"/>
      <c r="Q350" s="28"/>
      <c r="R350" s="28"/>
      <c r="S350" s="28"/>
      <c r="T350" s="28"/>
      <c r="U350" s="28"/>
      <c r="V350" s="28"/>
      <c r="W350" s="35"/>
      <c r="X350" s="32"/>
    </row>
    <row r="351" spans="1:24" ht="15.75" customHeight="1" x14ac:dyDescent="0.3">
      <c r="A351" s="3"/>
      <c r="B351" s="3"/>
      <c r="C351" s="28"/>
      <c r="D351" s="28"/>
      <c r="E351" s="28"/>
      <c r="F351" s="28"/>
      <c r="G351" s="112"/>
      <c r="H351" s="28"/>
      <c r="I351" s="28"/>
      <c r="J351" s="28"/>
      <c r="K351" s="28"/>
      <c r="L351" s="28"/>
      <c r="M351" s="28"/>
      <c r="N351" s="28"/>
      <c r="O351" s="28"/>
      <c r="P351" s="28"/>
      <c r="Q351" s="28"/>
      <c r="R351" s="28"/>
      <c r="S351" s="28"/>
      <c r="T351" s="28"/>
      <c r="U351" s="28"/>
      <c r="V351" s="28"/>
      <c r="W351" s="35"/>
      <c r="X351" s="32"/>
    </row>
    <row r="352" spans="1:24" ht="15.75" customHeight="1" x14ac:dyDescent="0.3">
      <c r="A352" s="3"/>
      <c r="B352" s="3"/>
      <c r="C352" s="28"/>
      <c r="D352" s="28"/>
      <c r="E352" s="28"/>
      <c r="F352" s="28"/>
      <c r="G352" s="112"/>
      <c r="H352" s="28"/>
      <c r="I352" s="28"/>
      <c r="J352" s="28"/>
      <c r="K352" s="28"/>
      <c r="L352" s="28"/>
      <c r="M352" s="28"/>
      <c r="N352" s="28"/>
      <c r="O352" s="28"/>
      <c r="P352" s="28"/>
      <c r="Q352" s="28"/>
      <c r="R352" s="28"/>
      <c r="S352" s="28"/>
      <c r="T352" s="28"/>
      <c r="U352" s="28"/>
      <c r="V352" s="28"/>
      <c r="W352" s="35"/>
      <c r="X352" s="32"/>
    </row>
    <row r="353" spans="1:24" ht="15.75" customHeight="1" x14ac:dyDescent="0.3">
      <c r="A353" s="3"/>
      <c r="B353" s="3"/>
      <c r="C353" s="28"/>
      <c r="D353" s="28"/>
      <c r="E353" s="28"/>
      <c r="F353" s="28"/>
      <c r="G353" s="112"/>
      <c r="H353" s="28"/>
      <c r="I353" s="28"/>
      <c r="J353" s="28"/>
      <c r="K353" s="28"/>
      <c r="L353" s="28"/>
      <c r="M353" s="28"/>
      <c r="N353" s="28"/>
      <c r="O353" s="28"/>
      <c r="P353" s="28"/>
      <c r="Q353" s="28"/>
      <c r="R353" s="28"/>
      <c r="S353" s="28"/>
      <c r="T353" s="28"/>
      <c r="U353" s="28"/>
      <c r="V353" s="28"/>
      <c r="W353" s="35"/>
      <c r="X353" s="32"/>
    </row>
    <row r="354" spans="1:24" ht="15.75" customHeight="1" x14ac:dyDescent="0.3">
      <c r="A354" s="3"/>
      <c r="B354" s="3"/>
      <c r="C354" s="28"/>
      <c r="D354" s="28"/>
      <c r="E354" s="28"/>
      <c r="F354" s="28"/>
      <c r="G354" s="112"/>
      <c r="H354" s="28"/>
      <c r="I354" s="28"/>
      <c r="J354" s="28"/>
      <c r="K354" s="28"/>
      <c r="L354" s="28"/>
      <c r="M354" s="28"/>
      <c r="N354" s="28"/>
      <c r="O354" s="28"/>
      <c r="P354" s="28"/>
      <c r="Q354" s="28"/>
      <c r="R354" s="28"/>
      <c r="S354" s="28"/>
      <c r="T354" s="28"/>
      <c r="U354" s="28"/>
      <c r="V354" s="28"/>
      <c r="W354" s="35"/>
      <c r="X354" s="32"/>
    </row>
    <row r="355" spans="1:24" ht="15.75" customHeight="1" x14ac:dyDescent="0.3">
      <c r="A355" s="3"/>
      <c r="B355" s="3"/>
      <c r="C355" s="28"/>
      <c r="D355" s="28"/>
      <c r="E355" s="28"/>
      <c r="F355" s="28"/>
      <c r="G355" s="112"/>
      <c r="H355" s="28"/>
      <c r="I355" s="28"/>
      <c r="J355" s="28"/>
      <c r="K355" s="28"/>
      <c r="L355" s="28"/>
      <c r="M355" s="28"/>
      <c r="N355" s="28"/>
      <c r="O355" s="28"/>
      <c r="P355" s="28"/>
      <c r="Q355" s="28"/>
      <c r="R355" s="28"/>
      <c r="S355" s="28"/>
      <c r="T355" s="28"/>
      <c r="U355" s="28"/>
      <c r="V355" s="28"/>
      <c r="W355" s="35"/>
      <c r="X355" s="32"/>
    </row>
    <row r="356" spans="1:24" ht="15.75" customHeight="1" x14ac:dyDescent="0.3">
      <c r="A356" s="3"/>
      <c r="B356" s="3"/>
      <c r="C356" s="28"/>
      <c r="D356" s="28"/>
      <c r="E356" s="28"/>
      <c r="F356" s="28"/>
      <c r="G356" s="112"/>
      <c r="H356" s="28"/>
      <c r="I356" s="28"/>
      <c r="J356" s="28"/>
      <c r="K356" s="28"/>
      <c r="L356" s="28"/>
      <c r="M356" s="28"/>
      <c r="N356" s="28"/>
      <c r="O356" s="28"/>
      <c r="P356" s="28"/>
      <c r="Q356" s="28"/>
      <c r="R356" s="28"/>
      <c r="S356" s="28"/>
      <c r="T356" s="28"/>
      <c r="U356" s="28"/>
      <c r="V356" s="28"/>
      <c r="W356" s="35"/>
      <c r="X356" s="32"/>
    </row>
    <row r="357" spans="1:24" ht="15.75" customHeight="1" x14ac:dyDescent="0.3">
      <c r="A357" s="3"/>
      <c r="B357" s="3"/>
      <c r="C357" s="28"/>
      <c r="D357" s="28"/>
      <c r="E357" s="28"/>
      <c r="F357" s="28"/>
      <c r="G357" s="112"/>
      <c r="H357" s="28"/>
      <c r="I357" s="28"/>
      <c r="J357" s="28"/>
      <c r="K357" s="28"/>
      <c r="L357" s="28"/>
      <c r="M357" s="28"/>
      <c r="N357" s="28"/>
      <c r="O357" s="28"/>
      <c r="P357" s="28"/>
      <c r="Q357" s="28"/>
      <c r="R357" s="28"/>
      <c r="S357" s="28"/>
      <c r="T357" s="28"/>
      <c r="U357" s="28"/>
      <c r="V357" s="28"/>
      <c r="W357" s="35"/>
      <c r="X357" s="32"/>
    </row>
    <row r="358" spans="1:24" ht="15.75" customHeight="1" x14ac:dyDescent="0.3">
      <c r="A358" s="3"/>
      <c r="B358" s="3"/>
      <c r="C358" s="28"/>
      <c r="D358" s="28"/>
      <c r="E358" s="28"/>
      <c r="F358" s="28"/>
      <c r="G358" s="112"/>
      <c r="H358" s="28"/>
      <c r="I358" s="28"/>
      <c r="J358" s="28"/>
      <c r="K358" s="28"/>
      <c r="L358" s="28"/>
      <c r="M358" s="28"/>
      <c r="N358" s="28"/>
      <c r="O358" s="28"/>
      <c r="P358" s="28"/>
      <c r="Q358" s="28"/>
      <c r="R358" s="28"/>
      <c r="S358" s="28"/>
      <c r="T358" s="28"/>
      <c r="U358" s="28"/>
      <c r="V358" s="28"/>
      <c r="W358" s="35"/>
      <c r="X358" s="32"/>
    </row>
    <row r="359" spans="1:24" ht="15.75" customHeight="1" x14ac:dyDescent="0.3">
      <c r="A359" s="3"/>
      <c r="B359" s="3"/>
      <c r="C359" s="28"/>
      <c r="D359" s="28"/>
      <c r="E359" s="28"/>
      <c r="F359" s="28"/>
      <c r="G359" s="112"/>
      <c r="H359" s="28"/>
      <c r="I359" s="28"/>
      <c r="J359" s="28"/>
      <c r="K359" s="28"/>
      <c r="L359" s="28"/>
      <c r="M359" s="28"/>
      <c r="N359" s="28"/>
      <c r="O359" s="28"/>
      <c r="P359" s="28"/>
      <c r="Q359" s="28"/>
      <c r="R359" s="28"/>
      <c r="S359" s="28"/>
      <c r="T359" s="28"/>
      <c r="U359" s="28"/>
      <c r="V359" s="28"/>
      <c r="W359" s="35"/>
      <c r="X359" s="32"/>
    </row>
    <row r="360" spans="1:24" ht="15.75" customHeight="1" x14ac:dyDescent="0.3">
      <c r="A360" s="3"/>
      <c r="B360" s="3"/>
      <c r="C360" s="28"/>
      <c r="D360" s="28"/>
      <c r="E360" s="28"/>
      <c r="F360" s="28"/>
      <c r="G360" s="112"/>
      <c r="H360" s="28"/>
      <c r="I360" s="28"/>
      <c r="J360" s="28"/>
      <c r="K360" s="28"/>
      <c r="L360" s="28"/>
      <c r="M360" s="28"/>
      <c r="N360" s="28"/>
      <c r="O360" s="28"/>
      <c r="P360" s="28"/>
      <c r="Q360" s="28"/>
      <c r="R360" s="28"/>
      <c r="S360" s="28"/>
      <c r="T360" s="28"/>
      <c r="U360" s="28"/>
      <c r="V360" s="28"/>
      <c r="W360" s="35"/>
      <c r="X360" s="32"/>
    </row>
    <row r="361" spans="1:24" ht="15.75" customHeight="1" x14ac:dyDescent="0.3">
      <c r="A361" s="3"/>
      <c r="B361" s="3"/>
      <c r="C361" s="28"/>
      <c r="D361" s="28"/>
      <c r="E361" s="28"/>
      <c r="F361" s="28"/>
      <c r="G361" s="112"/>
      <c r="H361" s="28"/>
      <c r="I361" s="28"/>
      <c r="J361" s="28"/>
      <c r="K361" s="28"/>
      <c r="L361" s="28"/>
      <c r="M361" s="28"/>
      <c r="N361" s="28"/>
      <c r="O361" s="28"/>
      <c r="P361" s="28"/>
      <c r="Q361" s="28"/>
      <c r="R361" s="28"/>
      <c r="S361" s="28"/>
      <c r="T361" s="28"/>
      <c r="U361" s="28"/>
      <c r="V361" s="28"/>
      <c r="W361" s="35"/>
      <c r="X361" s="32"/>
    </row>
    <row r="362" spans="1:24" ht="15.75" customHeight="1" x14ac:dyDescent="0.3">
      <c r="A362" s="3"/>
      <c r="B362" s="3"/>
      <c r="C362" s="28"/>
      <c r="D362" s="28"/>
      <c r="E362" s="28"/>
      <c r="F362" s="28"/>
      <c r="G362" s="112"/>
      <c r="H362" s="28"/>
      <c r="I362" s="28"/>
      <c r="J362" s="28"/>
      <c r="K362" s="28"/>
      <c r="L362" s="28"/>
      <c r="M362" s="28"/>
      <c r="N362" s="28"/>
      <c r="O362" s="28"/>
      <c r="P362" s="28"/>
      <c r="Q362" s="28"/>
      <c r="R362" s="28"/>
      <c r="S362" s="28"/>
      <c r="T362" s="28"/>
      <c r="U362" s="28"/>
      <c r="V362" s="28"/>
      <c r="W362" s="35"/>
      <c r="X362" s="32"/>
    </row>
    <row r="363" spans="1:24" ht="15.75" customHeight="1" x14ac:dyDescent="0.3">
      <c r="A363" s="3"/>
      <c r="B363" s="3"/>
      <c r="C363" s="28"/>
      <c r="D363" s="28"/>
      <c r="E363" s="28"/>
      <c r="F363" s="28"/>
      <c r="G363" s="112"/>
      <c r="H363" s="28"/>
      <c r="I363" s="28"/>
      <c r="J363" s="28"/>
      <c r="K363" s="28"/>
      <c r="L363" s="28"/>
      <c r="M363" s="28"/>
      <c r="N363" s="28"/>
      <c r="O363" s="28"/>
      <c r="P363" s="28"/>
      <c r="Q363" s="28"/>
      <c r="R363" s="28"/>
      <c r="S363" s="28"/>
      <c r="T363" s="28"/>
      <c r="U363" s="28"/>
      <c r="V363" s="28"/>
      <c r="W363" s="35"/>
      <c r="X363" s="32"/>
    </row>
    <row r="364" spans="1:24" ht="15.75" customHeight="1" x14ac:dyDescent="0.3">
      <c r="A364" s="3"/>
      <c r="B364" s="3"/>
      <c r="C364" s="28"/>
      <c r="D364" s="28"/>
      <c r="E364" s="28"/>
      <c r="F364" s="28"/>
      <c r="G364" s="112"/>
      <c r="H364" s="28"/>
      <c r="I364" s="28"/>
      <c r="J364" s="28"/>
      <c r="K364" s="28"/>
      <c r="L364" s="28"/>
      <c r="M364" s="28"/>
      <c r="N364" s="28"/>
      <c r="O364" s="28"/>
      <c r="P364" s="28"/>
      <c r="Q364" s="28"/>
      <c r="R364" s="28"/>
      <c r="S364" s="28"/>
      <c r="T364" s="28"/>
      <c r="U364" s="28"/>
      <c r="V364" s="28"/>
      <c r="W364" s="35"/>
      <c r="X364" s="32"/>
    </row>
    <row r="365" spans="1:24" ht="15.75" customHeight="1" x14ac:dyDescent="0.3">
      <c r="A365" s="3"/>
      <c r="B365" s="3"/>
      <c r="C365" s="28"/>
      <c r="D365" s="28"/>
      <c r="E365" s="28"/>
      <c r="F365" s="28"/>
      <c r="G365" s="112"/>
      <c r="H365" s="28"/>
      <c r="I365" s="28"/>
      <c r="J365" s="28"/>
      <c r="K365" s="28"/>
      <c r="L365" s="28"/>
      <c r="M365" s="28"/>
      <c r="N365" s="28"/>
      <c r="O365" s="28"/>
      <c r="P365" s="28"/>
      <c r="Q365" s="28"/>
      <c r="R365" s="28"/>
      <c r="S365" s="28"/>
      <c r="T365" s="28"/>
      <c r="U365" s="28"/>
      <c r="V365" s="28"/>
      <c r="W365" s="35"/>
      <c r="X365" s="32"/>
    </row>
    <row r="366" spans="1:24" ht="15.75" customHeight="1" x14ac:dyDescent="0.3">
      <c r="A366" s="3"/>
      <c r="B366" s="3"/>
      <c r="C366" s="28"/>
      <c r="D366" s="28"/>
      <c r="E366" s="28"/>
      <c r="F366" s="28"/>
      <c r="G366" s="112"/>
      <c r="H366" s="28"/>
      <c r="I366" s="28"/>
      <c r="J366" s="28"/>
      <c r="K366" s="28"/>
      <c r="L366" s="28"/>
      <c r="M366" s="28"/>
      <c r="N366" s="28"/>
      <c r="O366" s="28"/>
      <c r="P366" s="28"/>
      <c r="Q366" s="28"/>
      <c r="R366" s="28"/>
      <c r="S366" s="28"/>
      <c r="T366" s="28"/>
      <c r="U366" s="28"/>
      <c r="V366" s="28"/>
      <c r="W366" s="35"/>
      <c r="X366" s="32"/>
    </row>
    <row r="367" spans="1:24" ht="15.75" customHeight="1" x14ac:dyDescent="0.3">
      <c r="A367" s="3"/>
      <c r="B367" s="3"/>
      <c r="C367" s="28"/>
      <c r="D367" s="28"/>
      <c r="E367" s="28"/>
      <c r="F367" s="28"/>
      <c r="G367" s="112"/>
      <c r="H367" s="28"/>
      <c r="I367" s="28"/>
      <c r="J367" s="28"/>
      <c r="K367" s="28"/>
      <c r="L367" s="28"/>
      <c r="M367" s="28"/>
      <c r="N367" s="28"/>
      <c r="O367" s="28"/>
      <c r="P367" s="28"/>
      <c r="Q367" s="28"/>
      <c r="R367" s="28"/>
      <c r="S367" s="28"/>
      <c r="T367" s="28"/>
      <c r="U367" s="28"/>
      <c r="V367" s="28"/>
      <c r="W367" s="35"/>
      <c r="X367" s="32"/>
    </row>
    <row r="368" spans="1:24" ht="15.75" customHeight="1" x14ac:dyDescent="0.3">
      <c r="A368" s="3"/>
      <c r="B368" s="3"/>
      <c r="C368" s="28"/>
      <c r="D368" s="28"/>
      <c r="E368" s="28"/>
      <c r="F368" s="28"/>
      <c r="G368" s="112"/>
      <c r="H368" s="28"/>
      <c r="I368" s="28"/>
      <c r="J368" s="28"/>
      <c r="K368" s="28"/>
      <c r="L368" s="28"/>
      <c r="M368" s="28"/>
      <c r="N368" s="28"/>
      <c r="O368" s="28"/>
      <c r="P368" s="28"/>
      <c r="Q368" s="28"/>
      <c r="R368" s="28"/>
      <c r="S368" s="28"/>
      <c r="T368" s="28"/>
      <c r="U368" s="28"/>
      <c r="V368" s="28"/>
      <c r="W368" s="35"/>
      <c r="X368" s="32"/>
    </row>
    <row r="369" spans="1:24" ht="15.75" customHeight="1" x14ac:dyDescent="0.3">
      <c r="A369" s="3"/>
      <c r="B369" s="3"/>
      <c r="C369" s="28"/>
      <c r="D369" s="28"/>
      <c r="E369" s="28"/>
      <c r="F369" s="28"/>
      <c r="G369" s="112"/>
      <c r="H369" s="28"/>
      <c r="I369" s="28"/>
      <c r="J369" s="28"/>
      <c r="K369" s="28"/>
      <c r="L369" s="28"/>
      <c r="M369" s="28"/>
      <c r="N369" s="28"/>
      <c r="O369" s="28"/>
      <c r="P369" s="28"/>
      <c r="Q369" s="28"/>
      <c r="R369" s="28"/>
      <c r="S369" s="28"/>
      <c r="T369" s="28"/>
      <c r="U369" s="28"/>
      <c r="V369" s="28"/>
      <c r="W369" s="35"/>
      <c r="X369" s="32"/>
    </row>
    <row r="370" spans="1:24" ht="15.75" customHeight="1" x14ac:dyDescent="0.3">
      <c r="A370" s="3"/>
      <c r="B370" s="3"/>
      <c r="C370" s="28"/>
      <c r="D370" s="28"/>
      <c r="E370" s="28"/>
      <c r="F370" s="28"/>
      <c r="G370" s="112"/>
      <c r="H370" s="28"/>
      <c r="I370" s="28"/>
      <c r="J370" s="28"/>
      <c r="K370" s="28"/>
      <c r="L370" s="28"/>
      <c r="M370" s="28"/>
      <c r="N370" s="28"/>
      <c r="O370" s="28"/>
      <c r="P370" s="28"/>
      <c r="Q370" s="28"/>
      <c r="R370" s="28"/>
      <c r="S370" s="28"/>
      <c r="T370" s="28"/>
      <c r="U370" s="28"/>
      <c r="V370" s="28"/>
      <c r="W370" s="35"/>
      <c r="X370" s="32"/>
    </row>
    <row r="371" spans="1:24" ht="15.75" customHeight="1" x14ac:dyDescent="0.3">
      <c r="A371" s="3"/>
      <c r="B371" s="3"/>
      <c r="C371" s="28"/>
      <c r="D371" s="28"/>
      <c r="E371" s="28"/>
      <c r="F371" s="28"/>
      <c r="G371" s="112"/>
      <c r="H371" s="28"/>
      <c r="I371" s="28"/>
      <c r="J371" s="28"/>
      <c r="K371" s="28"/>
      <c r="L371" s="28"/>
      <c r="M371" s="28"/>
      <c r="N371" s="28"/>
      <c r="O371" s="28"/>
      <c r="P371" s="28"/>
      <c r="Q371" s="28"/>
      <c r="R371" s="28"/>
      <c r="S371" s="28"/>
      <c r="T371" s="28"/>
      <c r="U371" s="28"/>
      <c r="V371" s="28"/>
      <c r="W371" s="35"/>
      <c r="X371" s="32"/>
    </row>
    <row r="372" spans="1:24" ht="15.75" customHeight="1" x14ac:dyDescent="0.3">
      <c r="A372" s="3"/>
      <c r="B372" s="3"/>
      <c r="C372" s="28"/>
      <c r="D372" s="28"/>
      <c r="E372" s="28"/>
      <c r="F372" s="28"/>
      <c r="G372" s="112"/>
      <c r="H372" s="28"/>
      <c r="I372" s="28"/>
      <c r="J372" s="28"/>
      <c r="K372" s="28"/>
      <c r="L372" s="28"/>
      <c r="M372" s="28"/>
      <c r="N372" s="28"/>
      <c r="O372" s="28"/>
      <c r="P372" s="28"/>
      <c r="Q372" s="28"/>
      <c r="R372" s="28"/>
      <c r="S372" s="28"/>
      <c r="T372" s="28"/>
      <c r="U372" s="28"/>
      <c r="V372" s="28"/>
      <c r="W372" s="35"/>
      <c r="X372" s="32"/>
    </row>
    <row r="373" spans="1:24" ht="15.75" customHeight="1" x14ac:dyDescent="0.3">
      <c r="A373" s="3"/>
      <c r="B373" s="3"/>
      <c r="C373" s="28"/>
      <c r="D373" s="28"/>
      <c r="E373" s="28"/>
      <c r="F373" s="28"/>
      <c r="G373" s="112"/>
      <c r="H373" s="28"/>
      <c r="I373" s="28"/>
      <c r="J373" s="28"/>
      <c r="K373" s="28"/>
      <c r="L373" s="28"/>
      <c r="M373" s="28"/>
      <c r="N373" s="28"/>
      <c r="O373" s="28"/>
      <c r="P373" s="28"/>
      <c r="Q373" s="28"/>
      <c r="R373" s="28"/>
      <c r="S373" s="28"/>
      <c r="T373" s="28"/>
      <c r="U373" s="28"/>
      <c r="V373" s="28"/>
      <c r="W373" s="35"/>
      <c r="X373" s="32"/>
    </row>
    <row r="374" spans="1:24" ht="15.75" customHeight="1" x14ac:dyDescent="0.3">
      <c r="A374" s="3"/>
      <c r="B374" s="3"/>
      <c r="C374" s="28"/>
      <c r="D374" s="28"/>
      <c r="E374" s="28"/>
      <c r="F374" s="28"/>
      <c r="G374" s="112"/>
      <c r="H374" s="28"/>
      <c r="I374" s="28"/>
      <c r="J374" s="28"/>
      <c r="K374" s="28"/>
      <c r="L374" s="28"/>
      <c r="M374" s="28"/>
      <c r="N374" s="28"/>
      <c r="O374" s="28"/>
      <c r="P374" s="28"/>
      <c r="Q374" s="28"/>
      <c r="R374" s="28"/>
      <c r="S374" s="28"/>
      <c r="T374" s="28"/>
      <c r="U374" s="28"/>
      <c r="V374" s="28"/>
      <c r="W374" s="35"/>
      <c r="X374" s="32"/>
    </row>
    <row r="375" spans="1:24" ht="15.75" customHeight="1" x14ac:dyDescent="0.3">
      <c r="A375" s="3"/>
      <c r="B375" s="3"/>
      <c r="C375" s="28"/>
      <c r="D375" s="28"/>
      <c r="E375" s="28"/>
      <c r="F375" s="28"/>
      <c r="G375" s="112"/>
      <c r="H375" s="28"/>
      <c r="I375" s="28"/>
      <c r="J375" s="28"/>
      <c r="K375" s="28"/>
      <c r="L375" s="28"/>
      <c r="M375" s="28"/>
      <c r="N375" s="28"/>
      <c r="O375" s="28"/>
      <c r="P375" s="28"/>
      <c r="Q375" s="28"/>
      <c r="R375" s="28"/>
      <c r="S375" s="28"/>
      <c r="T375" s="28"/>
      <c r="U375" s="28"/>
      <c r="V375" s="28"/>
      <c r="W375" s="35"/>
      <c r="X375" s="32"/>
    </row>
    <row r="376" spans="1:24" ht="15.75" customHeight="1" x14ac:dyDescent="0.3">
      <c r="A376" s="3"/>
      <c r="B376" s="3"/>
      <c r="C376" s="28"/>
      <c r="D376" s="28"/>
      <c r="E376" s="28"/>
      <c r="F376" s="28"/>
      <c r="G376" s="112"/>
      <c r="H376" s="28"/>
      <c r="I376" s="28"/>
      <c r="J376" s="28"/>
      <c r="K376" s="28"/>
      <c r="L376" s="28"/>
      <c r="M376" s="28"/>
      <c r="N376" s="28"/>
      <c r="O376" s="28"/>
      <c r="P376" s="28"/>
      <c r="Q376" s="28"/>
      <c r="R376" s="28"/>
      <c r="S376" s="28"/>
      <c r="T376" s="28"/>
      <c r="U376" s="28"/>
      <c r="V376" s="28"/>
      <c r="W376" s="35"/>
      <c r="X376" s="32"/>
    </row>
    <row r="377" spans="1:24" ht="15.75" customHeight="1" x14ac:dyDescent="0.3">
      <c r="A377" s="3"/>
      <c r="B377" s="3"/>
      <c r="C377" s="28"/>
      <c r="D377" s="28"/>
      <c r="E377" s="28"/>
      <c r="F377" s="28"/>
      <c r="G377" s="112"/>
      <c r="H377" s="28"/>
      <c r="I377" s="28"/>
      <c r="J377" s="28"/>
      <c r="K377" s="28"/>
      <c r="L377" s="28"/>
      <c r="M377" s="28"/>
      <c r="N377" s="28"/>
      <c r="O377" s="28"/>
      <c r="P377" s="28"/>
      <c r="Q377" s="28"/>
      <c r="R377" s="28"/>
      <c r="S377" s="28"/>
      <c r="T377" s="28"/>
      <c r="U377" s="28"/>
      <c r="V377" s="28"/>
      <c r="W377" s="35"/>
      <c r="X377" s="32"/>
    </row>
    <row r="378" spans="1:24" ht="15.75" customHeight="1" x14ac:dyDescent="0.3">
      <c r="A378" s="3"/>
      <c r="B378" s="3"/>
      <c r="C378" s="28"/>
      <c r="D378" s="28"/>
      <c r="E378" s="28"/>
      <c r="F378" s="28"/>
      <c r="G378" s="112"/>
      <c r="H378" s="28"/>
      <c r="I378" s="28"/>
      <c r="J378" s="28"/>
      <c r="K378" s="28"/>
      <c r="L378" s="28"/>
      <c r="M378" s="28"/>
      <c r="N378" s="28"/>
      <c r="O378" s="28"/>
      <c r="P378" s="28"/>
      <c r="Q378" s="28"/>
      <c r="R378" s="28"/>
      <c r="S378" s="28"/>
      <c r="T378" s="28"/>
      <c r="U378" s="28"/>
      <c r="V378" s="28"/>
      <c r="W378" s="35"/>
      <c r="X378" s="32"/>
    </row>
    <row r="379" spans="1:24" ht="15.75" customHeight="1" x14ac:dyDescent="0.3">
      <c r="A379" s="3"/>
      <c r="B379" s="3"/>
      <c r="C379" s="28"/>
      <c r="D379" s="28"/>
      <c r="E379" s="28"/>
      <c r="F379" s="28"/>
      <c r="G379" s="112"/>
      <c r="H379" s="28"/>
      <c r="I379" s="28"/>
      <c r="J379" s="28"/>
      <c r="K379" s="28"/>
      <c r="L379" s="28"/>
      <c r="M379" s="28"/>
      <c r="N379" s="28"/>
      <c r="O379" s="28"/>
      <c r="P379" s="28"/>
      <c r="Q379" s="28"/>
      <c r="R379" s="28"/>
      <c r="S379" s="28"/>
      <c r="T379" s="28"/>
      <c r="U379" s="28"/>
      <c r="V379" s="28"/>
      <c r="W379" s="35"/>
      <c r="X379" s="32"/>
    </row>
    <row r="380" spans="1:24" ht="15.75" customHeight="1" x14ac:dyDescent="0.3">
      <c r="A380" s="3"/>
      <c r="B380" s="3"/>
      <c r="C380" s="28"/>
      <c r="D380" s="28"/>
      <c r="E380" s="28"/>
      <c r="F380" s="28"/>
      <c r="G380" s="112"/>
      <c r="H380" s="28"/>
      <c r="I380" s="28"/>
      <c r="J380" s="28"/>
      <c r="K380" s="28"/>
      <c r="L380" s="28"/>
      <c r="M380" s="28"/>
      <c r="N380" s="28"/>
      <c r="O380" s="28"/>
      <c r="P380" s="28"/>
      <c r="Q380" s="28"/>
      <c r="R380" s="28"/>
      <c r="S380" s="28"/>
      <c r="T380" s="28"/>
      <c r="U380" s="28"/>
      <c r="V380" s="28"/>
      <c r="W380" s="35"/>
      <c r="X380" s="32"/>
    </row>
    <row r="381" spans="1:24" ht="15.75" customHeight="1" x14ac:dyDescent="0.3">
      <c r="A381" s="3"/>
      <c r="B381" s="3"/>
      <c r="C381" s="28"/>
      <c r="D381" s="28"/>
      <c r="E381" s="28"/>
      <c r="F381" s="28"/>
      <c r="G381" s="112"/>
      <c r="H381" s="28"/>
      <c r="I381" s="28"/>
      <c r="J381" s="28"/>
      <c r="K381" s="28"/>
      <c r="L381" s="28"/>
      <c r="M381" s="28"/>
      <c r="N381" s="28"/>
      <c r="O381" s="28"/>
      <c r="P381" s="28"/>
      <c r="Q381" s="28"/>
      <c r="R381" s="28"/>
      <c r="S381" s="28"/>
      <c r="T381" s="28"/>
      <c r="U381" s="28"/>
      <c r="V381" s="28"/>
      <c r="W381" s="35"/>
      <c r="X381" s="32"/>
    </row>
    <row r="382" spans="1:24" ht="15.75" customHeight="1" x14ac:dyDescent="0.3">
      <c r="A382" s="3"/>
      <c r="B382" s="3"/>
      <c r="C382" s="28"/>
      <c r="D382" s="28"/>
      <c r="E382" s="28"/>
      <c r="F382" s="28"/>
      <c r="G382" s="112"/>
      <c r="H382" s="28"/>
      <c r="I382" s="28"/>
      <c r="J382" s="28"/>
      <c r="K382" s="28"/>
      <c r="L382" s="28"/>
      <c r="M382" s="28"/>
      <c r="N382" s="28"/>
      <c r="O382" s="28"/>
      <c r="P382" s="28"/>
      <c r="Q382" s="28"/>
      <c r="R382" s="28"/>
      <c r="S382" s="28"/>
      <c r="T382" s="28"/>
      <c r="U382" s="28"/>
      <c r="V382" s="28"/>
      <c r="W382" s="35"/>
      <c r="X382" s="32"/>
    </row>
    <row r="383" spans="1:24" ht="15.75" customHeight="1" x14ac:dyDescent="0.3">
      <c r="A383" s="3"/>
      <c r="B383" s="3"/>
      <c r="C383" s="28"/>
      <c r="D383" s="28"/>
      <c r="E383" s="28"/>
      <c r="F383" s="28"/>
      <c r="G383" s="112"/>
      <c r="H383" s="28"/>
      <c r="I383" s="28"/>
      <c r="J383" s="28"/>
      <c r="K383" s="28"/>
      <c r="L383" s="28"/>
      <c r="M383" s="28"/>
      <c r="N383" s="28"/>
      <c r="O383" s="28"/>
      <c r="P383" s="28"/>
      <c r="Q383" s="28"/>
      <c r="R383" s="28"/>
      <c r="S383" s="28"/>
      <c r="T383" s="28"/>
      <c r="U383" s="28"/>
      <c r="V383" s="28"/>
      <c r="W383" s="35"/>
      <c r="X383" s="32"/>
    </row>
    <row r="384" spans="1:24" ht="15.75" customHeight="1" x14ac:dyDescent="0.3">
      <c r="A384" s="3"/>
      <c r="B384" s="3"/>
      <c r="C384" s="28"/>
      <c r="D384" s="28"/>
      <c r="E384" s="28"/>
      <c r="F384" s="28"/>
      <c r="G384" s="112"/>
      <c r="H384" s="28"/>
      <c r="I384" s="28"/>
      <c r="J384" s="28"/>
      <c r="K384" s="28"/>
      <c r="L384" s="28"/>
      <c r="M384" s="28"/>
      <c r="N384" s="28"/>
      <c r="O384" s="28"/>
      <c r="P384" s="28"/>
      <c r="Q384" s="28"/>
      <c r="R384" s="28"/>
      <c r="S384" s="28"/>
      <c r="T384" s="28"/>
      <c r="U384" s="28"/>
      <c r="V384" s="28"/>
      <c r="W384" s="35"/>
      <c r="X384" s="32"/>
    </row>
    <row r="385" spans="1:24" ht="15.75" customHeight="1" x14ac:dyDescent="0.3">
      <c r="A385" s="3"/>
      <c r="B385" s="3"/>
      <c r="C385" s="28"/>
      <c r="D385" s="28"/>
      <c r="E385" s="28"/>
      <c r="F385" s="28"/>
      <c r="G385" s="112"/>
      <c r="H385" s="28"/>
      <c r="I385" s="28"/>
      <c r="J385" s="28"/>
      <c r="K385" s="28"/>
      <c r="L385" s="28"/>
      <c r="M385" s="28"/>
      <c r="N385" s="28"/>
      <c r="O385" s="28"/>
      <c r="P385" s="28"/>
      <c r="Q385" s="28"/>
      <c r="R385" s="28"/>
      <c r="S385" s="28"/>
      <c r="T385" s="28"/>
      <c r="U385" s="28"/>
      <c r="V385" s="28"/>
      <c r="W385" s="35"/>
      <c r="X385" s="32"/>
    </row>
    <row r="386" spans="1:24" ht="15.75" customHeight="1" x14ac:dyDescent="0.3">
      <c r="A386" s="3"/>
      <c r="B386" s="3"/>
      <c r="C386" s="28"/>
      <c r="D386" s="28"/>
      <c r="E386" s="28"/>
      <c r="F386" s="28"/>
      <c r="G386" s="112"/>
      <c r="H386" s="28"/>
      <c r="I386" s="28"/>
      <c r="J386" s="28"/>
      <c r="K386" s="28"/>
      <c r="L386" s="28"/>
      <c r="M386" s="28"/>
      <c r="N386" s="28"/>
      <c r="O386" s="28"/>
      <c r="P386" s="28"/>
      <c r="Q386" s="28"/>
      <c r="R386" s="28"/>
      <c r="S386" s="28"/>
      <c r="T386" s="28"/>
      <c r="U386" s="28"/>
      <c r="V386" s="28"/>
      <c r="W386" s="35"/>
      <c r="X386" s="32"/>
    </row>
    <row r="387" spans="1:24" ht="15.75" customHeight="1" x14ac:dyDescent="0.3">
      <c r="A387" s="3"/>
      <c r="B387" s="3"/>
      <c r="C387" s="28"/>
      <c r="D387" s="28"/>
      <c r="E387" s="28"/>
      <c r="F387" s="28"/>
      <c r="G387" s="112"/>
      <c r="H387" s="28"/>
      <c r="I387" s="28"/>
      <c r="J387" s="28"/>
      <c r="K387" s="28"/>
      <c r="L387" s="28"/>
      <c r="M387" s="28"/>
      <c r="N387" s="28"/>
      <c r="O387" s="28"/>
      <c r="P387" s="28"/>
      <c r="Q387" s="28"/>
      <c r="R387" s="28"/>
      <c r="S387" s="28"/>
      <c r="T387" s="28"/>
      <c r="U387" s="28"/>
      <c r="V387" s="28"/>
      <c r="W387" s="35"/>
      <c r="X387" s="32"/>
    </row>
    <row r="388" spans="1:24" ht="15.75" customHeight="1" x14ac:dyDescent="0.3">
      <c r="A388" s="3"/>
      <c r="B388" s="3"/>
      <c r="C388" s="28"/>
      <c r="D388" s="28"/>
      <c r="E388" s="28"/>
      <c r="F388" s="28"/>
      <c r="G388" s="112"/>
      <c r="H388" s="28"/>
      <c r="I388" s="28"/>
      <c r="J388" s="28"/>
      <c r="K388" s="28"/>
      <c r="L388" s="28"/>
      <c r="M388" s="28"/>
      <c r="N388" s="28"/>
      <c r="O388" s="28"/>
      <c r="P388" s="28"/>
      <c r="Q388" s="28"/>
      <c r="R388" s="28"/>
      <c r="S388" s="28"/>
      <c r="T388" s="28"/>
      <c r="U388" s="28"/>
      <c r="V388" s="28"/>
      <c r="W388" s="35"/>
      <c r="X388" s="32"/>
    </row>
    <row r="389" spans="1:24" ht="15.75" customHeight="1" x14ac:dyDescent="0.3">
      <c r="A389" s="3"/>
      <c r="B389" s="3"/>
      <c r="C389" s="28"/>
      <c r="D389" s="28"/>
      <c r="E389" s="28"/>
      <c r="F389" s="28"/>
      <c r="G389" s="112"/>
      <c r="H389" s="28"/>
      <c r="I389" s="28"/>
      <c r="J389" s="28"/>
      <c r="K389" s="28"/>
      <c r="L389" s="28"/>
      <c r="M389" s="28"/>
      <c r="N389" s="28"/>
      <c r="O389" s="28"/>
      <c r="P389" s="28"/>
      <c r="Q389" s="28"/>
      <c r="R389" s="28"/>
      <c r="S389" s="28"/>
      <c r="T389" s="28"/>
      <c r="U389" s="28"/>
      <c r="V389" s="28"/>
      <c r="W389" s="35"/>
      <c r="X389" s="32"/>
    </row>
    <row r="390" spans="1:24" ht="15.75" customHeight="1" x14ac:dyDescent="0.3">
      <c r="A390" s="3"/>
      <c r="B390" s="3"/>
      <c r="C390" s="28"/>
      <c r="D390" s="28"/>
      <c r="E390" s="28"/>
      <c r="F390" s="28"/>
      <c r="G390" s="112"/>
      <c r="H390" s="28"/>
      <c r="I390" s="28"/>
      <c r="J390" s="28"/>
      <c r="K390" s="28"/>
      <c r="L390" s="28"/>
      <c r="M390" s="28"/>
      <c r="N390" s="28"/>
      <c r="O390" s="28"/>
      <c r="P390" s="28"/>
      <c r="Q390" s="28"/>
      <c r="R390" s="28"/>
      <c r="S390" s="28"/>
      <c r="T390" s="28"/>
      <c r="U390" s="28"/>
      <c r="V390" s="28"/>
      <c r="W390" s="35"/>
      <c r="X390" s="32"/>
    </row>
    <row r="391" spans="1:24" ht="15.75" customHeight="1" x14ac:dyDescent="0.3">
      <c r="A391" s="3"/>
      <c r="B391" s="3"/>
      <c r="C391" s="28"/>
      <c r="D391" s="28"/>
      <c r="E391" s="28"/>
      <c r="F391" s="28"/>
      <c r="G391" s="112"/>
      <c r="H391" s="28"/>
      <c r="I391" s="28"/>
      <c r="J391" s="28"/>
      <c r="K391" s="28"/>
      <c r="L391" s="28"/>
      <c r="M391" s="28"/>
      <c r="N391" s="28"/>
      <c r="O391" s="28"/>
      <c r="P391" s="28"/>
      <c r="Q391" s="28"/>
      <c r="R391" s="28"/>
      <c r="S391" s="28"/>
      <c r="T391" s="28"/>
      <c r="U391" s="28"/>
      <c r="V391" s="28"/>
      <c r="W391" s="35"/>
      <c r="X391" s="32"/>
    </row>
    <row r="392" spans="1:24" ht="15.75" customHeight="1" x14ac:dyDescent="0.3">
      <c r="A392" s="3"/>
      <c r="B392" s="3"/>
      <c r="C392" s="28"/>
      <c r="D392" s="28"/>
      <c r="E392" s="28"/>
      <c r="F392" s="28"/>
      <c r="G392" s="112"/>
      <c r="H392" s="28"/>
      <c r="I392" s="28"/>
      <c r="J392" s="28"/>
      <c r="K392" s="28"/>
      <c r="L392" s="28"/>
      <c r="M392" s="28"/>
      <c r="N392" s="28"/>
      <c r="O392" s="28"/>
      <c r="P392" s="28"/>
      <c r="Q392" s="28"/>
      <c r="R392" s="28"/>
      <c r="S392" s="28"/>
      <c r="T392" s="28"/>
      <c r="U392" s="28"/>
      <c r="V392" s="28"/>
      <c r="W392" s="35"/>
      <c r="X392" s="32"/>
    </row>
    <row r="393" spans="1:24" ht="15.75" customHeight="1" x14ac:dyDescent="0.3">
      <c r="A393" s="3"/>
      <c r="B393" s="3"/>
      <c r="C393" s="28"/>
      <c r="D393" s="28"/>
      <c r="E393" s="28"/>
      <c r="F393" s="28"/>
      <c r="G393" s="112"/>
      <c r="H393" s="28"/>
      <c r="I393" s="28"/>
      <c r="J393" s="28"/>
      <c r="K393" s="28"/>
      <c r="L393" s="28"/>
      <c r="M393" s="28"/>
      <c r="N393" s="28"/>
      <c r="O393" s="28"/>
      <c r="P393" s="28"/>
      <c r="Q393" s="28"/>
      <c r="R393" s="28"/>
      <c r="S393" s="28"/>
      <c r="T393" s="28"/>
      <c r="U393" s="28"/>
      <c r="V393" s="28"/>
      <c r="W393" s="35"/>
      <c r="X393" s="32"/>
    </row>
    <row r="394" spans="1:24" ht="15.75" customHeight="1" x14ac:dyDescent="0.3">
      <c r="A394" s="3"/>
      <c r="B394" s="3"/>
      <c r="C394" s="28"/>
      <c r="D394" s="28"/>
      <c r="E394" s="28"/>
      <c r="F394" s="28"/>
      <c r="G394" s="112"/>
      <c r="H394" s="28"/>
      <c r="I394" s="28"/>
      <c r="J394" s="28"/>
      <c r="K394" s="28"/>
      <c r="L394" s="28"/>
      <c r="M394" s="28"/>
      <c r="N394" s="28"/>
      <c r="O394" s="28"/>
      <c r="P394" s="28"/>
      <c r="Q394" s="28"/>
      <c r="R394" s="28"/>
      <c r="S394" s="28"/>
      <c r="T394" s="28"/>
      <c r="U394" s="28"/>
      <c r="V394" s="28"/>
      <c r="W394" s="35"/>
      <c r="X394" s="32"/>
    </row>
    <row r="395" spans="1:24" ht="15.75" customHeight="1" x14ac:dyDescent="0.3"/>
    <row r="396" spans="1:24" ht="15.75" customHeight="1" x14ac:dyDescent="0.3"/>
    <row r="397" spans="1:24" ht="15.75" customHeight="1" x14ac:dyDescent="0.3"/>
    <row r="398" spans="1:24" ht="15.75" customHeight="1" x14ac:dyDescent="0.3"/>
    <row r="399" spans="1:24" ht="15.75" customHeight="1" x14ac:dyDescent="0.3"/>
    <row r="400" spans="1:24"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C5:F194" xr:uid="{00000000-0009-0000-0000-00001C000000}"/>
  <mergeCells count="4">
    <mergeCell ref="B2:B3"/>
    <mergeCell ref="B4:B5"/>
    <mergeCell ref="H4:H5"/>
    <mergeCell ref="I4:I5"/>
  </mergeCells>
  <conditionalFormatting sqref="W6:W124">
    <cfRule type="cellIs" dxfId="7" priority="1" operator="equal">
      <formula>"Diferente"</formula>
    </cfRule>
    <cfRule type="cellIs" dxfId="6" priority="2" operator="equal">
      <formula>"OK"</formula>
    </cfRule>
  </conditionalFormatting>
  <dataValidations count="1">
    <dataValidation type="list" allowBlank="1" showErrorMessage="1" sqref="D7:D124 D127:D128 D130:D132 D134:D137 D139:D144 D146:D152 D155:D158 D160:D163 D165:D167 D169:D182 D184:D186 D188:D194" xr:uid="{00000000-0002-0000-1C00-000002000000}">
      <formula1>"OK,Parcial,Pendente"</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1C00-000000000000}">
          <x14:formula1>
            <xm:f>Caixa!$B$5:$B$9</xm:f>
          </x14:formula1>
          <xm:sqref>H7:H124 H127:H128 H130:H132 H134:H137 H139:H144 H146:H152 H155:H158 H160:H163 H165:H167 H169:H182 H184:H186 H188:H194</xm:sqref>
        </x14:dataValidation>
        <x14:dataValidation type="list" allowBlank="1" showErrorMessage="1" xr:uid="{00000000-0002-0000-1C00-000001000000}">
          <x14:formula1>
            <xm:f>'Plano de contas DG'!$C$5:$C$38</xm:f>
          </x14:formula1>
          <xm:sqref>I6:I194</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filterMode="1">
    <tabColor theme="5"/>
  </sheetPr>
  <dimension ref="A1:Z1002"/>
  <sheetViews>
    <sheetView showGridLines="0" workbookViewId="0">
      <pane xSplit="2" ySplit="5" topLeftCell="C6" activePane="bottomRight" state="frozen"/>
      <selection activeCell="E16" sqref="E16"/>
      <selection pane="topRight" activeCell="E16" sqref="E16"/>
      <selection pane="bottomLeft" activeCell="E16" sqref="E16"/>
      <selection pane="bottomRight" activeCell="E16" sqref="E16"/>
    </sheetView>
  </sheetViews>
  <sheetFormatPr defaultColWidth="14.44140625" defaultRowHeight="15" customHeight="1" outlineLevelRow="1" x14ac:dyDescent="0.3"/>
  <cols>
    <col min="1" max="1" width="0.44140625" customWidth="1"/>
    <col min="2" max="2" width="40" customWidth="1"/>
    <col min="3" max="4" width="10.109375" customWidth="1"/>
    <col min="5" max="6" width="14.109375" customWidth="1"/>
    <col min="7" max="7" width="67" customWidth="1"/>
    <col min="8" max="8" width="18.88671875" customWidth="1"/>
    <col min="9" max="9" width="86.33203125" customWidth="1"/>
    <col min="10" max="10" width="20.6640625" hidden="1" customWidth="1"/>
    <col min="11" max="19" width="14.109375" customWidth="1"/>
    <col min="20" max="20" width="34" customWidth="1"/>
    <col min="21" max="21" width="2.5546875" customWidth="1"/>
    <col min="22" max="22" width="12.6640625" customWidth="1"/>
    <col min="23" max="26" width="8.6640625" customWidth="1"/>
  </cols>
  <sheetData>
    <row r="1" spans="1:26" ht="2.25" customHeight="1" x14ac:dyDescent="0.3">
      <c r="A1" s="29"/>
      <c r="B1" s="29"/>
      <c r="C1" s="30"/>
      <c r="D1" s="30"/>
      <c r="E1" s="30"/>
      <c r="F1" s="30"/>
      <c r="G1" s="72"/>
      <c r="H1" s="72"/>
      <c r="I1" s="72"/>
      <c r="J1" s="72"/>
      <c r="K1" s="30"/>
      <c r="L1" s="30"/>
      <c r="M1" s="30"/>
      <c r="N1" s="30"/>
      <c r="O1" s="30"/>
      <c r="P1" s="30"/>
      <c r="Q1" s="30"/>
      <c r="R1" s="30"/>
      <c r="S1" s="30"/>
      <c r="T1" s="30"/>
      <c r="U1" s="29"/>
      <c r="V1" s="29"/>
      <c r="W1" s="29"/>
      <c r="X1" s="29"/>
      <c r="Y1" s="29"/>
      <c r="Z1" s="29"/>
    </row>
    <row r="2" spans="1:26" ht="14.25" customHeight="1" x14ac:dyDescent="0.3">
      <c r="A2" s="3"/>
      <c r="B2" s="231" t="s">
        <v>270</v>
      </c>
      <c r="C2" s="232"/>
      <c r="D2" s="206"/>
      <c r="E2" s="206"/>
      <c r="F2" s="207"/>
      <c r="G2" s="73"/>
      <c r="H2" s="73"/>
      <c r="I2" s="74"/>
      <c r="J2" s="73"/>
      <c r="K2" s="28"/>
      <c r="L2" s="28"/>
      <c r="M2" s="28"/>
      <c r="N2" s="28"/>
      <c r="O2" s="28"/>
      <c r="P2" s="28"/>
      <c r="Q2" s="28"/>
      <c r="R2" s="28"/>
      <c r="S2" s="28"/>
      <c r="T2" s="28"/>
      <c r="U2" s="3"/>
    </row>
    <row r="3" spans="1:26" ht="14.25" customHeight="1" x14ac:dyDescent="0.3">
      <c r="A3" s="3"/>
      <c r="B3" s="202"/>
      <c r="C3" s="233"/>
      <c r="D3" s="234"/>
      <c r="E3" s="234"/>
      <c r="F3" s="235"/>
      <c r="G3" s="73"/>
      <c r="H3" s="73"/>
      <c r="I3" s="74"/>
      <c r="J3" s="73"/>
      <c r="K3" s="28"/>
      <c r="L3" s="28"/>
      <c r="M3" s="28"/>
      <c r="N3" s="28"/>
      <c r="O3" s="28"/>
      <c r="P3" s="28"/>
      <c r="Q3" s="28"/>
      <c r="R3" s="28"/>
      <c r="S3" s="28"/>
      <c r="T3" s="28"/>
      <c r="U3" s="3"/>
    </row>
    <row r="4" spans="1:26" ht="14.25" customHeight="1" x14ac:dyDescent="0.3">
      <c r="A4" s="3"/>
      <c r="B4" s="220" t="s">
        <v>74</v>
      </c>
      <c r="C4" s="39" t="s">
        <v>44</v>
      </c>
      <c r="D4" s="39" t="s">
        <v>44</v>
      </c>
      <c r="E4" s="18">
        <f>SUBTOTAL(9,E16,E63,E38,E154,E182,E188,E90,E6,E34,E267,E329,E217,E227,E237,E247,E257,E116)</f>
        <v>0</v>
      </c>
      <c r="F4" s="18">
        <f>SUBTOTAL(9,F16,F63,F38,F144,F154,F182,F188,F90,F6,F34,F267,F329,F217,F227,F237,F247,F257,F116)</f>
        <v>54552.369999999995</v>
      </c>
      <c r="G4" s="39" t="s">
        <v>44</v>
      </c>
      <c r="H4" s="230" t="s">
        <v>1</v>
      </c>
      <c r="I4" s="236" t="s">
        <v>271</v>
      </c>
      <c r="J4" s="230" t="s">
        <v>75</v>
      </c>
      <c r="K4" s="28"/>
      <c r="L4" s="28"/>
      <c r="M4" s="28"/>
      <c r="N4" s="28"/>
      <c r="O4" s="28"/>
      <c r="P4" s="28"/>
      <c r="Q4" s="28"/>
      <c r="R4" s="28"/>
      <c r="S4" s="28"/>
      <c r="T4" s="28"/>
      <c r="U4" s="3"/>
      <c r="W4" s="3"/>
      <c r="X4" s="3"/>
      <c r="Y4" s="3"/>
      <c r="Z4" s="3"/>
    </row>
    <row r="5" spans="1:26" ht="14.25" customHeight="1" x14ac:dyDescent="0.3">
      <c r="A5" s="3"/>
      <c r="B5" s="221"/>
      <c r="C5" s="43" t="s">
        <v>76</v>
      </c>
      <c r="D5" s="43" t="s">
        <v>77</v>
      </c>
      <c r="E5" s="44" t="s">
        <v>78</v>
      </c>
      <c r="F5" s="44" t="s">
        <v>272</v>
      </c>
      <c r="G5" s="43" t="s">
        <v>80</v>
      </c>
      <c r="H5" s="221"/>
      <c r="I5" s="221"/>
      <c r="J5" s="221"/>
      <c r="K5" s="28"/>
      <c r="L5" s="28"/>
      <c r="M5" s="28"/>
      <c r="N5" s="28"/>
      <c r="O5" s="28"/>
      <c r="P5" s="28"/>
      <c r="Q5" s="28"/>
      <c r="R5" s="28"/>
      <c r="S5" s="28"/>
      <c r="T5" s="28"/>
      <c r="U5" s="3"/>
      <c r="V5" s="3"/>
      <c r="W5" s="3"/>
      <c r="X5" s="3"/>
      <c r="Y5" s="3"/>
      <c r="Z5" s="3"/>
    </row>
    <row r="6" spans="1:26" ht="20.399999999999999" x14ac:dyDescent="0.3">
      <c r="A6" s="3"/>
      <c r="B6" s="75" t="s">
        <v>273</v>
      </c>
      <c r="C6" s="76" t="s">
        <v>44</v>
      </c>
      <c r="D6" s="76" t="s">
        <v>44</v>
      </c>
      <c r="E6" s="77">
        <f>SUM(E7:E15)</f>
        <v>0</v>
      </c>
      <c r="F6" s="77">
        <f>SUMIF(D7:D15,"OK",F7:F15)</f>
        <v>1412.0400000000002</v>
      </c>
      <c r="G6" s="78"/>
      <c r="H6" s="78"/>
      <c r="I6" s="79"/>
      <c r="J6" s="78"/>
      <c r="K6" s="28"/>
      <c r="L6" s="28"/>
      <c r="M6" s="28"/>
      <c r="N6" s="28"/>
      <c r="O6" s="28"/>
      <c r="P6" s="28"/>
      <c r="Q6" s="28"/>
      <c r="R6" s="28"/>
      <c r="S6" s="28"/>
      <c r="T6" s="28"/>
      <c r="U6" s="3"/>
      <c r="W6" s="3"/>
      <c r="X6" s="3"/>
      <c r="Y6" s="3"/>
      <c r="Z6" s="3"/>
    </row>
    <row r="7" spans="1:26" ht="14.4" outlineLevel="1" x14ac:dyDescent="0.3">
      <c r="A7" s="3"/>
      <c r="B7" s="9" t="s">
        <v>274</v>
      </c>
      <c r="C7" s="53">
        <v>1</v>
      </c>
      <c r="D7" s="53" t="s">
        <v>95</v>
      </c>
      <c r="E7" s="11">
        <v>0</v>
      </c>
      <c r="F7" s="11">
        <v>557.34</v>
      </c>
      <c r="G7" s="80"/>
      <c r="H7" s="56" t="s">
        <v>37</v>
      </c>
      <c r="I7" s="102" t="s">
        <v>2102</v>
      </c>
      <c r="J7" s="56"/>
      <c r="K7" s="28"/>
      <c r="L7" s="28"/>
      <c r="M7" s="28"/>
      <c r="N7" s="28"/>
      <c r="O7" s="28"/>
      <c r="P7" s="28"/>
      <c r="Q7" s="28"/>
      <c r="R7" s="28"/>
      <c r="S7" s="28"/>
      <c r="T7" s="28"/>
      <c r="U7" s="3"/>
      <c r="W7" s="3"/>
      <c r="X7" s="3"/>
      <c r="Y7" s="3"/>
      <c r="Z7" s="3"/>
    </row>
    <row r="8" spans="1:26" ht="14.4" outlineLevel="1" x14ac:dyDescent="0.3">
      <c r="A8" s="3"/>
      <c r="B8" s="9" t="s">
        <v>2103</v>
      </c>
      <c r="C8" s="53">
        <v>26</v>
      </c>
      <c r="D8" s="53" t="s">
        <v>95</v>
      </c>
      <c r="E8" s="11">
        <v>0</v>
      </c>
      <c r="F8" s="11">
        <v>433.75</v>
      </c>
      <c r="G8" s="80"/>
      <c r="H8" s="56" t="s">
        <v>37</v>
      </c>
      <c r="I8" s="102" t="s">
        <v>2104</v>
      </c>
      <c r="J8" s="56"/>
      <c r="K8" s="28"/>
      <c r="L8" s="28"/>
      <c r="M8" s="28"/>
      <c r="N8" s="28"/>
      <c r="O8" s="28"/>
      <c r="P8" s="28"/>
      <c r="Q8" s="28"/>
      <c r="R8" s="28"/>
      <c r="S8" s="28"/>
      <c r="T8" s="28"/>
      <c r="U8" s="3"/>
      <c r="W8" s="3"/>
      <c r="X8" s="3"/>
      <c r="Y8" s="3"/>
      <c r="Z8" s="3"/>
    </row>
    <row r="9" spans="1:26" ht="14.4" hidden="1" outlineLevel="1" x14ac:dyDescent="0.3">
      <c r="A9" s="3"/>
      <c r="B9" s="9" t="s">
        <v>281</v>
      </c>
      <c r="C9" s="53"/>
      <c r="D9" s="53"/>
      <c r="E9" s="11">
        <v>0</v>
      </c>
      <c r="F9" s="11">
        <v>0</v>
      </c>
      <c r="G9" s="80"/>
      <c r="H9" s="56"/>
      <c r="I9" s="144"/>
      <c r="J9" s="56"/>
      <c r="K9" s="28"/>
      <c r="L9" s="28"/>
      <c r="M9" s="28"/>
      <c r="N9" s="28"/>
      <c r="O9" s="28"/>
      <c r="P9" s="28"/>
      <c r="Q9" s="28"/>
      <c r="R9" s="28"/>
      <c r="S9" s="28"/>
      <c r="T9" s="28"/>
      <c r="U9" s="3"/>
      <c r="W9" s="3"/>
      <c r="X9" s="3"/>
      <c r="Y9" s="3"/>
      <c r="Z9" s="3"/>
    </row>
    <row r="10" spans="1:26" ht="14.4" outlineLevel="1" x14ac:dyDescent="0.3">
      <c r="A10" s="3"/>
      <c r="B10" s="9" t="s">
        <v>282</v>
      </c>
      <c r="C10" s="53">
        <v>17</v>
      </c>
      <c r="D10" s="53" t="s">
        <v>95</v>
      </c>
      <c r="E10" s="11">
        <v>0</v>
      </c>
      <c r="F10" s="11">
        <v>306.18</v>
      </c>
      <c r="G10" s="80"/>
      <c r="H10" s="56" t="s">
        <v>37</v>
      </c>
      <c r="I10" s="102" t="s">
        <v>2105</v>
      </c>
      <c r="J10" s="80"/>
      <c r="K10" s="28"/>
      <c r="L10" s="28"/>
      <c r="M10" s="28"/>
      <c r="N10" s="28"/>
      <c r="O10" s="28"/>
      <c r="P10" s="28"/>
      <c r="Q10" s="28"/>
      <c r="R10" s="28"/>
      <c r="S10" s="28"/>
      <c r="T10" s="28"/>
      <c r="U10" s="3"/>
      <c r="W10" s="3"/>
      <c r="X10" s="3"/>
      <c r="Y10" s="3"/>
      <c r="Z10" s="3"/>
    </row>
    <row r="11" spans="1:26" ht="14.4" outlineLevel="1" x14ac:dyDescent="0.3">
      <c r="A11" s="3"/>
      <c r="B11" s="9" t="s">
        <v>282</v>
      </c>
      <c r="C11" s="53">
        <v>17</v>
      </c>
      <c r="D11" s="53" t="s">
        <v>95</v>
      </c>
      <c r="E11" s="11">
        <v>0</v>
      </c>
      <c r="F11" s="11">
        <v>69.39</v>
      </c>
      <c r="G11" s="80"/>
      <c r="H11" s="56" t="s">
        <v>37</v>
      </c>
      <c r="I11" s="102" t="s">
        <v>2106</v>
      </c>
      <c r="J11" s="80"/>
      <c r="K11" s="28"/>
      <c r="L11" s="28"/>
      <c r="M11" s="28"/>
      <c r="N11" s="28"/>
      <c r="O11" s="28"/>
      <c r="P11" s="28"/>
      <c r="Q11" s="28"/>
      <c r="R11" s="28"/>
      <c r="S11" s="28"/>
      <c r="T11" s="28"/>
      <c r="U11" s="3"/>
      <c r="W11" s="3"/>
      <c r="X11" s="3"/>
      <c r="Y11" s="3"/>
      <c r="Z11" s="3"/>
    </row>
    <row r="12" spans="1:26" ht="14.4" outlineLevel="1" x14ac:dyDescent="0.3">
      <c r="A12" s="3"/>
      <c r="B12" s="9" t="s">
        <v>282</v>
      </c>
      <c r="C12" s="53">
        <v>18</v>
      </c>
      <c r="D12" s="53" t="s">
        <v>95</v>
      </c>
      <c r="E12" s="11">
        <v>0</v>
      </c>
      <c r="F12" s="11">
        <v>45.38</v>
      </c>
      <c r="G12" s="80"/>
      <c r="H12" s="56" t="s">
        <v>37</v>
      </c>
      <c r="I12" s="102" t="s">
        <v>2107</v>
      </c>
      <c r="J12" s="80"/>
      <c r="K12" s="28"/>
      <c r="L12" s="28"/>
      <c r="M12" s="28"/>
      <c r="N12" s="28"/>
      <c r="O12" s="28"/>
      <c r="P12" s="28"/>
      <c r="Q12" s="28"/>
      <c r="R12" s="28"/>
      <c r="S12" s="28"/>
      <c r="T12" s="28"/>
      <c r="U12" s="3"/>
      <c r="W12" s="3"/>
      <c r="X12" s="3"/>
      <c r="Y12" s="3"/>
      <c r="Z12" s="3"/>
    </row>
    <row r="13" spans="1:26" ht="14.4" hidden="1" outlineLevel="1" x14ac:dyDescent="0.3">
      <c r="A13" s="3"/>
      <c r="B13" s="9" t="s">
        <v>282</v>
      </c>
      <c r="C13" s="53"/>
      <c r="D13" s="53"/>
      <c r="E13" s="11">
        <v>0</v>
      </c>
      <c r="F13" s="11">
        <v>0</v>
      </c>
      <c r="G13" s="80"/>
      <c r="H13" s="56"/>
      <c r="I13" s="144"/>
      <c r="J13" s="80"/>
      <c r="K13" s="28"/>
      <c r="L13" s="28"/>
      <c r="M13" s="28"/>
      <c r="N13" s="28"/>
      <c r="O13" s="28"/>
      <c r="P13" s="28"/>
      <c r="Q13" s="28"/>
      <c r="R13" s="28"/>
      <c r="S13" s="28"/>
      <c r="T13" s="28"/>
      <c r="U13" s="3"/>
      <c r="W13" s="3"/>
      <c r="X13" s="3"/>
      <c r="Y13" s="3"/>
      <c r="Z13" s="3"/>
    </row>
    <row r="14" spans="1:26" ht="14.4" hidden="1" outlineLevel="1" x14ac:dyDescent="0.3">
      <c r="A14" s="3"/>
      <c r="B14" s="9" t="s">
        <v>560</v>
      </c>
      <c r="C14" s="53"/>
      <c r="D14" s="53"/>
      <c r="E14" s="11">
        <v>0</v>
      </c>
      <c r="F14" s="11">
        <v>0</v>
      </c>
      <c r="G14" s="80"/>
      <c r="H14" s="56"/>
      <c r="I14" s="102"/>
      <c r="J14" s="80"/>
      <c r="K14" s="28"/>
      <c r="L14" s="28"/>
      <c r="M14" s="28"/>
      <c r="N14" s="28"/>
      <c r="O14" s="28"/>
      <c r="P14" s="28"/>
      <c r="Q14" s="28"/>
      <c r="R14" s="28"/>
      <c r="S14" s="28"/>
      <c r="T14" s="28"/>
      <c r="U14" s="3"/>
      <c r="W14" s="3"/>
      <c r="X14" s="3"/>
      <c r="Y14" s="3"/>
      <c r="Z14" s="3"/>
    </row>
    <row r="15" spans="1:26" ht="14.4" hidden="1" outlineLevel="1" x14ac:dyDescent="0.3">
      <c r="A15" s="3"/>
      <c r="B15" s="9" t="s">
        <v>66</v>
      </c>
      <c r="C15" s="53"/>
      <c r="D15" s="53"/>
      <c r="E15" s="11">
        <v>0</v>
      </c>
      <c r="F15" s="11">
        <v>0</v>
      </c>
      <c r="G15" s="80"/>
      <c r="H15" s="56"/>
      <c r="I15" s="102"/>
      <c r="J15" s="56"/>
      <c r="K15" s="28"/>
      <c r="L15" s="28"/>
      <c r="M15" s="28"/>
      <c r="N15" s="28"/>
      <c r="O15" s="28"/>
      <c r="P15" s="28"/>
      <c r="Q15" s="28"/>
      <c r="R15" s="28"/>
      <c r="S15" s="28"/>
      <c r="T15" s="28"/>
      <c r="U15" s="3"/>
      <c r="W15" s="3"/>
      <c r="X15" s="3"/>
      <c r="Y15" s="3"/>
      <c r="Z15" s="3"/>
    </row>
    <row r="16" spans="1:26" ht="20.399999999999999" x14ac:dyDescent="0.3">
      <c r="A16" s="3"/>
      <c r="B16" s="75" t="s">
        <v>288</v>
      </c>
      <c r="C16" s="76" t="s">
        <v>44</v>
      </c>
      <c r="D16" s="76" t="s">
        <v>44</v>
      </c>
      <c r="E16" s="77">
        <f>SUM(E17:E33)</f>
        <v>0</v>
      </c>
      <c r="F16" s="77">
        <f>SUMIF(D17:D33,"OK",F17:F33)</f>
        <v>4252.1400000000003</v>
      </c>
      <c r="G16" s="78"/>
      <c r="H16" s="78"/>
      <c r="I16" s="79"/>
      <c r="J16" s="78"/>
      <c r="K16" s="28"/>
      <c r="L16" s="28"/>
      <c r="M16" s="28"/>
      <c r="N16" s="28"/>
      <c r="O16" s="28"/>
      <c r="P16" s="28"/>
      <c r="Q16" s="28"/>
      <c r="R16" s="28"/>
      <c r="S16" s="28"/>
      <c r="T16" s="28"/>
      <c r="U16" s="3"/>
    </row>
    <row r="17" spans="1:22" ht="14.4" outlineLevel="1" x14ac:dyDescent="0.3">
      <c r="A17" s="3"/>
      <c r="B17" s="9" t="s">
        <v>562</v>
      </c>
      <c r="C17" s="53">
        <v>18</v>
      </c>
      <c r="D17" s="53" t="s">
        <v>95</v>
      </c>
      <c r="E17" s="11">
        <v>0</v>
      </c>
      <c r="F17" s="11">
        <v>1466.76</v>
      </c>
      <c r="G17" s="242" t="s">
        <v>2108</v>
      </c>
      <c r="H17" s="56" t="s">
        <v>37</v>
      </c>
      <c r="I17" s="239" t="s">
        <v>2109</v>
      </c>
      <c r="J17" s="56"/>
      <c r="K17" s="28"/>
      <c r="L17" s="28"/>
      <c r="M17" s="28"/>
      <c r="N17" s="28"/>
      <c r="O17" s="28"/>
      <c r="P17" s="28"/>
      <c r="Q17" s="28"/>
      <c r="R17" s="28"/>
      <c r="S17" s="28"/>
      <c r="T17" s="28"/>
      <c r="U17" s="3"/>
    </row>
    <row r="18" spans="1:22" ht="14.4" outlineLevel="1" x14ac:dyDescent="0.3">
      <c r="A18" s="3"/>
      <c r="B18" s="9" t="s">
        <v>564</v>
      </c>
      <c r="C18" s="53">
        <v>18</v>
      </c>
      <c r="D18" s="53" t="s">
        <v>95</v>
      </c>
      <c r="E18" s="11">
        <v>0</v>
      </c>
      <c r="F18" s="11">
        <v>835.38</v>
      </c>
      <c r="G18" s="213"/>
      <c r="H18" s="56" t="s">
        <v>37</v>
      </c>
      <c r="I18" s="213"/>
      <c r="J18" s="56"/>
      <c r="K18" s="28"/>
      <c r="L18" s="28"/>
      <c r="M18" s="28"/>
      <c r="N18" s="28"/>
      <c r="O18" s="28"/>
      <c r="P18" s="28"/>
      <c r="Q18" s="28"/>
      <c r="R18" s="28"/>
      <c r="S18" s="28"/>
      <c r="T18" s="28"/>
      <c r="U18" s="3"/>
    </row>
    <row r="19" spans="1:22" ht="14.4" outlineLevel="1" x14ac:dyDescent="0.3">
      <c r="A19" s="3"/>
      <c r="B19" s="9" t="s">
        <v>565</v>
      </c>
      <c r="C19" s="53">
        <v>18</v>
      </c>
      <c r="D19" s="53" t="s">
        <v>95</v>
      </c>
      <c r="E19" s="11">
        <v>0</v>
      </c>
      <c r="F19" s="11">
        <v>102</v>
      </c>
      <c r="G19" s="213"/>
      <c r="H19" s="56" t="s">
        <v>37</v>
      </c>
      <c r="I19" s="213"/>
      <c r="J19" s="56"/>
      <c r="K19" s="28"/>
      <c r="L19" s="28"/>
      <c r="M19" s="28"/>
      <c r="N19" s="28"/>
      <c r="O19" s="28"/>
      <c r="P19" s="28"/>
      <c r="Q19" s="28"/>
      <c r="R19" s="28"/>
      <c r="S19" s="28"/>
      <c r="T19" s="28"/>
      <c r="U19" s="3"/>
    </row>
    <row r="20" spans="1:22" ht="14.4" outlineLevel="1" x14ac:dyDescent="0.3">
      <c r="A20" s="3"/>
      <c r="B20" s="9" t="s">
        <v>566</v>
      </c>
      <c r="C20" s="53">
        <v>18</v>
      </c>
      <c r="D20" s="53" t="s">
        <v>95</v>
      </c>
      <c r="E20" s="11">
        <v>0</v>
      </c>
      <c r="F20" s="11">
        <v>102</v>
      </c>
      <c r="G20" s="213"/>
      <c r="H20" s="56" t="s">
        <v>37</v>
      </c>
      <c r="I20" s="213"/>
      <c r="J20" s="56"/>
      <c r="K20" s="28"/>
      <c r="L20" s="28"/>
      <c r="M20" s="28"/>
      <c r="N20" s="28"/>
      <c r="O20" s="28"/>
      <c r="P20" s="28"/>
      <c r="Q20" s="28"/>
      <c r="R20" s="28"/>
      <c r="S20" s="28"/>
      <c r="T20" s="28"/>
      <c r="U20" s="3"/>
    </row>
    <row r="21" spans="1:22" ht="14.4" outlineLevel="1" x14ac:dyDescent="0.3">
      <c r="A21" s="3"/>
      <c r="B21" s="9" t="s">
        <v>567</v>
      </c>
      <c r="C21" s="53">
        <v>18</v>
      </c>
      <c r="D21" s="53" t="s">
        <v>95</v>
      </c>
      <c r="E21" s="11">
        <v>0</v>
      </c>
      <c r="F21" s="11">
        <v>408</v>
      </c>
      <c r="G21" s="214"/>
      <c r="H21" s="56" t="s">
        <v>37</v>
      </c>
      <c r="I21" s="214"/>
      <c r="J21" s="56"/>
      <c r="K21" s="28"/>
      <c r="L21" s="28"/>
      <c r="M21" s="28"/>
      <c r="N21" s="28"/>
      <c r="O21" s="28"/>
      <c r="P21" s="28"/>
      <c r="Q21" s="28"/>
      <c r="R21" s="28"/>
      <c r="S21" s="28"/>
      <c r="T21" s="28"/>
      <c r="U21" s="3"/>
    </row>
    <row r="22" spans="1:22" ht="14.4" outlineLevel="1" x14ac:dyDescent="0.3">
      <c r="A22" s="3"/>
      <c r="B22" s="9" t="s">
        <v>568</v>
      </c>
      <c r="C22" s="53">
        <v>17</v>
      </c>
      <c r="D22" s="53" t="s">
        <v>95</v>
      </c>
      <c r="E22" s="11">
        <v>0</v>
      </c>
      <c r="F22" s="11">
        <v>163.19999999999999</v>
      </c>
      <c r="G22" s="237" t="s">
        <v>2110</v>
      </c>
      <c r="H22" s="56" t="s">
        <v>37</v>
      </c>
      <c r="I22" s="239" t="s">
        <v>2111</v>
      </c>
      <c r="J22" s="56"/>
      <c r="K22" s="28"/>
      <c r="L22" s="28"/>
      <c r="M22" s="28"/>
      <c r="N22" s="28"/>
      <c r="O22" s="28"/>
      <c r="P22" s="28"/>
      <c r="Q22" s="28"/>
      <c r="R22" s="28"/>
      <c r="S22" s="28"/>
      <c r="T22" s="28"/>
      <c r="U22" s="3"/>
      <c r="V22" s="14"/>
    </row>
    <row r="23" spans="1:22" ht="14.4" outlineLevel="1" x14ac:dyDescent="0.3">
      <c r="A23" s="3"/>
      <c r="B23" s="9" t="s">
        <v>571</v>
      </c>
      <c r="C23" s="53">
        <v>17</v>
      </c>
      <c r="D23" s="53" t="s">
        <v>95</v>
      </c>
      <c r="E23" s="11">
        <v>0</v>
      </c>
      <c r="F23" s="11">
        <v>489.6</v>
      </c>
      <c r="G23" s="213"/>
      <c r="H23" s="56" t="s">
        <v>37</v>
      </c>
      <c r="I23" s="213"/>
      <c r="J23" s="56"/>
      <c r="K23" s="28"/>
      <c r="L23" s="28"/>
      <c r="M23" s="28"/>
      <c r="N23" s="28"/>
      <c r="O23" s="28"/>
      <c r="P23" s="28"/>
      <c r="Q23" s="28"/>
      <c r="R23" s="28"/>
      <c r="S23" s="28"/>
      <c r="T23" s="28"/>
      <c r="U23" s="3"/>
      <c r="V23" s="14"/>
    </row>
    <row r="24" spans="1:22" ht="14.4" outlineLevel="1" x14ac:dyDescent="0.3">
      <c r="A24" s="3"/>
      <c r="B24" s="9" t="s">
        <v>572</v>
      </c>
      <c r="C24" s="53">
        <v>17</v>
      </c>
      <c r="D24" s="53" t="s">
        <v>95</v>
      </c>
      <c r="E24" s="11">
        <v>0</v>
      </c>
      <c r="F24" s="11">
        <v>540.6</v>
      </c>
      <c r="G24" s="213"/>
      <c r="H24" s="56" t="s">
        <v>37</v>
      </c>
      <c r="I24" s="213"/>
      <c r="J24" s="56"/>
      <c r="K24" s="28"/>
      <c r="L24" s="28"/>
      <c r="M24" s="28"/>
      <c r="N24" s="28"/>
      <c r="O24" s="28"/>
      <c r="P24" s="28"/>
      <c r="Q24" s="28"/>
      <c r="R24" s="28"/>
      <c r="S24" s="28"/>
      <c r="T24" s="28"/>
      <c r="U24" s="3"/>
      <c r="V24" s="14"/>
    </row>
    <row r="25" spans="1:22" ht="14.4" outlineLevel="1" x14ac:dyDescent="0.3">
      <c r="A25" s="3"/>
      <c r="B25" s="9" t="s">
        <v>573</v>
      </c>
      <c r="C25" s="53">
        <v>17</v>
      </c>
      <c r="D25" s="53" t="s">
        <v>95</v>
      </c>
      <c r="E25" s="11">
        <v>0</v>
      </c>
      <c r="F25" s="11">
        <v>30.6</v>
      </c>
      <c r="G25" s="213"/>
      <c r="H25" s="56" t="s">
        <v>37</v>
      </c>
      <c r="I25" s="213"/>
      <c r="J25" s="56"/>
      <c r="K25" s="28"/>
      <c r="L25" s="28"/>
      <c r="M25" s="28"/>
      <c r="N25" s="28"/>
      <c r="O25" s="28"/>
      <c r="P25" s="28"/>
      <c r="Q25" s="28"/>
      <c r="R25" s="28"/>
      <c r="S25" s="28"/>
      <c r="T25" s="28"/>
      <c r="U25" s="3"/>
      <c r="V25" s="14"/>
    </row>
    <row r="26" spans="1:22" ht="14.4" hidden="1" outlineLevel="1" x14ac:dyDescent="0.3">
      <c r="A26" s="3"/>
      <c r="B26" s="9" t="s">
        <v>574</v>
      </c>
      <c r="C26" s="53"/>
      <c r="D26" s="53"/>
      <c r="E26" s="11">
        <v>0</v>
      </c>
      <c r="F26" s="11">
        <v>0</v>
      </c>
      <c r="G26" s="213"/>
      <c r="H26" s="56"/>
      <c r="I26" s="213"/>
      <c r="J26" s="56"/>
      <c r="K26" s="28"/>
      <c r="L26" s="28"/>
      <c r="M26" s="28"/>
      <c r="N26" s="28"/>
      <c r="O26" s="28"/>
      <c r="P26" s="28"/>
      <c r="Q26" s="28"/>
      <c r="R26" s="28"/>
      <c r="S26" s="28"/>
      <c r="T26" s="28"/>
      <c r="U26" s="3"/>
      <c r="V26" s="14"/>
    </row>
    <row r="27" spans="1:22" ht="14.4" hidden="1" outlineLevel="1" x14ac:dyDescent="0.3">
      <c r="A27" s="3"/>
      <c r="B27" s="9" t="s">
        <v>575</v>
      </c>
      <c r="C27" s="53"/>
      <c r="D27" s="53"/>
      <c r="E27" s="11">
        <v>0</v>
      </c>
      <c r="F27" s="11">
        <v>0</v>
      </c>
      <c r="G27" s="213"/>
      <c r="H27" s="56"/>
      <c r="I27" s="213"/>
      <c r="J27" s="56"/>
      <c r="K27" s="28"/>
      <c r="L27" s="28"/>
      <c r="M27" s="28"/>
      <c r="N27" s="28"/>
      <c r="O27" s="28"/>
      <c r="P27" s="28"/>
      <c r="Q27" s="28"/>
      <c r="R27" s="28"/>
      <c r="S27" s="28"/>
      <c r="T27" s="28"/>
      <c r="U27" s="3"/>
      <c r="V27" s="14"/>
    </row>
    <row r="28" spans="1:22" ht="14.4" hidden="1" outlineLevel="1" x14ac:dyDescent="0.3">
      <c r="A28" s="3"/>
      <c r="B28" s="9" t="s">
        <v>576</v>
      </c>
      <c r="C28" s="53"/>
      <c r="D28" s="53"/>
      <c r="E28" s="11">
        <v>0</v>
      </c>
      <c r="F28" s="11">
        <v>0</v>
      </c>
      <c r="G28" s="214"/>
      <c r="H28" s="56"/>
      <c r="I28" s="214"/>
      <c r="J28" s="56"/>
      <c r="K28" s="28"/>
      <c r="L28" s="28"/>
      <c r="M28" s="28"/>
      <c r="N28" s="28"/>
      <c r="O28" s="28"/>
      <c r="P28" s="28"/>
      <c r="Q28" s="28"/>
      <c r="R28" s="28"/>
      <c r="S28" s="28"/>
      <c r="T28" s="28"/>
      <c r="U28" s="3"/>
      <c r="V28" s="14"/>
    </row>
    <row r="29" spans="1:22" ht="14.4" outlineLevel="1" x14ac:dyDescent="0.3">
      <c r="A29" s="3"/>
      <c r="B29" s="9" t="s">
        <v>293</v>
      </c>
      <c r="C29" s="53">
        <v>19</v>
      </c>
      <c r="D29" s="53" t="s">
        <v>95</v>
      </c>
      <c r="E29" s="11">
        <v>0</v>
      </c>
      <c r="F29" s="11">
        <v>114</v>
      </c>
      <c r="G29" s="56"/>
      <c r="H29" s="56" t="s">
        <v>37</v>
      </c>
      <c r="I29" s="102" t="s">
        <v>2112</v>
      </c>
      <c r="J29" s="56"/>
      <c r="K29" s="28"/>
      <c r="L29" s="28"/>
      <c r="M29" s="28"/>
      <c r="N29" s="28"/>
      <c r="O29" s="28"/>
      <c r="P29" s="28"/>
      <c r="Q29" s="28"/>
      <c r="R29" s="28"/>
      <c r="S29" s="28"/>
      <c r="T29" s="28"/>
      <c r="U29" s="3"/>
      <c r="V29" s="14"/>
    </row>
    <row r="30" spans="1:22" ht="14.4" hidden="1" outlineLevel="1" x14ac:dyDescent="0.3">
      <c r="A30" s="3"/>
      <c r="B30" s="9" t="s">
        <v>295</v>
      </c>
      <c r="C30" s="53"/>
      <c r="D30" s="53"/>
      <c r="E30" s="11">
        <v>0</v>
      </c>
      <c r="F30" s="11">
        <v>0</v>
      </c>
      <c r="G30" s="80"/>
      <c r="H30" s="56"/>
      <c r="I30" s="102"/>
      <c r="J30" s="56"/>
      <c r="K30" s="28"/>
      <c r="L30" s="28"/>
      <c r="M30" s="28"/>
      <c r="N30" s="28"/>
      <c r="O30" s="28"/>
      <c r="P30" s="28"/>
      <c r="Q30" s="28"/>
      <c r="R30" s="28"/>
      <c r="S30" s="28"/>
      <c r="T30" s="28"/>
      <c r="U30" s="3"/>
    </row>
    <row r="31" spans="1:22" ht="14.4" hidden="1" outlineLevel="1" x14ac:dyDescent="0.3">
      <c r="A31" s="3"/>
      <c r="B31" s="9" t="s">
        <v>580</v>
      </c>
      <c r="C31" s="53"/>
      <c r="D31" s="53"/>
      <c r="E31" s="11">
        <v>0</v>
      </c>
      <c r="F31" s="11">
        <v>0</v>
      </c>
      <c r="G31" s="56"/>
      <c r="H31" s="56"/>
      <c r="I31" s="144"/>
      <c r="J31" s="56"/>
      <c r="K31" s="28"/>
      <c r="L31" s="28"/>
      <c r="M31" s="28"/>
      <c r="N31" s="28"/>
      <c r="O31" s="28"/>
      <c r="P31" s="28"/>
      <c r="Q31" s="28"/>
      <c r="R31" s="28"/>
      <c r="S31" s="28"/>
      <c r="T31" s="28"/>
      <c r="U31" s="3"/>
    </row>
    <row r="32" spans="1:22" ht="14.4" hidden="1" outlineLevel="1" x14ac:dyDescent="0.3">
      <c r="A32" s="3"/>
      <c r="B32" s="9" t="s">
        <v>583</v>
      </c>
      <c r="C32" s="53"/>
      <c r="D32" s="53"/>
      <c r="E32" s="11">
        <v>0</v>
      </c>
      <c r="F32" s="11">
        <v>0</v>
      </c>
      <c r="G32" s="80"/>
      <c r="H32" s="56"/>
      <c r="I32" s="144"/>
      <c r="J32" s="56"/>
      <c r="K32" s="28"/>
      <c r="L32" s="28"/>
      <c r="M32" s="28"/>
      <c r="N32" s="28"/>
      <c r="O32" s="28"/>
      <c r="P32" s="28"/>
      <c r="Q32" s="28"/>
      <c r="R32" s="28"/>
      <c r="S32" s="28"/>
      <c r="T32" s="28"/>
      <c r="U32" s="3"/>
    </row>
    <row r="33" spans="1:26" ht="14.4" hidden="1" outlineLevel="1" x14ac:dyDescent="0.3">
      <c r="A33" s="3"/>
      <c r="B33" s="9" t="s">
        <v>583</v>
      </c>
      <c r="C33" s="53"/>
      <c r="D33" s="53"/>
      <c r="E33" s="11">
        <v>0</v>
      </c>
      <c r="F33" s="11">
        <v>0</v>
      </c>
      <c r="G33" s="56"/>
      <c r="H33" s="56"/>
      <c r="I33" s="80"/>
      <c r="J33" s="56"/>
      <c r="K33" s="28"/>
      <c r="L33" s="28"/>
      <c r="M33" s="28"/>
      <c r="N33" s="28"/>
      <c r="O33" s="28"/>
      <c r="P33" s="28"/>
      <c r="Q33" s="28"/>
      <c r="R33" s="28"/>
      <c r="S33" s="28"/>
      <c r="T33" s="28"/>
      <c r="U33" s="3"/>
    </row>
    <row r="34" spans="1:26" ht="20.399999999999999" x14ac:dyDescent="0.3">
      <c r="A34" s="3"/>
      <c r="B34" s="75" t="s">
        <v>301</v>
      </c>
      <c r="C34" s="76" t="s">
        <v>44</v>
      </c>
      <c r="D34" s="76" t="s">
        <v>44</v>
      </c>
      <c r="E34" s="77">
        <f>SUM(E35:E37)</f>
        <v>0</v>
      </c>
      <c r="F34" s="77">
        <f>SUMIF(D35:D37,"OK",F35:F37)</f>
        <v>0.06</v>
      </c>
      <c r="G34" s="78"/>
      <c r="H34" s="78"/>
      <c r="I34" s="79"/>
      <c r="J34" s="78"/>
      <c r="K34" s="28"/>
      <c r="L34" s="28"/>
      <c r="M34" s="28"/>
      <c r="N34" s="28"/>
      <c r="O34" s="28"/>
      <c r="P34" s="28"/>
      <c r="Q34" s="28"/>
      <c r="R34" s="28"/>
      <c r="S34" s="28"/>
      <c r="T34" s="28"/>
      <c r="U34" s="3"/>
      <c r="W34" s="3"/>
      <c r="X34" s="3"/>
      <c r="Y34" s="3"/>
      <c r="Z34" s="3"/>
    </row>
    <row r="35" spans="1:26" ht="14.4" outlineLevel="1" x14ac:dyDescent="0.3">
      <c r="A35" s="3"/>
      <c r="B35" s="9" t="s">
        <v>584</v>
      </c>
      <c r="C35" s="53" t="s">
        <v>2100</v>
      </c>
      <c r="D35" s="53" t="s">
        <v>95</v>
      </c>
      <c r="E35" s="11">
        <v>0</v>
      </c>
      <c r="F35" s="11">
        <f>0.03+0.03</f>
        <v>0.06</v>
      </c>
      <c r="G35" s="60"/>
      <c r="H35" s="56" t="s">
        <v>38</v>
      </c>
      <c r="I35" s="102" t="s">
        <v>2113</v>
      </c>
      <c r="J35" s="56"/>
      <c r="K35" s="28"/>
      <c r="L35" s="28"/>
      <c r="M35" s="28"/>
      <c r="N35" s="28"/>
      <c r="O35" s="28"/>
      <c r="P35" s="28"/>
      <c r="Q35" s="28"/>
      <c r="R35" s="28"/>
      <c r="S35" s="28"/>
      <c r="T35" s="28"/>
      <c r="U35" s="3"/>
      <c r="W35" s="3"/>
      <c r="X35" s="3"/>
      <c r="Y35" s="3"/>
      <c r="Z35" s="3"/>
    </row>
    <row r="36" spans="1:26" ht="14.4" hidden="1" outlineLevel="1" x14ac:dyDescent="0.3">
      <c r="A36" s="3"/>
      <c r="B36" s="9" t="s">
        <v>1786</v>
      </c>
      <c r="C36" s="53"/>
      <c r="D36" s="53"/>
      <c r="E36" s="11">
        <v>0</v>
      </c>
      <c r="F36" s="11">
        <v>0</v>
      </c>
      <c r="G36" s="58"/>
      <c r="H36" s="56"/>
      <c r="I36" s="144"/>
      <c r="J36" s="56"/>
      <c r="K36" s="28"/>
      <c r="L36" s="28"/>
      <c r="M36" s="28"/>
      <c r="N36" s="28"/>
      <c r="O36" s="28"/>
      <c r="P36" s="28"/>
      <c r="Q36" s="28"/>
      <c r="R36" s="28"/>
      <c r="S36" s="28"/>
      <c r="T36" s="28"/>
      <c r="U36" s="3"/>
      <c r="W36" s="3"/>
      <c r="X36" s="3"/>
      <c r="Y36" s="3"/>
      <c r="Z36" s="3"/>
    </row>
    <row r="37" spans="1:26" ht="14.4" hidden="1" outlineLevel="1" x14ac:dyDescent="0.3">
      <c r="A37" s="3"/>
      <c r="B37" s="9" t="s">
        <v>1786</v>
      </c>
      <c r="C37" s="53"/>
      <c r="D37" s="53"/>
      <c r="E37" s="11">
        <v>0</v>
      </c>
      <c r="F37" s="11">
        <v>0</v>
      </c>
      <c r="G37" s="56"/>
      <c r="H37" s="56"/>
      <c r="I37" s="144"/>
      <c r="J37" s="56"/>
      <c r="K37" s="28"/>
      <c r="L37" s="28"/>
      <c r="M37" s="28"/>
      <c r="N37" s="28"/>
      <c r="O37" s="28"/>
      <c r="P37" s="28"/>
      <c r="Q37" s="28"/>
      <c r="R37" s="28"/>
      <c r="S37" s="28"/>
      <c r="T37" s="28"/>
      <c r="U37" s="3"/>
      <c r="W37" s="3"/>
      <c r="X37" s="3"/>
      <c r="Y37" s="3"/>
      <c r="Z37" s="3"/>
    </row>
    <row r="38" spans="1:26" ht="20.399999999999999" x14ac:dyDescent="0.3">
      <c r="A38" s="3"/>
      <c r="B38" s="75" t="s">
        <v>307</v>
      </c>
      <c r="C38" s="76" t="s">
        <v>44</v>
      </c>
      <c r="D38" s="76" t="s">
        <v>44</v>
      </c>
      <c r="E38" s="77">
        <f>SUM(E39:E62)</f>
        <v>0</v>
      </c>
      <c r="F38" s="77">
        <f>SUMIF(D39:D62,"OK",F39:F62)</f>
        <v>2873.94</v>
      </c>
      <c r="G38" s="78"/>
      <c r="H38" s="78"/>
      <c r="I38" s="79"/>
      <c r="J38" s="78"/>
      <c r="K38" s="28"/>
      <c r="L38" s="28"/>
      <c r="M38" s="28"/>
      <c r="N38" s="28"/>
      <c r="O38" s="28"/>
      <c r="P38" s="28"/>
      <c r="Q38" s="28"/>
      <c r="R38" s="28"/>
      <c r="S38" s="28"/>
      <c r="T38" s="28"/>
      <c r="U38" s="3"/>
      <c r="W38" s="3"/>
      <c r="X38" s="3"/>
      <c r="Y38" s="3"/>
      <c r="Z38" s="3"/>
    </row>
    <row r="39" spans="1:26" ht="14.4" outlineLevel="1" x14ac:dyDescent="0.3">
      <c r="A39" s="3"/>
      <c r="B39" s="9" t="s">
        <v>308</v>
      </c>
      <c r="C39" s="53">
        <v>19</v>
      </c>
      <c r="D39" s="53" t="s">
        <v>95</v>
      </c>
      <c r="E39" s="11">
        <v>0</v>
      </c>
      <c r="F39" s="11">
        <v>1183.67</v>
      </c>
      <c r="G39" s="56"/>
      <c r="H39" s="56" t="s">
        <v>37</v>
      </c>
      <c r="I39" s="102" t="s">
        <v>2114</v>
      </c>
      <c r="J39" s="56"/>
      <c r="K39" s="28"/>
      <c r="L39" s="28"/>
      <c r="M39" s="28"/>
      <c r="N39" s="28"/>
      <c r="O39" s="28"/>
      <c r="P39" s="28"/>
      <c r="Q39" s="28"/>
      <c r="R39" s="28"/>
      <c r="S39" s="28"/>
      <c r="T39" s="28"/>
      <c r="U39" s="3"/>
      <c r="W39" s="3"/>
      <c r="X39" s="3"/>
      <c r="Y39" s="3"/>
      <c r="Z39" s="3"/>
    </row>
    <row r="40" spans="1:26" ht="14.4" outlineLevel="1" x14ac:dyDescent="0.3">
      <c r="A40" s="3"/>
      <c r="B40" s="9" t="s">
        <v>590</v>
      </c>
      <c r="C40" s="53">
        <v>16</v>
      </c>
      <c r="D40" s="53" t="s">
        <v>95</v>
      </c>
      <c r="E40" s="11">
        <v>0</v>
      </c>
      <c r="F40" s="11">
        <v>650</v>
      </c>
      <c r="G40" s="56"/>
      <c r="H40" s="56" t="s">
        <v>37</v>
      </c>
      <c r="I40" s="102" t="s">
        <v>2115</v>
      </c>
      <c r="J40" s="56"/>
      <c r="K40" s="28"/>
      <c r="L40" s="28"/>
      <c r="M40" s="28"/>
      <c r="N40" s="28"/>
      <c r="O40" s="28"/>
      <c r="P40" s="28"/>
      <c r="Q40" s="28"/>
      <c r="R40" s="28"/>
      <c r="S40" s="28"/>
      <c r="T40" s="28"/>
      <c r="U40" s="3"/>
      <c r="W40" s="3"/>
      <c r="X40" s="3"/>
      <c r="Y40" s="3"/>
      <c r="Z40" s="3"/>
    </row>
    <row r="41" spans="1:26" ht="14.4" hidden="1" outlineLevel="1" x14ac:dyDescent="0.3">
      <c r="A41" s="3"/>
      <c r="B41" s="9" t="s">
        <v>757</v>
      </c>
      <c r="C41" s="53"/>
      <c r="D41" s="53"/>
      <c r="E41" s="11">
        <v>0</v>
      </c>
      <c r="F41" s="11">
        <v>0</v>
      </c>
      <c r="G41" s="56"/>
      <c r="H41" s="56"/>
      <c r="I41" s="102"/>
      <c r="J41" s="56"/>
      <c r="K41" s="28"/>
      <c r="L41" s="28"/>
      <c r="M41" s="28"/>
      <c r="N41" s="28"/>
      <c r="O41" s="28"/>
      <c r="P41" s="28"/>
      <c r="Q41" s="28"/>
      <c r="R41" s="28"/>
      <c r="S41" s="28"/>
      <c r="T41" s="28"/>
      <c r="U41" s="3"/>
      <c r="W41" s="3"/>
      <c r="X41" s="3"/>
      <c r="Y41" s="3"/>
      <c r="Z41" s="3"/>
    </row>
    <row r="42" spans="1:26" ht="14.4" hidden="1" outlineLevel="1" x14ac:dyDescent="0.3">
      <c r="A42" s="3"/>
      <c r="B42" s="9" t="s">
        <v>313</v>
      </c>
      <c r="C42" s="53"/>
      <c r="D42" s="53"/>
      <c r="E42" s="11">
        <v>0</v>
      </c>
      <c r="F42" s="11">
        <v>0</v>
      </c>
      <c r="G42" s="56"/>
      <c r="H42" s="56"/>
      <c r="I42" s="102"/>
      <c r="J42" s="56"/>
      <c r="K42" s="28"/>
      <c r="L42" s="28"/>
      <c r="M42" s="28"/>
      <c r="N42" s="28"/>
      <c r="O42" s="28"/>
      <c r="P42" s="28"/>
      <c r="Q42" s="28"/>
      <c r="R42" s="28"/>
      <c r="S42" s="28"/>
      <c r="T42" s="28"/>
      <c r="U42" s="3"/>
      <c r="W42" s="3"/>
      <c r="X42" s="3"/>
      <c r="Y42" s="3"/>
      <c r="Z42" s="3"/>
    </row>
    <row r="43" spans="1:26" ht="14.4" outlineLevel="1" x14ac:dyDescent="0.3">
      <c r="A43" s="3"/>
      <c r="B43" s="9" t="s">
        <v>315</v>
      </c>
      <c r="C43" s="53">
        <v>16</v>
      </c>
      <c r="D43" s="53" t="s">
        <v>95</v>
      </c>
      <c r="E43" s="11">
        <v>0</v>
      </c>
      <c r="F43" s="11">
        <v>84.9</v>
      </c>
      <c r="G43" s="56"/>
      <c r="H43" s="56" t="s">
        <v>37</v>
      </c>
      <c r="I43" s="102" t="s">
        <v>2116</v>
      </c>
      <c r="J43" s="56"/>
      <c r="K43" s="28"/>
      <c r="L43" s="28"/>
      <c r="M43" s="28"/>
      <c r="N43" s="28"/>
      <c r="O43" s="28"/>
      <c r="P43" s="28"/>
      <c r="Q43" s="28"/>
      <c r="R43" s="28"/>
      <c r="S43" s="28"/>
      <c r="T43" s="28"/>
      <c r="U43" s="3"/>
      <c r="W43" s="3"/>
      <c r="X43" s="3"/>
      <c r="Y43" s="3"/>
      <c r="Z43" s="3"/>
    </row>
    <row r="44" spans="1:26" ht="14.4" hidden="1" outlineLevel="1" x14ac:dyDescent="0.3">
      <c r="A44" s="3"/>
      <c r="B44" s="9" t="s">
        <v>317</v>
      </c>
      <c r="C44" s="53"/>
      <c r="D44" s="53"/>
      <c r="E44" s="11">
        <v>0</v>
      </c>
      <c r="F44" s="11">
        <v>0</v>
      </c>
      <c r="G44" s="80"/>
      <c r="H44" s="56"/>
      <c r="I44" s="144"/>
      <c r="J44" s="56"/>
      <c r="K44" s="28"/>
      <c r="L44" s="28"/>
      <c r="M44" s="28"/>
      <c r="N44" s="28"/>
      <c r="O44" s="28"/>
      <c r="P44" s="28"/>
      <c r="Q44" s="28"/>
      <c r="R44" s="28"/>
      <c r="S44" s="28"/>
      <c r="T44" s="28"/>
      <c r="U44" s="3"/>
      <c r="W44" s="3"/>
      <c r="X44" s="3"/>
      <c r="Y44" s="3"/>
      <c r="Z44" s="3"/>
    </row>
    <row r="45" spans="1:26" ht="14.4" hidden="1" outlineLevel="1" x14ac:dyDescent="0.3">
      <c r="A45" s="3"/>
      <c r="B45" s="9" t="s">
        <v>317</v>
      </c>
      <c r="C45" s="53"/>
      <c r="D45" s="53"/>
      <c r="E45" s="11">
        <v>0</v>
      </c>
      <c r="F45" s="11">
        <v>0</v>
      </c>
      <c r="G45" s="56"/>
      <c r="H45" s="56"/>
      <c r="I45" s="144"/>
      <c r="J45" s="56"/>
      <c r="K45" s="28"/>
      <c r="L45" s="28"/>
      <c r="M45" s="28"/>
      <c r="N45" s="28"/>
      <c r="O45" s="28"/>
      <c r="P45" s="28"/>
      <c r="Q45" s="28"/>
      <c r="R45" s="28"/>
      <c r="S45" s="28"/>
      <c r="T45" s="28"/>
      <c r="U45" s="3"/>
      <c r="W45" s="3"/>
      <c r="X45" s="3"/>
      <c r="Y45" s="3"/>
      <c r="Z45" s="3"/>
    </row>
    <row r="46" spans="1:26" ht="14.4" hidden="1" outlineLevel="1" x14ac:dyDescent="0.3">
      <c r="A46" s="3"/>
      <c r="B46" s="9" t="s">
        <v>318</v>
      </c>
      <c r="C46" s="53"/>
      <c r="D46" s="53"/>
      <c r="E46" s="11">
        <v>0</v>
      </c>
      <c r="F46" s="11">
        <v>0</v>
      </c>
      <c r="G46" s="56"/>
      <c r="H46" s="56"/>
      <c r="I46" s="80"/>
      <c r="J46" s="56"/>
      <c r="K46" s="28"/>
      <c r="L46" s="28"/>
      <c r="M46" s="28"/>
      <c r="N46" s="28"/>
      <c r="O46" s="28"/>
      <c r="P46" s="28"/>
      <c r="Q46" s="28"/>
      <c r="R46" s="28"/>
      <c r="S46" s="28"/>
      <c r="T46" s="28"/>
      <c r="U46" s="3"/>
      <c r="W46" s="3"/>
      <c r="X46" s="3"/>
      <c r="Y46" s="3"/>
      <c r="Z46" s="3"/>
    </row>
    <row r="47" spans="1:26" ht="14.4" outlineLevel="1" x14ac:dyDescent="0.3">
      <c r="A47" s="3"/>
      <c r="B47" s="9" t="s">
        <v>1194</v>
      </c>
      <c r="C47" s="53">
        <v>1</v>
      </c>
      <c r="D47" s="53" t="s">
        <v>95</v>
      </c>
      <c r="E47" s="11">
        <v>0</v>
      </c>
      <c r="F47" s="11">
        <v>264.02</v>
      </c>
      <c r="G47" s="56" t="s">
        <v>594</v>
      </c>
      <c r="H47" s="56" t="s">
        <v>37</v>
      </c>
      <c r="I47" s="102" t="s">
        <v>2117</v>
      </c>
      <c r="J47" s="56"/>
      <c r="K47" s="28"/>
      <c r="L47" s="28"/>
      <c r="M47" s="28"/>
      <c r="N47" s="28"/>
      <c r="O47" s="28"/>
      <c r="P47" s="28"/>
      <c r="Q47" s="28"/>
      <c r="R47" s="28"/>
      <c r="S47" s="28"/>
      <c r="T47" s="28"/>
      <c r="U47" s="3"/>
      <c r="W47" s="3"/>
      <c r="X47" s="3"/>
      <c r="Y47" s="3"/>
      <c r="Z47" s="3"/>
    </row>
    <row r="48" spans="1:26" ht="14.4" outlineLevel="1" x14ac:dyDescent="0.3">
      <c r="A48" s="3"/>
      <c r="B48" s="9" t="s">
        <v>1799</v>
      </c>
      <c r="C48" s="53">
        <v>1</v>
      </c>
      <c r="D48" s="53" t="s">
        <v>95</v>
      </c>
      <c r="E48" s="11">
        <v>0</v>
      </c>
      <c r="F48" s="11">
        <v>365.42</v>
      </c>
      <c r="G48" s="56" t="s">
        <v>1467</v>
      </c>
      <c r="H48" s="56" t="s">
        <v>37</v>
      </c>
      <c r="I48" s="102" t="s">
        <v>2118</v>
      </c>
      <c r="J48" s="56"/>
      <c r="K48" s="28"/>
      <c r="L48" s="28"/>
      <c r="M48" s="28"/>
      <c r="N48" s="28"/>
      <c r="O48" s="28"/>
      <c r="P48" s="28"/>
      <c r="Q48" s="28"/>
      <c r="R48" s="28"/>
      <c r="S48" s="28"/>
      <c r="T48" s="28"/>
      <c r="U48" s="3"/>
      <c r="W48" s="3"/>
      <c r="X48" s="3"/>
      <c r="Y48" s="3"/>
      <c r="Z48" s="3"/>
    </row>
    <row r="49" spans="1:26" ht="14.4" outlineLevel="1" x14ac:dyDescent="0.3">
      <c r="A49" s="3"/>
      <c r="B49" s="9" t="s">
        <v>1801</v>
      </c>
      <c r="C49" s="53">
        <v>1</v>
      </c>
      <c r="D49" s="53" t="s">
        <v>95</v>
      </c>
      <c r="E49" s="11">
        <v>0</v>
      </c>
      <c r="F49" s="11">
        <v>225.93</v>
      </c>
      <c r="G49" s="56" t="s">
        <v>2119</v>
      </c>
      <c r="H49" s="56" t="s">
        <v>37</v>
      </c>
      <c r="I49" s="102" t="s">
        <v>2120</v>
      </c>
      <c r="J49" s="56"/>
      <c r="K49" s="28"/>
      <c r="L49" s="28"/>
      <c r="M49" s="28"/>
      <c r="N49" s="28"/>
      <c r="O49" s="28"/>
      <c r="P49" s="28"/>
      <c r="Q49" s="28"/>
      <c r="R49" s="28"/>
      <c r="S49" s="28"/>
      <c r="T49" s="28"/>
      <c r="U49" s="3"/>
      <c r="W49" s="3"/>
      <c r="X49" s="3"/>
      <c r="Y49" s="3"/>
      <c r="Z49" s="3"/>
    </row>
    <row r="50" spans="1:26" ht="14.4" outlineLevel="1" x14ac:dyDescent="0.3">
      <c r="A50" s="3"/>
      <c r="B50" s="9" t="s">
        <v>2121</v>
      </c>
      <c r="C50" s="71">
        <v>26</v>
      </c>
      <c r="D50" s="53" t="s">
        <v>95</v>
      </c>
      <c r="E50" s="11">
        <v>0</v>
      </c>
      <c r="F50" s="11">
        <v>100</v>
      </c>
      <c r="G50" s="80" t="s">
        <v>2122</v>
      </c>
      <c r="H50" s="56" t="s">
        <v>37</v>
      </c>
      <c r="I50" s="102" t="s">
        <v>2123</v>
      </c>
      <c r="J50" s="56"/>
      <c r="K50" s="28"/>
      <c r="L50" s="28"/>
      <c r="M50" s="28"/>
      <c r="N50" s="28"/>
      <c r="O50" s="28"/>
      <c r="P50" s="28"/>
      <c r="Q50" s="28"/>
      <c r="R50" s="28"/>
      <c r="S50" s="28"/>
      <c r="T50" s="28"/>
      <c r="U50" s="3"/>
      <c r="W50" s="3"/>
      <c r="X50" s="3"/>
      <c r="Y50" s="3"/>
      <c r="Z50" s="3"/>
    </row>
    <row r="51" spans="1:26" ht="14.4" hidden="1" outlineLevel="1" x14ac:dyDescent="0.3">
      <c r="A51" s="3"/>
      <c r="B51" s="9" t="s">
        <v>51</v>
      </c>
      <c r="C51" s="71"/>
      <c r="D51" s="53"/>
      <c r="E51" s="11">
        <v>0</v>
      </c>
      <c r="F51" s="11">
        <v>0</v>
      </c>
      <c r="G51" s="80"/>
      <c r="H51" s="56"/>
      <c r="I51" s="102"/>
      <c r="J51" s="56"/>
      <c r="K51" s="28"/>
      <c r="L51" s="28"/>
      <c r="M51" s="28"/>
      <c r="N51" s="28"/>
      <c r="O51" s="28"/>
      <c r="P51" s="28"/>
      <c r="Q51" s="28"/>
      <c r="R51" s="28"/>
      <c r="S51" s="28"/>
      <c r="T51" s="28"/>
      <c r="U51" s="3"/>
      <c r="W51" s="3"/>
      <c r="X51" s="3"/>
      <c r="Y51" s="3"/>
      <c r="Z51" s="3"/>
    </row>
    <row r="52" spans="1:26" ht="14.4" hidden="1" outlineLevel="1" x14ac:dyDescent="0.3">
      <c r="A52" s="3"/>
      <c r="B52" s="9" t="s">
        <v>51</v>
      </c>
      <c r="C52" s="71"/>
      <c r="D52" s="53"/>
      <c r="E52" s="11">
        <v>0</v>
      </c>
      <c r="F52" s="11">
        <v>0</v>
      </c>
      <c r="G52" s="80"/>
      <c r="H52" s="56"/>
      <c r="I52" s="102"/>
      <c r="J52" s="56"/>
      <c r="K52" s="28"/>
      <c r="L52" s="28"/>
      <c r="M52" s="28"/>
      <c r="N52" s="28"/>
      <c r="O52" s="28"/>
      <c r="P52" s="28"/>
      <c r="Q52" s="28"/>
      <c r="R52" s="28"/>
      <c r="S52" s="28"/>
      <c r="T52" s="28"/>
      <c r="U52" s="3"/>
      <c r="W52" s="3"/>
      <c r="X52" s="3"/>
      <c r="Y52" s="3"/>
      <c r="Z52" s="3"/>
    </row>
    <row r="53" spans="1:26" ht="14.4" hidden="1" outlineLevel="1" x14ac:dyDescent="0.3">
      <c r="A53" s="3"/>
      <c r="B53" s="9" t="s">
        <v>51</v>
      </c>
      <c r="C53" s="53"/>
      <c r="D53" s="53"/>
      <c r="E53" s="11">
        <v>0</v>
      </c>
      <c r="F53" s="11">
        <v>0</v>
      </c>
      <c r="G53" s="56"/>
      <c r="H53" s="56"/>
      <c r="I53" s="117"/>
      <c r="J53" s="56"/>
      <c r="K53" s="28"/>
      <c r="L53" s="28"/>
      <c r="M53" s="28"/>
      <c r="N53" s="28"/>
      <c r="O53" s="28"/>
      <c r="P53" s="28"/>
      <c r="Q53" s="28"/>
      <c r="R53" s="28"/>
      <c r="S53" s="28"/>
      <c r="T53" s="28"/>
      <c r="U53" s="3"/>
      <c r="W53" s="3"/>
      <c r="X53" s="3"/>
      <c r="Y53" s="3"/>
      <c r="Z53" s="3"/>
    </row>
    <row r="54" spans="1:26" ht="14.4" hidden="1" outlineLevel="1" x14ac:dyDescent="0.3">
      <c r="A54" s="3"/>
      <c r="B54" s="9" t="s">
        <v>51</v>
      </c>
      <c r="C54" s="53"/>
      <c r="D54" s="53"/>
      <c r="E54" s="11">
        <v>0</v>
      </c>
      <c r="F54" s="11">
        <v>0</v>
      </c>
      <c r="G54" s="56"/>
      <c r="H54" s="56"/>
      <c r="I54" s="144"/>
      <c r="J54" s="56"/>
      <c r="K54" s="28"/>
      <c r="L54" s="28"/>
      <c r="M54" s="28"/>
      <c r="N54" s="28"/>
      <c r="O54" s="28"/>
      <c r="P54" s="28"/>
      <c r="Q54" s="28"/>
      <c r="R54" s="28"/>
      <c r="S54" s="28"/>
      <c r="T54" s="28"/>
      <c r="U54" s="3"/>
      <c r="W54" s="3"/>
      <c r="X54" s="3"/>
      <c r="Y54" s="3"/>
      <c r="Z54" s="3"/>
    </row>
    <row r="55" spans="1:26" ht="14.4" hidden="1" outlineLevel="1" x14ac:dyDescent="0.3">
      <c r="A55" s="3"/>
      <c r="B55" s="9" t="s">
        <v>51</v>
      </c>
      <c r="C55" s="53"/>
      <c r="D55" s="53"/>
      <c r="E55" s="11">
        <v>0</v>
      </c>
      <c r="F55" s="11">
        <v>0</v>
      </c>
      <c r="G55" s="80"/>
      <c r="H55" s="56"/>
      <c r="I55" s="144"/>
      <c r="J55" s="56"/>
      <c r="K55" s="28"/>
      <c r="L55" s="28"/>
      <c r="M55" s="28"/>
      <c r="N55" s="28"/>
      <c r="O55" s="28"/>
      <c r="P55" s="28"/>
      <c r="Q55" s="28"/>
      <c r="R55" s="28"/>
      <c r="S55" s="28"/>
      <c r="T55" s="28"/>
      <c r="U55" s="3"/>
      <c r="W55" s="3"/>
      <c r="X55" s="3"/>
      <c r="Y55" s="3"/>
      <c r="Z55" s="3"/>
    </row>
    <row r="56" spans="1:26" ht="14.4" hidden="1" outlineLevel="1" x14ac:dyDescent="0.3">
      <c r="A56" s="3"/>
      <c r="B56" s="9" t="s">
        <v>51</v>
      </c>
      <c r="C56" s="53"/>
      <c r="D56" s="53"/>
      <c r="E56" s="11">
        <v>0</v>
      </c>
      <c r="F56" s="11">
        <v>0</v>
      </c>
      <c r="G56" s="80"/>
      <c r="H56" s="56"/>
      <c r="I56" s="144"/>
      <c r="J56" s="56"/>
      <c r="K56" s="28"/>
      <c r="L56" s="28"/>
      <c r="M56" s="28"/>
      <c r="N56" s="28"/>
      <c r="O56" s="28"/>
      <c r="P56" s="28"/>
      <c r="Q56" s="28"/>
      <c r="R56" s="28"/>
      <c r="S56" s="28"/>
      <c r="T56" s="28"/>
      <c r="U56" s="3"/>
      <c r="W56" s="3"/>
      <c r="X56" s="3"/>
      <c r="Y56" s="3"/>
      <c r="Z56" s="3"/>
    </row>
    <row r="57" spans="1:26" ht="14.4" hidden="1" outlineLevel="1" x14ac:dyDescent="0.3">
      <c r="A57" s="3"/>
      <c r="B57" s="9" t="s">
        <v>51</v>
      </c>
      <c r="C57" s="53"/>
      <c r="D57" s="53"/>
      <c r="E57" s="11">
        <v>0</v>
      </c>
      <c r="F57" s="11">
        <v>0</v>
      </c>
      <c r="G57" s="80"/>
      <c r="H57" s="56"/>
      <c r="I57" s="144"/>
      <c r="J57" s="56"/>
      <c r="K57" s="28"/>
      <c r="L57" s="28"/>
      <c r="M57" s="28"/>
      <c r="N57" s="28"/>
      <c r="O57" s="28"/>
      <c r="P57" s="28"/>
      <c r="Q57" s="28"/>
      <c r="R57" s="28"/>
      <c r="S57" s="28"/>
      <c r="T57" s="28"/>
      <c r="U57" s="3"/>
      <c r="W57" s="3"/>
      <c r="X57" s="3"/>
      <c r="Y57" s="3"/>
      <c r="Z57" s="3"/>
    </row>
    <row r="58" spans="1:26" ht="14.4" hidden="1" outlineLevel="1" x14ac:dyDescent="0.3">
      <c r="A58" s="3"/>
      <c r="B58" s="9" t="s">
        <v>51</v>
      </c>
      <c r="C58" s="53"/>
      <c r="D58" s="53"/>
      <c r="E58" s="11">
        <v>0</v>
      </c>
      <c r="F58" s="11">
        <v>0</v>
      </c>
      <c r="G58" s="80"/>
      <c r="H58" s="56"/>
      <c r="I58" s="144"/>
      <c r="J58" s="56"/>
      <c r="K58" s="28"/>
      <c r="L58" s="28"/>
      <c r="M58" s="28"/>
      <c r="N58" s="28"/>
      <c r="O58" s="28"/>
      <c r="P58" s="28"/>
      <c r="Q58" s="28"/>
      <c r="R58" s="28"/>
      <c r="S58" s="28"/>
      <c r="T58" s="28"/>
      <c r="U58" s="3"/>
      <c r="W58" s="3"/>
      <c r="X58" s="3"/>
      <c r="Y58" s="3"/>
      <c r="Z58" s="3"/>
    </row>
    <row r="59" spans="1:26" ht="14.4" hidden="1" outlineLevel="1" x14ac:dyDescent="0.3">
      <c r="A59" s="3"/>
      <c r="B59" s="9" t="s">
        <v>51</v>
      </c>
      <c r="C59" s="53"/>
      <c r="D59" s="53"/>
      <c r="E59" s="11">
        <v>0</v>
      </c>
      <c r="F59" s="11">
        <v>0</v>
      </c>
      <c r="G59" s="80"/>
      <c r="H59" s="56"/>
      <c r="I59" s="144"/>
      <c r="J59" s="56"/>
      <c r="K59" s="28"/>
      <c r="L59" s="28"/>
      <c r="M59" s="28"/>
      <c r="N59" s="28"/>
      <c r="O59" s="28"/>
      <c r="P59" s="28"/>
      <c r="Q59" s="28"/>
      <c r="R59" s="28"/>
      <c r="S59" s="28"/>
      <c r="T59" s="28"/>
      <c r="U59" s="3"/>
      <c r="W59" s="3"/>
      <c r="X59" s="3"/>
      <c r="Y59" s="3"/>
      <c r="Z59" s="3"/>
    </row>
    <row r="60" spans="1:26" ht="14.4" hidden="1" outlineLevel="1" x14ac:dyDescent="0.3">
      <c r="A60" s="3"/>
      <c r="B60" s="9" t="s">
        <v>51</v>
      </c>
      <c r="C60" s="53"/>
      <c r="D60" s="53"/>
      <c r="E60" s="11">
        <v>0</v>
      </c>
      <c r="F60" s="11">
        <v>0</v>
      </c>
      <c r="G60" s="80"/>
      <c r="H60" s="56"/>
      <c r="I60" s="144"/>
      <c r="J60" s="56"/>
      <c r="K60" s="28"/>
      <c r="L60" s="28"/>
      <c r="M60" s="28"/>
      <c r="N60" s="28"/>
      <c r="O60" s="28"/>
      <c r="P60" s="28"/>
      <c r="Q60" s="28"/>
      <c r="R60" s="28"/>
      <c r="S60" s="28"/>
      <c r="T60" s="28"/>
      <c r="U60" s="3"/>
      <c r="W60" s="3"/>
      <c r="X60" s="3"/>
      <c r="Y60" s="3"/>
      <c r="Z60" s="3"/>
    </row>
    <row r="61" spans="1:26" ht="14.4" hidden="1" outlineLevel="1" x14ac:dyDescent="0.3">
      <c r="A61" s="3"/>
      <c r="B61" s="9" t="s">
        <v>51</v>
      </c>
      <c r="C61" s="53"/>
      <c r="D61" s="53"/>
      <c r="E61" s="11">
        <v>0</v>
      </c>
      <c r="F61" s="11">
        <v>0</v>
      </c>
      <c r="G61" s="80"/>
      <c r="H61" s="56"/>
      <c r="I61" s="144"/>
      <c r="J61" s="56"/>
      <c r="K61" s="28"/>
      <c r="L61" s="28"/>
      <c r="M61" s="28"/>
      <c r="N61" s="28"/>
      <c r="O61" s="28"/>
      <c r="P61" s="28"/>
      <c r="Q61" s="28"/>
      <c r="R61" s="28"/>
      <c r="S61" s="28"/>
      <c r="T61" s="28"/>
      <c r="U61" s="3"/>
      <c r="W61" s="3"/>
      <c r="X61" s="3"/>
      <c r="Y61" s="3"/>
      <c r="Z61" s="3"/>
    </row>
    <row r="62" spans="1:26" ht="14.4" hidden="1" outlineLevel="1" x14ac:dyDescent="0.3">
      <c r="A62" s="3"/>
      <c r="B62" s="9" t="s">
        <v>51</v>
      </c>
      <c r="C62" s="53"/>
      <c r="D62" s="53"/>
      <c r="E62" s="11">
        <v>0</v>
      </c>
      <c r="F62" s="11">
        <v>0</v>
      </c>
      <c r="G62" s="56"/>
      <c r="H62" s="56"/>
      <c r="I62" s="144"/>
      <c r="J62" s="56"/>
      <c r="K62" s="28"/>
      <c r="L62" s="28"/>
      <c r="M62" s="28"/>
      <c r="N62" s="28"/>
      <c r="O62" s="28"/>
      <c r="P62" s="28"/>
      <c r="Q62" s="28"/>
      <c r="R62" s="28"/>
      <c r="S62" s="28"/>
      <c r="T62" s="28"/>
      <c r="U62" s="3"/>
      <c r="W62" s="3"/>
      <c r="X62" s="3"/>
      <c r="Y62" s="3"/>
      <c r="Z62" s="3"/>
    </row>
    <row r="63" spans="1:26" ht="20.399999999999999" x14ac:dyDescent="0.3">
      <c r="A63" s="3"/>
      <c r="B63" s="75" t="s">
        <v>330</v>
      </c>
      <c r="C63" s="76" t="s">
        <v>44</v>
      </c>
      <c r="D63" s="76" t="s">
        <v>44</v>
      </c>
      <c r="E63" s="77">
        <f>SUM(E64:E89)</f>
        <v>0</v>
      </c>
      <c r="F63" s="77">
        <f>SUMIF(D64:D89,"OK",F64:F89)</f>
        <v>3040.4000000000005</v>
      </c>
      <c r="G63" s="78"/>
      <c r="H63" s="78"/>
      <c r="I63" s="79"/>
      <c r="J63" s="78"/>
      <c r="K63" s="28"/>
      <c r="L63" s="28"/>
      <c r="M63" s="28"/>
      <c r="N63" s="28"/>
      <c r="O63" s="28"/>
      <c r="P63" s="28"/>
      <c r="Q63" s="28"/>
      <c r="R63" s="28"/>
      <c r="S63" s="28"/>
      <c r="T63" s="28"/>
      <c r="U63" s="3"/>
    </row>
    <row r="64" spans="1:26" ht="14.4" outlineLevel="1" x14ac:dyDescent="0.3">
      <c r="A64" s="3"/>
      <c r="B64" s="9" t="s">
        <v>1200</v>
      </c>
      <c r="C64" s="71">
        <v>1</v>
      </c>
      <c r="D64" s="53" t="s">
        <v>95</v>
      </c>
      <c r="E64" s="11">
        <v>0</v>
      </c>
      <c r="F64" s="11">
        <v>220.71</v>
      </c>
      <c r="G64" s="56"/>
      <c r="H64" s="56" t="s">
        <v>37</v>
      </c>
      <c r="I64" s="102" t="s">
        <v>2124</v>
      </c>
      <c r="J64" s="80"/>
      <c r="K64" s="28"/>
      <c r="L64" s="28"/>
      <c r="M64" s="28"/>
      <c r="N64" s="28"/>
      <c r="O64" s="28"/>
      <c r="P64" s="28"/>
      <c r="Q64" s="28"/>
      <c r="R64" s="28"/>
      <c r="S64" s="28"/>
      <c r="T64" s="28"/>
      <c r="U64" s="3"/>
      <c r="V64" s="14"/>
    </row>
    <row r="65" spans="1:22" ht="14.4" outlineLevel="1" x14ac:dyDescent="0.3">
      <c r="A65" s="3"/>
      <c r="B65" s="9" t="s">
        <v>1200</v>
      </c>
      <c r="C65" s="71">
        <v>1</v>
      </c>
      <c r="D65" s="53" t="s">
        <v>95</v>
      </c>
      <c r="E65" s="11">
        <v>0</v>
      </c>
      <c r="F65" s="11">
        <v>100.3</v>
      </c>
      <c r="G65" s="56"/>
      <c r="H65" s="56" t="s">
        <v>37</v>
      </c>
      <c r="I65" s="102" t="s">
        <v>2125</v>
      </c>
      <c r="J65" s="80"/>
      <c r="K65" s="28"/>
      <c r="L65" s="28"/>
      <c r="M65" s="28"/>
      <c r="N65" s="28"/>
      <c r="O65" s="28"/>
      <c r="P65" s="28"/>
      <c r="Q65" s="28"/>
      <c r="R65" s="28"/>
      <c r="S65" s="28"/>
      <c r="T65" s="28"/>
      <c r="U65" s="3"/>
      <c r="V65" s="14"/>
    </row>
    <row r="66" spans="1:22" ht="14.4" outlineLevel="1" x14ac:dyDescent="0.3">
      <c r="A66" s="3"/>
      <c r="B66" s="9" t="s">
        <v>2126</v>
      </c>
      <c r="C66" s="71">
        <v>1</v>
      </c>
      <c r="D66" s="53" t="s">
        <v>95</v>
      </c>
      <c r="E66" s="11">
        <v>0</v>
      </c>
      <c r="F66" s="11">
        <v>928.62</v>
      </c>
      <c r="G66" s="56"/>
      <c r="H66" s="56" t="s">
        <v>37</v>
      </c>
      <c r="I66" s="102" t="s">
        <v>2127</v>
      </c>
      <c r="J66" s="80"/>
      <c r="K66" s="28"/>
      <c r="L66" s="28"/>
      <c r="M66" s="28"/>
      <c r="N66" s="28"/>
      <c r="O66" s="28"/>
      <c r="P66" s="28"/>
      <c r="Q66" s="28"/>
      <c r="R66" s="28"/>
      <c r="S66" s="28"/>
      <c r="T66" s="28"/>
      <c r="U66" s="3"/>
      <c r="V66" s="14"/>
    </row>
    <row r="67" spans="1:22" ht="14.4" outlineLevel="1" x14ac:dyDescent="0.3">
      <c r="A67" s="3"/>
      <c r="B67" s="9" t="s">
        <v>1200</v>
      </c>
      <c r="C67" s="71">
        <v>3</v>
      </c>
      <c r="D67" s="53" t="s">
        <v>95</v>
      </c>
      <c r="E67" s="11">
        <v>0</v>
      </c>
      <c r="F67" s="11">
        <v>166</v>
      </c>
      <c r="G67" s="56"/>
      <c r="H67" s="56" t="s">
        <v>37</v>
      </c>
      <c r="I67" s="102" t="s">
        <v>2128</v>
      </c>
      <c r="J67" s="80"/>
      <c r="K67" s="28"/>
      <c r="L67" s="28"/>
      <c r="M67" s="28"/>
      <c r="N67" s="28"/>
      <c r="O67" s="28"/>
      <c r="P67" s="28"/>
      <c r="Q67" s="28"/>
      <c r="R67" s="28"/>
      <c r="S67" s="28"/>
      <c r="T67" s="28"/>
      <c r="U67" s="3"/>
      <c r="V67" s="14"/>
    </row>
    <row r="68" spans="1:22" ht="14.4" outlineLevel="1" x14ac:dyDescent="0.3">
      <c r="A68" s="3"/>
      <c r="B68" s="9" t="s">
        <v>1200</v>
      </c>
      <c r="C68" s="71">
        <v>5</v>
      </c>
      <c r="D68" s="53" t="s">
        <v>95</v>
      </c>
      <c r="E68" s="11">
        <v>0</v>
      </c>
      <c r="F68" s="11">
        <v>70</v>
      </c>
      <c r="G68" s="56"/>
      <c r="H68" s="56" t="s">
        <v>37</v>
      </c>
      <c r="I68" s="102" t="s">
        <v>2129</v>
      </c>
      <c r="J68" s="80"/>
      <c r="K68" s="28"/>
      <c r="L68" s="28"/>
      <c r="M68" s="28"/>
      <c r="N68" s="28"/>
      <c r="O68" s="28"/>
      <c r="P68" s="28"/>
      <c r="Q68" s="28"/>
      <c r="R68" s="28"/>
      <c r="S68" s="28"/>
      <c r="T68" s="28"/>
      <c r="U68" s="3"/>
      <c r="V68" s="14"/>
    </row>
    <row r="69" spans="1:22" ht="14.4" hidden="1" outlineLevel="1" x14ac:dyDescent="0.3">
      <c r="A69" s="3"/>
      <c r="B69" s="9" t="s">
        <v>1948</v>
      </c>
      <c r="C69" s="71"/>
      <c r="D69" s="53"/>
      <c r="E69" s="11">
        <v>0</v>
      </c>
      <c r="F69" s="11">
        <v>0</v>
      </c>
      <c r="G69" s="56"/>
      <c r="H69" s="56"/>
      <c r="I69" s="102"/>
      <c r="J69" s="80"/>
      <c r="K69" s="28"/>
      <c r="L69" s="28"/>
      <c r="M69" s="28"/>
      <c r="N69" s="28"/>
      <c r="O69" s="28"/>
      <c r="P69" s="28"/>
      <c r="Q69" s="28"/>
      <c r="R69" s="28"/>
      <c r="S69" s="28"/>
      <c r="T69" s="28"/>
      <c r="U69" s="3"/>
      <c r="V69" s="14"/>
    </row>
    <row r="70" spans="1:22" ht="14.4" hidden="1" outlineLevel="1" x14ac:dyDescent="0.3">
      <c r="A70" s="3"/>
      <c r="B70" s="9" t="s">
        <v>1948</v>
      </c>
      <c r="C70" s="71"/>
      <c r="D70" s="53"/>
      <c r="E70" s="11">
        <v>0</v>
      </c>
      <c r="F70" s="11">
        <v>0</v>
      </c>
      <c r="G70" s="56"/>
      <c r="H70" s="56"/>
      <c r="I70" s="102"/>
      <c r="J70" s="80"/>
      <c r="K70" s="28"/>
      <c r="L70" s="28"/>
      <c r="M70" s="28"/>
      <c r="N70" s="28"/>
      <c r="O70" s="28"/>
      <c r="P70" s="28"/>
      <c r="Q70" s="28"/>
      <c r="R70" s="28"/>
      <c r="S70" s="28"/>
      <c r="T70" s="28"/>
      <c r="U70" s="3"/>
      <c r="V70" s="14"/>
    </row>
    <row r="71" spans="1:22" ht="14.4" outlineLevel="1" x14ac:dyDescent="0.3">
      <c r="A71" s="3"/>
      <c r="B71" s="9" t="s">
        <v>2130</v>
      </c>
      <c r="C71" s="71">
        <v>17</v>
      </c>
      <c r="D71" s="53" t="s">
        <v>95</v>
      </c>
      <c r="E71" s="11">
        <v>0</v>
      </c>
      <c r="F71" s="11">
        <v>961.72</v>
      </c>
      <c r="G71" s="56"/>
      <c r="H71" s="56" t="s">
        <v>37</v>
      </c>
      <c r="I71" s="102" t="s">
        <v>2131</v>
      </c>
      <c r="J71" s="80"/>
      <c r="K71" s="28"/>
      <c r="L71" s="28"/>
      <c r="M71" s="28"/>
      <c r="N71" s="28"/>
      <c r="O71" s="28"/>
      <c r="P71" s="28"/>
      <c r="Q71" s="28"/>
      <c r="R71" s="28"/>
      <c r="S71" s="28"/>
      <c r="T71" s="28"/>
      <c r="U71" s="3"/>
      <c r="V71" s="14"/>
    </row>
    <row r="72" spans="1:22" ht="14.4" outlineLevel="1" x14ac:dyDescent="0.3">
      <c r="A72" s="3"/>
      <c r="B72" s="9" t="s">
        <v>1203</v>
      </c>
      <c r="C72" s="71">
        <v>17</v>
      </c>
      <c r="D72" s="53" t="s">
        <v>95</v>
      </c>
      <c r="E72" s="11">
        <v>0</v>
      </c>
      <c r="F72" s="11">
        <v>44.9</v>
      </c>
      <c r="G72" s="56"/>
      <c r="H72" s="56" t="s">
        <v>37</v>
      </c>
      <c r="I72" s="102" t="s">
        <v>2132</v>
      </c>
      <c r="J72" s="80"/>
      <c r="K72" s="28"/>
      <c r="L72" s="28"/>
      <c r="M72" s="28"/>
      <c r="N72" s="28"/>
      <c r="O72" s="28"/>
      <c r="P72" s="28"/>
      <c r="Q72" s="28"/>
      <c r="R72" s="28"/>
      <c r="S72" s="28"/>
      <c r="T72" s="28"/>
      <c r="U72" s="3"/>
      <c r="V72" s="14"/>
    </row>
    <row r="73" spans="1:22" ht="14.4" outlineLevel="1" x14ac:dyDescent="0.3">
      <c r="A73" s="3"/>
      <c r="B73" s="9" t="s">
        <v>1203</v>
      </c>
      <c r="C73" s="71">
        <v>18</v>
      </c>
      <c r="D73" s="53" t="s">
        <v>95</v>
      </c>
      <c r="E73" s="11">
        <v>0</v>
      </c>
      <c r="F73" s="11">
        <v>30</v>
      </c>
      <c r="G73" s="56"/>
      <c r="H73" s="56" t="s">
        <v>37</v>
      </c>
      <c r="I73" s="102" t="s">
        <v>2129</v>
      </c>
      <c r="J73" s="80"/>
      <c r="K73" s="28"/>
      <c r="L73" s="28"/>
      <c r="M73" s="28"/>
      <c r="N73" s="28"/>
      <c r="O73" s="28"/>
      <c r="P73" s="28"/>
      <c r="Q73" s="28"/>
      <c r="R73" s="28"/>
      <c r="S73" s="28"/>
      <c r="T73" s="28"/>
      <c r="U73" s="3"/>
      <c r="V73" s="14"/>
    </row>
    <row r="74" spans="1:22" ht="14.4" hidden="1" outlineLevel="1" x14ac:dyDescent="0.3">
      <c r="A74" s="3"/>
      <c r="B74" s="9" t="s">
        <v>1203</v>
      </c>
      <c r="C74" s="71"/>
      <c r="D74" s="53"/>
      <c r="E74" s="11">
        <v>0</v>
      </c>
      <c r="F74" s="11">
        <v>0</v>
      </c>
      <c r="G74" s="56"/>
      <c r="H74" s="56"/>
      <c r="I74" s="102"/>
      <c r="J74" s="80"/>
      <c r="K74" s="28"/>
      <c r="L74" s="28"/>
      <c r="M74" s="28"/>
      <c r="N74" s="28"/>
      <c r="O74" s="28"/>
      <c r="P74" s="28"/>
      <c r="Q74" s="28"/>
      <c r="R74" s="28"/>
      <c r="S74" s="28"/>
      <c r="T74" s="28"/>
      <c r="U74" s="3"/>
      <c r="V74" s="14"/>
    </row>
    <row r="75" spans="1:22" ht="14.4" hidden="1" outlineLevel="1" x14ac:dyDescent="0.3">
      <c r="A75" s="3"/>
      <c r="B75" s="9" t="s">
        <v>1203</v>
      </c>
      <c r="C75" s="71"/>
      <c r="D75" s="53"/>
      <c r="E75" s="11">
        <v>0</v>
      </c>
      <c r="F75" s="11">
        <v>0</v>
      </c>
      <c r="G75" s="56"/>
      <c r="H75" s="56"/>
      <c r="I75" s="102"/>
      <c r="J75" s="80"/>
      <c r="K75" s="28"/>
      <c r="L75" s="28"/>
      <c r="M75" s="28"/>
      <c r="N75" s="28"/>
      <c r="O75" s="28"/>
      <c r="P75" s="28"/>
      <c r="Q75" s="28"/>
      <c r="R75" s="28"/>
      <c r="S75" s="28"/>
      <c r="T75" s="28"/>
      <c r="U75" s="3"/>
      <c r="V75" s="14"/>
    </row>
    <row r="76" spans="1:22" ht="14.4" hidden="1" outlineLevel="1" x14ac:dyDescent="0.3">
      <c r="A76" s="3"/>
      <c r="B76" s="9" t="s">
        <v>1203</v>
      </c>
      <c r="C76" s="71"/>
      <c r="D76" s="53"/>
      <c r="E76" s="11">
        <v>0</v>
      </c>
      <c r="F76" s="11">
        <v>0</v>
      </c>
      <c r="G76" s="56"/>
      <c r="H76" s="56"/>
      <c r="I76" s="102"/>
      <c r="J76" s="80"/>
      <c r="K76" s="28"/>
      <c r="L76" s="28"/>
      <c r="M76" s="28"/>
      <c r="N76" s="28"/>
      <c r="O76" s="28"/>
      <c r="P76" s="28"/>
      <c r="Q76" s="28"/>
      <c r="R76" s="28"/>
      <c r="S76" s="28"/>
      <c r="T76" s="28"/>
      <c r="U76" s="3"/>
      <c r="V76" s="14"/>
    </row>
    <row r="77" spans="1:22" ht="14.4" outlineLevel="1" x14ac:dyDescent="0.3">
      <c r="A77" s="3"/>
      <c r="B77" s="9" t="s">
        <v>331</v>
      </c>
      <c r="C77" s="71">
        <v>1</v>
      </c>
      <c r="D77" s="53" t="s">
        <v>95</v>
      </c>
      <c r="E77" s="11">
        <v>0</v>
      </c>
      <c r="F77" s="11">
        <v>209.65</v>
      </c>
      <c r="G77" s="56" t="s">
        <v>2133</v>
      </c>
      <c r="H77" s="56" t="s">
        <v>37</v>
      </c>
      <c r="I77" s="102" t="s">
        <v>2134</v>
      </c>
      <c r="J77" s="80"/>
      <c r="K77" s="28"/>
      <c r="L77" s="28"/>
      <c r="M77" s="28"/>
      <c r="N77" s="28"/>
      <c r="O77" s="28"/>
      <c r="P77" s="28"/>
      <c r="Q77" s="28"/>
      <c r="R77" s="28"/>
      <c r="S77" s="28"/>
      <c r="T77" s="28"/>
      <c r="U77" s="3"/>
      <c r="V77" s="14"/>
    </row>
    <row r="78" spans="1:22" ht="14.4" outlineLevel="1" x14ac:dyDescent="0.3">
      <c r="A78" s="3"/>
      <c r="B78" s="9" t="s">
        <v>331</v>
      </c>
      <c r="C78" s="71">
        <v>14</v>
      </c>
      <c r="D78" s="53" t="s">
        <v>95</v>
      </c>
      <c r="E78" s="11">
        <v>0</v>
      </c>
      <c r="F78" s="11">
        <v>82.5</v>
      </c>
      <c r="G78" s="56"/>
      <c r="H78" s="56" t="s">
        <v>37</v>
      </c>
      <c r="I78" s="102" t="s">
        <v>2135</v>
      </c>
      <c r="J78" s="80"/>
      <c r="K78" s="28"/>
      <c r="L78" s="28"/>
      <c r="M78" s="28"/>
      <c r="N78" s="28"/>
      <c r="O78" s="28"/>
      <c r="P78" s="28"/>
      <c r="Q78" s="28"/>
      <c r="R78" s="28"/>
      <c r="S78" s="28"/>
      <c r="T78" s="28"/>
      <c r="U78" s="3"/>
      <c r="V78" s="14"/>
    </row>
    <row r="79" spans="1:22" ht="14.4" outlineLevel="1" x14ac:dyDescent="0.3">
      <c r="A79" s="3"/>
      <c r="B79" s="9" t="s">
        <v>331</v>
      </c>
      <c r="C79" s="71">
        <v>17</v>
      </c>
      <c r="D79" s="53" t="s">
        <v>95</v>
      </c>
      <c r="E79" s="11">
        <v>0</v>
      </c>
      <c r="F79" s="11">
        <v>50</v>
      </c>
      <c r="G79" s="56"/>
      <c r="H79" s="56" t="s">
        <v>37</v>
      </c>
      <c r="I79" s="102" t="s">
        <v>2136</v>
      </c>
      <c r="J79" s="80"/>
      <c r="K79" s="28"/>
      <c r="L79" s="28"/>
      <c r="M79" s="28"/>
      <c r="N79" s="28"/>
      <c r="O79" s="28"/>
      <c r="P79" s="28"/>
      <c r="Q79" s="28"/>
      <c r="R79" s="28"/>
      <c r="S79" s="28"/>
      <c r="T79" s="28"/>
      <c r="U79" s="3"/>
      <c r="V79" s="14"/>
    </row>
    <row r="80" spans="1:22" ht="14.4" outlineLevel="1" x14ac:dyDescent="0.3">
      <c r="A80" s="3"/>
      <c r="B80" s="9" t="s">
        <v>335</v>
      </c>
      <c r="C80" s="53">
        <v>18</v>
      </c>
      <c r="D80" s="53" t="s">
        <v>95</v>
      </c>
      <c r="E80" s="11">
        <v>0</v>
      </c>
      <c r="F80" s="11">
        <v>176</v>
      </c>
      <c r="G80" s="80"/>
      <c r="H80" s="56" t="s">
        <v>37</v>
      </c>
      <c r="I80" s="102" t="s">
        <v>2137</v>
      </c>
      <c r="J80" s="56"/>
      <c r="K80" s="28"/>
      <c r="L80" s="28"/>
      <c r="M80" s="28"/>
      <c r="N80" s="28"/>
      <c r="O80" s="28"/>
      <c r="P80" s="28"/>
      <c r="Q80" s="28"/>
      <c r="R80" s="28"/>
      <c r="S80" s="28"/>
      <c r="T80" s="28"/>
      <c r="U80" s="3"/>
    </row>
    <row r="81" spans="1:26" ht="14.4" hidden="1" outlineLevel="1" x14ac:dyDescent="0.3">
      <c r="A81" s="3"/>
      <c r="B81" s="9" t="s">
        <v>335</v>
      </c>
      <c r="C81" s="53"/>
      <c r="D81" s="53"/>
      <c r="E81" s="11">
        <v>0</v>
      </c>
      <c r="F81" s="11">
        <v>0</v>
      </c>
      <c r="G81" s="56"/>
      <c r="H81" s="56"/>
      <c r="I81" s="102"/>
      <c r="J81" s="56"/>
      <c r="K81" s="28"/>
      <c r="L81" s="28"/>
      <c r="M81" s="28"/>
      <c r="N81" s="28"/>
      <c r="O81" s="28"/>
      <c r="P81" s="28"/>
      <c r="Q81" s="28"/>
      <c r="R81" s="28"/>
      <c r="S81" s="28"/>
      <c r="T81" s="28"/>
      <c r="U81" s="3"/>
    </row>
    <row r="82" spans="1:26" ht="14.4" hidden="1" outlineLevel="1" x14ac:dyDescent="0.3">
      <c r="A82" s="3"/>
      <c r="B82" s="9" t="s">
        <v>628</v>
      </c>
      <c r="C82" s="71"/>
      <c r="D82" s="53"/>
      <c r="E82" s="11">
        <v>0</v>
      </c>
      <c r="F82" s="11">
        <v>0</v>
      </c>
      <c r="G82" s="56"/>
      <c r="H82" s="56"/>
      <c r="I82" s="145"/>
      <c r="J82" s="80"/>
      <c r="K82" s="28"/>
      <c r="L82" s="28"/>
      <c r="M82" s="28"/>
      <c r="N82" s="28"/>
      <c r="O82" s="28"/>
      <c r="P82" s="28"/>
      <c r="Q82" s="28"/>
      <c r="R82" s="28"/>
      <c r="S82" s="28"/>
      <c r="T82" s="28"/>
      <c r="U82" s="3"/>
    </row>
    <row r="83" spans="1:26" ht="14.4" hidden="1" outlineLevel="1" x14ac:dyDescent="0.3">
      <c r="A83" s="3"/>
      <c r="B83" s="9" t="s">
        <v>628</v>
      </c>
      <c r="C83" s="71"/>
      <c r="D83" s="53"/>
      <c r="E83" s="11">
        <v>0</v>
      </c>
      <c r="F83" s="11">
        <v>0</v>
      </c>
      <c r="G83" s="56"/>
      <c r="H83" s="56"/>
      <c r="I83" s="145"/>
      <c r="J83" s="80"/>
      <c r="K83" s="28"/>
      <c r="L83" s="28"/>
      <c r="M83" s="28"/>
      <c r="N83" s="28"/>
      <c r="O83" s="28"/>
      <c r="P83" s="28"/>
      <c r="Q83" s="28"/>
      <c r="R83" s="28"/>
      <c r="S83" s="28"/>
      <c r="T83" s="28"/>
      <c r="U83" s="3"/>
    </row>
    <row r="84" spans="1:26" ht="14.4" hidden="1" outlineLevel="1" x14ac:dyDescent="0.3">
      <c r="A84" s="3"/>
      <c r="B84" s="9" t="s">
        <v>630</v>
      </c>
      <c r="C84" s="71"/>
      <c r="D84" s="53"/>
      <c r="E84" s="11">
        <v>0</v>
      </c>
      <c r="F84" s="11">
        <v>0</v>
      </c>
      <c r="G84" s="56"/>
      <c r="H84" s="56"/>
      <c r="I84" s="102"/>
      <c r="J84" s="80"/>
      <c r="K84" s="28"/>
      <c r="L84" s="28"/>
      <c r="M84" s="28"/>
      <c r="N84" s="28"/>
      <c r="O84" s="28"/>
      <c r="P84" s="28"/>
      <c r="Q84" s="28"/>
      <c r="R84" s="28"/>
      <c r="S84" s="28"/>
      <c r="T84" s="28"/>
      <c r="U84" s="3"/>
    </row>
    <row r="85" spans="1:26" ht="14.4" hidden="1" outlineLevel="1" x14ac:dyDescent="0.3">
      <c r="A85" s="3"/>
      <c r="B85" s="9" t="s">
        <v>630</v>
      </c>
      <c r="C85" s="71"/>
      <c r="D85" s="53"/>
      <c r="E85" s="11">
        <v>0</v>
      </c>
      <c r="F85" s="11">
        <v>0</v>
      </c>
      <c r="G85" s="56"/>
      <c r="H85" s="56"/>
      <c r="I85" s="102"/>
      <c r="J85" s="80"/>
      <c r="K85" s="28"/>
      <c r="L85" s="28"/>
      <c r="M85" s="28"/>
      <c r="N85" s="28"/>
      <c r="O85" s="28"/>
      <c r="P85" s="28"/>
      <c r="Q85" s="28"/>
      <c r="R85" s="28"/>
      <c r="S85" s="28"/>
      <c r="T85" s="28"/>
      <c r="U85" s="3"/>
    </row>
    <row r="86" spans="1:26" ht="14.4" hidden="1" outlineLevel="1" x14ac:dyDescent="0.3">
      <c r="A86" s="3"/>
      <c r="B86" s="9" t="s">
        <v>630</v>
      </c>
      <c r="C86" s="71"/>
      <c r="D86" s="53"/>
      <c r="E86" s="11">
        <v>0</v>
      </c>
      <c r="F86" s="11">
        <v>0</v>
      </c>
      <c r="G86" s="56"/>
      <c r="H86" s="56"/>
      <c r="I86" s="102"/>
      <c r="J86" s="80"/>
      <c r="K86" s="28"/>
      <c r="L86" s="28"/>
      <c r="M86" s="28"/>
      <c r="N86" s="28"/>
      <c r="O86" s="28"/>
      <c r="P86" s="28"/>
      <c r="Q86" s="28"/>
      <c r="R86" s="28"/>
      <c r="S86" s="28"/>
      <c r="T86" s="28"/>
      <c r="U86" s="3"/>
    </row>
    <row r="87" spans="1:26" ht="14.4" hidden="1" outlineLevel="1" x14ac:dyDescent="0.3">
      <c r="A87" s="3"/>
      <c r="B87" s="9" t="s">
        <v>1612</v>
      </c>
      <c r="C87" s="71"/>
      <c r="D87" s="53"/>
      <c r="E87" s="11">
        <v>0</v>
      </c>
      <c r="F87" s="11">
        <v>0</v>
      </c>
      <c r="G87" s="56"/>
      <c r="H87" s="56"/>
      <c r="I87" s="144"/>
      <c r="J87" s="56"/>
      <c r="K87" s="28"/>
      <c r="L87" s="28"/>
      <c r="M87" s="28"/>
      <c r="N87" s="28"/>
      <c r="O87" s="28"/>
      <c r="P87" s="28"/>
      <c r="Q87" s="28"/>
      <c r="R87" s="28"/>
      <c r="S87" s="28"/>
      <c r="T87" s="28"/>
      <c r="U87" s="3"/>
      <c r="W87" s="3"/>
      <c r="X87" s="3"/>
      <c r="Y87" s="3"/>
      <c r="Z87" s="3"/>
    </row>
    <row r="88" spans="1:26" ht="14.4" hidden="1" outlineLevel="1" x14ac:dyDescent="0.3">
      <c r="A88" s="3"/>
      <c r="B88" s="9" t="s">
        <v>331</v>
      </c>
      <c r="C88" s="53"/>
      <c r="D88" s="53"/>
      <c r="E88" s="11">
        <v>0</v>
      </c>
      <c r="F88" s="11">
        <v>0</v>
      </c>
      <c r="G88" s="56"/>
      <c r="H88" s="56"/>
      <c r="I88" s="102"/>
      <c r="J88" s="56"/>
      <c r="K88" s="28"/>
      <c r="L88" s="28"/>
      <c r="M88" s="28"/>
      <c r="N88" s="28"/>
      <c r="O88" s="28"/>
      <c r="P88" s="28"/>
      <c r="Q88" s="28"/>
      <c r="R88" s="28"/>
      <c r="S88" s="28"/>
      <c r="T88" s="28"/>
      <c r="U88" s="3"/>
      <c r="W88" s="3"/>
      <c r="X88" s="3"/>
      <c r="Y88" s="3"/>
      <c r="Z88" s="3"/>
    </row>
    <row r="89" spans="1:26" ht="14.4" hidden="1" outlineLevel="1" x14ac:dyDescent="0.3">
      <c r="A89" s="3"/>
      <c r="B89" s="9" t="s">
        <v>812</v>
      </c>
      <c r="C89" s="53"/>
      <c r="D89" s="53"/>
      <c r="E89" s="11">
        <v>0</v>
      </c>
      <c r="F89" s="11">
        <v>0</v>
      </c>
      <c r="G89" s="80"/>
      <c r="H89" s="56"/>
      <c r="I89" s="102"/>
      <c r="J89" s="56"/>
      <c r="K89" s="28"/>
      <c r="L89" s="28"/>
      <c r="M89" s="28"/>
      <c r="N89" s="28"/>
      <c r="O89" s="28"/>
      <c r="P89" s="28"/>
      <c r="Q89" s="28"/>
      <c r="R89" s="28"/>
      <c r="S89" s="28"/>
      <c r="T89" s="28"/>
      <c r="U89" s="3"/>
      <c r="W89" s="3"/>
      <c r="X89" s="3"/>
      <c r="Y89" s="3"/>
      <c r="Z89" s="3"/>
    </row>
    <row r="90" spans="1:26" ht="20.399999999999999" hidden="1" x14ac:dyDescent="0.3">
      <c r="A90" s="3"/>
      <c r="B90" s="75" t="s">
        <v>349</v>
      </c>
      <c r="C90" s="76" t="s">
        <v>44</v>
      </c>
      <c r="D90" s="76" t="s">
        <v>44</v>
      </c>
      <c r="E90" s="77">
        <f t="shared" ref="E90:F90" si="0">SUM(E91,E107,E112)</f>
        <v>0</v>
      </c>
      <c r="F90" s="77">
        <f t="shared" si="0"/>
        <v>0</v>
      </c>
      <c r="G90" s="78"/>
      <c r="H90" s="78"/>
      <c r="I90" s="79"/>
      <c r="J90" s="78"/>
      <c r="K90" s="28"/>
      <c r="L90" s="28"/>
      <c r="M90" s="28"/>
      <c r="N90" s="28"/>
      <c r="O90" s="28"/>
      <c r="P90" s="28"/>
      <c r="Q90" s="28"/>
      <c r="R90" s="28"/>
      <c r="S90" s="28"/>
      <c r="T90" s="28"/>
      <c r="U90" s="3"/>
      <c r="W90" s="3"/>
      <c r="X90" s="3"/>
      <c r="Y90" s="3"/>
      <c r="Z90" s="3"/>
    </row>
    <row r="91" spans="1:26" hidden="1" outlineLevel="1" x14ac:dyDescent="0.3">
      <c r="A91" s="3"/>
      <c r="B91" s="82" t="s">
        <v>350</v>
      </c>
      <c r="C91" s="83"/>
      <c r="D91" s="83"/>
      <c r="E91" s="84">
        <f>SUM(E92:E106)</f>
        <v>0</v>
      </c>
      <c r="F91" s="84">
        <f>SUMIF(D92:D106,"OK",F92:F106)</f>
        <v>0</v>
      </c>
      <c r="G91" s="85"/>
      <c r="H91" s="85"/>
      <c r="I91" s="86"/>
      <c r="J91" s="85"/>
      <c r="K91" s="28"/>
      <c r="L91" s="28"/>
      <c r="M91" s="28"/>
      <c r="N91" s="28"/>
      <c r="O91" s="28"/>
      <c r="P91" s="28"/>
      <c r="Q91" s="28"/>
      <c r="R91" s="28"/>
      <c r="S91" s="28"/>
      <c r="T91" s="28"/>
      <c r="U91" s="3"/>
      <c r="W91" s="3"/>
      <c r="X91" s="3"/>
      <c r="Y91" s="3"/>
      <c r="Z91" s="3"/>
    </row>
    <row r="92" spans="1:26" ht="14.4" hidden="1" outlineLevel="1" x14ac:dyDescent="0.3">
      <c r="A92" s="3"/>
      <c r="B92" s="9" t="s">
        <v>363</v>
      </c>
      <c r="C92" s="53"/>
      <c r="D92" s="53"/>
      <c r="E92" s="11">
        <v>0</v>
      </c>
      <c r="F92" s="11">
        <v>0</v>
      </c>
      <c r="G92" s="56"/>
      <c r="H92" s="56"/>
      <c r="I92" s="102"/>
      <c r="J92" s="56"/>
      <c r="K92" s="28"/>
      <c r="L92" s="28"/>
      <c r="M92" s="28"/>
      <c r="N92" s="28"/>
      <c r="O92" s="28"/>
      <c r="P92" s="28"/>
      <c r="Q92" s="28"/>
      <c r="R92" s="28"/>
      <c r="S92" s="28"/>
      <c r="T92" s="28"/>
      <c r="U92" s="3"/>
      <c r="W92" s="3"/>
      <c r="X92" s="3"/>
      <c r="Y92" s="3"/>
      <c r="Z92" s="3"/>
    </row>
    <row r="93" spans="1:26" ht="14.4" hidden="1" outlineLevel="1" x14ac:dyDescent="0.3">
      <c r="A93" s="3"/>
      <c r="B93" s="9" t="s">
        <v>363</v>
      </c>
      <c r="C93" s="53"/>
      <c r="D93" s="53"/>
      <c r="E93" s="11">
        <v>0</v>
      </c>
      <c r="F93" s="11">
        <v>0</v>
      </c>
      <c r="G93" s="56"/>
      <c r="H93" s="56"/>
      <c r="I93" s="102"/>
      <c r="J93" s="56"/>
      <c r="K93" s="28"/>
      <c r="L93" s="28"/>
      <c r="M93" s="28"/>
      <c r="N93" s="28"/>
      <c r="O93" s="28"/>
      <c r="P93" s="28"/>
      <c r="Q93" s="28"/>
      <c r="R93" s="28"/>
      <c r="S93" s="28"/>
      <c r="T93" s="28"/>
      <c r="U93" s="3"/>
      <c r="W93" s="3"/>
      <c r="X93" s="3"/>
      <c r="Y93" s="3"/>
      <c r="Z93" s="3"/>
    </row>
    <row r="94" spans="1:26" ht="14.4" hidden="1" outlineLevel="1" x14ac:dyDescent="0.3">
      <c r="A94" s="3"/>
      <c r="B94" s="9" t="s">
        <v>363</v>
      </c>
      <c r="C94" s="53"/>
      <c r="D94" s="53"/>
      <c r="E94" s="11">
        <v>0</v>
      </c>
      <c r="F94" s="11">
        <v>0</v>
      </c>
      <c r="G94" s="56"/>
      <c r="H94" s="56"/>
      <c r="I94" s="102"/>
      <c r="J94" s="56"/>
      <c r="K94" s="28"/>
      <c r="L94" s="28"/>
      <c r="M94" s="28"/>
      <c r="N94" s="28"/>
      <c r="O94" s="28"/>
      <c r="P94" s="28"/>
      <c r="Q94" s="28"/>
      <c r="R94" s="28"/>
      <c r="S94" s="28"/>
      <c r="T94" s="28"/>
      <c r="U94" s="3"/>
      <c r="W94" s="3"/>
      <c r="X94" s="3"/>
      <c r="Y94" s="3"/>
      <c r="Z94" s="3"/>
    </row>
    <row r="95" spans="1:26" ht="14.4" hidden="1" outlineLevel="1" x14ac:dyDescent="0.3">
      <c r="A95" s="3"/>
      <c r="B95" s="9" t="s">
        <v>363</v>
      </c>
      <c r="C95" s="53"/>
      <c r="D95" s="53"/>
      <c r="E95" s="11">
        <v>0</v>
      </c>
      <c r="F95" s="11">
        <v>0</v>
      </c>
      <c r="G95" s="56"/>
      <c r="H95" s="56"/>
      <c r="I95" s="102"/>
      <c r="J95" s="56"/>
      <c r="K95" s="28"/>
      <c r="L95" s="28"/>
      <c r="M95" s="28"/>
      <c r="N95" s="28"/>
      <c r="O95" s="28"/>
      <c r="P95" s="28"/>
      <c r="Q95" s="28"/>
      <c r="R95" s="28"/>
      <c r="S95" s="28"/>
      <c r="T95" s="28"/>
      <c r="U95" s="3"/>
      <c r="W95" s="3"/>
      <c r="X95" s="3"/>
      <c r="Y95" s="3"/>
      <c r="Z95" s="3"/>
    </row>
    <row r="96" spans="1:26" ht="14.4" hidden="1" outlineLevel="1" x14ac:dyDescent="0.3">
      <c r="A96" s="3"/>
      <c r="B96" s="9" t="s">
        <v>363</v>
      </c>
      <c r="C96" s="53"/>
      <c r="D96" s="53"/>
      <c r="E96" s="11">
        <v>0</v>
      </c>
      <c r="F96" s="11">
        <v>0</v>
      </c>
      <c r="G96" s="56"/>
      <c r="H96" s="56"/>
      <c r="I96" s="102"/>
      <c r="J96" s="56"/>
      <c r="K96" s="28"/>
      <c r="L96" s="28"/>
      <c r="M96" s="28"/>
      <c r="N96" s="28"/>
      <c r="O96" s="28"/>
      <c r="P96" s="28"/>
      <c r="Q96" s="28"/>
      <c r="R96" s="28"/>
      <c r="S96" s="28"/>
      <c r="T96" s="28"/>
      <c r="U96" s="3"/>
      <c r="W96" s="3"/>
      <c r="X96" s="3"/>
      <c r="Y96" s="3"/>
      <c r="Z96" s="3"/>
    </row>
    <row r="97" spans="1:26" ht="14.4" hidden="1" outlineLevel="1" x14ac:dyDescent="0.3">
      <c r="A97" s="3"/>
      <c r="B97" s="9" t="s">
        <v>363</v>
      </c>
      <c r="C97" s="53"/>
      <c r="D97" s="53"/>
      <c r="E97" s="11">
        <v>0</v>
      </c>
      <c r="F97" s="11">
        <v>0</v>
      </c>
      <c r="G97" s="56"/>
      <c r="H97" s="56"/>
      <c r="I97" s="102"/>
      <c r="J97" s="56"/>
      <c r="K97" s="28"/>
      <c r="L97" s="28"/>
      <c r="M97" s="28"/>
      <c r="N97" s="28"/>
      <c r="O97" s="28"/>
      <c r="P97" s="28"/>
      <c r="Q97" s="28"/>
      <c r="R97" s="28"/>
      <c r="S97" s="28"/>
      <c r="T97" s="28"/>
      <c r="U97" s="3"/>
      <c r="W97" s="3"/>
      <c r="X97" s="3"/>
      <c r="Y97" s="3"/>
      <c r="Z97" s="3"/>
    </row>
    <row r="98" spans="1:26" ht="14.4" hidden="1" outlineLevel="1" x14ac:dyDescent="0.3">
      <c r="A98" s="3"/>
      <c r="B98" s="9" t="s">
        <v>363</v>
      </c>
      <c r="C98" s="53"/>
      <c r="D98" s="53"/>
      <c r="E98" s="11">
        <v>0</v>
      </c>
      <c r="F98" s="11">
        <v>0</v>
      </c>
      <c r="G98" s="56"/>
      <c r="H98" s="56"/>
      <c r="I98" s="102"/>
      <c r="J98" s="56"/>
      <c r="K98" s="28"/>
      <c r="L98" s="28"/>
      <c r="M98" s="28"/>
      <c r="N98" s="28"/>
      <c r="O98" s="28"/>
      <c r="P98" s="28"/>
      <c r="Q98" s="28"/>
      <c r="R98" s="28"/>
      <c r="S98" s="28"/>
      <c r="T98" s="28"/>
      <c r="U98" s="3"/>
      <c r="W98" s="3"/>
      <c r="X98" s="3"/>
      <c r="Y98" s="3"/>
      <c r="Z98" s="3"/>
    </row>
    <row r="99" spans="1:26" ht="14.4" hidden="1" outlineLevel="1" x14ac:dyDescent="0.3">
      <c r="A99" s="3"/>
      <c r="B99" s="9" t="s">
        <v>363</v>
      </c>
      <c r="C99" s="53"/>
      <c r="D99" s="53"/>
      <c r="E99" s="11">
        <v>0</v>
      </c>
      <c r="F99" s="11">
        <v>0</v>
      </c>
      <c r="G99" s="56"/>
      <c r="H99" s="56"/>
      <c r="I99" s="102"/>
      <c r="J99" s="56"/>
      <c r="K99" s="28"/>
      <c r="L99" s="28"/>
      <c r="M99" s="28"/>
      <c r="N99" s="28"/>
      <c r="O99" s="28"/>
      <c r="P99" s="28"/>
      <c r="Q99" s="28"/>
      <c r="R99" s="28"/>
      <c r="S99" s="28"/>
      <c r="T99" s="28"/>
      <c r="U99" s="3"/>
      <c r="W99" s="3"/>
      <c r="X99" s="3"/>
      <c r="Y99" s="3"/>
      <c r="Z99" s="3"/>
    </row>
    <row r="100" spans="1:26" ht="14.4" hidden="1" outlineLevel="1" x14ac:dyDescent="0.3">
      <c r="A100" s="3"/>
      <c r="B100" s="9" t="s">
        <v>363</v>
      </c>
      <c r="C100" s="53"/>
      <c r="D100" s="53"/>
      <c r="E100" s="11">
        <v>0</v>
      </c>
      <c r="F100" s="11">
        <v>0</v>
      </c>
      <c r="G100" s="56"/>
      <c r="H100" s="56"/>
      <c r="I100" s="102"/>
      <c r="J100" s="56"/>
      <c r="K100" s="28"/>
      <c r="L100" s="28"/>
      <c r="M100" s="28"/>
      <c r="N100" s="28"/>
      <c r="O100" s="28"/>
      <c r="P100" s="28"/>
      <c r="Q100" s="28"/>
      <c r="R100" s="28"/>
      <c r="S100" s="28"/>
      <c r="T100" s="28"/>
      <c r="U100" s="3"/>
      <c r="W100" s="3"/>
      <c r="X100" s="3"/>
      <c r="Y100" s="3"/>
      <c r="Z100" s="3"/>
    </row>
    <row r="101" spans="1:26" ht="14.4" hidden="1" outlineLevel="1" x14ac:dyDescent="0.3">
      <c r="A101" s="3"/>
      <c r="B101" s="9" t="s">
        <v>363</v>
      </c>
      <c r="C101" s="53"/>
      <c r="D101" s="53"/>
      <c r="E101" s="11">
        <v>0</v>
      </c>
      <c r="F101" s="11">
        <v>0</v>
      </c>
      <c r="G101" s="56"/>
      <c r="H101" s="56"/>
      <c r="I101" s="102"/>
      <c r="J101" s="56"/>
      <c r="K101" s="28"/>
      <c r="L101" s="28"/>
      <c r="M101" s="28"/>
      <c r="N101" s="28"/>
      <c r="O101" s="28"/>
      <c r="P101" s="28"/>
      <c r="Q101" s="28"/>
      <c r="R101" s="28"/>
      <c r="S101" s="28"/>
      <c r="T101" s="28"/>
      <c r="U101" s="3"/>
      <c r="W101" s="3"/>
      <c r="X101" s="3"/>
      <c r="Y101" s="3"/>
      <c r="Z101" s="3"/>
    </row>
    <row r="102" spans="1:26" ht="14.4" hidden="1" outlineLevel="1" x14ac:dyDescent="0.3">
      <c r="A102" s="3"/>
      <c r="B102" s="9" t="s">
        <v>363</v>
      </c>
      <c r="C102" s="53"/>
      <c r="D102" s="53"/>
      <c r="E102" s="11">
        <v>0</v>
      </c>
      <c r="F102" s="11">
        <v>0</v>
      </c>
      <c r="G102" s="80"/>
      <c r="H102" s="56"/>
      <c r="I102" s="102"/>
      <c r="J102" s="56"/>
      <c r="K102" s="28"/>
      <c r="L102" s="28"/>
      <c r="M102" s="28"/>
      <c r="N102" s="28"/>
      <c r="O102" s="28"/>
      <c r="P102" s="28"/>
      <c r="Q102" s="28"/>
      <c r="R102" s="28"/>
      <c r="S102" s="28"/>
      <c r="T102" s="28"/>
      <c r="U102" s="3"/>
      <c r="W102" s="3"/>
      <c r="X102" s="3"/>
      <c r="Y102" s="3"/>
      <c r="Z102" s="3"/>
    </row>
    <row r="103" spans="1:26" ht="14.4" hidden="1" outlineLevel="1" x14ac:dyDescent="0.3">
      <c r="A103" s="3"/>
      <c r="B103" s="9" t="s">
        <v>363</v>
      </c>
      <c r="C103" s="53"/>
      <c r="D103" s="53"/>
      <c r="E103" s="11">
        <v>0</v>
      </c>
      <c r="F103" s="11">
        <v>0</v>
      </c>
      <c r="G103" s="56"/>
      <c r="H103" s="56"/>
      <c r="I103" s="102"/>
      <c r="J103" s="56"/>
      <c r="K103" s="28"/>
      <c r="L103" s="28"/>
      <c r="M103" s="28"/>
      <c r="N103" s="28"/>
      <c r="O103" s="28"/>
      <c r="P103" s="28"/>
      <c r="Q103" s="28"/>
      <c r="R103" s="28"/>
      <c r="S103" s="28"/>
      <c r="T103" s="28"/>
      <c r="U103" s="3"/>
      <c r="W103" s="3"/>
      <c r="X103" s="3"/>
      <c r="Y103" s="3"/>
      <c r="Z103" s="3"/>
    </row>
    <row r="104" spans="1:26" ht="14.4" hidden="1" outlineLevel="1" x14ac:dyDescent="0.3">
      <c r="A104" s="3"/>
      <c r="B104" s="9" t="s">
        <v>51</v>
      </c>
      <c r="C104" s="53"/>
      <c r="D104" s="53"/>
      <c r="E104" s="11">
        <v>0</v>
      </c>
      <c r="F104" s="11">
        <v>0</v>
      </c>
      <c r="G104" s="56"/>
      <c r="H104" s="56"/>
      <c r="I104" s="144"/>
      <c r="J104" s="56"/>
      <c r="K104" s="28"/>
      <c r="L104" s="28"/>
      <c r="M104" s="28"/>
      <c r="N104" s="28"/>
      <c r="O104" s="28"/>
      <c r="P104" s="28"/>
      <c r="Q104" s="28"/>
      <c r="R104" s="28"/>
      <c r="S104" s="28"/>
      <c r="T104" s="28"/>
      <c r="U104" s="3"/>
      <c r="W104" s="3"/>
      <c r="X104" s="3"/>
      <c r="Y104" s="3"/>
      <c r="Z104" s="3"/>
    </row>
    <row r="105" spans="1:26" ht="14.4" hidden="1" outlineLevel="1" x14ac:dyDescent="0.3">
      <c r="A105" s="3"/>
      <c r="B105" s="9" t="s">
        <v>51</v>
      </c>
      <c r="C105" s="53"/>
      <c r="D105" s="53"/>
      <c r="E105" s="11">
        <v>0</v>
      </c>
      <c r="F105" s="11">
        <v>0</v>
      </c>
      <c r="G105" s="56"/>
      <c r="H105" s="56"/>
      <c r="I105" s="117"/>
      <c r="J105" s="56"/>
      <c r="K105" s="28"/>
      <c r="L105" s="28"/>
      <c r="M105" s="28"/>
      <c r="N105" s="28"/>
      <c r="O105" s="28"/>
      <c r="P105" s="28"/>
      <c r="Q105" s="28"/>
      <c r="R105" s="28"/>
      <c r="S105" s="28"/>
      <c r="T105" s="28"/>
      <c r="U105" s="3"/>
      <c r="W105" s="3"/>
      <c r="X105" s="3"/>
      <c r="Y105" s="3"/>
      <c r="Z105" s="3"/>
    </row>
    <row r="106" spans="1:26" ht="14.4" hidden="1" outlineLevel="1" x14ac:dyDescent="0.3">
      <c r="A106" s="3"/>
      <c r="B106" s="9" t="s">
        <v>51</v>
      </c>
      <c r="C106" s="53"/>
      <c r="D106" s="53"/>
      <c r="E106" s="11">
        <v>0</v>
      </c>
      <c r="F106" s="11">
        <v>0</v>
      </c>
      <c r="G106" s="56"/>
      <c r="H106" s="56"/>
      <c r="I106" s="117"/>
      <c r="J106" s="56"/>
      <c r="K106" s="28"/>
      <c r="L106" s="28"/>
      <c r="M106" s="28"/>
      <c r="N106" s="28"/>
      <c r="O106" s="28"/>
      <c r="P106" s="28"/>
      <c r="Q106" s="28"/>
      <c r="R106" s="28"/>
      <c r="S106" s="28"/>
      <c r="T106" s="28"/>
      <c r="U106" s="3"/>
      <c r="W106" s="3"/>
      <c r="X106" s="3"/>
      <c r="Y106" s="3"/>
      <c r="Z106" s="3"/>
    </row>
    <row r="107" spans="1:26" hidden="1" outlineLevel="1" x14ac:dyDescent="0.3">
      <c r="A107" s="3"/>
      <c r="B107" s="82" t="s">
        <v>353</v>
      </c>
      <c r="C107" s="83"/>
      <c r="D107" s="83"/>
      <c r="E107" s="84">
        <f>SUM(E108:E111)</f>
        <v>0</v>
      </c>
      <c r="F107" s="84">
        <f>SUMIF(D108:D111,"OK",F108:F111)</f>
        <v>0</v>
      </c>
      <c r="G107" s="85"/>
      <c r="H107" s="85"/>
      <c r="I107" s="86"/>
      <c r="J107" s="85"/>
      <c r="K107" s="28"/>
      <c r="L107" s="28"/>
      <c r="M107" s="28"/>
      <c r="N107" s="28"/>
      <c r="O107" s="28"/>
      <c r="P107" s="28"/>
      <c r="Q107" s="28"/>
      <c r="R107" s="28"/>
      <c r="S107" s="28"/>
      <c r="T107" s="28"/>
      <c r="U107" s="3"/>
      <c r="W107" s="3"/>
      <c r="X107" s="3"/>
      <c r="Y107" s="3"/>
      <c r="Z107" s="3"/>
    </row>
    <row r="108" spans="1:26" ht="14.4" hidden="1" outlineLevel="1" x14ac:dyDescent="0.3">
      <c r="A108" s="3"/>
      <c r="B108" s="9" t="s">
        <v>2138</v>
      </c>
      <c r="C108" s="53"/>
      <c r="D108" s="53"/>
      <c r="E108" s="11">
        <v>0</v>
      </c>
      <c r="F108" s="11">
        <v>0</v>
      </c>
      <c r="G108" s="56"/>
      <c r="H108" s="56"/>
      <c r="I108" s="102"/>
      <c r="J108" s="56"/>
      <c r="K108" s="28"/>
      <c r="L108" s="28"/>
      <c r="M108" s="28"/>
      <c r="N108" s="28"/>
      <c r="O108" s="28"/>
      <c r="P108" s="28"/>
      <c r="Q108" s="28"/>
      <c r="R108" s="28"/>
      <c r="S108" s="28"/>
      <c r="T108" s="28"/>
      <c r="U108" s="3"/>
      <c r="W108" s="3"/>
      <c r="X108" s="3"/>
      <c r="Y108" s="3"/>
      <c r="Z108" s="3"/>
    </row>
    <row r="109" spans="1:26" ht="14.4" hidden="1" outlineLevel="1" x14ac:dyDescent="0.3">
      <c r="A109" s="3"/>
      <c r="B109" s="9" t="s">
        <v>51</v>
      </c>
      <c r="C109" s="53"/>
      <c r="D109" s="53"/>
      <c r="E109" s="11">
        <v>0</v>
      </c>
      <c r="F109" s="11">
        <v>0</v>
      </c>
      <c r="G109" s="56"/>
      <c r="H109" s="56"/>
      <c r="I109" s="144"/>
      <c r="J109" s="56"/>
      <c r="K109" s="28"/>
      <c r="L109" s="28"/>
      <c r="M109" s="28"/>
      <c r="N109" s="28"/>
      <c r="O109" s="28"/>
      <c r="P109" s="28"/>
      <c r="Q109" s="28"/>
      <c r="R109" s="28"/>
      <c r="S109" s="28"/>
      <c r="T109" s="28"/>
      <c r="U109" s="3"/>
      <c r="W109" s="3"/>
      <c r="X109" s="3"/>
      <c r="Y109" s="3"/>
      <c r="Z109" s="3"/>
    </row>
    <row r="110" spans="1:26" ht="14.4" hidden="1" outlineLevel="1" x14ac:dyDescent="0.3">
      <c r="A110" s="3"/>
      <c r="B110" s="9" t="s">
        <v>51</v>
      </c>
      <c r="C110" s="53"/>
      <c r="D110" s="53"/>
      <c r="E110" s="11">
        <v>0</v>
      </c>
      <c r="F110" s="11">
        <v>0</v>
      </c>
      <c r="G110" s="56"/>
      <c r="H110" s="56"/>
      <c r="I110" s="144"/>
      <c r="J110" s="56"/>
      <c r="K110" s="28"/>
      <c r="L110" s="28"/>
      <c r="M110" s="28"/>
      <c r="N110" s="28"/>
      <c r="O110" s="28"/>
      <c r="P110" s="28"/>
      <c r="Q110" s="28"/>
      <c r="R110" s="28"/>
      <c r="S110" s="28"/>
      <c r="T110" s="28"/>
      <c r="U110" s="3"/>
      <c r="W110" s="3"/>
      <c r="X110" s="3"/>
      <c r="Y110" s="3"/>
      <c r="Z110" s="3"/>
    </row>
    <row r="111" spans="1:26" ht="14.4" hidden="1" outlineLevel="1" x14ac:dyDescent="0.3">
      <c r="A111" s="3"/>
      <c r="B111" s="9" t="s">
        <v>51</v>
      </c>
      <c r="C111" s="53"/>
      <c r="D111" s="53"/>
      <c r="E111" s="11">
        <v>0</v>
      </c>
      <c r="F111" s="11">
        <v>0</v>
      </c>
      <c r="G111" s="80"/>
      <c r="H111" s="56"/>
      <c r="I111" s="144"/>
      <c r="J111" s="56"/>
      <c r="K111" s="28"/>
      <c r="L111" s="28"/>
      <c r="M111" s="28"/>
      <c r="N111" s="28"/>
      <c r="O111" s="28"/>
      <c r="P111" s="28"/>
      <c r="Q111" s="28"/>
      <c r="R111" s="28"/>
      <c r="S111" s="28"/>
      <c r="T111" s="28"/>
      <c r="U111" s="3"/>
      <c r="W111" s="3"/>
      <c r="X111" s="3"/>
      <c r="Y111" s="3"/>
      <c r="Z111" s="3"/>
    </row>
    <row r="112" spans="1:26" hidden="1" outlineLevel="1" x14ac:dyDescent="0.3">
      <c r="A112" s="3"/>
      <c r="B112" s="82" t="s">
        <v>357</v>
      </c>
      <c r="C112" s="83"/>
      <c r="D112" s="83"/>
      <c r="E112" s="84">
        <f>SUM(E113:E115)</f>
        <v>0</v>
      </c>
      <c r="F112" s="84">
        <f>SUMIF(D113:D115,"OK",F113:F115)</f>
        <v>0</v>
      </c>
      <c r="G112" s="85"/>
      <c r="H112" s="85"/>
      <c r="I112" s="86"/>
      <c r="J112" s="85"/>
      <c r="K112" s="28"/>
      <c r="L112" s="28"/>
      <c r="M112" s="28"/>
      <c r="N112" s="28"/>
      <c r="O112" s="28"/>
      <c r="P112" s="28"/>
      <c r="Q112" s="28"/>
      <c r="R112" s="28"/>
      <c r="S112" s="28"/>
      <c r="T112" s="28"/>
      <c r="U112" s="3"/>
      <c r="W112" s="3"/>
      <c r="X112" s="3"/>
      <c r="Y112" s="3"/>
      <c r="Z112" s="3"/>
    </row>
    <row r="113" spans="1:26" ht="14.4" hidden="1" outlineLevel="1" x14ac:dyDescent="0.3">
      <c r="A113" s="3"/>
      <c r="B113" s="9" t="s">
        <v>51</v>
      </c>
      <c r="C113" s="53"/>
      <c r="D113" s="53"/>
      <c r="E113" s="11">
        <v>0</v>
      </c>
      <c r="F113" s="11">
        <v>0</v>
      </c>
      <c r="G113" s="56"/>
      <c r="H113" s="56"/>
      <c r="I113" s="144"/>
      <c r="J113" s="56"/>
      <c r="K113" s="28"/>
      <c r="L113" s="28"/>
      <c r="M113" s="28"/>
      <c r="N113" s="28"/>
      <c r="O113" s="28"/>
      <c r="P113" s="28"/>
      <c r="Q113" s="28"/>
      <c r="R113" s="28"/>
      <c r="S113" s="28"/>
      <c r="T113" s="28"/>
      <c r="U113" s="3"/>
      <c r="W113" s="3"/>
      <c r="X113" s="3"/>
      <c r="Y113" s="3"/>
      <c r="Z113" s="3"/>
    </row>
    <row r="114" spans="1:26" ht="14.4" hidden="1" outlineLevel="1" x14ac:dyDescent="0.3">
      <c r="A114" s="3"/>
      <c r="B114" s="9" t="s">
        <v>51</v>
      </c>
      <c r="C114" s="53"/>
      <c r="D114" s="53"/>
      <c r="E114" s="11">
        <v>0</v>
      </c>
      <c r="F114" s="11">
        <v>0</v>
      </c>
      <c r="G114" s="56"/>
      <c r="H114" s="56"/>
      <c r="I114" s="144"/>
      <c r="J114" s="56"/>
      <c r="K114" s="28"/>
      <c r="L114" s="28"/>
      <c r="M114" s="28"/>
      <c r="N114" s="28"/>
      <c r="O114" s="28"/>
      <c r="P114" s="28"/>
      <c r="Q114" s="28"/>
      <c r="R114" s="28"/>
      <c r="S114" s="28"/>
      <c r="T114" s="28"/>
      <c r="U114" s="3"/>
      <c r="W114" s="3"/>
      <c r="X114" s="3"/>
      <c r="Y114" s="3"/>
      <c r="Z114" s="3"/>
    </row>
    <row r="115" spans="1:26" ht="14.4" hidden="1" outlineLevel="1" x14ac:dyDescent="0.3">
      <c r="A115" s="3"/>
      <c r="B115" s="9" t="s">
        <v>51</v>
      </c>
      <c r="C115" s="53"/>
      <c r="D115" s="53"/>
      <c r="E115" s="11">
        <v>0</v>
      </c>
      <c r="F115" s="11">
        <v>0</v>
      </c>
      <c r="G115" s="56"/>
      <c r="H115" s="56"/>
      <c r="I115" s="117"/>
      <c r="J115" s="56"/>
      <c r="K115" s="28"/>
      <c r="L115" s="28"/>
      <c r="M115" s="28"/>
      <c r="N115" s="28"/>
      <c r="O115" s="28"/>
      <c r="P115" s="28"/>
      <c r="Q115" s="28"/>
      <c r="R115" s="28"/>
      <c r="S115" s="28"/>
      <c r="T115" s="28"/>
      <c r="U115" s="3"/>
      <c r="W115" s="3"/>
      <c r="X115" s="3"/>
      <c r="Y115" s="3"/>
      <c r="Z115" s="3"/>
    </row>
    <row r="116" spans="1:26" ht="20.399999999999999" collapsed="1" x14ac:dyDescent="0.3">
      <c r="A116" s="3"/>
      <c r="B116" s="75" t="s">
        <v>358</v>
      </c>
      <c r="C116" s="76" t="s">
        <v>44</v>
      </c>
      <c r="D116" s="76" t="s">
        <v>44</v>
      </c>
      <c r="E116" s="77">
        <f t="shared" ref="E116:F116" si="1">SUM(E117,E125)</f>
        <v>0</v>
      </c>
      <c r="F116" s="77">
        <f t="shared" si="1"/>
        <v>807.1</v>
      </c>
      <c r="G116" s="78"/>
      <c r="H116" s="78"/>
      <c r="I116" s="79"/>
      <c r="J116" s="78"/>
      <c r="K116" s="28"/>
      <c r="L116" s="28"/>
      <c r="M116" s="28"/>
      <c r="N116" s="28"/>
      <c r="O116" s="28"/>
      <c r="P116" s="28"/>
      <c r="Q116" s="28"/>
      <c r="R116" s="28"/>
      <c r="S116" s="28"/>
      <c r="T116" s="28"/>
      <c r="U116" s="3"/>
      <c r="W116" s="3"/>
      <c r="X116" s="3"/>
      <c r="Y116" s="3"/>
      <c r="Z116" s="3"/>
    </row>
    <row r="117" spans="1:26" hidden="1" outlineLevel="1" x14ac:dyDescent="0.3">
      <c r="A117" s="3"/>
      <c r="B117" s="82" t="s">
        <v>2139</v>
      </c>
      <c r="C117" s="83"/>
      <c r="D117" s="83"/>
      <c r="E117" s="84">
        <f>SUM(E118:E124)</f>
        <v>0</v>
      </c>
      <c r="F117" s="84">
        <f>SUMIF(D118:D124,"OK",F118:F124)</f>
        <v>0</v>
      </c>
      <c r="G117" s="85"/>
      <c r="H117" s="85"/>
      <c r="I117" s="86"/>
      <c r="J117" s="85"/>
      <c r="K117" s="28"/>
      <c r="L117" s="28"/>
      <c r="M117" s="28"/>
      <c r="N117" s="28"/>
      <c r="O117" s="28"/>
      <c r="P117" s="28"/>
      <c r="Q117" s="28"/>
      <c r="R117" s="28"/>
      <c r="S117" s="28"/>
      <c r="T117" s="28"/>
      <c r="U117" s="3"/>
      <c r="W117" s="3"/>
      <c r="X117" s="3"/>
      <c r="Y117" s="3"/>
      <c r="Z117" s="3"/>
    </row>
    <row r="118" spans="1:26" ht="14.4" hidden="1" outlineLevel="1" x14ac:dyDescent="0.3">
      <c r="A118" s="3"/>
      <c r="B118" s="9" t="s">
        <v>1987</v>
      </c>
      <c r="C118" s="53"/>
      <c r="D118" s="53"/>
      <c r="E118" s="11">
        <v>0</v>
      </c>
      <c r="F118" s="11">
        <v>0</v>
      </c>
      <c r="G118" s="56"/>
      <c r="H118" s="56"/>
      <c r="I118" s="102"/>
      <c r="J118" s="56"/>
      <c r="K118" s="28"/>
      <c r="L118" s="28"/>
      <c r="M118" s="28"/>
      <c r="N118" s="28"/>
      <c r="O118" s="28"/>
      <c r="P118" s="28"/>
      <c r="Q118" s="28"/>
      <c r="R118" s="28"/>
      <c r="S118" s="28"/>
      <c r="T118" s="28"/>
      <c r="U118" s="3"/>
      <c r="W118" s="3"/>
      <c r="X118" s="3"/>
      <c r="Y118" s="3"/>
      <c r="Z118" s="3"/>
    </row>
    <row r="119" spans="1:26" ht="14.4" hidden="1" outlineLevel="1" x14ac:dyDescent="0.3">
      <c r="A119" s="3"/>
      <c r="B119" s="9" t="s">
        <v>1987</v>
      </c>
      <c r="C119" s="53"/>
      <c r="D119" s="53"/>
      <c r="E119" s="11">
        <v>0</v>
      </c>
      <c r="F119" s="11">
        <v>0</v>
      </c>
      <c r="G119" s="80"/>
      <c r="H119" s="56"/>
      <c r="I119" s="102"/>
      <c r="J119" s="56"/>
      <c r="K119" s="28"/>
      <c r="L119" s="28"/>
      <c r="M119" s="28"/>
      <c r="N119" s="28"/>
      <c r="O119" s="28"/>
      <c r="P119" s="28"/>
      <c r="Q119" s="28"/>
      <c r="R119" s="28"/>
      <c r="S119" s="28"/>
      <c r="T119" s="28"/>
      <c r="U119" s="3"/>
      <c r="W119" s="3"/>
      <c r="X119" s="3"/>
      <c r="Y119" s="3"/>
      <c r="Z119" s="3"/>
    </row>
    <row r="120" spans="1:26" ht="14.4" hidden="1" outlineLevel="1" x14ac:dyDescent="0.3">
      <c r="A120" s="3"/>
      <c r="B120" s="9" t="s">
        <v>1987</v>
      </c>
      <c r="C120" s="53"/>
      <c r="D120" s="53"/>
      <c r="E120" s="11">
        <v>0</v>
      </c>
      <c r="F120" s="11">
        <v>0</v>
      </c>
      <c r="G120" s="80"/>
      <c r="H120" s="56"/>
      <c r="I120" s="102"/>
      <c r="J120" s="56"/>
      <c r="K120" s="28"/>
      <c r="L120" s="28"/>
      <c r="M120" s="28"/>
      <c r="N120" s="28"/>
      <c r="O120" s="28"/>
      <c r="P120" s="28"/>
      <c r="Q120" s="28"/>
      <c r="R120" s="28"/>
      <c r="S120" s="28"/>
      <c r="T120" s="28"/>
      <c r="U120" s="3"/>
      <c r="W120" s="3"/>
      <c r="X120" s="3"/>
      <c r="Y120" s="3"/>
      <c r="Z120" s="3"/>
    </row>
    <row r="121" spans="1:26" ht="14.4" hidden="1" outlineLevel="1" x14ac:dyDescent="0.3">
      <c r="A121" s="3"/>
      <c r="B121" s="9" t="s">
        <v>1987</v>
      </c>
      <c r="C121" s="53"/>
      <c r="D121" s="53"/>
      <c r="E121" s="11">
        <v>0</v>
      </c>
      <c r="F121" s="11">
        <v>0</v>
      </c>
      <c r="G121" s="80"/>
      <c r="H121" s="56"/>
      <c r="I121" s="102"/>
      <c r="J121" s="56"/>
      <c r="K121" s="28"/>
      <c r="L121" s="28"/>
      <c r="M121" s="28"/>
      <c r="N121" s="28"/>
      <c r="O121" s="28"/>
      <c r="P121" s="28"/>
      <c r="Q121" s="28"/>
      <c r="R121" s="28"/>
      <c r="S121" s="28"/>
      <c r="T121" s="28"/>
      <c r="U121" s="3"/>
      <c r="W121" s="3"/>
      <c r="X121" s="3"/>
      <c r="Y121" s="3"/>
      <c r="Z121" s="3"/>
    </row>
    <row r="122" spans="1:26" ht="14.4" hidden="1" outlineLevel="1" x14ac:dyDescent="0.3">
      <c r="A122" s="3"/>
      <c r="B122" s="9" t="s">
        <v>1987</v>
      </c>
      <c r="C122" s="53"/>
      <c r="D122" s="53"/>
      <c r="E122" s="11">
        <v>0</v>
      </c>
      <c r="F122" s="11">
        <v>0</v>
      </c>
      <c r="G122" s="80"/>
      <c r="H122" s="56"/>
      <c r="I122" s="102"/>
      <c r="J122" s="56"/>
      <c r="K122" s="28"/>
      <c r="L122" s="28"/>
      <c r="M122" s="28"/>
      <c r="N122" s="28"/>
      <c r="O122" s="28"/>
      <c r="P122" s="28"/>
      <c r="Q122" s="28"/>
      <c r="R122" s="28"/>
      <c r="S122" s="28"/>
      <c r="T122" s="28"/>
      <c r="U122" s="3"/>
      <c r="W122" s="3"/>
      <c r="X122" s="3"/>
      <c r="Y122" s="3"/>
      <c r="Z122" s="3"/>
    </row>
    <row r="123" spans="1:26" ht="14.4" hidden="1" outlineLevel="1" x14ac:dyDescent="0.3">
      <c r="A123" s="3"/>
      <c r="B123" s="9" t="s">
        <v>1987</v>
      </c>
      <c r="C123" s="53"/>
      <c r="D123" s="53"/>
      <c r="E123" s="11">
        <v>0</v>
      </c>
      <c r="F123" s="11">
        <v>0</v>
      </c>
      <c r="G123" s="80"/>
      <c r="H123" s="56"/>
      <c r="I123" s="102"/>
      <c r="J123" s="56"/>
      <c r="K123" s="28"/>
      <c r="L123" s="28"/>
      <c r="M123" s="28"/>
      <c r="N123" s="28"/>
      <c r="O123" s="28"/>
      <c r="P123" s="28"/>
      <c r="Q123" s="28"/>
      <c r="R123" s="28"/>
      <c r="S123" s="28"/>
      <c r="T123" s="28"/>
      <c r="U123" s="3"/>
      <c r="W123" s="3"/>
      <c r="X123" s="3"/>
      <c r="Y123" s="3"/>
      <c r="Z123" s="3"/>
    </row>
    <row r="124" spans="1:26" ht="14.4" hidden="1" outlineLevel="1" x14ac:dyDescent="0.3">
      <c r="A124" s="3"/>
      <c r="B124" s="9" t="s">
        <v>1987</v>
      </c>
      <c r="C124" s="53"/>
      <c r="D124" s="53"/>
      <c r="E124" s="11">
        <v>0</v>
      </c>
      <c r="F124" s="11">
        <v>0</v>
      </c>
      <c r="G124" s="80"/>
      <c r="H124" s="56"/>
      <c r="I124" s="102"/>
      <c r="J124" s="56"/>
      <c r="K124" s="28"/>
      <c r="L124" s="28"/>
      <c r="M124" s="28"/>
      <c r="N124" s="28"/>
      <c r="O124" s="28"/>
      <c r="P124" s="28"/>
      <c r="Q124" s="28"/>
      <c r="R124" s="28"/>
      <c r="S124" s="28"/>
      <c r="T124" s="28"/>
      <c r="U124" s="3"/>
      <c r="W124" s="3"/>
      <c r="X124" s="3"/>
      <c r="Y124" s="3"/>
      <c r="Z124" s="3"/>
    </row>
    <row r="125" spans="1:26" outlineLevel="1" x14ac:dyDescent="0.3">
      <c r="A125" s="3"/>
      <c r="B125" s="82" t="s">
        <v>633</v>
      </c>
      <c r="C125" s="83"/>
      <c r="D125" s="83"/>
      <c r="E125" s="84">
        <f>SUM(E126:E143)</f>
        <v>0</v>
      </c>
      <c r="F125" s="84">
        <f>SUMIF(D126:D143,"OK",F126:F143)</f>
        <v>807.1</v>
      </c>
      <c r="G125" s="85"/>
      <c r="H125" s="85"/>
      <c r="I125" s="86"/>
      <c r="J125" s="85"/>
      <c r="K125" s="28"/>
      <c r="L125" s="28"/>
      <c r="M125" s="28"/>
      <c r="N125" s="28"/>
      <c r="O125" s="28"/>
      <c r="P125" s="28"/>
      <c r="Q125" s="28"/>
      <c r="R125" s="28"/>
      <c r="S125" s="28"/>
      <c r="T125" s="28"/>
      <c r="U125" s="3"/>
      <c r="W125" s="3"/>
      <c r="X125" s="3"/>
      <c r="Y125" s="3"/>
      <c r="Z125" s="3"/>
    </row>
    <row r="126" spans="1:26" ht="14.4" outlineLevel="1" x14ac:dyDescent="0.3">
      <c r="A126" s="3"/>
      <c r="B126" s="9" t="s">
        <v>2140</v>
      </c>
      <c r="C126" s="53">
        <v>29</v>
      </c>
      <c r="D126" s="53" t="s">
        <v>95</v>
      </c>
      <c r="E126" s="11">
        <v>0</v>
      </c>
      <c r="F126" s="11">
        <v>152.6</v>
      </c>
      <c r="G126" s="56"/>
      <c r="H126" s="56" t="s">
        <v>37</v>
      </c>
      <c r="I126" s="102" t="s">
        <v>2141</v>
      </c>
      <c r="J126" s="56"/>
      <c r="K126" s="28"/>
      <c r="L126" s="28"/>
      <c r="M126" s="28"/>
      <c r="N126" s="28"/>
      <c r="O126" s="28"/>
      <c r="P126" s="28"/>
      <c r="Q126" s="28"/>
      <c r="R126" s="28"/>
      <c r="S126" s="28"/>
      <c r="T126" s="28"/>
      <c r="U126" s="3"/>
      <c r="W126" s="3"/>
      <c r="X126" s="3"/>
      <c r="Y126" s="3"/>
      <c r="Z126" s="3"/>
    </row>
    <row r="127" spans="1:26" ht="14.4" outlineLevel="1" x14ac:dyDescent="0.3">
      <c r="A127" s="3"/>
      <c r="B127" s="9" t="s">
        <v>2140</v>
      </c>
      <c r="C127" s="53">
        <v>29</v>
      </c>
      <c r="D127" s="53" t="s">
        <v>95</v>
      </c>
      <c r="E127" s="11">
        <v>0</v>
      </c>
      <c r="F127" s="11">
        <v>154.5</v>
      </c>
      <c r="G127" s="80"/>
      <c r="H127" s="56" t="s">
        <v>37</v>
      </c>
      <c r="I127" s="102" t="s">
        <v>2142</v>
      </c>
      <c r="J127" s="56"/>
      <c r="K127" s="28"/>
      <c r="L127" s="28"/>
      <c r="M127" s="28"/>
      <c r="N127" s="28"/>
      <c r="O127" s="28"/>
      <c r="P127" s="28"/>
      <c r="Q127" s="28"/>
      <c r="R127" s="28"/>
      <c r="S127" s="28"/>
      <c r="T127" s="28"/>
      <c r="U127" s="3"/>
      <c r="W127" s="3"/>
      <c r="X127" s="3"/>
      <c r="Y127" s="3"/>
      <c r="Z127" s="3"/>
    </row>
    <row r="128" spans="1:26" ht="14.4" outlineLevel="1" x14ac:dyDescent="0.3">
      <c r="A128" s="3"/>
      <c r="B128" s="9" t="s">
        <v>2143</v>
      </c>
      <c r="C128" s="53">
        <v>30</v>
      </c>
      <c r="D128" s="53" t="s">
        <v>95</v>
      </c>
      <c r="E128" s="11">
        <v>0</v>
      </c>
      <c r="F128" s="11">
        <v>500</v>
      </c>
      <c r="G128" s="80"/>
      <c r="H128" s="56" t="s">
        <v>37</v>
      </c>
      <c r="I128" s="102" t="s">
        <v>2144</v>
      </c>
      <c r="J128" s="56"/>
      <c r="K128" s="28"/>
      <c r="L128" s="28"/>
      <c r="M128" s="28"/>
      <c r="N128" s="28"/>
      <c r="O128" s="28"/>
      <c r="P128" s="28"/>
      <c r="Q128" s="28"/>
      <c r="R128" s="28"/>
      <c r="S128" s="28"/>
      <c r="T128" s="28"/>
      <c r="U128" s="3"/>
      <c r="W128" s="3"/>
      <c r="X128" s="3"/>
      <c r="Y128" s="3"/>
      <c r="Z128" s="3"/>
    </row>
    <row r="129" spans="1:26" ht="14.4" hidden="1" outlineLevel="1" x14ac:dyDescent="0.3">
      <c r="A129" s="3"/>
      <c r="B129" s="9" t="s">
        <v>51</v>
      </c>
      <c r="C129" s="53"/>
      <c r="D129" s="53"/>
      <c r="E129" s="11">
        <v>0</v>
      </c>
      <c r="F129" s="11">
        <v>0</v>
      </c>
      <c r="G129" s="56"/>
      <c r="H129" s="56"/>
      <c r="I129" s="102"/>
      <c r="J129" s="56"/>
      <c r="K129" s="28"/>
      <c r="L129" s="28"/>
      <c r="M129" s="28"/>
      <c r="N129" s="28"/>
      <c r="O129" s="28"/>
      <c r="P129" s="28"/>
      <c r="Q129" s="28"/>
      <c r="R129" s="28"/>
      <c r="S129" s="28"/>
      <c r="T129" s="28"/>
      <c r="U129" s="3"/>
      <c r="W129" s="3"/>
      <c r="X129" s="3"/>
      <c r="Y129" s="3"/>
      <c r="Z129" s="3"/>
    </row>
    <row r="130" spans="1:26" ht="14.4" hidden="1" outlineLevel="1" x14ac:dyDescent="0.3">
      <c r="A130" s="3"/>
      <c r="B130" s="9" t="s">
        <v>51</v>
      </c>
      <c r="C130" s="53"/>
      <c r="D130" s="53"/>
      <c r="E130" s="11">
        <v>0</v>
      </c>
      <c r="F130" s="11">
        <v>0</v>
      </c>
      <c r="G130" s="56"/>
      <c r="H130" s="56"/>
      <c r="I130" s="102"/>
      <c r="J130" s="56"/>
      <c r="K130" s="28"/>
      <c r="L130" s="28"/>
      <c r="M130" s="28"/>
      <c r="N130" s="28"/>
      <c r="O130" s="28"/>
      <c r="P130" s="28"/>
      <c r="Q130" s="28"/>
      <c r="R130" s="28"/>
      <c r="S130" s="28"/>
      <c r="T130" s="28"/>
      <c r="U130" s="3"/>
      <c r="W130" s="3"/>
      <c r="X130" s="3"/>
      <c r="Y130" s="3"/>
      <c r="Z130" s="3"/>
    </row>
    <row r="131" spans="1:26" ht="14.4" hidden="1" outlineLevel="1" x14ac:dyDescent="0.3">
      <c r="A131" s="3"/>
      <c r="B131" s="9" t="s">
        <v>51</v>
      </c>
      <c r="C131" s="53"/>
      <c r="D131" s="53"/>
      <c r="E131" s="11">
        <v>0</v>
      </c>
      <c r="F131" s="11">
        <v>0</v>
      </c>
      <c r="G131" s="56"/>
      <c r="H131" s="56"/>
      <c r="I131" s="145"/>
      <c r="J131" s="56"/>
      <c r="K131" s="28"/>
      <c r="L131" s="28"/>
      <c r="M131" s="28"/>
      <c r="N131" s="28"/>
      <c r="O131" s="28"/>
      <c r="P131" s="28"/>
      <c r="Q131" s="28"/>
      <c r="R131" s="28"/>
      <c r="S131" s="28"/>
      <c r="T131" s="28"/>
      <c r="U131" s="3"/>
      <c r="W131" s="3"/>
      <c r="X131" s="3"/>
      <c r="Y131" s="3"/>
      <c r="Z131" s="3"/>
    </row>
    <row r="132" spans="1:26" ht="14.4" hidden="1" outlineLevel="1" x14ac:dyDescent="0.3">
      <c r="A132" s="3"/>
      <c r="B132" s="9" t="s">
        <v>51</v>
      </c>
      <c r="C132" s="53"/>
      <c r="D132" s="53"/>
      <c r="E132" s="11">
        <v>0</v>
      </c>
      <c r="F132" s="11">
        <v>0</v>
      </c>
      <c r="G132" s="56"/>
      <c r="H132" s="56"/>
      <c r="I132" s="145"/>
      <c r="J132" s="56"/>
      <c r="K132" s="28"/>
      <c r="L132" s="28"/>
      <c r="M132" s="28"/>
      <c r="N132" s="28"/>
      <c r="O132" s="28"/>
      <c r="P132" s="28"/>
      <c r="Q132" s="28"/>
      <c r="R132" s="28"/>
      <c r="S132" s="28"/>
      <c r="T132" s="28"/>
      <c r="U132" s="3"/>
      <c r="W132" s="3"/>
      <c r="X132" s="3"/>
      <c r="Y132" s="3"/>
      <c r="Z132" s="3"/>
    </row>
    <row r="133" spans="1:26" ht="14.4" hidden="1" outlineLevel="1" x14ac:dyDescent="0.3">
      <c r="A133" s="3"/>
      <c r="B133" s="9" t="s">
        <v>51</v>
      </c>
      <c r="C133" s="53"/>
      <c r="D133" s="53"/>
      <c r="E133" s="11">
        <v>0</v>
      </c>
      <c r="F133" s="11">
        <v>0</v>
      </c>
      <c r="G133" s="56"/>
      <c r="H133" s="56"/>
      <c r="I133" s="144"/>
      <c r="J133" s="56"/>
      <c r="K133" s="28"/>
      <c r="L133" s="28"/>
      <c r="M133" s="28"/>
      <c r="N133" s="28"/>
      <c r="O133" s="28"/>
      <c r="P133" s="28"/>
      <c r="Q133" s="28"/>
      <c r="R133" s="28"/>
      <c r="S133" s="28"/>
      <c r="T133" s="28"/>
      <c r="U133" s="3"/>
      <c r="W133" s="3"/>
      <c r="X133" s="3"/>
      <c r="Y133" s="3"/>
      <c r="Z133" s="3"/>
    </row>
    <row r="134" spans="1:26" ht="14.4" hidden="1" outlineLevel="1" x14ac:dyDescent="0.3">
      <c r="A134" s="3"/>
      <c r="B134" s="9" t="s">
        <v>51</v>
      </c>
      <c r="C134" s="53"/>
      <c r="D134" s="53"/>
      <c r="E134" s="11">
        <v>0</v>
      </c>
      <c r="F134" s="11">
        <v>0</v>
      </c>
      <c r="G134" s="56"/>
      <c r="H134" s="56"/>
      <c r="I134" s="144"/>
      <c r="J134" s="56"/>
      <c r="K134" s="28"/>
      <c r="L134" s="28"/>
      <c r="M134" s="28"/>
      <c r="N134" s="28"/>
      <c r="O134" s="28"/>
      <c r="P134" s="28"/>
      <c r="Q134" s="28"/>
      <c r="R134" s="28"/>
      <c r="S134" s="28"/>
      <c r="T134" s="28"/>
      <c r="U134" s="3"/>
      <c r="W134" s="3"/>
      <c r="X134" s="3"/>
      <c r="Y134" s="3"/>
      <c r="Z134" s="3"/>
    </row>
    <row r="135" spans="1:26" ht="14.4" hidden="1" outlineLevel="1" x14ac:dyDescent="0.3">
      <c r="A135" s="3"/>
      <c r="B135" s="9" t="s">
        <v>51</v>
      </c>
      <c r="C135" s="53"/>
      <c r="D135" s="53"/>
      <c r="E135" s="11">
        <v>0</v>
      </c>
      <c r="F135" s="11">
        <v>0</v>
      </c>
      <c r="G135" s="56"/>
      <c r="H135" s="56"/>
      <c r="I135" s="144"/>
      <c r="J135" s="56"/>
      <c r="K135" s="28"/>
      <c r="L135" s="28"/>
      <c r="M135" s="28"/>
      <c r="N135" s="28"/>
      <c r="O135" s="28"/>
      <c r="P135" s="28"/>
      <c r="Q135" s="28"/>
      <c r="R135" s="28"/>
      <c r="S135" s="28"/>
      <c r="T135" s="28"/>
      <c r="U135" s="3"/>
      <c r="W135" s="3"/>
      <c r="X135" s="3"/>
      <c r="Y135" s="3"/>
      <c r="Z135" s="3"/>
    </row>
    <row r="136" spans="1:26" ht="14.4" hidden="1" outlineLevel="1" x14ac:dyDescent="0.3">
      <c r="A136" s="3"/>
      <c r="B136" s="9" t="s">
        <v>51</v>
      </c>
      <c r="C136" s="53"/>
      <c r="D136" s="53"/>
      <c r="E136" s="11">
        <v>0</v>
      </c>
      <c r="F136" s="11">
        <v>0</v>
      </c>
      <c r="G136" s="56"/>
      <c r="H136" s="56"/>
      <c r="I136" s="147"/>
      <c r="J136" s="56"/>
      <c r="K136" s="28"/>
      <c r="L136" s="28"/>
      <c r="M136" s="28"/>
      <c r="N136" s="28"/>
      <c r="O136" s="28"/>
      <c r="P136" s="28"/>
      <c r="Q136" s="28"/>
      <c r="R136" s="28"/>
      <c r="S136" s="28"/>
      <c r="T136" s="28"/>
      <c r="U136" s="3"/>
      <c r="W136" s="3"/>
      <c r="X136" s="3"/>
      <c r="Y136" s="3"/>
      <c r="Z136" s="3"/>
    </row>
    <row r="137" spans="1:26" ht="14.4" hidden="1" outlineLevel="1" x14ac:dyDescent="0.3">
      <c r="A137" s="3"/>
      <c r="B137" s="9" t="s">
        <v>51</v>
      </c>
      <c r="C137" s="53"/>
      <c r="D137" s="53"/>
      <c r="E137" s="11">
        <v>0</v>
      </c>
      <c r="F137" s="11">
        <v>0</v>
      </c>
      <c r="G137" s="56"/>
      <c r="H137" s="56"/>
      <c r="I137" s="144"/>
      <c r="J137" s="56"/>
      <c r="K137" s="28"/>
      <c r="L137" s="28"/>
      <c r="M137" s="28"/>
      <c r="N137" s="28"/>
      <c r="O137" s="28"/>
      <c r="P137" s="28"/>
      <c r="Q137" s="28"/>
      <c r="R137" s="28"/>
      <c r="S137" s="28"/>
      <c r="T137" s="28"/>
      <c r="U137" s="3"/>
      <c r="W137" s="3"/>
      <c r="X137" s="3"/>
      <c r="Y137" s="3"/>
      <c r="Z137" s="3"/>
    </row>
    <row r="138" spans="1:26" ht="14.4" hidden="1" outlineLevel="1" x14ac:dyDescent="0.3">
      <c r="A138" s="3"/>
      <c r="B138" s="9" t="s">
        <v>51</v>
      </c>
      <c r="C138" s="53"/>
      <c r="D138" s="53"/>
      <c r="E138" s="11">
        <v>0</v>
      </c>
      <c r="F138" s="11">
        <v>0</v>
      </c>
      <c r="G138" s="56"/>
      <c r="H138" s="56"/>
      <c r="I138" s="144"/>
      <c r="J138" s="56"/>
      <c r="K138" s="28"/>
      <c r="L138" s="28"/>
      <c r="M138" s="28"/>
      <c r="N138" s="28"/>
      <c r="O138" s="28"/>
      <c r="P138" s="28"/>
      <c r="Q138" s="28"/>
      <c r="R138" s="28"/>
      <c r="S138" s="28"/>
      <c r="T138" s="28"/>
      <c r="U138" s="3"/>
      <c r="W138" s="3"/>
      <c r="X138" s="3"/>
      <c r="Y138" s="3"/>
      <c r="Z138" s="3"/>
    </row>
    <row r="139" spans="1:26" ht="14.4" hidden="1" outlineLevel="1" x14ac:dyDescent="0.3">
      <c r="A139" s="3"/>
      <c r="B139" s="9" t="s">
        <v>51</v>
      </c>
      <c r="C139" s="53"/>
      <c r="D139" s="53"/>
      <c r="E139" s="11">
        <v>0</v>
      </c>
      <c r="F139" s="11">
        <v>0</v>
      </c>
      <c r="G139" s="56"/>
      <c r="H139" s="56"/>
      <c r="I139" s="144"/>
      <c r="J139" s="56"/>
      <c r="K139" s="28"/>
      <c r="L139" s="28"/>
      <c r="M139" s="28"/>
      <c r="N139" s="28"/>
      <c r="O139" s="28"/>
      <c r="P139" s="28"/>
      <c r="Q139" s="28"/>
      <c r="R139" s="28"/>
      <c r="S139" s="28"/>
      <c r="T139" s="28"/>
      <c r="U139" s="3"/>
      <c r="W139" s="3"/>
      <c r="X139" s="3"/>
      <c r="Y139" s="3"/>
      <c r="Z139" s="3"/>
    </row>
    <row r="140" spans="1:26" ht="14.4" hidden="1" outlineLevel="1" x14ac:dyDescent="0.3">
      <c r="A140" s="3"/>
      <c r="B140" s="9" t="s">
        <v>51</v>
      </c>
      <c r="C140" s="53"/>
      <c r="D140" s="53"/>
      <c r="E140" s="11">
        <v>0</v>
      </c>
      <c r="F140" s="11">
        <v>0</v>
      </c>
      <c r="G140" s="56"/>
      <c r="H140" s="56"/>
      <c r="I140" s="144"/>
      <c r="J140" s="56"/>
      <c r="K140" s="28"/>
      <c r="L140" s="28"/>
      <c r="M140" s="28"/>
      <c r="N140" s="28"/>
      <c r="O140" s="28"/>
      <c r="P140" s="28"/>
      <c r="Q140" s="28"/>
      <c r="R140" s="28"/>
      <c r="S140" s="28"/>
      <c r="T140" s="28"/>
      <c r="U140" s="3"/>
      <c r="W140" s="3"/>
      <c r="X140" s="3"/>
      <c r="Y140" s="3"/>
      <c r="Z140" s="3"/>
    </row>
    <row r="141" spans="1:26" ht="14.4" hidden="1" outlineLevel="1" x14ac:dyDescent="0.3">
      <c r="A141" s="3"/>
      <c r="B141" s="9" t="s">
        <v>51</v>
      </c>
      <c r="C141" s="53"/>
      <c r="D141" s="53"/>
      <c r="E141" s="11">
        <v>0</v>
      </c>
      <c r="F141" s="11">
        <v>0</v>
      </c>
      <c r="G141" s="56"/>
      <c r="H141" s="56"/>
      <c r="I141" s="144"/>
      <c r="J141" s="56"/>
      <c r="K141" s="28"/>
      <c r="L141" s="28"/>
      <c r="M141" s="28"/>
      <c r="N141" s="28"/>
      <c r="O141" s="28"/>
      <c r="P141" s="28"/>
      <c r="Q141" s="28"/>
      <c r="R141" s="28"/>
      <c r="S141" s="28"/>
      <c r="T141" s="28"/>
      <c r="U141" s="3"/>
      <c r="W141" s="3"/>
      <c r="X141" s="3"/>
      <c r="Y141" s="3"/>
      <c r="Z141" s="3"/>
    </row>
    <row r="142" spans="1:26" ht="14.4" hidden="1" outlineLevel="1" x14ac:dyDescent="0.3">
      <c r="A142" s="3"/>
      <c r="B142" s="9" t="s">
        <v>51</v>
      </c>
      <c r="C142" s="53"/>
      <c r="D142" s="53"/>
      <c r="E142" s="11">
        <v>0</v>
      </c>
      <c r="F142" s="11">
        <v>0</v>
      </c>
      <c r="G142" s="56"/>
      <c r="H142" s="56"/>
      <c r="I142" s="144"/>
      <c r="J142" s="56"/>
      <c r="K142" s="28"/>
      <c r="L142" s="28"/>
      <c r="M142" s="28"/>
      <c r="N142" s="28"/>
      <c r="O142" s="28"/>
      <c r="P142" s="28"/>
      <c r="Q142" s="28"/>
      <c r="R142" s="28"/>
      <c r="S142" s="28"/>
      <c r="T142" s="28"/>
      <c r="U142" s="3"/>
      <c r="W142" s="3"/>
      <c r="X142" s="3"/>
      <c r="Y142" s="3"/>
      <c r="Z142" s="3"/>
    </row>
    <row r="143" spans="1:26" ht="14.4" hidden="1" outlineLevel="1" x14ac:dyDescent="0.3">
      <c r="A143" s="3"/>
      <c r="B143" s="9" t="s">
        <v>51</v>
      </c>
      <c r="C143" s="53"/>
      <c r="D143" s="53"/>
      <c r="E143" s="11">
        <v>0</v>
      </c>
      <c r="F143" s="11">
        <v>0</v>
      </c>
      <c r="G143" s="56"/>
      <c r="H143" s="56"/>
      <c r="I143" s="144"/>
      <c r="J143" s="56"/>
      <c r="K143" s="28"/>
      <c r="L143" s="28"/>
      <c r="M143" s="28"/>
      <c r="N143" s="28"/>
      <c r="O143" s="28"/>
      <c r="P143" s="28"/>
      <c r="Q143" s="28"/>
      <c r="R143" s="28"/>
      <c r="S143" s="28"/>
      <c r="T143" s="28"/>
      <c r="U143" s="3"/>
      <c r="W143" s="3"/>
      <c r="X143" s="3"/>
      <c r="Y143" s="3"/>
      <c r="Z143" s="3"/>
    </row>
    <row r="144" spans="1:26" ht="20.399999999999999" hidden="1" x14ac:dyDescent="0.3">
      <c r="A144" s="3"/>
      <c r="B144" s="75" t="s">
        <v>88</v>
      </c>
      <c r="C144" s="76" t="s">
        <v>44</v>
      </c>
      <c r="D144" s="76" t="s">
        <v>44</v>
      </c>
      <c r="E144" s="77">
        <f>SUM(E145:E153)</f>
        <v>0</v>
      </c>
      <c r="F144" s="77">
        <f>SUMIF(D145:D153,"OK",F145:F153)</f>
        <v>0</v>
      </c>
      <c r="G144" s="78"/>
      <c r="H144" s="78"/>
      <c r="I144" s="79"/>
      <c r="J144" s="78"/>
      <c r="K144" s="28"/>
      <c r="L144" s="28"/>
      <c r="M144" s="28"/>
      <c r="N144" s="28"/>
      <c r="O144" s="28"/>
      <c r="P144" s="28"/>
      <c r="Q144" s="28"/>
      <c r="R144" s="28"/>
      <c r="S144" s="28"/>
      <c r="T144" s="28"/>
      <c r="U144" s="3"/>
      <c r="W144" s="3"/>
      <c r="X144" s="3"/>
      <c r="Y144" s="3"/>
      <c r="Z144" s="3"/>
    </row>
    <row r="145" spans="1:26" ht="14.4" hidden="1" outlineLevel="1" x14ac:dyDescent="0.3">
      <c r="A145" s="3"/>
      <c r="B145" s="9" t="s">
        <v>354</v>
      </c>
      <c r="C145" s="71"/>
      <c r="D145" s="53"/>
      <c r="E145" s="11">
        <v>0</v>
      </c>
      <c r="F145" s="11">
        <v>0</v>
      </c>
      <c r="G145" s="80"/>
      <c r="H145" s="56"/>
      <c r="I145" s="144"/>
      <c r="J145" s="80"/>
      <c r="K145" s="28"/>
      <c r="L145" s="28"/>
      <c r="M145" s="28"/>
      <c r="N145" s="28"/>
      <c r="O145" s="28"/>
      <c r="P145" s="28"/>
      <c r="Q145" s="28"/>
      <c r="R145" s="28"/>
      <c r="S145" s="28"/>
      <c r="T145" s="28"/>
      <c r="U145" s="3"/>
      <c r="W145" s="3"/>
      <c r="X145" s="3"/>
      <c r="Y145" s="3"/>
      <c r="Z145" s="3"/>
    </row>
    <row r="146" spans="1:26" ht="14.4" hidden="1" outlineLevel="1" x14ac:dyDescent="0.3">
      <c r="A146" s="3"/>
      <c r="B146" s="9" t="s">
        <v>355</v>
      </c>
      <c r="C146" s="53"/>
      <c r="D146" s="53"/>
      <c r="E146" s="11">
        <v>0</v>
      </c>
      <c r="F146" s="11">
        <v>0</v>
      </c>
      <c r="G146" s="80"/>
      <c r="H146" s="56"/>
      <c r="I146" s="144"/>
      <c r="J146" s="56"/>
      <c r="K146" s="28"/>
      <c r="L146" s="28"/>
      <c r="M146" s="28"/>
      <c r="N146" s="28"/>
      <c r="O146" s="28"/>
      <c r="P146" s="28"/>
      <c r="Q146" s="28"/>
      <c r="R146" s="28"/>
      <c r="S146" s="28"/>
      <c r="T146" s="28"/>
      <c r="U146" s="3"/>
      <c r="W146" s="3"/>
      <c r="X146" s="3"/>
      <c r="Y146" s="3"/>
      <c r="Z146" s="3"/>
    </row>
    <row r="147" spans="1:26" ht="14.4" hidden="1" outlineLevel="1" x14ac:dyDescent="0.3">
      <c r="A147" s="3"/>
      <c r="B147" s="9" t="s">
        <v>356</v>
      </c>
      <c r="C147" s="53"/>
      <c r="D147" s="53"/>
      <c r="E147" s="11">
        <v>0</v>
      </c>
      <c r="F147" s="11">
        <v>0</v>
      </c>
      <c r="G147" s="56"/>
      <c r="H147" s="56"/>
      <c r="I147" s="80"/>
      <c r="J147" s="56"/>
      <c r="K147" s="28"/>
      <c r="L147" s="28"/>
      <c r="M147" s="28"/>
      <c r="N147" s="28"/>
      <c r="O147" s="28"/>
      <c r="P147" s="28"/>
      <c r="Q147" s="28"/>
      <c r="R147" s="28"/>
      <c r="S147" s="28"/>
      <c r="T147" s="28"/>
      <c r="U147" s="3"/>
      <c r="W147" s="3"/>
      <c r="X147" s="3"/>
      <c r="Y147" s="3"/>
      <c r="Z147" s="3"/>
    </row>
    <row r="148" spans="1:26" ht="14.4" hidden="1" outlineLevel="1" x14ac:dyDescent="0.3">
      <c r="A148" s="3"/>
      <c r="B148" s="9" t="s">
        <v>370</v>
      </c>
      <c r="C148" s="53"/>
      <c r="D148" s="53"/>
      <c r="E148" s="11">
        <v>0</v>
      </c>
      <c r="F148" s="11">
        <v>0</v>
      </c>
      <c r="G148" s="56"/>
      <c r="H148" s="56"/>
      <c r="I148" s="80"/>
      <c r="J148" s="56"/>
      <c r="K148" s="28"/>
      <c r="L148" s="28"/>
      <c r="M148" s="28"/>
      <c r="N148" s="28"/>
      <c r="O148" s="28"/>
      <c r="P148" s="28"/>
      <c r="Q148" s="28"/>
      <c r="R148" s="28"/>
      <c r="S148" s="28"/>
      <c r="T148" s="28"/>
      <c r="U148" s="3"/>
      <c r="W148" s="3"/>
      <c r="X148" s="3"/>
      <c r="Y148" s="3"/>
      <c r="Z148" s="3"/>
    </row>
    <row r="149" spans="1:26" ht="14.4" hidden="1" outlineLevel="1" x14ac:dyDescent="0.3">
      <c r="A149" s="3"/>
      <c r="B149" s="9" t="s">
        <v>328</v>
      </c>
      <c r="C149" s="53"/>
      <c r="D149" s="53"/>
      <c r="E149" s="11">
        <v>0</v>
      </c>
      <c r="F149" s="11">
        <v>0</v>
      </c>
      <c r="G149" s="56"/>
      <c r="H149" s="56"/>
      <c r="I149" s="80"/>
      <c r="J149" s="56"/>
      <c r="K149" s="28"/>
      <c r="L149" s="28"/>
      <c r="M149" s="28"/>
      <c r="N149" s="28"/>
      <c r="O149" s="28"/>
      <c r="P149" s="28"/>
      <c r="Q149" s="28"/>
      <c r="R149" s="28"/>
      <c r="S149" s="28"/>
      <c r="T149" s="28"/>
      <c r="U149" s="3"/>
      <c r="W149" s="3"/>
      <c r="X149" s="3"/>
      <c r="Y149" s="3"/>
      <c r="Z149" s="3"/>
    </row>
    <row r="150" spans="1:26" ht="14.4" hidden="1" outlineLevel="1" x14ac:dyDescent="0.3">
      <c r="A150" s="3"/>
      <c r="B150" s="9" t="s">
        <v>329</v>
      </c>
      <c r="C150" s="53"/>
      <c r="D150" s="53"/>
      <c r="E150" s="11">
        <v>0</v>
      </c>
      <c r="F150" s="11">
        <v>0</v>
      </c>
      <c r="G150" s="56"/>
      <c r="H150" s="56"/>
      <c r="I150" s="80"/>
      <c r="J150" s="56"/>
      <c r="K150" s="28"/>
      <c r="L150" s="28"/>
      <c r="M150" s="28"/>
      <c r="N150" s="28"/>
      <c r="O150" s="28"/>
      <c r="P150" s="28"/>
      <c r="Q150" s="28"/>
      <c r="R150" s="28"/>
      <c r="S150" s="28"/>
      <c r="T150" s="28"/>
      <c r="U150" s="3"/>
      <c r="W150" s="3"/>
      <c r="X150" s="3"/>
      <c r="Y150" s="3"/>
      <c r="Z150" s="3"/>
    </row>
    <row r="151" spans="1:26" ht="14.4" hidden="1" outlineLevel="1" x14ac:dyDescent="0.3">
      <c r="A151" s="3"/>
      <c r="B151" s="9" t="s">
        <v>371</v>
      </c>
      <c r="C151" s="53"/>
      <c r="D151" s="53"/>
      <c r="E151" s="11">
        <v>0</v>
      </c>
      <c r="F151" s="11">
        <v>0</v>
      </c>
      <c r="G151" s="56"/>
      <c r="H151" s="56"/>
      <c r="I151" s="80"/>
      <c r="J151" s="56"/>
      <c r="K151" s="28"/>
      <c r="L151" s="28"/>
      <c r="M151" s="28"/>
      <c r="N151" s="28"/>
      <c r="O151" s="28"/>
      <c r="P151" s="28"/>
      <c r="Q151" s="28"/>
      <c r="R151" s="28"/>
      <c r="S151" s="28"/>
      <c r="T151" s="28"/>
      <c r="U151" s="3"/>
      <c r="W151" s="3"/>
      <c r="X151" s="3"/>
      <c r="Y151" s="3"/>
      <c r="Z151" s="3"/>
    </row>
    <row r="152" spans="1:26" ht="14.4" hidden="1" outlineLevel="1" x14ac:dyDescent="0.3">
      <c r="A152" s="3"/>
      <c r="B152" s="9" t="s">
        <v>372</v>
      </c>
      <c r="C152" s="53"/>
      <c r="D152" s="53"/>
      <c r="E152" s="11">
        <v>0</v>
      </c>
      <c r="F152" s="11">
        <v>0</v>
      </c>
      <c r="G152" s="56"/>
      <c r="H152" s="56"/>
      <c r="I152" s="80"/>
      <c r="J152" s="56"/>
      <c r="K152" s="28"/>
      <c r="L152" s="28"/>
      <c r="M152" s="28"/>
      <c r="N152" s="28"/>
      <c r="O152" s="28"/>
      <c r="P152" s="28"/>
      <c r="Q152" s="28"/>
      <c r="R152" s="28"/>
      <c r="S152" s="28"/>
      <c r="T152" s="28"/>
      <c r="U152" s="3"/>
      <c r="W152" s="3"/>
      <c r="X152" s="3"/>
      <c r="Y152" s="3"/>
      <c r="Z152" s="3"/>
    </row>
    <row r="153" spans="1:26" ht="14.4" hidden="1" outlineLevel="1" x14ac:dyDescent="0.3">
      <c r="A153" s="3"/>
      <c r="B153" s="9" t="s">
        <v>373</v>
      </c>
      <c r="C153" s="53"/>
      <c r="D153" s="53"/>
      <c r="E153" s="11">
        <v>0</v>
      </c>
      <c r="F153" s="11">
        <v>0</v>
      </c>
      <c r="G153" s="56"/>
      <c r="H153" s="56"/>
      <c r="I153" s="80"/>
      <c r="J153" s="56"/>
      <c r="K153" s="28"/>
      <c r="L153" s="28"/>
      <c r="M153" s="28"/>
      <c r="N153" s="28"/>
      <c r="O153" s="28"/>
      <c r="P153" s="28"/>
      <c r="Q153" s="28"/>
      <c r="R153" s="28"/>
      <c r="S153" s="28"/>
      <c r="T153" s="28"/>
      <c r="U153" s="3"/>
      <c r="W153" s="3"/>
      <c r="X153" s="3"/>
      <c r="Y153" s="3"/>
      <c r="Z153" s="3"/>
    </row>
    <row r="154" spans="1:26" ht="20.399999999999999" collapsed="1" x14ac:dyDescent="0.3">
      <c r="A154" s="3"/>
      <c r="B154" s="75" t="s">
        <v>89</v>
      </c>
      <c r="C154" s="76" t="s">
        <v>44</v>
      </c>
      <c r="D154" s="76" t="s">
        <v>44</v>
      </c>
      <c r="E154" s="77">
        <f t="shared" ref="E154:F154" si="2">SUM(E155,E161,E170,E176)</f>
        <v>0</v>
      </c>
      <c r="F154" s="77">
        <f t="shared" si="2"/>
        <v>31230.11</v>
      </c>
      <c r="G154" s="78"/>
      <c r="H154" s="78"/>
      <c r="I154" s="79"/>
      <c r="J154" s="78"/>
      <c r="K154" s="28"/>
      <c r="L154" s="28"/>
      <c r="M154" s="28"/>
      <c r="N154" s="28"/>
      <c r="O154" s="28"/>
      <c r="P154" s="28"/>
      <c r="Q154" s="28"/>
      <c r="R154" s="28"/>
      <c r="S154" s="28"/>
      <c r="T154" s="28"/>
      <c r="U154" s="3"/>
      <c r="W154" s="3"/>
      <c r="X154" s="3"/>
      <c r="Y154" s="3"/>
      <c r="Z154" s="3"/>
    </row>
    <row r="155" spans="1:26" outlineLevel="1" x14ac:dyDescent="0.3">
      <c r="A155" s="3"/>
      <c r="B155" s="82" t="s">
        <v>381</v>
      </c>
      <c r="C155" s="83"/>
      <c r="D155" s="83"/>
      <c r="E155" s="84">
        <f>SUM(E156:E160)</f>
        <v>0</v>
      </c>
      <c r="F155" s="84">
        <f>SUMIF(D156:D160,"OK",F156:F160)</f>
        <v>537</v>
      </c>
      <c r="G155" s="85"/>
      <c r="H155" s="85"/>
      <c r="I155" s="86"/>
      <c r="J155" s="85"/>
      <c r="K155" s="28"/>
      <c r="L155" s="28"/>
      <c r="M155" s="28"/>
      <c r="N155" s="28"/>
      <c r="O155" s="28"/>
      <c r="P155" s="28"/>
      <c r="Q155" s="28"/>
      <c r="R155" s="28"/>
      <c r="S155" s="28"/>
      <c r="T155" s="28"/>
      <c r="U155" s="3"/>
      <c r="W155" s="3"/>
      <c r="X155" s="3"/>
      <c r="Y155" s="3"/>
      <c r="Z155" s="3"/>
    </row>
    <row r="156" spans="1:26" ht="14.4" outlineLevel="1" x14ac:dyDescent="0.3">
      <c r="A156" s="3"/>
      <c r="B156" s="9" t="s">
        <v>1830</v>
      </c>
      <c r="C156" s="53">
        <v>18</v>
      </c>
      <c r="D156" s="53" t="s">
        <v>95</v>
      </c>
      <c r="E156" s="11">
        <v>0</v>
      </c>
      <c r="F156" s="11">
        <v>537</v>
      </c>
      <c r="G156" s="56" t="s">
        <v>1072</v>
      </c>
      <c r="H156" s="56" t="s">
        <v>37</v>
      </c>
      <c r="I156" s="102" t="s">
        <v>2145</v>
      </c>
      <c r="J156" s="56"/>
      <c r="K156" s="28"/>
      <c r="L156" s="28"/>
      <c r="M156" s="28"/>
      <c r="N156" s="28"/>
      <c r="O156" s="28"/>
      <c r="P156" s="28"/>
      <c r="Q156" s="28"/>
      <c r="R156" s="28"/>
      <c r="S156" s="28"/>
      <c r="T156" s="28"/>
      <c r="U156" s="3"/>
      <c r="W156" s="3"/>
      <c r="X156" s="3"/>
      <c r="Y156" s="3"/>
      <c r="Z156" s="3"/>
    </row>
    <row r="157" spans="1:26" ht="14.4" hidden="1" outlineLevel="1" x14ac:dyDescent="0.3">
      <c r="A157" s="3"/>
      <c r="B157" s="9" t="s">
        <v>51</v>
      </c>
      <c r="C157" s="53"/>
      <c r="D157" s="53"/>
      <c r="E157" s="11">
        <v>0</v>
      </c>
      <c r="F157" s="11">
        <v>0</v>
      </c>
      <c r="G157" s="56"/>
      <c r="H157" s="56"/>
      <c r="I157" s="117"/>
      <c r="J157" s="56"/>
      <c r="K157" s="28"/>
      <c r="L157" s="28"/>
      <c r="M157" s="28"/>
      <c r="N157" s="28"/>
      <c r="O157" s="28"/>
      <c r="P157" s="28"/>
      <c r="Q157" s="28"/>
      <c r="R157" s="28"/>
      <c r="S157" s="28"/>
      <c r="T157" s="28"/>
      <c r="U157" s="3"/>
      <c r="W157" s="3"/>
      <c r="X157" s="3"/>
      <c r="Y157" s="3"/>
      <c r="Z157" s="3"/>
    </row>
    <row r="158" spans="1:26" ht="14.4" hidden="1" outlineLevel="1" x14ac:dyDescent="0.3">
      <c r="A158" s="3"/>
      <c r="B158" s="9" t="s">
        <v>51</v>
      </c>
      <c r="C158" s="53"/>
      <c r="D158" s="53"/>
      <c r="E158" s="11">
        <v>0</v>
      </c>
      <c r="F158" s="11">
        <v>0</v>
      </c>
      <c r="G158" s="56"/>
      <c r="H158" s="56"/>
      <c r="I158" s="102"/>
      <c r="J158" s="56"/>
      <c r="K158" s="28"/>
      <c r="L158" s="28"/>
      <c r="M158" s="28"/>
      <c r="N158" s="28"/>
      <c r="O158" s="28"/>
      <c r="P158" s="28"/>
      <c r="Q158" s="28"/>
      <c r="R158" s="28"/>
      <c r="S158" s="28"/>
      <c r="T158" s="28"/>
      <c r="U158" s="3"/>
      <c r="W158" s="3"/>
      <c r="X158" s="3"/>
      <c r="Y158" s="3"/>
      <c r="Z158" s="3"/>
    </row>
    <row r="159" spans="1:26" ht="14.4" hidden="1" outlineLevel="1" x14ac:dyDescent="0.3">
      <c r="A159" s="3"/>
      <c r="B159" s="9" t="s">
        <v>51</v>
      </c>
      <c r="C159" s="53"/>
      <c r="D159" s="53"/>
      <c r="E159" s="11">
        <v>0</v>
      </c>
      <c r="F159" s="11">
        <v>0</v>
      </c>
      <c r="G159" s="80"/>
      <c r="H159" s="56"/>
      <c r="I159" s="144"/>
      <c r="J159" s="56"/>
      <c r="K159" s="28"/>
      <c r="L159" s="28"/>
      <c r="M159" s="28"/>
      <c r="N159" s="28"/>
      <c r="O159" s="28"/>
      <c r="P159" s="28"/>
      <c r="Q159" s="28"/>
      <c r="R159" s="28"/>
      <c r="S159" s="28"/>
      <c r="T159" s="28"/>
      <c r="U159" s="3"/>
      <c r="W159" s="3"/>
      <c r="X159" s="3"/>
      <c r="Y159" s="3"/>
      <c r="Z159" s="3"/>
    </row>
    <row r="160" spans="1:26" ht="14.4" hidden="1" outlineLevel="1" x14ac:dyDescent="0.3">
      <c r="A160" s="3"/>
      <c r="B160" s="9" t="s">
        <v>51</v>
      </c>
      <c r="C160" s="53"/>
      <c r="D160" s="53"/>
      <c r="E160" s="11">
        <v>0</v>
      </c>
      <c r="F160" s="11">
        <v>0</v>
      </c>
      <c r="G160" s="56"/>
      <c r="H160" s="56"/>
      <c r="I160" s="80"/>
      <c r="J160" s="56"/>
      <c r="K160" s="28"/>
      <c r="L160" s="28"/>
      <c r="M160" s="28"/>
      <c r="N160" s="28"/>
      <c r="O160" s="28"/>
      <c r="P160" s="28"/>
      <c r="Q160" s="28"/>
      <c r="R160" s="28"/>
      <c r="S160" s="28"/>
      <c r="T160" s="28"/>
      <c r="U160" s="3"/>
      <c r="W160" s="3"/>
      <c r="X160" s="3"/>
      <c r="Y160" s="3"/>
      <c r="Z160" s="3"/>
    </row>
    <row r="161" spans="1:26" outlineLevel="1" x14ac:dyDescent="0.3">
      <c r="A161" s="3"/>
      <c r="B161" s="82" t="s">
        <v>644</v>
      </c>
      <c r="C161" s="83"/>
      <c r="D161" s="83"/>
      <c r="E161" s="84">
        <f>SUM(E162:E166)</f>
        <v>0</v>
      </c>
      <c r="F161" s="84">
        <f>SUMIF(D162:D169,"OK",F162:F169)</f>
        <v>30693.11</v>
      </c>
      <c r="G161" s="85"/>
      <c r="H161" s="85"/>
      <c r="I161" s="86"/>
      <c r="J161" s="85"/>
      <c r="K161" s="28"/>
      <c r="L161" s="28"/>
      <c r="M161" s="28"/>
      <c r="N161" s="28"/>
      <c r="O161" s="28"/>
      <c r="P161" s="28"/>
      <c r="Q161" s="28"/>
      <c r="R161" s="28"/>
      <c r="S161" s="28"/>
      <c r="T161" s="28"/>
      <c r="U161" s="3"/>
      <c r="W161" s="3"/>
      <c r="X161" s="3"/>
      <c r="Y161" s="3"/>
      <c r="Z161" s="3"/>
    </row>
    <row r="162" spans="1:26" ht="14.4" outlineLevel="1" x14ac:dyDescent="0.3">
      <c r="A162" s="3"/>
      <c r="B162" s="9" t="s">
        <v>2146</v>
      </c>
      <c r="C162" s="53">
        <v>11</v>
      </c>
      <c r="D162" s="53" t="s">
        <v>95</v>
      </c>
      <c r="E162" s="11">
        <v>0</v>
      </c>
      <c r="F162" s="11">
        <v>4693.1099999999997</v>
      </c>
      <c r="G162" s="56"/>
      <c r="H162" s="56" t="s">
        <v>38</v>
      </c>
      <c r="I162" s="117" t="s">
        <v>2147</v>
      </c>
      <c r="J162" s="56"/>
      <c r="K162" s="28"/>
      <c r="L162" s="28"/>
      <c r="M162" s="28"/>
      <c r="N162" s="28"/>
      <c r="O162" s="28"/>
      <c r="P162" s="28"/>
      <c r="Q162" s="28"/>
      <c r="R162" s="28"/>
      <c r="S162" s="28"/>
      <c r="T162" s="28"/>
      <c r="U162" s="3"/>
      <c r="W162" s="3"/>
      <c r="X162" s="3"/>
      <c r="Y162" s="3"/>
      <c r="Z162" s="3"/>
    </row>
    <row r="163" spans="1:26" ht="14.4" outlineLevel="1" x14ac:dyDescent="0.3">
      <c r="A163" s="3"/>
      <c r="B163" s="9" t="s">
        <v>1118</v>
      </c>
      <c r="C163" s="53">
        <v>12</v>
      </c>
      <c r="D163" s="53" t="s">
        <v>95</v>
      </c>
      <c r="E163" s="11">
        <v>0</v>
      </c>
      <c r="F163" s="11">
        <v>3000</v>
      </c>
      <c r="G163" s="56" t="s">
        <v>2148</v>
      </c>
      <c r="H163" s="56" t="s">
        <v>37</v>
      </c>
      <c r="I163" s="102" t="s">
        <v>2149</v>
      </c>
      <c r="J163" s="56"/>
      <c r="K163" s="28"/>
      <c r="L163" s="28"/>
      <c r="M163" s="28"/>
      <c r="N163" s="28"/>
      <c r="O163" s="28"/>
      <c r="P163" s="28"/>
      <c r="Q163" s="28"/>
      <c r="R163" s="28"/>
      <c r="S163" s="28"/>
      <c r="T163" s="28"/>
      <c r="U163" s="3"/>
      <c r="W163" s="3"/>
      <c r="X163" s="3"/>
      <c r="Y163" s="3"/>
      <c r="Z163" s="3"/>
    </row>
    <row r="164" spans="1:26" ht="14.4" outlineLevel="1" x14ac:dyDescent="0.3">
      <c r="A164" s="3"/>
      <c r="B164" s="9" t="s">
        <v>1118</v>
      </c>
      <c r="C164" s="53">
        <v>12</v>
      </c>
      <c r="D164" s="53" t="s">
        <v>95</v>
      </c>
      <c r="E164" s="11">
        <v>0</v>
      </c>
      <c r="F164" s="11">
        <v>2000</v>
      </c>
      <c r="G164" s="56" t="s">
        <v>2150</v>
      </c>
      <c r="H164" s="56" t="s">
        <v>37</v>
      </c>
      <c r="I164" s="102" t="s">
        <v>2151</v>
      </c>
      <c r="J164" s="56"/>
      <c r="K164" s="28"/>
      <c r="L164" s="28"/>
      <c r="M164" s="28"/>
      <c r="N164" s="28"/>
      <c r="O164" s="28"/>
      <c r="P164" s="28"/>
      <c r="Q164" s="28"/>
      <c r="R164" s="28"/>
      <c r="S164" s="28"/>
      <c r="T164" s="28"/>
      <c r="U164" s="3"/>
      <c r="W164" s="3"/>
      <c r="X164" s="3"/>
      <c r="Y164" s="3"/>
      <c r="Z164" s="3"/>
    </row>
    <row r="165" spans="1:26" ht="14.4" outlineLevel="1" x14ac:dyDescent="0.3">
      <c r="A165" s="3"/>
      <c r="B165" s="9" t="s">
        <v>1118</v>
      </c>
      <c r="C165" s="53">
        <v>12</v>
      </c>
      <c r="D165" s="53" t="s">
        <v>95</v>
      </c>
      <c r="E165" s="11">
        <v>0</v>
      </c>
      <c r="F165" s="11">
        <v>3000</v>
      </c>
      <c r="G165" s="56" t="s">
        <v>2152</v>
      </c>
      <c r="H165" s="56" t="s">
        <v>37</v>
      </c>
      <c r="I165" s="117" t="s">
        <v>2153</v>
      </c>
      <c r="J165" s="56"/>
      <c r="K165" s="28"/>
      <c r="L165" s="28"/>
      <c r="M165" s="28"/>
      <c r="N165" s="28"/>
      <c r="O165" s="28"/>
      <c r="P165" s="28"/>
      <c r="Q165" s="28"/>
      <c r="R165" s="28"/>
      <c r="S165" s="28"/>
      <c r="T165" s="28"/>
      <c r="U165" s="3"/>
      <c r="W165" s="3"/>
      <c r="X165" s="3"/>
      <c r="Y165" s="3"/>
      <c r="Z165" s="3"/>
    </row>
    <row r="166" spans="1:26" ht="14.4" outlineLevel="1" x14ac:dyDescent="0.3">
      <c r="A166" s="3"/>
      <c r="B166" s="9" t="s">
        <v>1118</v>
      </c>
      <c r="C166" s="53">
        <v>11</v>
      </c>
      <c r="D166" s="53" t="s">
        <v>95</v>
      </c>
      <c r="E166" s="11">
        <v>0</v>
      </c>
      <c r="F166" s="11">
        <v>5000</v>
      </c>
      <c r="G166" s="56" t="s">
        <v>2154</v>
      </c>
      <c r="H166" s="56" t="s">
        <v>38</v>
      </c>
      <c r="I166" s="117" t="s">
        <v>2155</v>
      </c>
      <c r="J166" s="56"/>
      <c r="K166" s="28"/>
      <c r="L166" s="28"/>
      <c r="M166" s="28"/>
      <c r="N166" s="28"/>
      <c r="O166" s="28"/>
      <c r="P166" s="28"/>
      <c r="Q166" s="28"/>
      <c r="R166" s="28"/>
      <c r="S166" s="28"/>
      <c r="T166" s="28"/>
      <c r="U166" s="3"/>
      <c r="W166" s="3"/>
      <c r="X166" s="3"/>
      <c r="Y166" s="3"/>
      <c r="Z166" s="3"/>
    </row>
    <row r="167" spans="1:26" ht="14.4" outlineLevel="1" x14ac:dyDescent="0.3">
      <c r="A167" s="3"/>
      <c r="B167" s="9" t="s">
        <v>1118</v>
      </c>
      <c r="C167" s="53">
        <v>11</v>
      </c>
      <c r="D167" s="53" t="s">
        <v>95</v>
      </c>
      <c r="E167" s="11">
        <v>0</v>
      </c>
      <c r="F167" s="11">
        <v>5000</v>
      </c>
      <c r="G167" s="56" t="s">
        <v>2156</v>
      </c>
      <c r="H167" s="56" t="s">
        <v>38</v>
      </c>
      <c r="I167" s="102" t="s">
        <v>2157</v>
      </c>
      <c r="J167" s="56"/>
      <c r="K167" s="28"/>
      <c r="L167" s="28"/>
      <c r="M167" s="28"/>
      <c r="N167" s="28"/>
      <c r="O167" s="28"/>
      <c r="P167" s="28"/>
      <c r="Q167" s="28"/>
      <c r="R167" s="28"/>
      <c r="S167" s="28"/>
      <c r="T167" s="28"/>
      <c r="U167" s="3"/>
      <c r="W167" s="3"/>
      <c r="X167" s="3"/>
      <c r="Y167" s="3"/>
      <c r="Z167" s="3"/>
    </row>
    <row r="168" spans="1:26" ht="14.4" outlineLevel="1" x14ac:dyDescent="0.3">
      <c r="A168" s="3"/>
      <c r="B168" s="9" t="s">
        <v>1118</v>
      </c>
      <c r="C168" s="53">
        <v>12</v>
      </c>
      <c r="D168" s="53" t="s">
        <v>95</v>
      </c>
      <c r="E168" s="11">
        <v>0</v>
      </c>
      <c r="F168" s="11">
        <v>3000</v>
      </c>
      <c r="G168" s="56" t="s">
        <v>2158</v>
      </c>
      <c r="H168" s="56" t="s">
        <v>38</v>
      </c>
      <c r="I168" s="102" t="s">
        <v>2159</v>
      </c>
      <c r="J168" s="56"/>
      <c r="K168" s="28"/>
      <c r="L168" s="28"/>
      <c r="M168" s="28"/>
      <c r="N168" s="28"/>
      <c r="O168" s="28"/>
      <c r="P168" s="28"/>
      <c r="Q168" s="28"/>
      <c r="R168" s="28"/>
      <c r="S168" s="28"/>
      <c r="T168" s="28"/>
      <c r="U168" s="3"/>
      <c r="W168" s="3"/>
      <c r="X168" s="3"/>
      <c r="Y168" s="3"/>
      <c r="Z168" s="3"/>
    </row>
    <row r="169" spans="1:26" ht="14.4" outlineLevel="1" x14ac:dyDescent="0.3">
      <c r="A169" s="3"/>
      <c r="B169" s="9" t="s">
        <v>1118</v>
      </c>
      <c r="C169" s="53">
        <v>12</v>
      </c>
      <c r="D169" s="53" t="s">
        <v>95</v>
      </c>
      <c r="E169" s="11">
        <v>0</v>
      </c>
      <c r="F169" s="11">
        <v>5000</v>
      </c>
      <c r="G169" s="56" t="s">
        <v>2160</v>
      </c>
      <c r="H169" s="56" t="s">
        <v>38</v>
      </c>
      <c r="I169" s="102" t="s">
        <v>2161</v>
      </c>
      <c r="J169" s="56"/>
      <c r="K169" s="28"/>
      <c r="L169" s="28"/>
      <c r="M169" s="28"/>
      <c r="N169" s="28"/>
      <c r="O169" s="28"/>
      <c r="P169" s="28"/>
      <c r="Q169" s="28"/>
      <c r="R169" s="28"/>
      <c r="S169" s="28"/>
      <c r="T169" s="28"/>
      <c r="U169" s="3"/>
      <c r="W169" s="3"/>
      <c r="X169" s="3"/>
      <c r="Y169" s="3"/>
      <c r="Z169" s="3"/>
    </row>
    <row r="170" spans="1:26" hidden="1" outlineLevel="1" x14ac:dyDescent="0.3">
      <c r="A170" s="3"/>
      <c r="B170" s="82" t="s">
        <v>382</v>
      </c>
      <c r="C170" s="83"/>
      <c r="D170" s="83"/>
      <c r="E170" s="84">
        <f>SUM(E171:E175)</f>
        <v>0</v>
      </c>
      <c r="F170" s="84">
        <f>SUMIF(D171:D175,"OK",F171:F175)</f>
        <v>0</v>
      </c>
      <c r="G170" s="85"/>
      <c r="H170" s="85"/>
      <c r="I170" s="86"/>
      <c r="J170" s="85"/>
      <c r="K170" s="28"/>
      <c r="L170" s="28"/>
      <c r="M170" s="28"/>
      <c r="N170" s="28"/>
      <c r="O170" s="28"/>
      <c r="P170" s="28"/>
      <c r="Q170" s="28"/>
      <c r="R170" s="28"/>
      <c r="S170" s="28"/>
      <c r="T170" s="28"/>
      <c r="U170" s="3"/>
      <c r="W170" s="3"/>
      <c r="X170" s="3"/>
      <c r="Y170" s="3"/>
      <c r="Z170" s="3"/>
    </row>
    <row r="171" spans="1:26" ht="14.4" hidden="1" outlineLevel="1" x14ac:dyDescent="0.3">
      <c r="A171" s="3"/>
      <c r="B171" s="9" t="s">
        <v>354</v>
      </c>
      <c r="C171" s="53"/>
      <c r="D171" s="53"/>
      <c r="E171" s="11">
        <v>0</v>
      </c>
      <c r="F171" s="11">
        <v>0</v>
      </c>
      <c r="G171" s="56"/>
      <c r="H171" s="56"/>
      <c r="I171" s="80"/>
      <c r="J171" s="56"/>
      <c r="K171" s="28"/>
      <c r="L171" s="28"/>
      <c r="M171" s="28"/>
      <c r="N171" s="28"/>
      <c r="O171" s="28"/>
      <c r="P171" s="28"/>
      <c r="Q171" s="28"/>
      <c r="R171" s="28"/>
      <c r="S171" s="28"/>
      <c r="T171" s="28"/>
      <c r="U171" s="3"/>
      <c r="W171" s="3"/>
      <c r="X171" s="3"/>
      <c r="Y171" s="3"/>
      <c r="Z171" s="3"/>
    </row>
    <row r="172" spans="1:26" ht="14.4" hidden="1" outlineLevel="1" x14ac:dyDescent="0.3">
      <c r="A172" s="3"/>
      <c r="B172" s="9" t="s">
        <v>355</v>
      </c>
      <c r="C172" s="53"/>
      <c r="D172" s="53"/>
      <c r="E172" s="11">
        <v>0</v>
      </c>
      <c r="F172" s="11">
        <v>0</v>
      </c>
      <c r="G172" s="56"/>
      <c r="H172" s="56"/>
      <c r="I172" s="80"/>
      <c r="J172" s="56"/>
      <c r="K172" s="28"/>
      <c r="L172" s="28"/>
      <c r="M172" s="28"/>
      <c r="N172" s="28"/>
      <c r="O172" s="28"/>
      <c r="P172" s="28"/>
      <c r="Q172" s="28"/>
      <c r="R172" s="28"/>
      <c r="S172" s="28"/>
      <c r="T172" s="28"/>
      <c r="U172" s="3"/>
      <c r="W172" s="3"/>
      <c r="X172" s="3"/>
      <c r="Y172" s="3"/>
      <c r="Z172" s="3"/>
    </row>
    <row r="173" spans="1:26" ht="14.4" hidden="1" outlineLevel="1" x14ac:dyDescent="0.3">
      <c r="A173" s="3"/>
      <c r="B173" s="9" t="s">
        <v>356</v>
      </c>
      <c r="C173" s="53"/>
      <c r="D173" s="53"/>
      <c r="E173" s="11">
        <v>0</v>
      </c>
      <c r="F173" s="11">
        <v>0</v>
      </c>
      <c r="G173" s="56"/>
      <c r="H173" s="56"/>
      <c r="I173" s="80"/>
      <c r="J173" s="56"/>
      <c r="K173" s="28"/>
      <c r="L173" s="28"/>
      <c r="M173" s="28"/>
      <c r="N173" s="28"/>
      <c r="O173" s="28"/>
      <c r="P173" s="28"/>
      <c r="Q173" s="28"/>
      <c r="R173" s="28"/>
      <c r="S173" s="28"/>
      <c r="T173" s="28"/>
      <c r="U173" s="3"/>
      <c r="W173" s="3"/>
      <c r="X173" s="3"/>
      <c r="Y173" s="3"/>
      <c r="Z173" s="3"/>
    </row>
    <row r="174" spans="1:26" ht="14.4" hidden="1" outlineLevel="1" x14ac:dyDescent="0.3">
      <c r="A174" s="3"/>
      <c r="B174" s="9" t="s">
        <v>370</v>
      </c>
      <c r="C174" s="53"/>
      <c r="D174" s="53"/>
      <c r="E174" s="11">
        <v>0</v>
      </c>
      <c r="F174" s="11">
        <v>0</v>
      </c>
      <c r="G174" s="56"/>
      <c r="H174" s="56"/>
      <c r="I174" s="80"/>
      <c r="J174" s="56"/>
      <c r="K174" s="28"/>
      <c r="L174" s="28"/>
      <c r="M174" s="28"/>
      <c r="N174" s="28"/>
      <c r="O174" s="28"/>
      <c r="P174" s="28"/>
      <c r="Q174" s="28"/>
      <c r="R174" s="28"/>
      <c r="S174" s="28"/>
      <c r="T174" s="28"/>
      <c r="U174" s="3"/>
      <c r="W174" s="3"/>
      <c r="X174" s="3"/>
      <c r="Y174" s="3"/>
      <c r="Z174" s="3"/>
    </row>
    <row r="175" spans="1:26" ht="14.4" hidden="1" outlineLevel="1" x14ac:dyDescent="0.3">
      <c r="A175" s="3"/>
      <c r="B175" s="9" t="s">
        <v>328</v>
      </c>
      <c r="C175" s="53"/>
      <c r="D175" s="53"/>
      <c r="E175" s="11">
        <v>0</v>
      </c>
      <c r="F175" s="11">
        <v>0</v>
      </c>
      <c r="G175" s="56"/>
      <c r="H175" s="56"/>
      <c r="I175" s="80"/>
      <c r="J175" s="56"/>
      <c r="K175" s="28"/>
      <c r="L175" s="28"/>
      <c r="M175" s="28"/>
      <c r="N175" s="28"/>
      <c r="O175" s="28"/>
      <c r="P175" s="28"/>
      <c r="Q175" s="28"/>
      <c r="R175" s="28"/>
      <c r="S175" s="28"/>
      <c r="T175" s="28"/>
      <c r="U175" s="3"/>
      <c r="W175" s="3"/>
      <c r="X175" s="3"/>
      <c r="Y175" s="3"/>
      <c r="Z175" s="3"/>
    </row>
    <row r="176" spans="1:26" hidden="1" outlineLevel="1" x14ac:dyDescent="0.3">
      <c r="A176" s="3"/>
      <c r="B176" s="82" t="s">
        <v>383</v>
      </c>
      <c r="C176" s="83"/>
      <c r="D176" s="83"/>
      <c r="E176" s="84">
        <f>SUM(E177:E181)</f>
        <v>0</v>
      </c>
      <c r="F176" s="84">
        <f>SUMIF(D177:D181,"OK",F177:F181)</f>
        <v>0</v>
      </c>
      <c r="G176" s="85"/>
      <c r="H176" s="85"/>
      <c r="I176" s="86"/>
      <c r="J176" s="85"/>
      <c r="K176" s="28"/>
      <c r="L176" s="28"/>
      <c r="M176" s="28"/>
      <c r="N176" s="28"/>
      <c r="O176" s="28"/>
      <c r="P176" s="28"/>
      <c r="Q176" s="28"/>
      <c r="R176" s="28"/>
      <c r="S176" s="28"/>
      <c r="T176" s="28"/>
      <c r="U176" s="3"/>
      <c r="W176" s="3"/>
      <c r="X176" s="3"/>
      <c r="Y176" s="3"/>
      <c r="Z176" s="3"/>
    </row>
    <row r="177" spans="1:26" ht="14.4" hidden="1" outlineLevel="1" x14ac:dyDescent="0.3">
      <c r="A177" s="3"/>
      <c r="B177" s="9" t="s">
        <v>354</v>
      </c>
      <c r="C177" s="53"/>
      <c r="D177" s="53"/>
      <c r="E177" s="11">
        <v>0</v>
      </c>
      <c r="F177" s="11">
        <v>0</v>
      </c>
      <c r="G177" s="56"/>
      <c r="H177" s="56"/>
      <c r="I177" s="80"/>
      <c r="J177" s="56"/>
      <c r="K177" s="28"/>
      <c r="L177" s="28"/>
      <c r="M177" s="28"/>
      <c r="N177" s="28"/>
      <c r="O177" s="28"/>
      <c r="P177" s="28"/>
      <c r="Q177" s="28"/>
      <c r="R177" s="28"/>
      <c r="S177" s="28"/>
      <c r="T177" s="28"/>
      <c r="U177" s="3"/>
      <c r="W177" s="3"/>
      <c r="X177" s="3"/>
      <c r="Y177" s="3"/>
      <c r="Z177" s="3"/>
    </row>
    <row r="178" spans="1:26" ht="14.4" hidden="1" outlineLevel="1" x14ac:dyDescent="0.3">
      <c r="A178" s="3"/>
      <c r="B178" s="9" t="s">
        <v>355</v>
      </c>
      <c r="C178" s="53"/>
      <c r="D178" s="53"/>
      <c r="E178" s="11">
        <v>0</v>
      </c>
      <c r="F178" s="11">
        <v>0</v>
      </c>
      <c r="G178" s="56"/>
      <c r="H178" s="56"/>
      <c r="I178" s="80"/>
      <c r="J178" s="56"/>
      <c r="K178" s="28"/>
      <c r="L178" s="28"/>
      <c r="M178" s="28"/>
      <c r="N178" s="28"/>
      <c r="O178" s="28"/>
      <c r="P178" s="28"/>
      <c r="Q178" s="28"/>
      <c r="R178" s="28"/>
      <c r="S178" s="28"/>
      <c r="T178" s="28"/>
      <c r="U178" s="3"/>
      <c r="W178" s="3"/>
      <c r="X178" s="3"/>
      <c r="Y178" s="3"/>
      <c r="Z178" s="3"/>
    </row>
    <row r="179" spans="1:26" ht="14.4" hidden="1" outlineLevel="1" x14ac:dyDescent="0.3">
      <c r="A179" s="3"/>
      <c r="B179" s="9" t="s">
        <v>356</v>
      </c>
      <c r="C179" s="53"/>
      <c r="D179" s="53"/>
      <c r="E179" s="11">
        <v>0</v>
      </c>
      <c r="F179" s="11">
        <v>0</v>
      </c>
      <c r="G179" s="56"/>
      <c r="H179" s="56"/>
      <c r="I179" s="80"/>
      <c r="J179" s="56"/>
      <c r="K179" s="28"/>
      <c r="L179" s="28"/>
      <c r="M179" s="28"/>
      <c r="N179" s="28"/>
      <c r="O179" s="28"/>
      <c r="P179" s="28"/>
      <c r="Q179" s="28"/>
      <c r="R179" s="28"/>
      <c r="S179" s="28"/>
      <c r="T179" s="28"/>
      <c r="U179" s="3"/>
      <c r="W179" s="3"/>
      <c r="X179" s="3"/>
      <c r="Y179" s="3"/>
      <c r="Z179" s="3"/>
    </row>
    <row r="180" spans="1:26" ht="14.4" hidden="1" outlineLevel="1" x14ac:dyDescent="0.3">
      <c r="A180" s="3"/>
      <c r="B180" s="9" t="s">
        <v>370</v>
      </c>
      <c r="C180" s="53"/>
      <c r="D180" s="53"/>
      <c r="E180" s="11">
        <v>0</v>
      </c>
      <c r="F180" s="11">
        <v>0</v>
      </c>
      <c r="G180" s="56"/>
      <c r="H180" s="56"/>
      <c r="I180" s="80"/>
      <c r="J180" s="56"/>
      <c r="K180" s="28"/>
      <c r="L180" s="28"/>
      <c r="M180" s="28"/>
      <c r="N180" s="28"/>
      <c r="O180" s="28"/>
      <c r="P180" s="28"/>
      <c r="Q180" s="28"/>
      <c r="R180" s="28"/>
      <c r="S180" s="28"/>
      <c r="T180" s="28"/>
      <c r="U180" s="3"/>
      <c r="W180" s="3"/>
      <c r="X180" s="3"/>
      <c r="Y180" s="3"/>
      <c r="Z180" s="3"/>
    </row>
    <row r="181" spans="1:26" ht="14.4" hidden="1" outlineLevel="1" x14ac:dyDescent="0.3">
      <c r="A181" s="3"/>
      <c r="B181" s="9" t="s">
        <v>328</v>
      </c>
      <c r="C181" s="53"/>
      <c r="D181" s="53"/>
      <c r="E181" s="11">
        <v>0</v>
      </c>
      <c r="F181" s="11">
        <v>0</v>
      </c>
      <c r="G181" s="56"/>
      <c r="H181" s="56"/>
      <c r="I181" s="80"/>
      <c r="J181" s="56"/>
      <c r="K181" s="28"/>
      <c r="L181" s="28"/>
      <c r="M181" s="28"/>
      <c r="N181" s="28"/>
      <c r="O181" s="28"/>
      <c r="P181" s="28"/>
      <c r="Q181" s="28"/>
      <c r="R181" s="28"/>
      <c r="S181" s="28"/>
      <c r="T181" s="28"/>
      <c r="U181" s="3"/>
      <c r="W181" s="3"/>
      <c r="X181" s="3"/>
      <c r="Y181" s="3"/>
      <c r="Z181" s="3"/>
    </row>
    <row r="182" spans="1:26" ht="20.399999999999999" hidden="1" x14ac:dyDescent="0.3">
      <c r="A182" s="3"/>
      <c r="B182" s="75" t="s">
        <v>384</v>
      </c>
      <c r="C182" s="76" t="s">
        <v>44</v>
      </c>
      <c r="D182" s="76" t="s">
        <v>44</v>
      </c>
      <c r="E182" s="77">
        <f>SUM(E183:E187)</f>
        <v>0</v>
      </c>
      <c r="F182" s="77">
        <f>SUMIF(D183:D187,"OK",F183:F187)</f>
        <v>0</v>
      </c>
      <c r="G182" s="78"/>
      <c r="H182" s="78"/>
      <c r="I182" s="79"/>
      <c r="J182" s="78"/>
      <c r="K182" s="28"/>
      <c r="L182" s="28"/>
      <c r="M182" s="28"/>
      <c r="N182" s="28"/>
      <c r="O182" s="28"/>
      <c r="P182" s="28"/>
      <c r="Q182" s="28"/>
      <c r="R182" s="28"/>
      <c r="S182" s="28"/>
      <c r="T182" s="28"/>
      <c r="U182" s="3"/>
      <c r="W182" s="3"/>
      <c r="X182" s="3"/>
      <c r="Y182" s="3"/>
      <c r="Z182" s="3"/>
    </row>
    <row r="183" spans="1:26" ht="14.4" hidden="1" outlineLevel="1" x14ac:dyDescent="0.3">
      <c r="A183" s="3"/>
      <c r="B183" s="9" t="s">
        <v>354</v>
      </c>
      <c r="C183" s="53"/>
      <c r="D183" s="53"/>
      <c r="E183" s="11">
        <v>0</v>
      </c>
      <c r="F183" s="11">
        <v>0</v>
      </c>
      <c r="G183" s="56"/>
      <c r="H183" s="56"/>
      <c r="I183" s="144"/>
      <c r="J183" s="56"/>
      <c r="K183" s="28"/>
      <c r="L183" s="28"/>
      <c r="M183" s="28"/>
      <c r="N183" s="28"/>
      <c r="O183" s="28"/>
      <c r="P183" s="28"/>
      <c r="Q183" s="28"/>
      <c r="R183" s="28"/>
      <c r="S183" s="28"/>
      <c r="T183" s="28"/>
      <c r="U183" s="3"/>
      <c r="W183" s="3"/>
      <c r="X183" s="3"/>
      <c r="Y183" s="3"/>
      <c r="Z183" s="3"/>
    </row>
    <row r="184" spans="1:26" ht="14.4" hidden="1" outlineLevel="1" x14ac:dyDescent="0.3">
      <c r="A184" s="3"/>
      <c r="B184" s="9" t="s">
        <v>355</v>
      </c>
      <c r="C184" s="53"/>
      <c r="D184" s="53"/>
      <c r="E184" s="11">
        <v>0</v>
      </c>
      <c r="F184" s="11">
        <v>0</v>
      </c>
      <c r="G184" s="56"/>
      <c r="H184" s="56"/>
      <c r="I184" s="80"/>
      <c r="J184" s="56"/>
      <c r="K184" s="28"/>
      <c r="L184" s="28"/>
      <c r="M184" s="28"/>
      <c r="N184" s="28"/>
      <c r="O184" s="28"/>
      <c r="P184" s="28"/>
      <c r="Q184" s="28"/>
      <c r="R184" s="28"/>
      <c r="S184" s="28"/>
      <c r="T184" s="28"/>
      <c r="U184" s="3"/>
      <c r="W184" s="3"/>
      <c r="X184" s="3"/>
      <c r="Y184" s="3"/>
      <c r="Z184" s="3"/>
    </row>
    <row r="185" spans="1:26" ht="14.4" hidden="1" outlineLevel="1" x14ac:dyDescent="0.3">
      <c r="A185" s="3"/>
      <c r="B185" s="9" t="s">
        <v>356</v>
      </c>
      <c r="C185" s="53"/>
      <c r="D185" s="53"/>
      <c r="E185" s="11">
        <v>0</v>
      </c>
      <c r="F185" s="11">
        <v>0</v>
      </c>
      <c r="G185" s="56"/>
      <c r="H185" s="56"/>
      <c r="I185" s="80"/>
      <c r="J185" s="56"/>
      <c r="K185" s="28"/>
      <c r="L185" s="28"/>
      <c r="M185" s="28"/>
      <c r="N185" s="28"/>
      <c r="O185" s="28"/>
      <c r="P185" s="28"/>
      <c r="Q185" s="28"/>
      <c r="R185" s="28"/>
      <c r="S185" s="28"/>
      <c r="T185" s="28"/>
      <c r="U185" s="3"/>
      <c r="W185" s="3"/>
      <c r="X185" s="3"/>
      <c r="Y185" s="3"/>
      <c r="Z185" s="3"/>
    </row>
    <row r="186" spans="1:26" ht="14.4" hidden="1" outlineLevel="1" x14ac:dyDescent="0.3">
      <c r="A186" s="3"/>
      <c r="B186" s="9" t="s">
        <v>370</v>
      </c>
      <c r="C186" s="53"/>
      <c r="D186" s="53"/>
      <c r="E186" s="11">
        <v>0</v>
      </c>
      <c r="F186" s="11">
        <v>0</v>
      </c>
      <c r="G186" s="56"/>
      <c r="H186" s="56"/>
      <c r="I186" s="80"/>
      <c r="J186" s="56"/>
      <c r="K186" s="28"/>
      <c r="L186" s="28"/>
      <c r="M186" s="28"/>
      <c r="N186" s="28"/>
      <c r="O186" s="28"/>
      <c r="P186" s="28"/>
      <c r="Q186" s="28"/>
      <c r="R186" s="28"/>
      <c r="S186" s="28"/>
      <c r="T186" s="28"/>
      <c r="U186" s="3"/>
      <c r="W186" s="3"/>
      <c r="X186" s="3"/>
      <c r="Y186" s="3"/>
      <c r="Z186" s="3"/>
    </row>
    <row r="187" spans="1:26" ht="14.4" hidden="1" outlineLevel="1" x14ac:dyDescent="0.3">
      <c r="A187" s="3"/>
      <c r="B187" s="9" t="s">
        <v>328</v>
      </c>
      <c r="C187" s="53"/>
      <c r="D187" s="53"/>
      <c r="E187" s="11">
        <v>0</v>
      </c>
      <c r="F187" s="11">
        <v>0</v>
      </c>
      <c r="G187" s="56"/>
      <c r="H187" s="56"/>
      <c r="I187" s="80"/>
      <c r="J187" s="56"/>
      <c r="K187" s="28"/>
      <c r="L187" s="28"/>
      <c r="M187" s="28"/>
      <c r="N187" s="28"/>
      <c r="O187" s="28"/>
      <c r="P187" s="28"/>
      <c r="Q187" s="28"/>
      <c r="R187" s="28"/>
      <c r="S187" s="28"/>
      <c r="T187" s="28"/>
      <c r="U187" s="3"/>
      <c r="W187" s="3"/>
      <c r="X187" s="3"/>
      <c r="Y187" s="3"/>
      <c r="Z187" s="3"/>
    </row>
    <row r="188" spans="1:26" ht="20.399999999999999" collapsed="1" x14ac:dyDescent="0.3">
      <c r="A188" s="3"/>
      <c r="B188" s="75" t="s">
        <v>385</v>
      </c>
      <c r="C188" s="76" t="s">
        <v>44</v>
      </c>
      <c r="D188" s="76" t="s">
        <v>44</v>
      </c>
      <c r="E188" s="77">
        <f>SUM(E189:E216)</f>
        <v>0</v>
      </c>
      <c r="F188" s="77">
        <f>SUMIF(D189:D216,"OK",F189:F216)</f>
        <v>4572</v>
      </c>
      <c r="G188" s="78"/>
      <c r="H188" s="78"/>
      <c r="I188" s="79"/>
      <c r="J188" s="78"/>
      <c r="K188" s="28"/>
      <c r="L188" s="28"/>
      <c r="M188" s="28"/>
      <c r="N188" s="28"/>
      <c r="O188" s="28"/>
      <c r="P188" s="28"/>
      <c r="Q188" s="28"/>
      <c r="R188" s="28"/>
      <c r="S188" s="28"/>
      <c r="T188" s="28"/>
      <c r="U188" s="3"/>
      <c r="W188" s="3"/>
      <c r="X188" s="3"/>
      <c r="Y188" s="3"/>
      <c r="Z188" s="3"/>
    </row>
    <row r="189" spans="1:26" ht="14.4" outlineLevel="1" x14ac:dyDescent="0.3">
      <c r="A189" s="3"/>
      <c r="B189" s="9" t="s">
        <v>2162</v>
      </c>
      <c r="C189" s="53">
        <v>4</v>
      </c>
      <c r="D189" s="53" t="s">
        <v>95</v>
      </c>
      <c r="E189" s="11">
        <v>0</v>
      </c>
      <c r="F189" s="11">
        <v>1000</v>
      </c>
      <c r="G189" s="80" t="s">
        <v>2163</v>
      </c>
      <c r="H189" s="56" t="s">
        <v>37</v>
      </c>
      <c r="I189" s="102" t="s">
        <v>2123</v>
      </c>
      <c r="J189" s="56"/>
      <c r="K189" s="28"/>
      <c r="L189" s="28"/>
      <c r="M189" s="28"/>
      <c r="N189" s="28"/>
      <c r="O189" s="28"/>
      <c r="P189" s="28"/>
      <c r="Q189" s="28"/>
      <c r="R189" s="28"/>
      <c r="S189" s="28"/>
      <c r="T189" s="28"/>
      <c r="U189" s="3"/>
      <c r="W189" s="3"/>
      <c r="X189" s="3"/>
      <c r="Y189" s="3"/>
      <c r="Z189" s="3"/>
    </row>
    <row r="190" spans="1:26" ht="14.4" outlineLevel="1" x14ac:dyDescent="0.3">
      <c r="A190" s="3"/>
      <c r="B190" s="9" t="s">
        <v>2162</v>
      </c>
      <c r="C190" s="53">
        <v>7</v>
      </c>
      <c r="D190" s="53" t="s">
        <v>95</v>
      </c>
      <c r="E190" s="11">
        <v>0</v>
      </c>
      <c r="F190" s="11">
        <v>500</v>
      </c>
      <c r="G190" s="80" t="s">
        <v>2164</v>
      </c>
      <c r="H190" s="56" t="s">
        <v>37</v>
      </c>
      <c r="I190" s="102" t="s">
        <v>2123</v>
      </c>
      <c r="J190" s="80"/>
      <c r="K190" s="28"/>
      <c r="L190" s="28"/>
      <c r="M190" s="28"/>
      <c r="N190" s="28"/>
      <c r="O190" s="28"/>
      <c r="P190" s="28"/>
      <c r="Q190" s="28"/>
      <c r="R190" s="28"/>
      <c r="S190" s="28"/>
      <c r="T190" s="28"/>
      <c r="U190" s="3"/>
      <c r="W190" s="3"/>
      <c r="X190" s="3"/>
      <c r="Y190" s="3"/>
      <c r="Z190" s="3"/>
    </row>
    <row r="191" spans="1:26" ht="14.4" outlineLevel="1" x14ac:dyDescent="0.3">
      <c r="A191" s="3"/>
      <c r="B191" s="9" t="s">
        <v>2165</v>
      </c>
      <c r="C191" s="53">
        <v>9</v>
      </c>
      <c r="D191" s="53" t="s">
        <v>95</v>
      </c>
      <c r="E191" s="11">
        <v>0</v>
      </c>
      <c r="F191" s="11">
        <v>200</v>
      </c>
      <c r="G191" s="56" t="s">
        <v>2166</v>
      </c>
      <c r="H191" s="56" t="s">
        <v>37</v>
      </c>
      <c r="I191" s="102" t="s">
        <v>2123</v>
      </c>
      <c r="J191" s="56"/>
      <c r="K191" s="28"/>
      <c r="L191" s="28"/>
      <c r="M191" s="28"/>
      <c r="N191" s="28"/>
      <c r="O191" s="28"/>
      <c r="P191" s="28"/>
      <c r="Q191" s="28"/>
      <c r="R191" s="28"/>
      <c r="S191" s="28"/>
      <c r="T191" s="28"/>
      <c r="U191" s="3"/>
      <c r="W191" s="3"/>
      <c r="X191" s="3"/>
      <c r="Y191" s="3"/>
      <c r="Z191" s="3"/>
    </row>
    <row r="192" spans="1:26" ht="14.4" outlineLevel="1" x14ac:dyDescent="0.3">
      <c r="A192" s="3"/>
      <c r="B192" s="9" t="s">
        <v>2165</v>
      </c>
      <c r="C192" s="53">
        <v>9</v>
      </c>
      <c r="D192" s="53" t="s">
        <v>95</v>
      </c>
      <c r="E192" s="11">
        <v>0</v>
      </c>
      <c r="F192" s="11">
        <v>200</v>
      </c>
      <c r="G192" s="56" t="s">
        <v>2167</v>
      </c>
      <c r="H192" s="56" t="s">
        <v>37</v>
      </c>
      <c r="I192" s="102" t="s">
        <v>2123</v>
      </c>
      <c r="J192" s="56"/>
      <c r="K192" s="28"/>
      <c r="L192" s="28"/>
      <c r="M192" s="28"/>
      <c r="N192" s="28"/>
      <c r="O192" s="28"/>
      <c r="P192" s="28"/>
      <c r="Q192" s="28"/>
      <c r="R192" s="28"/>
      <c r="S192" s="28"/>
      <c r="T192" s="28"/>
      <c r="U192" s="3"/>
      <c r="W192" s="3"/>
      <c r="X192" s="3"/>
      <c r="Y192" s="3"/>
      <c r="Z192" s="3"/>
    </row>
    <row r="193" spans="1:26" ht="14.4" outlineLevel="1" x14ac:dyDescent="0.3">
      <c r="A193" s="3"/>
      <c r="B193" s="9" t="s">
        <v>2168</v>
      </c>
      <c r="C193" s="53">
        <v>12</v>
      </c>
      <c r="D193" s="53" t="s">
        <v>95</v>
      </c>
      <c r="E193" s="11">
        <v>0</v>
      </c>
      <c r="F193" s="11">
        <v>750</v>
      </c>
      <c r="G193" s="56" t="s">
        <v>2169</v>
      </c>
      <c r="H193" s="56" t="s">
        <v>37</v>
      </c>
      <c r="I193" s="102" t="s">
        <v>2123</v>
      </c>
      <c r="J193" s="56"/>
      <c r="K193" s="28"/>
      <c r="L193" s="28"/>
      <c r="M193" s="28"/>
      <c r="N193" s="28"/>
      <c r="O193" s="28"/>
      <c r="P193" s="28"/>
      <c r="Q193" s="28"/>
      <c r="R193" s="28"/>
      <c r="S193" s="28"/>
      <c r="T193" s="28"/>
      <c r="U193" s="3"/>
      <c r="W193" s="3"/>
      <c r="X193" s="3"/>
      <c r="Y193" s="3"/>
      <c r="Z193" s="3"/>
    </row>
    <row r="194" spans="1:26" ht="14.4" outlineLevel="1" x14ac:dyDescent="0.3">
      <c r="A194" s="3"/>
      <c r="B194" s="9" t="s">
        <v>2170</v>
      </c>
      <c r="C194" s="53">
        <v>14</v>
      </c>
      <c r="D194" s="53" t="s">
        <v>95</v>
      </c>
      <c r="E194" s="11">
        <v>0</v>
      </c>
      <c r="F194" s="11">
        <v>59</v>
      </c>
      <c r="G194" s="56"/>
      <c r="H194" s="56" t="s">
        <v>37</v>
      </c>
      <c r="I194" s="102" t="s">
        <v>2171</v>
      </c>
      <c r="J194" s="56"/>
      <c r="K194" s="28"/>
      <c r="L194" s="28"/>
      <c r="M194" s="28"/>
      <c r="N194" s="28"/>
      <c r="O194" s="28"/>
      <c r="P194" s="28"/>
      <c r="Q194" s="28"/>
      <c r="R194" s="28"/>
      <c r="S194" s="28"/>
      <c r="T194" s="28"/>
      <c r="U194" s="3"/>
      <c r="W194" s="3"/>
      <c r="X194" s="3"/>
      <c r="Y194" s="3"/>
      <c r="Z194" s="3"/>
    </row>
    <row r="195" spans="1:26" ht="14.4" outlineLevel="1" x14ac:dyDescent="0.3">
      <c r="A195" s="3"/>
      <c r="B195" s="9" t="s">
        <v>2168</v>
      </c>
      <c r="C195" s="53">
        <v>15</v>
      </c>
      <c r="D195" s="53" t="s">
        <v>95</v>
      </c>
      <c r="E195" s="11">
        <v>0</v>
      </c>
      <c r="F195" s="11">
        <v>750</v>
      </c>
      <c r="G195" s="80" t="s">
        <v>2169</v>
      </c>
      <c r="H195" s="56" t="s">
        <v>37</v>
      </c>
      <c r="I195" s="102" t="s">
        <v>2123</v>
      </c>
      <c r="J195" s="56"/>
      <c r="K195" s="28"/>
      <c r="L195" s="28"/>
      <c r="M195" s="28"/>
      <c r="N195" s="28"/>
      <c r="O195" s="28"/>
      <c r="P195" s="28"/>
      <c r="Q195" s="28"/>
      <c r="R195" s="28"/>
      <c r="S195" s="28"/>
      <c r="T195" s="28"/>
      <c r="U195" s="3"/>
      <c r="W195" s="3"/>
      <c r="X195" s="3"/>
      <c r="Y195" s="3"/>
      <c r="Z195" s="3"/>
    </row>
    <row r="196" spans="1:26" ht="14.4" outlineLevel="1" x14ac:dyDescent="0.3">
      <c r="A196" s="3"/>
      <c r="B196" s="9" t="s">
        <v>1019</v>
      </c>
      <c r="C196" s="53">
        <v>15</v>
      </c>
      <c r="D196" s="53" t="s">
        <v>95</v>
      </c>
      <c r="E196" s="11">
        <v>0</v>
      </c>
      <c r="F196" s="11">
        <v>200</v>
      </c>
      <c r="G196" s="56"/>
      <c r="H196" s="56" t="s">
        <v>37</v>
      </c>
      <c r="I196" s="102" t="s">
        <v>2123</v>
      </c>
      <c r="J196" s="56"/>
      <c r="K196" s="28"/>
      <c r="L196" s="28"/>
      <c r="M196" s="28"/>
      <c r="N196" s="28"/>
      <c r="O196" s="28"/>
      <c r="P196" s="28"/>
      <c r="Q196" s="28"/>
      <c r="R196" s="28"/>
      <c r="S196" s="28"/>
      <c r="T196" s="28"/>
      <c r="U196" s="3"/>
      <c r="W196" s="3"/>
      <c r="X196" s="3"/>
      <c r="Y196" s="3"/>
      <c r="Z196" s="3"/>
    </row>
    <row r="197" spans="1:26" ht="14.4" outlineLevel="1" x14ac:dyDescent="0.3">
      <c r="A197" s="3"/>
      <c r="B197" s="9" t="s">
        <v>2172</v>
      </c>
      <c r="C197" s="53">
        <v>16</v>
      </c>
      <c r="D197" s="53" t="s">
        <v>95</v>
      </c>
      <c r="E197" s="11">
        <v>0</v>
      </c>
      <c r="F197" s="11">
        <v>100</v>
      </c>
      <c r="G197" s="56" t="s">
        <v>2173</v>
      </c>
      <c r="H197" s="56" t="s">
        <v>37</v>
      </c>
      <c r="I197" s="102" t="s">
        <v>2123</v>
      </c>
      <c r="J197" s="56"/>
      <c r="K197" s="28"/>
      <c r="L197" s="28"/>
      <c r="M197" s="28"/>
      <c r="N197" s="28"/>
      <c r="O197" s="28"/>
      <c r="P197" s="28"/>
      <c r="Q197" s="28"/>
      <c r="R197" s="28"/>
      <c r="S197" s="28"/>
      <c r="T197" s="28"/>
      <c r="U197" s="3"/>
      <c r="W197" s="3"/>
      <c r="X197" s="3"/>
      <c r="Y197" s="3"/>
      <c r="Z197" s="3"/>
    </row>
    <row r="198" spans="1:26" ht="14.4" outlineLevel="1" x14ac:dyDescent="0.3">
      <c r="A198" s="3"/>
      <c r="B198" s="9" t="s">
        <v>2174</v>
      </c>
      <c r="C198" s="53">
        <v>16</v>
      </c>
      <c r="D198" s="53" t="s">
        <v>95</v>
      </c>
      <c r="E198" s="11">
        <v>0</v>
      </c>
      <c r="F198" s="11">
        <v>128</v>
      </c>
      <c r="G198" s="56" t="s">
        <v>2175</v>
      </c>
      <c r="H198" s="56" t="s">
        <v>37</v>
      </c>
      <c r="I198" s="102" t="s">
        <v>2123</v>
      </c>
      <c r="J198" s="56"/>
      <c r="K198" s="28"/>
      <c r="L198" s="28"/>
      <c r="M198" s="28"/>
      <c r="N198" s="28"/>
      <c r="O198" s="28"/>
      <c r="P198" s="28"/>
      <c r="Q198" s="28"/>
      <c r="R198" s="28"/>
      <c r="S198" s="28"/>
      <c r="T198" s="28"/>
      <c r="U198" s="3"/>
      <c r="W198" s="3"/>
      <c r="X198" s="3"/>
      <c r="Y198" s="3"/>
      <c r="Z198" s="3"/>
    </row>
    <row r="199" spans="1:26" ht="14.4" outlineLevel="1" x14ac:dyDescent="0.3">
      <c r="A199" s="3"/>
      <c r="B199" s="9" t="s">
        <v>854</v>
      </c>
      <c r="C199" s="53">
        <v>21</v>
      </c>
      <c r="D199" s="53" t="s">
        <v>95</v>
      </c>
      <c r="E199" s="11">
        <v>0</v>
      </c>
      <c r="F199" s="11">
        <v>235</v>
      </c>
      <c r="G199" s="56" t="s">
        <v>2176</v>
      </c>
      <c r="H199" s="56" t="s">
        <v>37</v>
      </c>
      <c r="I199" s="102" t="s">
        <v>2177</v>
      </c>
      <c r="J199" s="56"/>
      <c r="K199" s="28"/>
      <c r="L199" s="28"/>
      <c r="M199" s="28"/>
      <c r="N199" s="28"/>
      <c r="O199" s="28"/>
      <c r="P199" s="28"/>
      <c r="Q199" s="28"/>
      <c r="R199" s="28"/>
      <c r="S199" s="28"/>
      <c r="T199" s="28"/>
      <c r="U199" s="3"/>
      <c r="W199" s="3"/>
      <c r="X199" s="3"/>
      <c r="Y199" s="3"/>
      <c r="Z199" s="3"/>
    </row>
    <row r="200" spans="1:26" ht="14.4" outlineLevel="1" x14ac:dyDescent="0.3">
      <c r="A200" s="3"/>
      <c r="B200" s="9" t="s">
        <v>2178</v>
      </c>
      <c r="C200" s="53">
        <v>26</v>
      </c>
      <c r="D200" s="53" t="s">
        <v>95</v>
      </c>
      <c r="E200" s="11">
        <v>0</v>
      </c>
      <c r="F200" s="11">
        <v>250</v>
      </c>
      <c r="G200" s="56" t="s">
        <v>2179</v>
      </c>
      <c r="H200" s="56" t="s">
        <v>37</v>
      </c>
      <c r="I200" s="102" t="s">
        <v>2123</v>
      </c>
      <c r="J200" s="56"/>
      <c r="K200" s="28"/>
      <c r="L200" s="28"/>
      <c r="M200" s="28"/>
      <c r="N200" s="28"/>
      <c r="O200" s="28"/>
      <c r="P200" s="28"/>
      <c r="Q200" s="28"/>
      <c r="R200" s="28"/>
      <c r="S200" s="28"/>
      <c r="T200" s="28"/>
      <c r="U200" s="3"/>
      <c r="W200" s="3"/>
      <c r="X200" s="3"/>
      <c r="Y200" s="3"/>
      <c r="Z200" s="3"/>
    </row>
    <row r="201" spans="1:26" ht="14.4" outlineLevel="1" x14ac:dyDescent="0.3">
      <c r="A201" s="3"/>
      <c r="B201" s="9" t="s">
        <v>2178</v>
      </c>
      <c r="C201" s="53">
        <v>26</v>
      </c>
      <c r="D201" s="53" t="s">
        <v>95</v>
      </c>
      <c r="E201" s="11">
        <v>0</v>
      </c>
      <c r="F201" s="11">
        <v>200</v>
      </c>
      <c r="G201" s="56" t="s">
        <v>2179</v>
      </c>
      <c r="H201" s="56" t="s">
        <v>37</v>
      </c>
      <c r="I201" s="102" t="s">
        <v>2123</v>
      </c>
      <c r="J201" s="56"/>
      <c r="K201" s="28"/>
      <c r="L201" s="28"/>
      <c r="M201" s="28"/>
      <c r="N201" s="28"/>
      <c r="O201" s="28"/>
      <c r="P201" s="28"/>
      <c r="Q201" s="28"/>
      <c r="R201" s="28"/>
      <c r="S201" s="28"/>
      <c r="T201" s="28"/>
      <c r="U201" s="3"/>
      <c r="W201" s="3"/>
      <c r="X201" s="3"/>
      <c r="Y201" s="3"/>
      <c r="Z201" s="3"/>
    </row>
    <row r="202" spans="1:26" ht="14.4" hidden="1" outlineLevel="1" x14ac:dyDescent="0.3">
      <c r="A202" s="3"/>
      <c r="B202" s="9" t="s">
        <v>51</v>
      </c>
      <c r="C202" s="53"/>
      <c r="D202" s="53"/>
      <c r="E202" s="11">
        <v>0</v>
      </c>
      <c r="F202" s="11">
        <v>0</v>
      </c>
      <c r="G202" s="56"/>
      <c r="H202" s="56"/>
      <c r="I202" s="117"/>
      <c r="J202" s="56"/>
      <c r="K202" s="28"/>
      <c r="L202" s="28"/>
      <c r="M202" s="28"/>
      <c r="N202" s="28"/>
      <c r="O202" s="28"/>
      <c r="P202" s="28"/>
      <c r="Q202" s="28"/>
      <c r="R202" s="28"/>
      <c r="S202" s="28"/>
      <c r="T202" s="28"/>
      <c r="U202" s="3"/>
      <c r="W202" s="3"/>
      <c r="X202" s="3"/>
      <c r="Y202" s="3"/>
      <c r="Z202" s="3"/>
    </row>
    <row r="203" spans="1:26" ht="14.4" hidden="1" outlineLevel="1" x14ac:dyDescent="0.3">
      <c r="A203" s="3"/>
      <c r="B203" s="9" t="s">
        <v>51</v>
      </c>
      <c r="C203" s="53"/>
      <c r="D203" s="53"/>
      <c r="E203" s="11">
        <v>0</v>
      </c>
      <c r="F203" s="11">
        <v>0</v>
      </c>
      <c r="G203" s="56"/>
      <c r="H203" s="56"/>
      <c r="I203" s="144"/>
      <c r="J203" s="56"/>
      <c r="K203" s="28"/>
      <c r="L203" s="28"/>
      <c r="M203" s="28"/>
      <c r="N203" s="28"/>
      <c r="O203" s="28"/>
      <c r="P203" s="28"/>
      <c r="Q203" s="28"/>
      <c r="R203" s="28"/>
      <c r="S203" s="28"/>
      <c r="T203" s="28"/>
      <c r="U203" s="3"/>
      <c r="W203" s="3"/>
      <c r="X203" s="3"/>
      <c r="Y203" s="3"/>
      <c r="Z203" s="3"/>
    </row>
    <row r="204" spans="1:26" ht="14.4" hidden="1" outlineLevel="1" x14ac:dyDescent="0.3">
      <c r="A204" s="3"/>
      <c r="B204" s="9" t="s">
        <v>51</v>
      </c>
      <c r="C204" s="53"/>
      <c r="D204" s="53"/>
      <c r="E204" s="11">
        <v>0</v>
      </c>
      <c r="F204" s="11">
        <v>0</v>
      </c>
      <c r="G204" s="56"/>
      <c r="H204" s="56"/>
      <c r="I204" s="144"/>
      <c r="J204" s="56"/>
      <c r="K204" s="28"/>
      <c r="L204" s="28"/>
      <c r="M204" s="28"/>
      <c r="N204" s="28"/>
      <c r="O204" s="28"/>
      <c r="P204" s="28"/>
      <c r="Q204" s="28"/>
      <c r="R204" s="28"/>
      <c r="S204" s="28"/>
      <c r="T204" s="28"/>
      <c r="U204" s="3"/>
      <c r="W204" s="3"/>
      <c r="X204" s="3"/>
      <c r="Y204" s="3"/>
      <c r="Z204" s="3"/>
    </row>
    <row r="205" spans="1:26" ht="14.4" hidden="1" outlineLevel="1" x14ac:dyDescent="0.3">
      <c r="A205" s="3"/>
      <c r="B205" s="9" t="s">
        <v>51</v>
      </c>
      <c r="C205" s="53"/>
      <c r="D205" s="53"/>
      <c r="E205" s="11">
        <v>0</v>
      </c>
      <c r="F205" s="11">
        <v>0</v>
      </c>
      <c r="G205" s="56"/>
      <c r="H205" s="56"/>
      <c r="I205" s="144"/>
      <c r="J205" s="56"/>
      <c r="K205" s="28"/>
      <c r="L205" s="28"/>
      <c r="M205" s="28"/>
      <c r="N205" s="28"/>
      <c r="O205" s="28"/>
      <c r="P205" s="28"/>
      <c r="Q205" s="28"/>
      <c r="R205" s="28"/>
      <c r="S205" s="28"/>
      <c r="T205" s="28"/>
      <c r="U205" s="3"/>
      <c r="W205" s="3"/>
      <c r="X205" s="3"/>
      <c r="Y205" s="3"/>
      <c r="Z205" s="3"/>
    </row>
    <row r="206" spans="1:26" ht="14.4" hidden="1" outlineLevel="1" x14ac:dyDescent="0.3">
      <c r="A206" s="3"/>
      <c r="B206" s="9" t="s">
        <v>51</v>
      </c>
      <c r="C206" s="53"/>
      <c r="D206" s="53"/>
      <c r="E206" s="11">
        <v>0</v>
      </c>
      <c r="F206" s="11">
        <v>0</v>
      </c>
      <c r="G206" s="56"/>
      <c r="H206" s="56"/>
      <c r="I206" s="144"/>
      <c r="J206" s="56"/>
      <c r="K206" s="28"/>
      <c r="L206" s="28"/>
      <c r="M206" s="28"/>
      <c r="N206" s="28"/>
      <c r="O206" s="28"/>
      <c r="P206" s="28"/>
      <c r="Q206" s="28"/>
      <c r="R206" s="28"/>
      <c r="S206" s="28"/>
      <c r="T206" s="28"/>
      <c r="U206" s="3"/>
      <c r="W206" s="3"/>
      <c r="X206" s="3"/>
      <c r="Y206" s="3"/>
      <c r="Z206" s="3"/>
    </row>
    <row r="207" spans="1:26" ht="14.4" hidden="1" outlineLevel="1" x14ac:dyDescent="0.3">
      <c r="A207" s="3"/>
      <c r="B207" s="9" t="s">
        <v>51</v>
      </c>
      <c r="C207" s="53"/>
      <c r="D207" s="53"/>
      <c r="E207" s="11">
        <v>0</v>
      </c>
      <c r="F207" s="11">
        <v>0</v>
      </c>
      <c r="G207" s="56"/>
      <c r="H207" s="56"/>
      <c r="I207" s="144"/>
      <c r="J207" s="56"/>
      <c r="K207" s="28"/>
      <c r="L207" s="28"/>
      <c r="M207" s="28"/>
      <c r="N207" s="28"/>
      <c r="O207" s="28"/>
      <c r="P207" s="28"/>
      <c r="Q207" s="28"/>
      <c r="R207" s="28"/>
      <c r="S207" s="28"/>
      <c r="T207" s="28"/>
      <c r="U207" s="3"/>
      <c r="W207" s="3"/>
      <c r="X207" s="3"/>
      <c r="Y207" s="3"/>
      <c r="Z207" s="3"/>
    </row>
    <row r="208" spans="1:26" ht="14.4" hidden="1" outlineLevel="1" x14ac:dyDescent="0.3">
      <c r="A208" s="3"/>
      <c r="B208" s="9" t="s">
        <v>51</v>
      </c>
      <c r="C208" s="53"/>
      <c r="D208" s="53"/>
      <c r="E208" s="11">
        <v>0</v>
      </c>
      <c r="F208" s="11">
        <v>0</v>
      </c>
      <c r="G208" s="56"/>
      <c r="H208" s="56"/>
      <c r="I208" s="117"/>
      <c r="J208" s="56"/>
      <c r="K208" s="28"/>
      <c r="L208" s="28"/>
      <c r="M208" s="28"/>
      <c r="N208" s="28"/>
      <c r="O208" s="28"/>
      <c r="P208" s="28"/>
      <c r="Q208" s="28"/>
      <c r="R208" s="28"/>
      <c r="S208" s="28"/>
      <c r="T208" s="28"/>
      <c r="U208" s="3"/>
      <c r="W208" s="3"/>
      <c r="X208" s="3"/>
      <c r="Y208" s="3"/>
      <c r="Z208" s="3"/>
    </row>
    <row r="209" spans="1:26" ht="14.4" hidden="1" outlineLevel="1" x14ac:dyDescent="0.3">
      <c r="A209" s="3"/>
      <c r="B209" s="9" t="s">
        <v>51</v>
      </c>
      <c r="C209" s="53"/>
      <c r="D209" s="53"/>
      <c r="E209" s="11">
        <v>0</v>
      </c>
      <c r="F209" s="11">
        <v>0</v>
      </c>
      <c r="G209" s="56"/>
      <c r="H209" s="56"/>
      <c r="I209" s="144"/>
      <c r="J209" s="56"/>
      <c r="K209" s="28"/>
      <c r="L209" s="28"/>
      <c r="M209" s="28"/>
      <c r="N209" s="28"/>
      <c r="O209" s="28"/>
      <c r="P209" s="28"/>
      <c r="Q209" s="28"/>
      <c r="R209" s="28"/>
      <c r="S209" s="28"/>
      <c r="T209" s="28"/>
      <c r="U209" s="3"/>
      <c r="W209" s="3"/>
      <c r="X209" s="3"/>
      <c r="Y209" s="3"/>
      <c r="Z209" s="3"/>
    </row>
    <row r="210" spans="1:26" ht="14.4" hidden="1" outlineLevel="1" x14ac:dyDescent="0.3">
      <c r="A210" s="3"/>
      <c r="B210" s="9" t="s">
        <v>51</v>
      </c>
      <c r="C210" s="53"/>
      <c r="D210" s="53"/>
      <c r="E210" s="11">
        <v>0</v>
      </c>
      <c r="F210" s="11">
        <v>0</v>
      </c>
      <c r="G210" s="56"/>
      <c r="H210" s="56"/>
      <c r="I210" s="117"/>
      <c r="J210" s="56"/>
      <c r="K210" s="28"/>
      <c r="L210" s="28"/>
      <c r="M210" s="28"/>
      <c r="N210" s="28"/>
      <c r="O210" s="28"/>
      <c r="P210" s="28"/>
      <c r="Q210" s="28"/>
      <c r="R210" s="28"/>
      <c r="S210" s="28"/>
      <c r="T210" s="28"/>
      <c r="U210" s="3"/>
      <c r="W210" s="3"/>
      <c r="X210" s="3"/>
      <c r="Y210" s="3"/>
      <c r="Z210" s="3"/>
    </row>
    <row r="211" spans="1:26" ht="14.4" hidden="1" outlineLevel="1" x14ac:dyDescent="0.3">
      <c r="A211" s="3"/>
      <c r="B211" s="9" t="s">
        <v>51</v>
      </c>
      <c r="C211" s="53"/>
      <c r="D211" s="53"/>
      <c r="E211" s="11">
        <v>0</v>
      </c>
      <c r="F211" s="11">
        <v>0</v>
      </c>
      <c r="G211" s="56"/>
      <c r="H211" s="56"/>
      <c r="I211" s="117"/>
      <c r="J211" s="56"/>
      <c r="K211" s="28"/>
      <c r="L211" s="28"/>
      <c r="M211" s="28"/>
      <c r="N211" s="28"/>
      <c r="O211" s="28"/>
      <c r="P211" s="28"/>
      <c r="Q211" s="28"/>
      <c r="R211" s="28"/>
      <c r="S211" s="28"/>
      <c r="T211" s="28"/>
      <c r="U211" s="3"/>
      <c r="W211" s="3"/>
      <c r="X211" s="3"/>
      <c r="Y211" s="3"/>
      <c r="Z211" s="3"/>
    </row>
    <row r="212" spans="1:26" ht="14.4" hidden="1" outlineLevel="1" x14ac:dyDescent="0.3">
      <c r="A212" s="3"/>
      <c r="B212" s="9" t="s">
        <v>51</v>
      </c>
      <c r="C212" s="53"/>
      <c r="D212" s="53"/>
      <c r="E212" s="11">
        <v>0</v>
      </c>
      <c r="F212" s="11">
        <v>0</v>
      </c>
      <c r="G212" s="56"/>
      <c r="H212" s="56"/>
      <c r="I212" s="80"/>
      <c r="J212" s="56"/>
      <c r="K212" s="28"/>
      <c r="L212" s="28"/>
      <c r="M212" s="28"/>
      <c r="N212" s="28"/>
      <c r="O212" s="28"/>
      <c r="P212" s="28"/>
      <c r="Q212" s="28"/>
      <c r="R212" s="28"/>
      <c r="S212" s="28"/>
      <c r="T212" s="28"/>
      <c r="U212" s="3"/>
      <c r="W212" s="3"/>
      <c r="X212" s="3"/>
      <c r="Y212" s="3"/>
      <c r="Z212" s="3"/>
    </row>
    <row r="213" spans="1:26" ht="14.4" hidden="1" outlineLevel="1" x14ac:dyDescent="0.3">
      <c r="A213" s="3"/>
      <c r="B213" s="9" t="s">
        <v>51</v>
      </c>
      <c r="C213" s="53"/>
      <c r="D213" s="53"/>
      <c r="E213" s="11">
        <v>0</v>
      </c>
      <c r="F213" s="11">
        <v>0</v>
      </c>
      <c r="G213" s="56"/>
      <c r="H213" s="56"/>
      <c r="I213" s="80"/>
      <c r="J213" s="56"/>
      <c r="K213" s="28"/>
      <c r="L213" s="28"/>
      <c r="M213" s="28"/>
      <c r="N213" s="28"/>
      <c r="O213" s="28"/>
      <c r="P213" s="28"/>
      <c r="Q213" s="28"/>
      <c r="R213" s="28"/>
      <c r="S213" s="28"/>
      <c r="T213" s="28"/>
      <c r="U213" s="3"/>
      <c r="W213" s="3"/>
      <c r="X213" s="3"/>
      <c r="Y213" s="3"/>
      <c r="Z213" s="3"/>
    </row>
    <row r="214" spans="1:26" ht="14.4" hidden="1" outlineLevel="1" x14ac:dyDescent="0.3">
      <c r="A214" s="3"/>
      <c r="B214" s="9" t="s">
        <v>51</v>
      </c>
      <c r="C214" s="53"/>
      <c r="D214" s="53"/>
      <c r="E214" s="11">
        <v>0</v>
      </c>
      <c r="F214" s="11">
        <v>0</v>
      </c>
      <c r="G214" s="56"/>
      <c r="H214" s="56"/>
      <c r="I214" s="80"/>
      <c r="J214" s="56"/>
      <c r="K214" s="28"/>
      <c r="L214" s="28"/>
      <c r="M214" s="28"/>
      <c r="N214" s="28"/>
      <c r="O214" s="28"/>
      <c r="P214" s="28"/>
      <c r="Q214" s="28"/>
      <c r="R214" s="28"/>
      <c r="S214" s="28"/>
      <c r="T214" s="28"/>
      <c r="U214" s="3"/>
      <c r="W214" s="3"/>
      <c r="X214" s="3"/>
      <c r="Y214" s="3"/>
      <c r="Z214" s="3"/>
    </row>
    <row r="215" spans="1:26" ht="14.4" hidden="1" outlineLevel="1" x14ac:dyDescent="0.3">
      <c r="A215" s="3"/>
      <c r="B215" s="9" t="s">
        <v>51</v>
      </c>
      <c r="C215" s="53"/>
      <c r="D215" s="53"/>
      <c r="E215" s="11">
        <v>0</v>
      </c>
      <c r="F215" s="11">
        <v>0</v>
      </c>
      <c r="G215" s="56"/>
      <c r="H215" s="56"/>
      <c r="I215" s="80"/>
      <c r="J215" s="56"/>
      <c r="K215" s="28"/>
      <c r="L215" s="28"/>
      <c r="M215" s="28"/>
      <c r="N215" s="28"/>
      <c r="O215" s="28"/>
      <c r="P215" s="28"/>
      <c r="Q215" s="28"/>
      <c r="R215" s="28"/>
      <c r="S215" s="28"/>
      <c r="T215" s="28"/>
      <c r="U215" s="3"/>
      <c r="W215" s="3"/>
      <c r="X215" s="3"/>
      <c r="Y215" s="3"/>
      <c r="Z215" s="3"/>
    </row>
    <row r="216" spans="1:26" ht="14.4" hidden="1" outlineLevel="1" x14ac:dyDescent="0.3">
      <c r="A216" s="3"/>
      <c r="B216" s="9" t="s">
        <v>51</v>
      </c>
      <c r="C216" s="53"/>
      <c r="D216" s="53"/>
      <c r="E216" s="11">
        <v>0</v>
      </c>
      <c r="F216" s="11">
        <v>0</v>
      </c>
      <c r="G216" s="56"/>
      <c r="H216" s="56"/>
      <c r="I216" s="80"/>
      <c r="J216" s="56"/>
      <c r="K216" s="28"/>
      <c r="L216" s="28"/>
      <c r="M216" s="28"/>
      <c r="N216" s="28"/>
      <c r="O216" s="28"/>
      <c r="P216" s="28"/>
      <c r="Q216" s="28"/>
      <c r="R216" s="28"/>
      <c r="S216" s="28"/>
      <c r="T216" s="28"/>
      <c r="U216" s="3"/>
      <c r="W216" s="3"/>
      <c r="X216" s="3"/>
      <c r="Y216" s="3"/>
      <c r="Z216" s="3"/>
    </row>
    <row r="217" spans="1:26" ht="20.399999999999999" x14ac:dyDescent="0.3">
      <c r="A217" s="3"/>
      <c r="B217" s="75" t="s">
        <v>395</v>
      </c>
      <c r="C217" s="76" t="s">
        <v>44</v>
      </c>
      <c r="D217" s="76" t="s">
        <v>44</v>
      </c>
      <c r="E217" s="77">
        <f>SUM(E218:E226)</f>
        <v>0</v>
      </c>
      <c r="F217" s="77">
        <f>SUMIF(D218:D226,"OK",F218:F226)</f>
        <v>100</v>
      </c>
      <c r="G217" s="78"/>
      <c r="H217" s="78"/>
      <c r="I217" s="79"/>
      <c r="J217" s="78"/>
      <c r="K217" s="28"/>
      <c r="L217" s="28"/>
      <c r="M217" s="28"/>
      <c r="N217" s="28"/>
      <c r="O217" s="28"/>
      <c r="P217" s="28"/>
      <c r="Q217" s="28"/>
      <c r="R217" s="28"/>
      <c r="S217" s="28"/>
      <c r="T217" s="28"/>
      <c r="U217" s="3"/>
      <c r="W217" s="3"/>
      <c r="X217" s="3"/>
      <c r="Y217" s="3"/>
      <c r="Z217" s="3"/>
    </row>
    <row r="218" spans="1:26" ht="14.4" outlineLevel="1" x14ac:dyDescent="0.3">
      <c r="A218" s="3"/>
      <c r="B218" s="9" t="s">
        <v>1837</v>
      </c>
      <c r="C218" s="53">
        <v>11</v>
      </c>
      <c r="D218" s="53" t="s">
        <v>95</v>
      </c>
      <c r="E218" s="11">
        <v>0</v>
      </c>
      <c r="F218" s="11">
        <v>100</v>
      </c>
      <c r="G218" s="80"/>
      <c r="H218" s="56" t="s">
        <v>37</v>
      </c>
      <c r="I218" s="102" t="s">
        <v>2180</v>
      </c>
      <c r="J218" s="56"/>
      <c r="K218" s="28"/>
      <c r="L218" s="28"/>
      <c r="M218" s="28"/>
      <c r="N218" s="28"/>
      <c r="O218" s="28"/>
      <c r="P218" s="28"/>
      <c r="Q218" s="28"/>
      <c r="R218" s="28"/>
      <c r="S218" s="28"/>
      <c r="T218" s="28"/>
      <c r="U218" s="3"/>
      <c r="W218" s="3"/>
      <c r="X218" s="3"/>
      <c r="Y218" s="3"/>
      <c r="Z218" s="3"/>
    </row>
    <row r="219" spans="1:26" ht="14.4" hidden="1" outlineLevel="1" x14ac:dyDescent="0.3">
      <c r="A219" s="3"/>
      <c r="B219" s="9" t="s">
        <v>355</v>
      </c>
      <c r="C219" s="53"/>
      <c r="D219" s="53"/>
      <c r="E219" s="11">
        <v>0</v>
      </c>
      <c r="F219" s="11">
        <v>0</v>
      </c>
      <c r="G219" s="56"/>
      <c r="H219" s="56"/>
      <c r="I219" s="102"/>
      <c r="J219" s="56"/>
      <c r="K219" s="28"/>
      <c r="L219" s="28"/>
      <c r="M219" s="28"/>
      <c r="N219" s="28"/>
      <c r="O219" s="28"/>
      <c r="P219" s="28"/>
      <c r="Q219" s="28"/>
      <c r="R219" s="28"/>
      <c r="S219" s="28"/>
      <c r="T219" s="28"/>
      <c r="U219" s="3"/>
      <c r="W219" s="3"/>
      <c r="X219" s="3"/>
      <c r="Y219" s="3"/>
      <c r="Z219" s="3"/>
    </row>
    <row r="220" spans="1:26" ht="14.4" hidden="1" outlineLevel="1" x14ac:dyDescent="0.3">
      <c r="A220" s="3"/>
      <c r="B220" s="9" t="s">
        <v>356</v>
      </c>
      <c r="C220" s="53"/>
      <c r="D220" s="53"/>
      <c r="E220" s="11">
        <v>0</v>
      </c>
      <c r="F220" s="11">
        <v>0</v>
      </c>
      <c r="G220" s="56"/>
      <c r="H220" s="56"/>
      <c r="I220" s="102"/>
      <c r="J220" s="56"/>
      <c r="K220" s="28"/>
      <c r="L220" s="28"/>
      <c r="M220" s="28"/>
      <c r="N220" s="28"/>
      <c r="O220" s="28"/>
      <c r="P220" s="28"/>
      <c r="Q220" s="28"/>
      <c r="R220" s="28"/>
      <c r="S220" s="28"/>
      <c r="T220" s="28"/>
      <c r="U220" s="3"/>
      <c r="W220" s="3"/>
      <c r="X220" s="3"/>
      <c r="Y220" s="3"/>
      <c r="Z220" s="3"/>
    </row>
    <row r="221" spans="1:26" ht="14.4" hidden="1" outlineLevel="1" x14ac:dyDescent="0.3">
      <c r="A221" s="3"/>
      <c r="B221" s="9" t="s">
        <v>370</v>
      </c>
      <c r="C221" s="53"/>
      <c r="D221" s="53"/>
      <c r="E221" s="11">
        <v>0</v>
      </c>
      <c r="F221" s="11">
        <v>0</v>
      </c>
      <c r="G221" s="56"/>
      <c r="H221" s="56"/>
      <c r="I221" s="145"/>
      <c r="J221" s="56"/>
      <c r="K221" s="28"/>
      <c r="L221" s="28"/>
      <c r="M221" s="28"/>
      <c r="N221" s="28"/>
      <c r="O221" s="28"/>
      <c r="P221" s="28"/>
      <c r="Q221" s="28"/>
      <c r="R221" s="28"/>
      <c r="S221" s="28"/>
      <c r="T221" s="28"/>
      <c r="U221" s="3"/>
      <c r="W221" s="3"/>
      <c r="X221" s="3"/>
      <c r="Y221" s="3"/>
      <c r="Z221" s="3"/>
    </row>
    <row r="222" spans="1:26" ht="14.4" hidden="1" outlineLevel="1" x14ac:dyDescent="0.3">
      <c r="A222" s="3"/>
      <c r="B222" s="9" t="s">
        <v>328</v>
      </c>
      <c r="C222" s="53"/>
      <c r="D222" s="53"/>
      <c r="E222" s="11">
        <v>0</v>
      </c>
      <c r="F222" s="11">
        <v>0</v>
      </c>
      <c r="G222" s="56"/>
      <c r="H222" s="56"/>
      <c r="I222" s="145"/>
      <c r="J222" s="56"/>
      <c r="K222" s="28"/>
      <c r="L222" s="28"/>
      <c r="M222" s="28"/>
      <c r="N222" s="28"/>
      <c r="O222" s="28"/>
      <c r="P222" s="28"/>
      <c r="Q222" s="28"/>
      <c r="R222" s="28"/>
      <c r="S222" s="28"/>
      <c r="T222" s="28"/>
      <c r="U222" s="3"/>
      <c r="W222" s="3"/>
      <c r="X222" s="3"/>
      <c r="Y222" s="3"/>
      <c r="Z222" s="3"/>
    </row>
    <row r="223" spans="1:26" ht="14.4" hidden="1" outlineLevel="1" x14ac:dyDescent="0.3">
      <c r="A223" s="3"/>
      <c r="B223" s="9" t="s">
        <v>329</v>
      </c>
      <c r="C223" s="53"/>
      <c r="D223" s="53"/>
      <c r="E223" s="11">
        <v>0</v>
      </c>
      <c r="F223" s="11">
        <v>0</v>
      </c>
      <c r="G223" s="56"/>
      <c r="H223" s="56"/>
      <c r="I223" s="145"/>
      <c r="J223" s="56"/>
      <c r="K223" s="28"/>
      <c r="L223" s="28"/>
      <c r="M223" s="28"/>
      <c r="N223" s="28"/>
      <c r="O223" s="28"/>
      <c r="P223" s="28"/>
      <c r="Q223" s="28"/>
      <c r="R223" s="28"/>
      <c r="S223" s="28"/>
      <c r="T223" s="28"/>
      <c r="U223" s="3"/>
      <c r="W223" s="3"/>
      <c r="X223" s="3"/>
      <c r="Y223" s="3"/>
      <c r="Z223" s="3"/>
    </row>
    <row r="224" spans="1:26" ht="14.4" hidden="1" outlineLevel="1" x14ac:dyDescent="0.3">
      <c r="A224" s="3"/>
      <c r="B224" s="9" t="s">
        <v>371</v>
      </c>
      <c r="C224" s="53"/>
      <c r="D224" s="53"/>
      <c r="E224" s="11">
        <v>0</v>
      </c>
      <c r="F224" s="11">
        <v>0</v>
      </c>
      <c r="G224" s="56"/>
      <c r="H224" s="56"/>
      <c r="I224" s="145"/>
      <c r="J224" s="56"/>
      <c r="K224" s="28"/>
      <c r="L224" s="28"/>
      <c r="M224" s="28"/>
      <c r="N224" s="28"/>
      <c r="O224" s="28"/>
      <c r="P224" s="28"/>
      <c r="Q224" s="28"/>
      <c r="R224" s="28"/>
      <c r="S224" s="28"/>
      <c r="T224" s="28"/>
      <c r="U224" s="3"/>
      <c r="W224" s="3"/>
      <c r="X224" s="3"/>
      <c r="Y224" s="3"/>
      <c r="Z224" s="3"/>
    </row>
    <row r="225" spans="1:26" ht="14.4" hidden="1" outlineLevel="1" x14ac:dyDescent="0.3">
      <c r="A225" s="3"/>
      <c r="B225" s="9" t="s">
        <v>372</v>
      </c>
      <c r="C225" s="53"/>
      <c r="D225" s="53"/>
      <c r="E225" s="11">
        <v>0</v>
      </c>
      <c r="F225" s="11">
        <v>0</v>
      </c>
      <c r="G225" s="56"/>
      <c r="H225" s="56"/>
      <c r="I225" s="80"/>
      <c r="J225" s="56"/>
      <c r="K225" s="28"/>
      <c r="L225" s="28"/>
      <c r="M225" s="28"/>
      <c r="N225" s="28"/>
      <c r="O225" s="28"/>
      <c r="P225" s="28"/>
      <c r="Q225" s="28"/>
      <c r="R225" s="28"/>
      <c r="S225" s="28"/>
      <c r="T225" s="28"/>
      <c r="U225" s="3"/>
      <c r="W225" s="3"/>
      <c r="X225" s="3"/>
      <c r="Y225" s="3"/>
      <c r="Z225" s="3"/>
    </row>
    <row r="226" spans="1:26" ht="14.4" hidden="1" outlineLevel="1" x14ac:dyDescent="0.3">
      <c r="A226" s="3"/>
      <c r="B226" s="9" t="s">
        <v>373</v>
      </c>
      <c r="C226" s="53"/>
      <c r="D226" s="53"/>
      <c r="E226" s="11">
        <v>0</v>
      </c>
      <c r="F226" s="11">
        <v>0</v>
      </c>
      <c r="G226" s="56"/>
      <c r="H226" s="56"/>
      <c r="I226" s="80"/>
      <c r="J226" s="56"/>
      <c r="K226" s="28"/>
      <c r="L226" s="28"/>
      <c r="M226" s="28"/>
      <c r="N226" s="28"/>
      <c r="O226" s="28"/>
      <c r="P226" s="28"/>
      <c r="Q226" s="28"/>
      <c r="R226" s="28"/>
      <c r="S226" s="28"/>
      <c r="T226" s="28"/>
      <c r="U226" s="3"/>
      <c r="W226" s="3"/>
      <c r="X226" s="3"/>
      <c r="Y226" s="3"/>
      <c r="Z226" s="3"/>
    </row>
    <row r="227" spans="1:26" ht="20.399999999999999" hidden="1" x14ac:dyDescent="0.3">
      <c r="A227" s="3"/>
      <c r="B227" s="75" t="s">
        <v>402</v>
      </c>
      <c r="C227" s="76" t="s">
        <v>44</v>
      </c>
      <c r="D227" s="76" t="s">
        <v>44</v>
      </c>
      <c r="E227" s="77">
        <f>SUM(E228:E236)</f>
        <v>0</v>
      </c>
      <c r="F227" s="77">
        <f>SUMIF(D228:D236,"OK",F228:F236)</f>
        <v>0</v>
      </c>
      <c r="G227" s="78"/>
      <c r="H227" s="78"/>
      <c r="I227" s="79"/>
      <c r="J227" s="78"/>
      <c r="K227" s="28"/>
      <c r="L227" s="28"/>
      <c r="M227" s="28"/>
      <c r="N227" s="28"/>
      <c r="O227" s="28"/>
      <c r="P227" s="28"/>
      <c r="Q227" s="28"/>
      <c r="R227" s="28"/>
      <c r="S227" s="28"/>
      <c r="T227" s="28"/>
      <c r="U227" s="3"/>
      <c r="W227" s="3"/>
      <c r="X227" s="3"/>
      <c r="Y227" s="3"/>
      <c r="Z227" s="3"/>
    </row>
    <row r="228" spans="1:26" ht="14.4" hidden="1" outlineLevel="1" x14ac:dyDescent="0.3">
      <c r="A228" s="3"/>
      <c r="B228" s="9" t="s">
        <v>354</v>
      </c>
      <c r="C228" s="53"/>
      <c r="D228" s="53"/>
      <c r="E228" s="11">
        <v>0</v>
      </c>
      <c r="F228" s="11">
        <v>0</v>
      </c>
      <c r="G228" s="56"/>
      <c r="H228" s="56"/>
      <c r="I228" s="102"/>
      <c r="J228" s="56"/>
      <c r="K228" s="28"/>
      <c r="L228" s="28"/>
      <c r="M228" s="28"/>
      <c r="N228" s="28"/>
      <c r="O228" s="28"/>
      <c r="P228" s="28"/>
      <c r="Q228" s="28"/>
      <c r="R228" s="28"/>
      <c r="S228" s="28"/>
      <c r="T228" s="28"/>
      <c r="U228" s="3"/>
      <c r="W228" s="3"/>
      <c r="X228" s="3"/>
      <c r="Y228" s="3"/>
      <c r="Z228" s="3"/>
    </row>
    <row r="229" spans="1:26" ht="14.4" hidden="1" outlineLevel="1" x14ac:dyDescent="0.3">
      <c r="A229" s="3"/>
      <c r="B229" s="9" t="s">
        <v>355</v>
      </c>
      <c r="C229" s="53"/>
      <c r="D229" s="53"/>
      <c r="E229" s="11">
        <v>0</v>
      </c>
      <c r="F229" s="11">
        <v>0</v>
      </c>
      <c r="G229" s="56"/>
      <c r="H229" s="56"/>
      <c r="I229" s="102"/>
      <c r="J229" s="56"/>
      <c r="K229" s="28"/>
      <c r="L229" s="28"/>
      <c r="M229" s="28"/>
      <c r="N229" s="28"/>
      <c r="O229" s="28"/>
      <c r="P229" s="28"/>
      <c r="Q229" s="28"/>
      <c r="R229" s="28"/>
      <c r="S229" s="28"/>
      <c r="T229" s="28"/>
      <c r="U229" s="3"/>
      <c r="W229" s="3"/>
      <c r="X229" s="3"/>
      <c r="Y229" s="3"/>
      <c r="Z229" s="3"/>
    </row>
    <row r="230" spans="1:26" ht="14.4" hidden="1" outlineLevel="1" x14ac:dyDescent="0.3">
      <c r="A230" s="3"/>
      <c r="B230" s="9" t="s">
        <v>356</v>
      </c>
      <c r="C230" s="53"/>
      <c r="D230" s="53"/>
      <c r="E230" s="11">
        <v>0</v>
      </c>
      <c r="F230" s="11">
        <v>0</v>
      </c>
      <c r="G230" s="56"/>
      <c r="H230" s="56"/>
      <c r="I230" s="145"/>
      <c r="J230" s="56"/>
      <c r="K230" s="28"/>
      <c r="L230" s="28"/>
      <c r="M230" s="28"/>
      <c r="N230" s="28"/>
      <c r="O230" s="28"/>
      <c r="P230" s="28"/>
      <c r="Q230" s="28"/>
      <c r="R230" s="28"/>
      <c r="S230" s="28"/>
      <c r="T230" s="28"/>
      <c r="U230" s="3"/>
      <c r="W230" s="3"/>
      <c r="X230" s="3"/>
      <c r="Y230" s="3"/>
      <c r="Z230" s="3"/>
    </row>
    <row r="231" spans="1:26" ht="14.4" hidden="1" outlineLevel="1" x14ac:dyDescent="0.3">
      <c r="A231" s="3"/>
      <c r="B231" s="9" t="s">
        <v>370</v>
      </c>
      <c r="C231" s="53"/>
      <c r="D231" s="53"/>
      <c r="E231" s="11">
        <v>0</v>
      </c>
      <c r="F231" s="11">
        <v>0</v>
      </c>
      <c r="G231" s="56"/>
      <c r="H231" s="56"/>
      <c r="I231" s="145"/>
      <c r="J231" s="56"/>
      <c r="K231" s="28"/>
      <c r="L231" s="28"/>
      <c r="M231" s="28"/>
      <c r="N231" s="28"/>
      <c r="O231" s="28"/>
      <c r="P231" s="28"/>
      <c r="Q231" s="28"/>
      <c r="R231" s="28"/>
      <c r="S231" s="28"/>
      <c r="T231" s="28"/>
      <c r="U231" s="3"/>
      <c r="W231" s="3"/>
      <c r="X231" s="3"/>
      <c r="Y231" s="3"/>
      <c r="Z231" s="3"/>
    </row>
    <row r="232" spans="1:26" ht="14.4" hidden="1" outlineLevel="1" x14ac:dyDescent="0.3">
      <c r="A232" s="3"/>
      <c r="B232" s="9" t="s">
        <v>328</v>
      </c>
      <c r="C232" s="53"/>
      <c r="D232" s="53"/>
      <c r="E232" s="11">
        <v>0</v>
      </c>
      <c r="F232" s="11">
        <v>0</v>
      </c>
      <c r="G232" s="56"/>
      <c r="H232" s="56"/>
      <c r="I232" s="144"/>
      <c r="J232" s="56"/>
      <c r="K232" s="28"/>
      <c r="L232" s="28"/>
      <c r="M232" s="28"/>
      <c r="N232" s="28"/>
      <c r="O232" s="28"/>
      <c r="P232" s="28"/>
      <c r="Q232" s="28"/>
      <c r="R232" s="28"/>
      <c r="S232" s="28"/>
      <c r="T232" s="28"/>
      <c r="U232" s="3"/>
      <c r="W232" s="3"/>
      <c r="X232" s="3"/>
      <c r="Y232" s="3"/>
      <c r="Z232" s="3"/>
    </row>
    <row r="233" spans="1:26" ht="14.4" hidden="1" outlineLevel="1" x14ac:dyDescent="0.3">
      <c r="A233" s="3"/>
      <c r="B233" s="9" t="s">
        <v>329</v>
      </c>
      <c r="C233" s="53"/>
      <c r="D233" s="53"/>
      <c r="E233" s="11">
        <v>0</v>
      </c>
      <c r="F233" s="11">
        <v>0</v>
      </c>
      <c r="G233" s="56"/>
      <c r="H233" s="56"/>
      <c r="I233" s="144"/>
      <c r="J233" s="56"/>
      <c r="K233" s="28"/>
      <c r="L233" s="28"/>
      <c r="M233" s="28"/>
      <c r="N233" s="28"/>
      <c r="O233" s="28"/>
      <c r="P233" s="28"/>
      <c r="Q233" s="28"/>
      <c r="R233" s="28"/>
      <c r="S233" s="28"/>
      <c r="T233" s="28"/>
      <c r="U233" s="3"/>
      <c r="W233" s="3"/>
      <c r="X233" s="3"/>
      <c r="Y233" s="3"/>
      <c r="Z233" s="3"/>
    </row>
    <row r="234" spans="1:26" ht="14.4" hidden="1" outlineLevel="1" x14ac:dyDescent="0.3">
      <c r="A234" s="3"/>
      <c r="B234" s="9" t="s">
        <v>371</v>
      </c>
      <c r="C234" s="53"/>
      <c r="D234" s="53"/>
      <c r="E234" s="11">
        <v>0</v>
      </c>
      <c r="F234" s="11">
        <v>0</v>
      </c>
      <c r="G234" s="56"/>
      <c r="H234" s="56"/>
      <c r="I234" s="144"/>
      <c r="J234" s="56"/>
      <c r="K234" s="28"/>
      <c r="L234" s="28"/>
      <c r="M234" s="28"/>
      <c r="N234" s="28"/>
      <c r="O234" s="28"/>
      <c r="P234" s="28"/>
      <c r="Q234" s="28"/>
      <c r="R234" s="28"/>
      <c r="S234" s="28"/>
      <c r="T234" s="28"/>
      <c r="U234" s="3"/>
      <c r="W234" s="3"/>
      <c r="X234" s="3"/>
      <c r="Y234" s="3"/>
      <c r="Z234" s="3"/>
    </row>
    <row r="235" spans="1:26" ht="14.4" hidden="1" outlineLevel="1" x14ac:dyDescent="0.3">
      <c r="A235" s="3"/>
      <c r="B235" s="9" t="s">
        <v>372</v>
      </c>
      <c r="C235" s="53"/>
      <c r="D235" s="53"/>
      <c r="E235" s="11">
        <v>0</v>
      </c>
      <c r="F235" s="11">
        <v>0</v>
      </c>
      <c r="G235" s="80"/>
      <c r="H235" s="56"/>
      <c r="I235" s="144"/>
      <c r="J235" s="56"/>
      <c r="K235" s="28"/>
      <c r="L235" s="28"/>
      <c r="M235" s="28"/>
      <c r="N235" s="28"/>
      <c r="O235" s="28"/>
      <c r="P235" s="28"/>
      <c r="Q235" s="28"/>
      <c r="R235" s="28"/>
      <c r="S235" s="28"/>
      <c r="T235" s="28"/>
      <c r="U235" s="3"/>
      <c r="W235" s="3"/>
      <c r="X235" s="3"/>
      <c r="Y235" s="3"/>
      <c r="Z235" s="3"/>
    </row>
    <row r="236" spans="1:26" ht="14.4" hidden="1" outlineLevel="1" x14ac:dyDescent="0.3">
      <c r="A236" s="3"/>
      <c r="B236" s="9" t="s">
        <v>373</v>
      </c>
      <c r="C236" s="53"/>
      <c r="D236" s="53"/>
      <c r="E236" s="11">
        <v>0</v>
      </c>
      <c r="F236" s="11">
        <v>0</v>
      </c>
      <c r="G236" s="80"/>
      <c r="H236" s="56"/>
      <c r="I236" s="144"/>
      <c r="J236" s="56"/>
      <c r="K236" s="28"/>
      <c r="L236" s="28"/>
      <c r="M236" s="28"/>
      <c r="N236" s="28"/>
      <c r="O236" s="28"/>
      <c r="P236" s="28"/>
      <c r="Q236" s="28"/>
      <c r="R236" s="28"/>
      <c r="S236" s="28"/>
      <c r="T236" s="28"/>
      <c r="U236" s="3"/>
      <c r="W236" s="3"/>
      <c r="X236" s="3"/>
      <c r="Y236" s="3"/>
      <c r="Z236" s="3"/>
    </row>
    <row r="237" spans="1:26" ht="20.399999999999999" hidden="1" collapsed="1" x14ac:dyDescent="0.3">
      <c r="A237" s="3"/>
      <c r="B237" s="75" t="s">
        <v>403</v>
      </c>
      <c r="C237" s="76" t="s">
        <v>44</v>
      </c>
      <c r="D237" s="76" t="s">
        <v>44</v>
      </c>
      <c r="E237" s="77">
        <f>SUM(E238:E246)</f>
        <v>0</v>
      </c>
      <c r="F237" s="77">
        <f>SUMIF(D238:D246,"OK",F238:F246)</f>
        <v>0</v>
      </c>
      <c r="G237" s="78"/>
      <c r="H237" s="78"/>
      <c r="I237" s="79"/>
      <c r="J237" s="78"/>
      <c r="K237" s="28"/>
      <c r="L237" s="28"/>
      <c r="M237" s="28"/>
      <c r="N237" s="28"/>
      <c r="O237" s="28"/>
      <c r="P237" s="28"/>
      <c r="Q237" s="28"/>
      <c r="R237" s="28"/>
      <c r="S237" s="28"/>
      <c r="T237" s="28"/>
      <c r="U237" s="3"/>
      <c r="W237" s="3"/>
      <c r="X237" s="3"/>
      <c r="Y237" s="3"/>
      <c r="Z237" s="3"/>
    </row>
    <row r="238" spans="1:26" ht="14.4" hidden="1" outlineLevel="1" x14ac:dyDescent="0.3">
      <c r="A238" s="3"/>
      <c r="B238" s="9" t="s">
        <v>354</v>
      </c>
      <c r="C238" s="53"/>
      <c r="D238" s="53"/>
      <c r="E238" s="11">
        <v>0</v>
      </c>
      <c r="F238" s="11">
        <v>0</v>
      </c>
      <c r="G238" s="56"/>
      <c r="H238" s="56"/>
      <c r="I238" s="144"/>
      <c r="J238" s="56"/>
      <c r="K238" s="28"/>
      <c r="L238" s="28"/>
      <c r="M238" s="28"/>
      <c r="N238" s="28"/>
      <c r="O238" s="28"/>
      <c r="P238" s="28"/>
      <c r="Q238" s="28"/>
      <c r="R238" s="28"/>
      <c r="S238" s="28"/>
      <c r="T238" s="28"/>
      <c r="U238" s="3"/>
      <c r="W238" s="3"/>
      <c r="X238" s="3"/>
      <c r="Y238" s="3"/>
      <c r="Z238" s="3"/>
    </row>
    <row r="239" spans="1:26" ht="14.4" hidden="1" outlineLevel="1" x14ac:dyDescent="0.3">
      <c r="A239" s="3"/>
      <c r="B239" s="9" t="s">
        <v>355</v>
      </c>
      <c r="C239" s="53"/>
      <c r="D239" s="53"/>
      <c r="E239" s="11">
        <v>0</v>
      </c>
      <c r="F239" s="11">
        <v>0</v>
      </c>
      <c r="G239" s="56"/>
      <c r="H239" s="56"/>
      <c r="I239" s="144"/>
      <c r="J239" s="56"/>
      <c r="K239" s="28"/>
      <c r="L239" s="28"/>
      <c r="M239" s="28"/>
      <c r="N239" s="28"/>
      <c r="O239" s="28"/>
      <c r="P239" s="28"/>
      <c r="Q239" s="28"/>
      <c r="R239" s="28"/>
      <c r="S239" s="28"/>
      <c r="T239" s="28"/>
      <c r="U239" s="3"/>
      <c r="W239" s="3"/>
      <c r="X239" s="3"/>
      <c r="Y239" s="3"/>
      <c r="Z239" s="3"/>
    </row>
    <row r="240" spans="1:26" ht="14.4" hidden="1" outlineLevel="1" x14ac:dyDescent="0.3">
      <c r="A240" s="3"/>
      <c r="B240" s="9" t="s">
        <v>356</v>
      </c>
      <c r="C240" s="53"/>
      <c r="D240" s="53"/>
      <c r="E240" s="11">
        <v>0</v>
      </c>
      <c r="F240" s="11">
        <v>0</v>
      </c>
      <c r="G240" s="56"/>
      <c r="H240" s="56"/>
      <c r="I240" s="80"/>
      <c r="J240" s="56"/>
      <c r="K240" s="28"/>
      <c r="L240" s="28"/>
      <c r="M240" s="28"/>
      <c r="N240" s="28"/>
      <c r="O240" s="28"/>
      <c r="P240" s="28"/>
      <c r="Q240" s="28"/>
      <c r="R240" s="28"/>
      <c r="S240" s="28"/>
      <c r="T240" s="28"/>
      <c r="U240" s="3"/>
      <c r="W240" s="3"/>
      <c r="X240" s="3"/>
      <c r="Y240" s="3"/>
      <c r="Z240" s="3"/>
    </row>
    <row r="241" spans="1:26" ht="14.4" hidden="1" outlineLevel="1" x14ac:dyDescent="0.3">
      <c r="A241" s="3"/>
      <c r="B241" s="9" t="s">
        <v>370</v>
      </c>
      <c r="C241" s="53"/>
      <c r="D241" s="53"/>
      <c r="E241" s="11">
        <v>0</v>
      </c>
      <c r="F241" s="11">
        <v>0</v>
      </c>
      <c r="G241" s="56"/>
      <c r="H241" s="56"/>
      <c r="I241" s="80"/>
      <c r="J241" s="56"/>
      <c r="K241" s="28"/>
      <c r="L241" s="28"/>
      <c r="M241" s="28"/>
      <c r="N241" s="28"/>
      <c r="O241" s="28"/>
      <c r="P241" s="28"/>
      <c r="Q241" s="28"/>
      <c r="R241" s="28"/>
      <c r="S241" s="28"/>
      <c r="T241" s="28"/>
      <c r="U241" s="3"/>
      <c r="W241" s="3"/>
      <c r="X241" s="3"/>
      <c r="Y241" s="3"/>
      <c r="Z241" s="3"/>
    </row>
    <row r="242" spans="1:26" ht="14.4" hidden="1" outlineLevel="1" x14ac:dyDescent="0.3">
      <c r="A242" s="3"/>
      <c r="B242" s="9" t="s">
        <v>328</v>
      </c>
      <c r="C242" s="53"/>
      <c r="D242" s="53"/>
      <c r="E242" s="11">
        <v>0</v>
      </c>
      <c r="F242" s="11">
        <v>0</v>
      </c>
      <c r="G242" s="56"/>
      <c r="H242" s="56"/>
      <c r="I242" s="80"/>
      <c r="J242" s="56"/>
      <c r="K242" s="28"/>
      <c r="L242" s="28"/>
      <c r="M242" s="28"/>
      <c r="N242" s="28"/>
      <c r="O242" s="28"/>
      <c r="P242" s="28"/>
      <c r="Q242" s="28"/>
      <c r="R242" s="28"/>
      <c r="S242" s="28"/>
      <c r="T242" s="28"/>
      <c r="U242" s="3"/>
      <c r="W242" s="3"/>
      <c r="X242" s="3"/>
      <c r="Y242" s="3"/>
      <c r="Z242" s="3"/>
    </row>
    <row r="243" spans="1:26" ht="14.4" hidden="1" outlineLevel="1" x14ac:dyDescent="0.3">
      <c r="A243" s="3"/>
      <c r="B243" s="9" t="s">
        <v>329</v>
      </c>
      <c r="C243" s="53"/>
      <c r="D243" s="53"/>
      <c r="E243" s="11">
        <v>0</v>
      </c>
      <c r="F243" s="11">
        <v>0</v>
      </c>
      <c r="G243" s="56"/>
      <c r="H243" s="56"/>
      <c r="I243" s="80"/>
      <c r="J243" s="56"/>
      <c r="K243" s="28"/>
      <c r="L243" s="28"/>
      <c r="M243" s="28"/>
      <c r="N243" s="28"/>
      <c r="O243" s="28"/>
      <c r="P243" s="28"/>
      <c r="Q243" s="28"/>
      <c r="R243" s="28"/>
      <c r="S243" s="28"/>
      <c r="T243" s="28"/>
      <c r="U243" s="3"/>
      <c r="W243" s="3"/>
      <c r="X243" s="3"/>
      <c r="Y243" s="3"/>
      <c r="Z243" s="3"/>
    </row>
    <row r="244" spans="1:26" ht="14.4" hidden="1" outlineLevel="1" x14ac:dyDescent="0.3">
      <c r="A244" s="3"/>
      <c r="B244" s="9" t="s">
        <v>371</v>
      </c>
      <c r="C244" s="53"/>
      <c r="D244" s="53"/>
      <c r="E244" s="11">
        <v>0</v>
      </c>
      <c r="F244" s="11">
        <v>0</v>
      </c>
      <c r="G244" s="56"/>
      <c r="H244" s="56"/>
      <c r="I244" s="80"/>
      <c r="J244" s="56"/>
      <c r="K244" s="28"/>
      <c r="L244" s="28"/>
      <c r="M244" s="28"/>
      <c r="N244" s="28"/>
      <c r="O244" s="28"/>
      <c r="P244" s="28"/>
      <c r="Q244" s="28"/>
      <c r="R244" s="28"/>
      <c r="S244" s="28"/>
      <c r="T244" s="28"/>
      <c r="U244" s="3"/>
      <c r="W244" s="3"/>
      <c r="X244" s="3"/>
      <c r="Y244" s="3"/>
      <c r="Z244" s="3"/>
    </row>
    <row r="245" spans="1:26" ht="14.4" hidden="1" outlineLevel="1" x14ac:dyDescent="0.3">
      <c r="A245" s="3"/>
      <c r="B245" s="9" t="s">
        <v>372</v>
      </c>
      <c r="C245" s="53"/>
      <c r="D245" s="53"/>
      <c r="E245" s="11">
        <v>0</v>
      </c>
      <c r="F245" s="11">
        <v>0</v>
      </c>
      <c r="G245" s="56"/>
      <c r="H245" s="56"/>
      <c r="I245" s="80"/>
      <c r="J245" s="56"/>
      <c r="K245" s="28"/>
      <c r="L245" s="28"/>
      <c r="M245" s="28"/>
      <c r="N245" s="28"/>
      <c r="O245" s="28"/>
      <c r="P245" s="28"/>
      <c r="Q245" s="28"/>
      <c r="R245" s="28"/>
      <c r="S245" s="28"/>
      <c r="T245" s="28"/>
      <c r="U245" s="3"/>
      <c r="W245" s="3"/>
      <c r="X245" s="3"/>
      <c r="Y245" s="3"/>
      <c r="Z245" s="3"/>
    </row>
    <row r="246" spans="1:26" ht="14.4" hidden="1" outlineLevel="1" x14ac:dyDescent="0.3">
      <c r="A246" s="3"/>
      <c r="B246" s="9" t="s">
        <v>373</v>
      </c>
      <c r="C246" s="53"/>
      <c r="D246" s="53"/>
      <c r="E246" s="11">
        <v>0</v>
      </c>
      <c r="F246" s="11">
        <v>0</v>
      </c>
      <c r="G246" s="56"/>
      <c r="H246" s="56"/>
      <c r="I246" s="80"/>
      <c r="J246" s="56"/>
      <c r="K246" s="28"/>
      <c r="L246" s="28"/>
      <c r="M246" s="28"/>
      <c r="N246" s="28"/>
      <c r="O246" s="28"/>
      <c r="P246" s="28"/>
      <c r="Q246" s="28"/>
      <c r="R246" s="28"/>
      <c r="S246" s="28"/>
      <c r="T246" s="28"/>
      <c r="U246" s="3"/>
      <c r="W246" s="3"/>
      <c r="X246" s="3"/>
      <c r="Y246" s="3"/>
      <c r="Z246" s="3"/>
    </row>
    <row r="247" spans="1:26" ht="20.399999999999999" hidden="1" collapsed="1" x14ac:dyDescent="0.3">
      <c r="A247" s="3"/>
      <c r="B247" s="75" t="s">
        <v>404</v>
      </c>
      <c r="C247" s="76" t="s">
        <v>44</v>
      </c>
      <c r="D247" s="76" t="s">
        <v>44</v>
      </c>
      <c r="E247" s="77">
        <f>SUM(E248:E256)</f>
        <v>0</v>
      </c>
      <c r="F247" s="77">
        <f>SUMIF(D248:D256,"OK",F248:F256)</f>
        <v>0</v>
      </c>
      <c r="G247" s="78"/>
      <c r="H247" s="78"/>
      <c r="I247" s="79"/>
      <c r="J247" s="78"/>
      <c r="K247" s="28"/>
      <c r="L247" s="28"/>
      <c r="M247" s="28"/>
      <c r="N247" s="28"/>
      <c r="O247" s="28"/>
      <c r="P247" s="28"/>
      <c r="Q247" s="28"/>
      <c r="R247" s="28"/>
      <c r="S247" s="28"/>
      <c r="T247" s="28"/>
      <c r="U247" s="3"/>
      <c r="W247" s="3"/>
      <c r="X247" s="3"/>
      <c r="Y247" s="3"/>
      <c r="Z247" s="3"/>
    </row>
    <row r="248" spans="1:26" ht="14.4" hidden="1" outlineLevel="1" x14ac:dyDescent="0.3">
      <c r="A248" s="3"/>
      <c r="B248" s="9" t="s">
        <v>1526</v>
      </c>
      <c r="C248" s="53"/>
      <c r="D248" s="53"/>
      <c r="E248" s="11">
        <v>0</v>
      </c>
      <c r="F248" s="11">
        <v>0</v>
      </c>
      <c r="G248" s="80"/>
      <c r="H248" s="56"/>
      <c r="I248" s="117"/>
      <c r="J248" s="56"/>
      <c r="K248" s="28"/>
      <c r="L248" s="28"/>
      <c r="M248" s="28"/>
      <c r="N248" s="28"/>
      <c r="O248" s="28"/>
      <c r="P248" s="28"/>
      <c r="Q248" s="28"/>
      <c r="R248" s="28"/>
      <c r="S248" s="28"/>
      <c r="T248" s="28"/>
      <c r="U248" s="3"/>
      <c r="W248" s="3"/>
      <c r="X248" s="3"/>
      <c r="Y248" s="3"/>
      <c r="Z248" s="3"/>
    </row>
    <row r="249" spans="1:26" ht="14.4" hidden="1" outlineLevel="1" x14ac:dyDescent="0.3">
      <c r="A249" s="3"/>
      <c r="B249" s="9" t="s">
        <v>355</v>
      </c>
      <c r="C249" s="53"/>
      <c r="D249" s="53"/>
      <c r="E249" s="11">
        <v>0</v>
      </c>
      <c r="F249" s="11">
        <v>0</v>
      </c>
      <c r="G249" s="56"/>
      <c r="H249" s="56"/>
      <c r="I249" s="144"/>
      <c r="J249" s="56"/>
      <c r="K249" s="28"/>
      <c r="L249" s="28"/>
      <c r="M249" s="28"/>
      <c r="N249" s="28"/>
      <c r="O249" s="28"/>
      <c r="P249" s="28"/>
      <c r="Q249" s="28"/>
      <c r="R249" s="28"/>
      <c r="S249" s="28"/>
      <c r="T249" s="28"/>
      <c r="U249" s="3"/>
      <c r="W249" s="3"/>
      <c r="X249" s="3"/>
      <c r="Y249" s="3"/>
      <c r="Z249" s="3"/>
    </row>
    <row r="250" spans="1:26" ht="14.4" hidden="1" outlineLevel="1" x14ac:dyDescent="0.3">
      <c r="A250" s="3"/>
      <c r="B250" s="9" t="s">
        <v>356</v>
      </c>
      <c r="C250" s="53"/>
      <c r="D250" s="53"/>
      <c r="E250" s="11">
        <v>0</v>
      </c>
      <c r="F250" s="11">
        <v>0</v>
      </c>
      <c r="G250" s="56"/>
      <c r="H250" s="56"/>
      <c r="I250" s="80"/>
      <c r="J250" s="56"/>
      <c r="K250" s="28"/>
      <c r="L250" s="28"/>
      <c r="M250" s="28"/>
      <c r="N250" s="28"/>
      <c r="O250" s="28"/>
      <c r="P250" s="28"/>
      <c r="Q250" s="28"/>
      <c r="R250" s="28"/>
      <c r="S250" s="28"/>
      <c r="T250" s="28"/>
      <c r="U250" s="3"/>
      <c r="W250" s="3"/>
      <c r="X250" s="3"/>
      <c r="Y250" s="3"/>
      <c r="Z250" s="3"/>
    </row>
    <row r="251" spans="1:26" ht="14.4" hidden="1" outlineLevel="1" x14ac:dyDescent="0.3">
      <c r="A251" s="3"/>
      <c r="B251" s="9" t="s">
        <v>370</v>
      </c>
      <c r="C251" s="53"/>
      <c r="D251" s="53"/>
      <c r="E251" s="11">
        <v>0</v>
      </c>
      <c r="F251" s="11">
        <v>0</v>
      </c>
      <c r="G251" s="56"/>
      <c r="H251" s="56"/>
      <c r="I251" s="80"/>
      <c r="J251" s="56"/>
      <c r="K251" s="28"/>
      <c r="L251" s="28"/>
      <c r="M251" s="28"/>
      <c r="N251" s="28"/>
      <c r="O251" s="28"/>
      <c r="P251" s="28"/>
      <c r="Q251" s="28"/>
      <c r="R251" s="28"/>
      <c r="S251" s="28"/>
      <c r="T251" s="28"/>
      <c r="U251" s="3"/>
      <c r="W251" s="3"/>
      <c r="X251" s="3"/>
      <c r="Y251" s="3"/>
      <c r="Z251" s="3"/>
    </row>
    <row r="252" spans="1:26" ht="14.4" hidden="1" outlineLevel="1" x14ac:dyDescent="0.3">
      <c r="A252" s="3"/>
      <c r="B252" s="9" t="s">
        <v>328</v>
      </c>
      <c r="C252" s="53"/>
      <c r="D252" s="53"/>
      <c r="E252" s="11">
        <v>0</v>
      </c>
      <c r="F252" s="11">
        <v>0</v>
      </c>
      <c r="G252" s="56"/>
      <c r="H252" s="56"/>
      <c r="I252" s="80"/>
      <c r="J252" s="56"/>
      <c r="K252" s="28"/>
      <c r="L252" s="28"/>
      <c r="M252" s="28"/>
      <c r="N252" s="28"/>
      <c r="O252" s="28"/>
      <c r="P252" s="28"/>
      <c r="Q252" s="28"/>
      <c r="R252" s="28"/>
      <c r="S252" s="28"/>
      <c r="T252" s="28"/>
      <c r="U252" s="3"/>
      <c r="W252" s="3"/>
      <c r="X252" s="3"/>
      <c r="Y252" s="3"/>
      <c r="Z252" s="3"/>
    </row>
    <row r="253" spans="1:26" ht="14.4" hidden="1" outlineLevel="1" x14ac:dyDescent="0.3">
      <c r="A253" s="3"/>
      <c r="B253" s="9" t="s">
        <v>329</v>
      </c>
      <c r="C253" s="53"/>
      <c r="D253" s="53"/>
      <c r="E253" s="11">
        <v>0</v>
      </c>
      <c r="F253" s="11">
        <v>0</v>
      </c>
      <c r="G253" s="56"/>
      <c r="H253" s="56"/>
      <c r="I253" s="80"/>
      <c r="J253" s="56"/>
      <c r="K253" s="28"/>
      <c r="L253" s="28"/>
      <c r="M253" s="28"/>
      <c r="N253" s="28"/>
      <c r="O253" s="28"/>
      <c r="P253" s="28"/>
      <c r="Q253" s="28"/>
      <c r="R253" s="28"/>
      <c r="S253" s="28"/>
      <c r="T253" s="28"/>
      <c r="U253" s="3"/>
      <c r="W253" s="3"/>
      <c r="X253" s="3"/>
      <c r="Y253" s="3"/>
      <c r="Z253" s="3"/>
    </row>
    <row r="254" spans="1:26" ht="14.4" hidden="1" outlineLevel="1" x14ac:dyDescent="0.3">
      <c r="A254" s="3"/>
      <c r="B254" s="9" t="s">
        <v>371</v>
      </c>
      <c r="C254" s="53"/>
      <c r="D254" s="53"/>
      <c r="E254" s="11">
        <v>0</v>
      </c>
      <c r="F254" s="11">
        <v>0</v>
      </c>
      <c r="G254" s="56"/>
      <c r="H254" s="56"/>
      <c r="I254" s="80"/>
      <c r="J254" s="56"/>
      <c r="K254" s="28"/>
      <c r="L254" s="28"/>
      <c r="M254" s="28"/>
      <c r="N254" s="28"/>
      <c r="O254" s="28"/>
      <c r="P254" s="28"/>
      <c r="Q254" s="28"/>
      <c r="R254" s="28"/>
      <c r="S254" s="28"/>
      <c r="T254" s="28"/>
      <c r="U254" s="3"/>
      <c r="W254" s="3"/>
      <c r="X254" s="3"/>
      <c r="Y254" s="3"/>
      <c r="Z254" s="3"/>
    </row>
    <row r="255" spans="1:26" ht="14.4" hidden="1" outlineLevel="1" x14ac:dyDescent="0.3">
      <c r="A255" s="3"/>
      <c r="B255" s="9" t="s">
        <v>372</v>
      </c>
      <c r="C255" s="53"/>
      <c r="D255" s="53"/>
      <c r="E255" s="11">
        <v>0</v>
      </c>
      <c r="F255" s="11">
        <v>0</v>
      </c>
      <c r="G255" s="56"/>
      <c r="H255" s="56"/>
      <c r="I255" s="80"/>
      <c r="J255" s="56"/>
      <c r="K255" s="28"/>
      <c r="L255" s="28"/>
      <c r="M255" s="28"/>
      <c r="N255" s="28"/>
      <c r="O255" s="28"/>
      <c r="P255" s="28"/>
      <c r="Q255" s="28"/>
      <c r="R255" s="28"/>
      <c r="S255" s="28"/>
      <c r="T255" s="28"/>
      <c r="U255" s="3"/>
      <c r="W255" s="3"/>
      <c r="X255" s="3"/>
      <c r="Y255" s="3"/>
      <c r="Z255" s="3"/>
    </row>
    <row r="256" spans="1:26" ht="14.4" hidden="1" outlineLevel="1" x14ac:dyDescent="0.3">
      <c r="A256" s="3"/>
      <c r="B256" s="9" t="s">
        <v>373</v>
      </c>
      <c r="C256" s="53"/>
      <c r="D256" s="53"/>
      <c r="E256" s="11">
        <v>0</v>
      </c>
      <c r="F256" s="11">
        <v>0</v>
      </c>
      <c r="G256" s="56"/>
      <c r="H256" s="56"/>
      <c r="I256" s="80"/>
      <c r="J256" s="56"/>
      <c r="K256" s="28"/>
      <c r="L256" s="28"/>
      <c r="M256" s="28"/>
      <c r="N256" s="28"/>
      <c r="O256" s="28"/>
      <c r="P256" s="28"/>
      <c r="Q256" s="28"/>
      <c r="R256" s="28"/>
      <c r="S256" s="28"/>
      <c r="T256" s="28"/>
      <c r="U256" s="3"/>
      <c r="W256" s="3"/>
      <c r="X256" s="3"/>
      <c r="Y256" s="3"/>
      <c r="Z256" s="3"/>
    </row>
    <row r="257" spans="1:26" ht="20.399999999999999" collapsed="1" x14ac:dyDescent="0.3">
      <c r="A257" s="3"/>
      <c r="B257" s="75" t="s">
        <v>406</v>
      </c>
      <c r="C257" s="76" t="s">
        <v>44</v>
      </c>
      <c r="D257" s="76" t="s">
        <v>44</v>
      </c>
      <c r="E257" s="77">
        <f>SUM(E258:E266)</f>
        <v>0</v>
      </c>
      <c r="F257" s="77">
        <f>SUMIF(D258:D266,"OK",F258:F266)</f>
        <v>50</v>
      </c>
      <c r="G257" s="78"/>
      <c r="H257" s="78"/>
      <c r="I257" s="79"/>
      <c r="J257" s="78"/>
      <c r="K257" s="28"/>
      <c r="L257" s="28"/>
      <c r="M257" s="28"/>
      <c r="N257" s="28"/>
      <c r="O257" s="28"/>
      <c r="P257" s="28"/>
      <c r="Q257" s="28"/>
      <c r="R257" s="28"/>
      <c r="S257" s="28"/>
      <c r="T257" s="28"/>
      <c r="U257" s="3"/>
      <c r="W257" s="3"/>
      <c r="X257" s="3"/>
      <c r="Y257" s="3"/>
      <c r="Z257" s="3"/>
    </row>
    <row r="258" spans="1:26" ht="14.4" outlineLevel="1" x14ac:dyDescent="0.3">
      <c r="A258" s="3"/>
      <c r="B258" s="9" t="s">
        <v>2181</v>
      </c>
      <c r="C258" s="53">
        <v>24</v>
      </c>
      <c r="D258" s="53" t="s">
        <v>95</v>
      </c>
      <c r="E258" s="11">
        <v>0</v>
      </c>
      <c r="F258" s="11">
        <v>50</v>
      </c>
      <c r="G258" s="56"/>
      <c r="H258" s="56" t="s">
        <v>37</v>
      </c>
      <c r="I258" s="102" t="s">
        <v>2182</v>
      </c>
      <c r="J258" s="56"/>
      <c r="K258" s="28"/>
      <c r="L258" s="28"/>
      <c r="M258" s="28"/>
      <c r="N258" s="28"/>
      <c r="O258" s="28"/>
      <c r="P258" s="28"/>
      <c r="Q258" s="28"/>
      <c r="R258" s="28"/>
      <c r="S258" s="28"/>
      <c r="T258" s="28"/>
      <c r="U258" s="3"/>
      <c r="W258" s="3"/>
      <c r="X258" s="3"/>
      <c r="Y258" s="3"/>
      <c r="Z258" s="3"/>
    </row>
    <row r="259" spans="1:26" ht="14.4" hidden="1" outlineLevel="1" x14ac:dyDescent="0.3">
      <c r="A259" s="3"/>
      <c r="B259" s="9" t="s">
        <v>355</v>
      </c>
      <c r="C259" s="53"/>
      <c r="D259" s="53"/>
      <c r="E259" s="11">
        <v>0</v>
      </c>
      <c r="F259" s="11">
        <v>0</v>
      </c>
      <c r="G259" s="56"/>
      <c r="H259" s="56"/>
      <c r="I259" s="102"/>
      <c r="J259" s="56"/>
      <c r="K259" s="28"/>
      <c r="L259" s="28"/>
      <c r="M259" s="28"/>
      <c r="N259" s="28"/>
      <c r="O259" s="28"/>
      <c r="P259" s="28"/>
      <c r="Q259" s="28"/>
      <c r="R259" s="28"/>
      <c r="S259" s="28"/>
      <c r="T259" s="28"/>
      <c r="U259" s="3"/>
      <c r="W259" s="3"/>
      <c r="X259" s="3"/>
      <c r="Y259" s="3"/>
      <c r="Z259" s="3"/>
    </row>
    <row r="260" spans="1:26" ht="14.4" hidden="1" outlineLevel="1" x14ac:dyDescent="0.3">
      <c r="A260" s="3"/>
      <c r="B260" s="9" t="s">
        <v>356</v>
      </c>
      <c r="C260" s="53"/>
      <c r="D260" s="53"/>
      <c r="E260" s="11">
        <v>0</v>
      </c>
      <c r="F260" s="11">
        <v>0</v>
      </c>
      <c r="G260" s="56"/>
      <c r="H260" s="56"/>
      <c r="I260" s="80"/>
      <c r="J260" s="56"/>
      <c r="K260" s="28"/>
      <c r="L260" s="28"/>
      <c r="M260" s="28"/>
      <c r="N260" s="28"/>
      <c r="O260" s="28"/>
      <c r="P260" s="28"/>
      <c r="Q260" s="28"/>
      <c r="R260" s="28"/>
      <c r="S260" s="28"/>
      <c r="T260" s="28"/>
      <c r="U260" s="3"/>
      <c r="W260" s="3"/>
      <c r="X260" s="3"/>
      <c r="Y260" s="3"/>
      <c r="Z260" s="3"/>
    </row>
    <row r="261" spans="1:26" ht="14.4" hidden="1" outlineLevel="1" x14ac:dyDescent="0.3">
      <c r="A261" s="3"/>
      <c r="B261" s="9" t="s">
        <v>370</v>
      </c>
      <c r="C261" s="53"/>
      <c r="D261" s="53"/>
      <c r="E261" s="11">
        <v>0</v>
      </c>
      <c r="F261" s="11">
        <v>0</v>
      </c>
      <c r="G261" s="56"/>
      <c r="H261" s="56"/>
      <c r="I261" s="80"/>
      <c r="J261" s="56"/>
      <c r="K261" s="28"/>
      <c r="L261" s="28"/>
      <c r="M261" s="28"/>
      <c r="N261" s="28"/>
      <c r="O261" s="28"/>
      <c r="P261" s="28"/>
      <c r="Q261" s="28"/>
      <c r="R261" s="28"/>
      <c r="S261" s="28"/>
      <c r="T261" s="28"/>
      <c r="U261" s="3"/>
      <c r="W261" s="3"/>
      <c r="X261" s="3"/>
      <c r="Y261" s="3"/>
      <c r="Z261" s="3"/>
    </row>
    <row r="262" spans="1:26" ht="14.4" hidden="1" outlineLevel="1" x14ac:dyDescent="0.3">
      <c r="A262" s="3"/>
      <c r="B262" s="9" t="s">
        <v>328</v>
      </c>
      <c r="C262" s="53"/>
      <c r="D262" s="53"/>
      <c r="E262" s="11">
        <v>0</v>
      </c>
      <c r="F262" s="11">
        <v>0</v>
      </c>
      <c r="G262" s="56"/>
      <c r="H262" s="56"/>
      <c r="I262" s="80"/>
      <c r="J262" s="56"/>
      <c r="K262" s="28"/>
      <c r="L262" s="28"/>
      <c r="M262" s="28"/>
      <c r="N262" s="28"/>
      <c r="O262" s="28"/>
      <c r="P262" s="28"/>
      <c r="Q262" s="28"/>
      <c r="R262" s="28"/>
      <c r="S262" s="28"/>
      <c r="T262" s="28"/>
      <c r="U262" s="3"/>
      <c r="W262" s="3"/>
      <c r="X262" s="3"/>
      <c r="Y262" s="3"/>
      <c r="Z262" s="3"/>
    </row>
    <row r="263" spans="1:26" ht="14.4" hidden="1" outlineLevel="1" x14ac:dyDescent="0.3">
      <c r="A263" s="3"/>
      <c r="B263" s="9" t="s">
        <v>329</v>
      </c>
      <c r="C263" s="53"/>
      <c r="D263" s="53"/>
      <c r="E263" s="11">
        <v>0</v>
      </c>
      <c r="F263" s="11">
        <v>0</v>
      </c>
      <c r="G263" s="56"/>
      <c r="H263" s="56"/>
      <c r="I263" s="80"/>
      <c r="J263" s="56"/>
      <c r="K263" s="28"/>
      <c r="L263" s="28"/>
      <c r="M263" s="28"/>
      <c r="N263" s="28"/>
      <c r="O263" s="28"/>
      <c r="P263" s="28"/>
      <c r="Q263" s="28"/>
      <c r="R263" s="28"/>
      <c r="S263" s="28"/>
      <c r="T263" s="28"/>
      <c r="U263" s="3"/>
      <c r="W263" s="3"/>
      <c r="X263" s="3"/>
      <c r="Y263" s="3"/>
      <c r="Z263" s="3"/>
    </row>
    <row r="264" spans="1:26" ht="14.4" hidden="1" outlineLevel="1" x14ac:dyDescent="0.3">
      <c r="A264" s="3"/>
      <c r="B264" s="9" t="s">
        <v>371</v>
      </c>
      <c r="C264" s="53"/>
      <c r="D264" s="53"/>
      <c r="E264" s="11">
        <v>0</v>
      </c>
      <c r="F264" s="11">
        <v>0</v>
      </c>
      <c r="G264" s="56"/>
      <c r="H264" s="56"/>
      <c r="I264" s="80"/>
      <c r="J264" s="56"/>
      <c r="K264" s="28"/>
      <c r="L264" s="28"/>
      <c r="M264" s="28"/>
      <c r="N264" s="28"/>
      <c r="O264" s="28"/>
      <c r="P264" s="28"/>
      <c r="Q264" s="28"/>
      <c r="R264" s="28"/>
      <c r="S264" s="28"/>
      <c r="T264" s="28"/>
      <c r="U264" s="3"/>
      <c r="W264" s="3"/>
      <c r="X264" s="3"/>
      <c r="Y264" s="3"/>
      <c r="Z264" s="3"/>
    </row>
    <row r="265" spans="1:26" ht="14.4" hidden="1" outlineLevel="1" x14ac:dyDescent="0.3">
      <c r="A265" s="3"/>
      <c r="B265" s="9" t="s">
        <v>372</v>
      </c>
      <c r="C265" s="53"/>
      <c r="D265" s="53"/>
      <c r="E265" s="11">
        <v>0</v>
      </c>
      <c r="F265" s="11">
        <v>0</v>
      </c>
      <c r="G265" s="56"/>
      <c r="H265" s="56"/>
      <c r="I265" s="80"/>
      <c r="J265" s="56"/>
      <c r="K265" s="28"/>
      <c r="L265" s="28"/>
      <c r="M265" s="28"/>
      <c r="N265" s="28"/>
      <c r="O265" s="28"/>
      <c r="P265" s="28"/>
      <c r="Q265" s="28"/>
      <c r="R265" s="28"/>
      <c r="S265" s="28"/>
      <c r="T265" s="28"/>
      <c r="U265" s="3"/>
      <c r="W265" s="3"/>
      <c r="X265" s="3"/>
      <c r="Y265" s="3"/>
      <c r="Z265" s="3"/>
    </row>
    <row r="266" spans="1:26" ht="14.4" hidden="1" outlineLevel="1" x14ac:dyDescent="0.3">
      <c r="A266" s="3"/>
      <c r="B266" s="9" t="s">
        <v>373</v>
      </c>
      <c r="C266" s="53"/>
      <c r="D266" s="53"/>
      <c r="E266" s="11">
        <v>0</v>
      </c>
      <c r="F266" s="11">
        <v>0</v>
      </c>
      <c r="G266" s="56"/>
      <c r="H266" s="56"/>
      <c r="I266" s="80"/>
      <c r="J266" s="56"/>
      <c r="K266" s="28"/>
      <c r="L266" s="28"/>
      <c r="M266" s="28"/>
      <c r="N266" s="28"/>
      <c r="O266" s="28"/>
      <c r="P266" s="28"/>
      <c r="Q266" s="28"/>
      <c r="R266" s="28"/>
      <c r="S266" s="28"/>
      <c r="T266" s="28"/>
      <c r="U266" s="3"/>
      <c r="W266" s="3"/>
      <c r="X266" s="3"/>
      <c r="Y266" s="3"/>
      <c r="Z266" s="3"/>
    </row>
    <row r="267" spans="1:26" ht="20.399999999999999" x14ac:dyDescent="0.3">
      <c r="A267" s="3"/>
      <c r="B267" s="75" t="s">
        <v>409</v>
      </c>
      <c r="C267" s="76" t="s">
        <v>44</v>
      </c>
      <c r="D267" s="76" t="s">
        <v>44</v>
      </c>
      <c r="E267" s="77">
        <f>SUM(E268,E278,E288,E298)</f>
        <v>0</v>
      </c>
      <c r="F267" s="77">
        <f>SUM(F268,F278,F288,F298,F320)</f>
        <v>5744.6999999999989</v>
      </c>
      <c r="G267" s="78"/>
      <c r="H267" s="78"/>
      <c r="I267" s="79"/>
      <c r="J267" s="78"/>
      <c r="K267" s="28"/>
      <c r="L267" s="28"/>
      <c r="M267" s="28"/>
      <c r="N267" s="28"/>
      <c r="O267" s="28"/>
      <c r="P267" s="28"/>
      <c r="Q267" s="28"/>
      <c r="R267" s="28"/>
      <c r="S267" s="28"/>
      <c r="T267" s="28"/>
      <c r="U267" s="3"/>
      <c r="W267" s="3"/>
      <c r="X267" s="3"/>
      <c r="Y267" s="3"/>
      <c r="Z267" s="3"/>
    </row>
    <row r="268" spans="1:26" outlineLevel="1" x14ac:dyDescent="0.3">
      <c r="A268" s="3"/>
      <c r="B268" s="82" t="s">
        <v>233</v>
      </c>
      <c r="C268" s="83"/>
      <c r="D268" s="83"/>
      <c r="E268" s="84">
        <f>SUM(E269:E277)</f>
        <v>0</v>
      </c>
      <c r="F268" s="84">
        <f>SUMIF(D269:D277,"OK",F269:F277)</f>
        <v>1392.98</v>
      </c>
      <c r="G268" s="85"/>
      <c r="H268" s="85"/>
      <c r="I268" s="86"/>
      <c r="J268" s="85"/>
      <c r="K268" s="28"/>
      <c r="L268" s="28"/>
      <c r="M268" s="28"/>
      <c r="N268" s="28"/>
      <c r="O268" s="28"/>
      <c r="P268" s="28"/>
      <c r="Q268" s="28"/>
      <c r="R268" s="28"/>
      <c r="S268" s="28"/>
      <c r="T268" s="28"/>
      <c r="U268" s="3"/>
      <c r="W268" s="3"/>
      <c r="X268" s="3"/>
      <c r="Y268" s="3"/>
      <c r="Z268" s="3"/>
    </row>
    <row r="269" spans="1:26" ht="14.4" outlineLevel="1" x14ac:dyDescent="0.3">
      <c r="A269" s="3"/>
      <c r="B269" s="9" t="s">
        <v>2183</v>
      </c>
      <c r="C269" s="53">
        <v>1</v>
      </c>
      <c r="D269" s="53" t="s">
        <v>95</v>
      </c>
      <c r="E269" s="11">
        <v>0</v>
      </c>
      <c r="F269" s="11">
        <v>254</v>
      </c>
      <c r="G269" s="56"/>
      <c r="H269" s="56" t="s">
        <v>37</v>
      </c>
      <c r="I269" s="115" t="s">
        <v>2184</v>
      </c>
      <c r="J269" s="56"/>
      <c r="K269" s="28"/>
      <c r="L269" s="28"/>
      <c r="M269" s="28"/>
      <c r="N269" s="28"/>
      <c r="O269" s="28"/>
      <c r="P269" s="28"/>
      <c r="Q269" s="28"/>
      <c r="R269" s="28"/>
      <c r="S269" s="28"/>
      <c r="T269" s="28"/>
      <c r="U269" s="3"/>
      <c r="W269" s="3"/>
      <c r="X269" s="3"/>
      <c r="Y269" s="3"/>
      <c r="Z269" s="3"/>
    </row>
    <row r="270" spans="1:26" ht="14.4" outlineLevel="1" x14ac:dyDescent="0.3">
      <c r="A270" s="3"/>
      <c r="B270" s="9" t="s">
        <v>2185</v>
      </c>
      <c r="C270" s="53">
        <v>10</v>
      </c>
      <c r="D270" s="53" t="s">
        <v>95</v>
      </c>
      <c r="E270" s="11">
        <v>0</v>
      </c>
      <c r="F270" s="11">
        <v>299</v>
      </c>
      <c r="G270" s="56"/>
      <c r="H270" s="56" t="s">
        <v>37</v>
      </c>
      <c r="I270" s="115" t="s">
        <v>2186</v>
      </c>
      <c r="J270" s="56"/>
      <c r="K270" s="28"/>
      <c r="L270" s="28"/>
      <c r="M270" s="28"/>
      <c r="N270" s="28"/>
      <c r="O270" s="28"/>
      <c r="P270" s="28"/>
      <c r="Q270" s="28"/>
      <c r="R270" s="28"/>
      <c r="S270" s="28"/>
      <c r="T270" s="28"/>
      <c r="U270" s="3"/>
      <c r="W270" s="3"/>
      <c r="X270" s="3"/>
      <c r="Y270" s="3"/>
      <c r="Z270" s="3"/>
    </row>
    <row r="271" spans="1:26" ht="14.4" outlineLevel="1" x14ac:dyDescent="0.3">
      <c r="A271" s="3"/>
      <c r="B271" s="9" t="s">
        <v>1843</v>
      </c>
      <c r="C271" s="53">
        <v>16</v>
      </c>
      <c r="D271" s="53" t="s">
        <v>95</v>
      </c>
      <c r="E271" s="11">
        <v>0</v>
      </c>
      <c r="F271" s="11">
        <v>59.98</v>
      </c>
      <c r="G271" s="56"/>
      <c r="H271" s="56" t="s">
        <v>37</v>
      </c>
      <c r="I271" s="115" t="s">
        <v>2187</v>
      </c>
      <c r="J271" s="56"/>
      <c r="K271" s="28"/>
      <c r="L271" s="28"/>
      <c r="M271" s="28"/>
      <c r="N271" s="28"/>
      <c r="O271" s="28"/>
      <c r="P271" s="28"/>
      <c r="Q271" s="28"/>
      <c r="R271" s="28"/>
      <c r="S271" s="28"/>
      <c r="T271" s="28"/>
      <c r="U271" s="3"/>
      <c r="W271" s="3"/>
      <c r="X271" s="3"/>
      <c r="Y271" s="3"/>
      <c r="Z271" s="3"/>
    </row>
    <row r="272" spans="1:26" ht="14.4" outlineLevel="1" x14ac:dyDescent="0.3">
      <c r="A272" s="3"/>
      <c r="B272" s="9" t="s">
        <v>650</v>
      </c>
      <c r="C272" s="53">
        <v>17</v>
      </c>
      <c r="D272" s="53" t="s">
        <v>95</v>
      </c>
      <c r="E272" s="11">
        <v>0</v>
      </c>
      <c r="F272" s="11">
        <v>780</v>
      </c>
      <c r="G272" s="56"/>
      <c r="H272" s="56" t="s">
        <v>37</v>
      </c>
      <c r="I272" s="102" t="s">
        <v>2188</v>
      </c>
      <c r="J272" s="56"/>
      <c r="K272" s="28"/>
      <c r="L272" s="28"/>
      <c r="M272" s="28"/>
      <c r="N272" s="28"/>
      <c r="O272" s="28"/>
      <c r="P272" s="28"/>
      <c r="Q272" s="28"/>
      <c r="R272" s="28"/>
      <c r="S272" s="28"/>
      <c r="T272" s="28"/>
      <c r="U272" s="3"/>
      <c r="W272" s="3"/>
      <c r="X272" s="3"/>
      <c r="Y272" s="3"/>
      <c r="Z272" s="3"/>
    </row>
    <row r="273" spans="1:26" ht="14.4" hidden="1" outlineLevel="1" x14ac:dyDescent="0.3">
      <c r="A273" s="3"/>
      <c r="B273" s="9" t="s">
        <v>328</v>
      </c>
      <c r="C273" s="53"/>
      <c r="D273" s="53"/>
      <c r="E273" s="11">
        <v>0</v>
      </c>
      <c r="F273" s="11">
        <v>0</v>
      </c>
      <c r="G273" s="56"/>
      <c r="H273" s="56"/>
      <c r="I273" s="144"/>
      <c r="J273" s="56"/>
      <c r="K273" s="28"/>
      <c r="L273" s="28"/>
      <c r="M273" s="28"/>
      <c r="N273" s="28"/>
      <c r="O273" s="28"/>
      <c r="P273" s="28"/>
      <c r="Q273" s="28"/>
      <c r="R273" s="28"/>
      <c r="S273" s="28"/>
      <c r="T273" s="28"/>
      <c r="U273" s="3"/>
      <c r="W273" s="3"/>
      <c r="X273" s="3"/>
      <c r="Y273" s="3"/>
      <c r="Z273" s="3"/>
    </row>
    <row r="274" spans="1:26" ht="14.4" hidden="1" outlineLevel="1" x14ac:dyDescent="0.3">
      <c r="A274" s="3"/>
      <c r="B274" s="9" t="s">
        <v>329</v>
      </c>
      <c r="C274" s="53"/>
      <c r="D274" s="53"/>
      <c r="E274" s="11">
        <v>0</v>
      </c>
      <c r="F274" s="11">
        <v>0</v>
      </c>
      <c r="G274" s="56"/>
      <c r="H274" s="56"/>
      <c r="I274" s="80"/>
      <c r="J274" s="56"/>
      <c r="K274" s="28"/>
      <c r="L274" s="28"/>
      <c r="M274" s="28"/>
      <c r="N274" s="28"/>
      <c r="O274" s="28"/>
      <c r="P274" s="28"/>
      <c r="Q274" s="28"/>
      <c r="R274" s="28"/>
      <c r="S274" s="28"/>
      <c r="T274" s="28"/>
      <c r="U274" s="3"/>
      <c r="W274" s="3"/>
      <c r="X274" s="3"/>
      <c r="Y274" s="3"/>
      <c r="Z274" s="3"/>
    </row>
    <row r="275" spans="1:26" ht="14.4" hidden="1" outlineLevel="1" x14ac:dyDescent="0.3">
      <c r="A275" s="3"/>
      <c r="B275" s="9" t="s">
        <v>371</v>
      </c>
      <c r="C275" s="53"/>
      <c r="D275" s="53"/>
      <c r="E275" s="11">
        <v>0</v>
      </c>
      <c r="F275" s="11">
        <v>0</v>
      </c>
      <c r="G275" s="56"/>
      <c r="H275" s="56"/>
      <c r="I275" s="80"/>
      <c r="J275" s="56"/>
      <c r="K275" s="28"/>
      <c r="L275" s="28"/>
      <c r="M275" s="28"/>
      <c r="N275" s="28"/>
      <c r="O275" s="28"/>
      <c r="P275" s="28"/>
      <c r="Q275" s="28"/>
      <c r="R275" s="28"/>
      <c r="S275" s="28"/>
      <c r="T275" s="28"/>
      <c r="U275" s="3"/>
      <c r="W275" s="3"/>
      <c r="X275" s="3"/>
      <c r="Y275" s="3"/>
      <c r="Z275" s="3"/>
    </row>
    <row r="276" spans="1:26" ht="14.4" hidden="1" outlineLevel="1" x14ac:dyDescent="0.3">
      <c r="A276" s="3"/>
      <c r="B276" s="9" t="s">
        <v>372</v>
      </c>
      <c r="C276" s="53"/>
      <c r="D276" s="53"/>
      <c r="E276" s="11">
        <v>0</v>
      </c>
      <c r="F276" s="11">
        <v>0</v>
      </c>
      <c r="G276" s="56"/>
      <c r="H276" s="56"/>
      <c r="I276" s="80"/>
      <c r="J276" s="56"/>
      <c r="K276" s="28"/>
      <c r="L276" s="28"/>
      <c r="M276" s="28"/>
      <c r="N276" s="28"/>
      <c r="O276" s="28"/>
      <c r="P276" s="28"/>
      <c r="Q276" s="28"/>
      <c r="R276" s="28"/>
      <c r="S276" s="28"/>
      <c r="T276" s="28"/>
      <c r="U276" s="3"/>
      <c r="W276" s="3"/>
      <c r="X276" s="3"/>
      <c r="Y276" s="3"/>
      <c r="Z276" s="3"/>
    </row>
    <row r="277" spans="1:26" ht="14.4" hidden="1" outlineLevel="1" x14ac:dyDescent="0.3">
      <c r="A277" s="3"/>
      <c r="B277" s="9" t="s">
        <v>373</v>
      </c>
      <c r="C277" s="53"/>
      <c r="D277" s="53"/>
      <c r="E277" s="11">
        <v>0</v>
      </c>
      <c r="F277" s="11">
        <v>0</v>
      </c>
      <c r="G277" s="56"/>
      <c r="H277" s="56"/>
      <c r="I277" s="80"/>
      <c r="J277" s="56"/>
      <c r="K277" s="28"/>
      <c r="L277" s="28"/>
      <c r="M277" s="28"/>
      <c r="N277" s="28"/>
      <c r="O277" s="28"/>
      <c r="P277" s="28"/>
      <c r="Q277" s="28"/>
      <c r="R277" s="28"/>
      <c r="S277" s="28"/>
      <c r="T277" s="28"/>
      <c r="U277" s="3"/>
      <c r="W277" s="3"/>
      <c r="X277" s="3"/>
      <c r="Y277" s="3"/>
      <c r="Z277" s="3"/>
    </row>
    <row r="278" spans="1:26" hidden="1" outlineLevel="1" x14ac:dyDescent="0.3">
      <c r="A278" s="3"/>
      <c r="B278" s="82" t="s">
        <v>652</v>
      </c>
      <c r="C278" s="83"/>
      <c r="D278" s="83"/>
      <c r="E278" s="84">
        <f>SUM(E279:E287)</f>
        <v>0</v>
      </c>
      <c r="F278" s="84">
        <f>SUMIF(D279:D287,"OK",F279:F287)</f>
        <v>0</v>
      </c>
      <c r="G278" s="85"/>
      <c r="H278" s="85"/>
      <c r="I278" s="86"/>
      <c r="J278" s="85"/>
      <c r="K278" s="28"/>
      <c r="L278" s="28"/>
      <c r="M278" s="28"/>
      <c r="N278" s="28"/>
      <c r="O278" s="28"/>
      <c r="P278" s="28"/>
      <c r="Q278" s="28"/>
      <c r="R278" s="28"/>
      <c r="S278" s="28"/>
      <c r="T278" s="28"/>
      <c r="U278" s="3"/>
      <c r="W278" s="3"/>
      <c r="X278" s="3"/>
      <c r="Y278" s="3"/>
      <c r="Z278" s="3"/>
    </row>
    <row r="279" spans="1:26" ht="14.4" hidden="1" outlineLevel="1" x14ac:dyDescent="0.3">
      <c r="A279" s="3"/>
      <c r="B279" s="9" t="s">
        <v>354</v>
      </c>
      <c r="C279" s="53"/>
      <c r="D279" s="53"/>
      <c r="E279" s="11">
        <v>0</v>
      </c>
      <c r="F279" s="11">
        <v>0</v>
      </c>
      <c r="G279" s="56"/>
      <c r="H279" s="56"/>
      <c r="I279" s="144"/>
      <c r="J279" s="56"/>
      <c r="K279" s="28"/>
      <c r="L279" s="28"/>
      <c r="M279" s="28"/>
      <c r="N279" s="28"/>
      <c r="O279" s="28"/>
      <c r="P279" s="28"/>
      <c r="Q279" s="28"/>
      <c r="R279" s="28"/>
      <c r="S279" s="28"/>
      <c r="T279" s="28"/>
      <c r="U279" s="3"/>
      <c r="W279" s="3"/>
      <c r="X279" s="3"/>
      <c r="Y279" s="3"/>
      <c r="Z279" s="3"/>
    </row>
    <row r="280" spans="1:26" ht="14.4" hidden="1" outlineLevel="1" x14ac:dyDescent="0.3">
      <c r="A280" s="3"/>
      <c r="B280" s="9" t="s">
        <v>355</v>
      </c>
      <c r="C280" s="53"/>
      <c r="D280" s="53"/>
      <c r="E280" s="11">
        <v>0</v>
      </c>
      <c r="F280" s="11">
        <v>0</v>
      </c>
      <c r="G280" s="56"/>
      <c r="H280" s="56"/>
      <c r="I280" s="144"/>
      <c r="J280" s="56"/>
      <c r="K280" s="28"/>
      <c r="L280" s="28"/>
      <c r="M280" s="28"/>
      <c r="N280" s="28"/>
      <c r="O280" s="28"/>
      <c r="P280" s="28"/>
      <c r="Q280" s="28"/>
      <c r="R280" s="28"/>
      <c r="S280" s="28"/>
      <c r="T280" s="28"/>
      <c r="U280" s="3"/>
      <c r="W280" s="3"/>
      <c r="X280" s="3"/>
      <c r="Y280" s="3"/>
      <c r="Z280" s="3"/>
    </row>
    <row r="281" spans="1:26" ht="14.4" hidden="1" outlineLevel="1" x14ac:dyDescent="0.3">
      <c r="A281" s="3"/>
      <c r="B281" s="9" t="s">
        <v>356</v>
      </c>
      <c r="C281" s="53"/>
      <c r="D281" s="53"/>
      <c r="E281" s="11">
        <v>0</v>
      </c>
      <c r="F281" s="11">
        <v>0</v>
      </c>
      <c r="G281" s="56"/>
      <c r="H281" s="56"/>
      <c r="I281" s="144"/>
      <c r="J281" s="56"/>
      <c r="K281" s="28"/>
      <c r="L281" s="28"/>
      <c r="M281" s="28"/>
      <c r="N281" s="28"/>
      <c r="O281" s="28"/>
      <c r="P281" s="28"/>
      <c r="Q281" s="28"/>
      <c r="R281" s="28"/>
      <c r="S281" s="28"/>
      <c r="T281" s="28"/>
      <c r="U281" s="3"/>
      <c r="W281" s="3"/>
      <c r="X281" s="3"/>
      <c r="Y281" s="3"/>
      <c r="Z281" s="3"/>
    </row>
    <row r="282" spans="1:26" ht="14.4" hidden="1" outlineLevel="1" x14ac:dyDescent="0.3">
      <c r="A282" s="3"/>
      <c r="B282" s="9" t="s">
        <v>370</v>
      </c>
      <c r="C282" s="53"/>
      <c r="D282" s="53"/>
      <c r="E282" s="11">
        <v>0</v>
      </c>
      <c r="F282" s="11">
        <v>0</v>
      </c>
      <c r="G282" s="56"/>
      <c r="H282" s="56"/>
      <c r="I282" s="144"/>
      <c r="J282" s="56"/>
      <c r="K282" s="28"/>
      <c r="L282" s="28"/>
      <c r="M282" s="28"/>
      <c r="N282" s="28"/>
      <c r="O282" s="28"/>
      <c r="P282" s="28"/>
      <c r="Q282" s="28"/>
      <c r="R282" s="28"/>
      <c r="S282" s="28"/>
      <c r="T282" s="28"/>
      <c r="U282" s="3"/>
      <c r="W282" s="3"/>
      <c r="X282" s="3"/>
      <c r="Y282" s="3"/>
      <c r="Z282" s="3"/>
    </row>
    <row r="283" spans="1:26" ht="14.4" hidden="1" outlineLevel="1" x14ac:dyDescent="0.3">
      <c r="A283" s="3"/>
      <c r="B283" s="9" t="s">
        <v>328</v>
      </c>
      <c r="C283" s="53"/>
      <c r="D283" s="53"/>
      <c r="E283" s="11">
        <v>0</v>
      </c>
      <c r="F283" s="11">
        <v>0</v>
      </c>
      <c r="G283" s="56"/>
      <c r="H283" s="56"/>
      <c r="I283" s="144"/>
      <c r="J283" s="56"/>
      <c r="K283" s="28"/>
      <c r="L283" s="28"/>
      <c r="M283" s="28"/>
      <c r="N283" s="28"/>
      <c r="O283" s="28"/>
      <c r="P283" s="28"/>
      <c r="Q283" s="28"/>
      <c r="R283" s="28"/>
      <c r="S283" s="28"/>
      <c r="T283" s="28"/>
      <c r="U283" s="3"/>
      <c r="W283" s="3"/>
      <c r="X283" s="3"/>
      <c r="Y283" s="3"/>
      <c r="Z283" s="3"/>
    </row>
    <row r="284" spans="1:26" ht="14.4" hidden="1" outlineLevel="1" x14ac:dyDescent="0.3">
      <c r="A284" s="3"/>
      <c r="B284" s="9" t="s">
        <v>329</v>
      </c>
      <c r="C284" s="53"/>
      <c r="D284" s="53"/>
      <c r="E284" s="11">
        <v>0</v>
      </c>
      <c r="F284" s="11">
        <v>0</v>
      </c>
      <c r="G284" s="56"/>
      <c r="H284" s="56"/>
      <c r="I284" s="144"/>
      <c r="J284" s="56"/>
      <c r="K284" s="28"/>
      <c r="L284" s="28"/>
      <c r="M284" s="28"/>
      <c r="N284" s="28"/>
      <c r="O284" s="28"/>
      <c r="P284" s="28"/>
      <c r="Q284" s="28"/>
      <c r="R284" s="28"/>
      <c r="S284" s="28"/>
      <c r="T284" s="28"/>
      <c r="U284" s="3"/>
      <c r="W284" s="3"/>
      <c r="X284" s="3"/>
      <c r="Y284" s="3"/>
      <c r="Z284" s="3"/>
    </row>
    <row r="285" spans="1:26" ht="14.4" hidden="1" outlineLevel="1" x14ac:dyDescent="0.3">
      <c r="A285" s="3"/>
      <c r="B285" s="9" t="s">
        <v>371</v>
      </c>
      <c r="C285" s="53"/>
      <c r="D285" s="53"/>
      <c r="E285" s="11">
        <v>0</v>
      </c>
      <c r="F285" s="11">
        <v>0</v>
      </c>
      <c r="G285" s="56"/>
      <c r="H285" s="56"/>
      <c r="I285" s="144"/>
      <c r="J285" s="56"/>
      <c r="K285" s="28"/>
      <c r="L285" s="28"/>
      <c r="M285" s="28"/>
      <c r="N285" s="28"/>
      <c r="O285" s="28"/>
      <c r="P285" s="28"/>
      <c r="Q285" s="28"/>
      <c r="R285" s="28"/>
      <c r="S285" s="28"/>
      <c r="T285" s="28"/>
      <c r="U285" s="3"/>
      <c r="W285" s="3"/>
      <c r="X285" s="3"/>
      <c r="Y285" s="3"/>
      <c r="Z285" s="3"/>
    </row>
    <row r="286" spans="1:26" ht="14.4" hidden="1" outlineLevel="1" x14ac:dyDescent="0.3">
      <c r="A286" s="3"/>
      <c r="B286" s="9" t="s">
        <v>372</v>
      </c>
      <c r="C286" s="53"/>
      <c r="D286" s="53"/>
      <c r="E286" s="11">
        <v>0</v>
      </c>
      <c r="F286" s="11">
        <v>0</v>
      </c>
      <c r="G286" s="56"/>
      <c r="H286" s="56"/>
      <c r="I286" s="144"/>
      <c r="J286" s="56"/>
      <c r="K286" s="28"/>
      <c r="L286" s="28"/>
      <c r="M286" s="28"/>
      <c r="N286" s="28"/>
      <c r="O286" s="28"/>
      <c r="P286" s="28"/>
      <c r="Q286" s="28"/>
      <c r="R286" s="28"/>
      <c r="S286" s="28"/>
      <c r="T286" s="28"/>
      <c r="U286" s="3"/>
      <c r="W286" s="3"/>
      <c r="X286" s="3"/>
      <c r="Y286" s="3"/>
      <c r="Z286" s="3"/>
    </row>
    <row r="287" spans="1:26" ht="14.4" hidden="1" outlineLevel="1" x14ac:dyDescent="0.3">
      <c r="A287" s="3"/>
      <c r="B287" s="9" t="s">
        <v>373</v>
      </c>
      <c r="C287" s="53"/>
      <c r="D287" s="53"/>
      <c r="E287" s="11">
        <v>0</v>
      </c>
      <c r="F287" s="11">
        <v>0</v>
      </c>
      <c r="G287" s="56"/>
      <c r="H287" s="56"/>
      <c r="I287" s="80"/>
      <c r="J287" s="56"/>
      <c r="K287" s="28"/>
      <c r="L287" s="28"/>
      <c r="M287" s="28"/>
      <c r="N287" s="28"/>
      <c r="O287" s="28"/>
      <c r="P287" s="28"/>
      <c r="Q287" s="28"/>
      <c r="R287" s="28"/>
      <c r="S287" s="28"/>
      <c r="T287" s="28"/>
      <c r="U287" s="3"/>
      <c r="W287" s="3"/>
      <c r="X287" s="3"/>
      <c r="Y287" s="3"/>
      <c r="Z287" s="3"/>
    </row>
    <row r="288" spans="1:26" hidden="1" outlineLevel="1" x14ac:dyDescent="0.3">
      <c r="A288" s="3"/>
      <c r="B288" s="82" t="s">
        <v>1025</v>
      </c>
      <c r="C288" s="83"/>
      <c r="D288" s="83"/>
      <c r="E288" s="84">
        <f>SUM(E289:E297)</f>
        <v>0</v>
      </c>
      <c r="F288" s="84">
        <f>SUMIF(D289:D297,"OK",F289:F297)</f>
        <v>0</v>
      </c>
      <c r="G288" s="85"/>
      <c r="H288" s="85"/>
      <c r="I288" s="86"/>
      <c r="J288" s="85"/>
      <c r="K288" s="28"/>
      <c r="L288" s="28"/>
      <c r="M288" s="28"/>
      <c r="N288" s="28"/>
      <c r="O288" s="28"/>
      <c r="P288" s="28"/>
      <c r="Q288" s="28"/>
      <c r="R288" s="28"/>
      <c r="S288" s="28"/>
      <c r="T288" s="28"/>
      <c r="U288" s="3"/>
      <c r="W288" s="3"/>
      <c r="X288" s="3"/>
      <c r="Y288" s="3"/>
      <c r="Z288" s="3"/>
    </row>
    <row r="289" spans="1:26" ht="14.4" hidden="1" outlineLevel="1" x14ac:dyDescent="0.3">
      <c r="A289" s="3"/>
      <c r="B289" s="9" t="s">
        <v>354</v>
      </c>
      <c r="C289" s="53"/>
      <c r="D289" s="53"/>
      <c r="E289" s="11">
        <v>0</v>
      </c>
      <c r="F289" s="11">
        <v>0</v>
      </c>
      <c r="G289" s="56"/>
      <c r="H289" s="56"/>
      <c r="I289" s="80"/>
      <c r="J289" s="56"/>
      <c r="K289" s="28"/>
      <c r="L289" s="28"/>
      <c r="M289" s="28"/>
      <c r="N289" s="28"/>
      <c r="O289" s="28"/>
      <c r="P289" s="28"/>
      <c r="Q289" s="28"/>
      <c r="R289" s="28"/>
      <c r="S289" s="28"/>
      <c r="T289" s="28"/>
      <c r="U289" s="3"/>
      <c r="W289" s="3"/>
      <c r="X289" s="3"/>
      <c r="Y289" s="3"/>
      <c r="Z289" s="3"/>
    </row>
    <row r="290" spans="1:26" ht="14.4" hidden="1" outlineLevel="1" x14ac:dyDescent="0.3">
      <c r="A290" s="3"/>
      <c r="B290" s="9" t="s">
        <v>355</v>
      </c>
      <c r="C290" s="53"/>
      <c r="D290" s="53"/>
      <c r="E290" s="11">
        <v>0</v>
      </c>
      <c r="F290" s="11">
        <v>0</v>
      </c>
      <c r="G290" s="56"/>
      <c r="H290" s="56"/>
      <c r="I290" s="80"/>
      <c r="J290" s="56"/>
      <c r="K290" s="28"/>
      <c r="L290" s="28"/>
      <c r="M290" s="28"/>
      <c r="N290" s="28"/>
      <c r="O290" s="28"/>
      <c r="P290" s="28"/>
      <c r="Q290" s="28"/>
      <c r="R290" s="28"/>
      <c r="S290" s="28"/>
      <c r="T290" s="28"/>
      <c r="U290" s="3"/>
      <c r="W290" s="3"/>
      <c r="X290" s="3"/>
      <c r="Y290" s="3"/>
      <c r="Z290" s="3"/>
    </row>
    <row r="291" spans="1:26" ht="14.4" hidden="1" outlineLevel="1" x14ac:dyDescent="0.3">
      <c r="A291" s="3"/>
      <c r="B291" s="9" t="s">
        <v>356</v>
      </c>
      <c r="C291" s="53"/>
      <c r="D291" s="53"/>
      <c r="E291" s="11">
        <v>0</v>
      </c>
      <c r="F291" s="11">
        <v>0</v>
      </c>
      <c r="G291" s="56"/>
      <c r="H291" s="56"/>
      <c r="I291" s="80"/>
      <c r="J291" s="56"/>
      <c r="K291" s="28"/>
      <c r="L291" s="28"/>
      <c r="M291" s="28"/>
      <c r="N291" s="28"/>
      <c r="O291" s="28"/>
      <c r="P291" s="28"/>
      <c r="Q291" s="28"/>
      <c r="R291" s="28"/>
      <c r="S291" s="28"/>
      <c r="T291" s="28"/>
      <c r="U291" s="3"/>
      <c r="W291" s="3"/>
      <c r="X291" s="3"/>
      <c r="Y291" s="3"/>
      <c r="Z291" s="3"/>
    </row>
    <row r="292" spans="1:26" ht="14.4" hidden="1" outlineLevel="1" x14ac:dyDescent="0.3">
      <c r="A292" s="3"/>
      <c r="B292" s="9" t="s">
        <v>370</v>
      </c>
      <c r="C292" s="53"/>
      <c r="D292" s="53"/>
      <c r="E292" s="11">
        <v>0</v>
      </c>
      <c r="F292" s="11">
        <v>0</v>
      </c>
      <c r="G292" s="56"/>
      <c r="H292" s="56"/>
      <c r="I292" s="80"/>
      <c r="J292" s="56"/>
      <c r="K292" s="28"/>
      <c r="L292" s="28"/>
      <c r="M292" s="28"/>
      <c r="N292" s="28"/>
      <c r="O292" s="28"/>
      <c r="P292" s="28"/>
      <c r="Q292" s="28"/>
      <c r="R292" s="28"/>
      <c r="S292" s="28"/>
      <c r="T292" s="28"/>
      <c r="U292" s="3"/>
      <c r="W292" s="3"/>
      <c r="X292" s="3"/>
      <c r="Y292" s="3"/>
      <c r="Z292" s="3"/>
    </row>
    <row r="293" spans="1:26" ht="14.4" hidden="1" outlineLevel="1" x14ac:dyDescent="0.3">
      <c r="A293" s="3"/>
      <c r="B293" s="9" t="s">
        <v>328</v>
      </c>
      <c r="C293" s="53"/>
      <c r="D293" s="53"/>
      <c r="E293" s="11">
        <v>0</v>
      </c>
      <c r="F293" s="11">
        <v>0</v>
      </c>
      <c r="G293" s="56"/>
      <c r="H293" s="56"/>
      <c r="I293" s="80"/>
      <c r="J293" s="56"/>
      <c r="K293" s="28"/>
      <c r="L293" s="28"/>
      <c r="M293" s="28"/>
      <c r="N293" s="28"/>
      <c r="O293" s="28"/>
      <c r="P293" s="28"/>
      <c r="Q293" s="28"/>
      <c r="R293" s="28"/>
      <c r="S293" s="28"/>
      <c r="T293" s="28"/>
      <c r="U293" s="3"/>
      <c r="W293" s="3"/>
      <c r="X293" s="3"/>
      <c r="Y293" s="3"/>
      <c r="Z293" s="3"/>
    </row>
    <row r="294" spans="1:26" ht="14.4" hidden="1" outlineLevel="1" x14ac:dyDescent="0.3">
      <c r="A294" s="3"/>
      <c r="B294" s="9" t="s">
        <v>329</v>
      </c>
      <c r="C294" s="53"/>
      <c r="D294" s="53"/>
      <c r="E294" s="11">
        <v>0</v>
      </c>
      <c r="F294" s="11">
        <v>0</v>
      </c>
      <c r="G294" s="56"/>
      <c r="H294" s="56"/>
      <c r="I294" s="80"/>
      <c r="J294" s="56"/>
      <c r="K294" s="28"/>
      <c r="L294" s="28"/>
      <c r="M294" s="28"/>
      <c r="N294" s="28"/>
      <c r="O294" s="28"/>
      <c r="P294" s="28"/>
      <c r="Q294" s="28"/>
      <c r="R294" s="28"/>
      <c r="S294" s="28"/>
      <c r="T294" s="28"/>
      <c r="U294" s="3"/>
      <c r="W294" s="3"/>
      <c r="X294" s="3"/>
      <c r="Y294" s="3"/>
      <c r="Z294" s="3"/>
    </row>
    <row r="295" spans="1:26" ht="14.4" hidden="1" outlineLevel="1" x14ac:dyDescent="0.3">
      <c r="A295" s="3"/>
      <c r="B295" s="9" t="s">
        <v>371</v>
      </c>
      <c r="C295" s="53"/>
      <c r="D295" s="53"/>
      <c r="E295" s="11">
        <v>0</v>
      </c>
      <c r="F295" s="11">
        <v>0</v>
      </c>
      <c r="G295" s="56"/>
      <c r="H295" s="56"/>
      <c r="I295" s="80"/>
      <c r="J295" s="56"/>
      <c r="K295" s="28"/>
      <c r="L295" s="28"/>
      <c r="M295" s="28"/>
      <c r="N295" s="28"/>
      <c r="O295" s="28"/>
      <c r="P295" s="28"/>
      <c r="Q295" s="28"/>
      <c r="R295" s="28"/>
      <c r="S295" s="28"/>
      <c r="T295" s="28"/>
      <c r="U295" s="3"/>
      <c r="W295" s="3"/>
      <c r="X295" s="3"/>
      <c r="Y295" s="3"/>
      <c r="Z295" s="3"/>
    </row>
    <row r="296" spans="1:26" ht="14.4" hidden="1" outlineLevel="1" x14ac:dyDescent="0.3">
      <c r="A296" s="3"/>
      <c r="B296" s="9" t="s">
        <v>372</v>
      </c>
      <c r="C296" s="53"/>
      <c r="D296" s="53"/>
      <c r="E296" s="11">
        <v>0</v>
      </c>
      <c r="F296" s="11">
        <v>0</v>
      </c>
      <c r="G296" s="56"/>
      <c r="H296" s="56"/>
      <c r="I296" s="80"/>
      <c r="J296" s="56"/>
      <c r="K296" s="28"/>
      <c r="L296" s="28"/>
      <c r="M296" s="28"/>
      <c r="N296" s="28"/>
      <c r="O296" s="28"/>
      <c r="P296" s="28"/>
      <c r="Q296" s="28"/>
      <c r="R296" s="28"/>
      <c r="S296" s="28"/>
      <c r="T296" s="28"/>
      <c r="U296" s="3"/>
      <c r="W296" s="3"/>
      <c r="X296" s="3"/>
      <c r="Y296" s="3"/>
      <c r="Z296" s="3"/>
    </row>
    <row r="297" spans="1:26" ht="14.4" hidden="1" outlineLevel="1" x14ac:dyDescent="0.3">
      <c r="A297" s="3"/>
      <c r="B297" s="9" t="s">
        <v>373</v>
      </c>
      <c r="C297" s="53"/>
      <c r="D297" s="53"/>
      <c r="E297" s="11">
        <v>0</v>
      </c>
      <c r="F297" s="11">
        <v>0</v>
      </c>
      <c r="G297" s="56"/>
      <c r="H297" s="56"/>
      <c r="I297" s="80"/>
      <c r="J297" s="56"/>
      <c r="K297" s="28"/>
      <c r="L297" s="28"/>
      <c r="M297" s="28"/>
      <c r="N297" s="28"/>
      <c r="O297" s="28"/>
      <c r="P297" s="28"/>
      <c r="Q297" s="28"/>
      <c r="R297" s="28"/>
      <c r="S297" s="28"/>
      <c r="T297" s="28"/>
      <c r="U297" s="3"/>
      <c r="W297" s="3"/>
      <c r="X297" s="3"/>
      <c r="Y297" s="3"/>
      <c r="Z297" s="3"/>
    </row>
    <row r="298" spans="1:26" outlineLevel="1" x14ac:dyDescent="0.3">
      <c r="A298" s="3"/>
      <c r="B298" s="82" t="s">
        <v>1651</v>
      </c>
      <c r="C298" s="83"/>
      <c r="D298" s="83"/>
      <c r="E298" s="84">
        <f>SUM(E299:E319)</f>
        <v>0</v>
      </c>
      <c r="F298" s="84">
        <f>SUMIF(D299:D319,"OK",F299:F319)</f>
        <v>3239.3199999999997</v>
      </c>
      <c r="G298" s="85"/>
      <c r="H298" s="85"/>
      <c r="I298" s="86"/>
      <c r="J298" s="85"/>
      <c r="K298" s="28"/>
      <c r="L298" s="28"/>
      <c r="M298" s="28"/>
      <c r="N298" s="28"/>
      <c r="O298" s="28"/>
      <c r="P298" s="28"/>
      <c r="Q298" s="28"/>
      <c r="R298" s="28"/>
      <c r="S298" s="28"/>
      <c r="T298" s="28"/>
      <c r="U298" s="3"/>
      <c r="W298" s="3"/>
      <c r="X298" s="3"/>
      <c r="Y298" s="3"/>
      <c r="Z298" s="3"/>
    </row>
    <row r="299" spans="1:26" ht="14.4" outlineLevel="1" x14ac:dyDescent="0.3">
      <c r="A299" s="3"/>
      <c r="B299" s="9" t="s">
        <v>1138</v>
      </c>
      <c r="C299" s="53">
        <v>1</v>
      </c>
      <c r="D299" s="53" t="s">
        <v>95</v>
      </c>
      <c r="E299" s="11">
        <v>0</v>
      </c>
      <c r="F299" s="11">
        <v>83.1</v>
      </c>
      <c r="G299" s="56" t="s">
        <v>2189</v>
      </c>
      <c r="H299" s="56" t="s">
        <v>37</v>
      </c>
      <c r="I299" s="102" t="s">
        <v>2190</v>
      </c>
      <c r="J299" s="56"/>
      <c r="K299" s="28"/>
      <c r="L299" s="28"/>
      <c r="M299" s="28"/>
      <c r="N299" s="28"/>
      <c r="O299" s="28"/>
      <c r="P299" s="28"/>
      <c r="Q299" s="28"/>
      <c r="R299" s="28"/>
      <c r="S299" s="28"/>
      <c r="T299" s="28"/>
      <c r="U299" s="3"/>
      <c r="W299" s="3"/>
      <c r="X299" s="3"/>
      <c r="Y299" s="3"/>
      <c r="Z299" s="3"/>
    </row>
    <row r="300" spans="1:26" ht="14.4" outlineLevel="1" x14ac:dyDescent="0.3">
      <c r="A300" s="3"/>
      <c r="B300" s="9" t="s">
        <v>2191</v>
      </c>
      <c r="C300" s="53">
        <v>4</v>
      </c>
      <c r="D300" s="53" t="s">
        <v>95</v>
      </c>
      <c r="E300" s="11">
        <v>0</v>
      </c>
      <c r="F300" s="11">
        <v>905</v>
      </c>
      <c r="G300" s="56"/>
      <c r="H300" s="56" t="s">
        <v>37</v>
      </c>
      <c r="I300" s="102" t="s">
        <v>2192</v>
      </c>
      <c r="J300" s="56"/>
      <c r="K300" s="28"/>
      <c r="L300" s="28"/>
      <c r="M300" s="28"/>
      <c r="N300" s="28"/>
      <c r="O300" s="28"/>
      <c r="P300" s="28"/>
      <c r="Q300" s="28"/>
      <c r="R300" s="28"/>
      <c r="S300" s="28"/>
      <c r="T300" s="28"/>
      <c r="U300" s="3"/>
      <c r="W300" s="3"/>
      <c r="X300" s="3"/>
      <c r="Y300" s="3"/>
      <c r="Z300" s="3"/>
    </row>
    <row r="301" spans="1:26" ht="14.4" outlineLevel="1" x14ac:dyDescent="0.3">
      <c r="A301" s="3"/>
      <c r="B301" s="9" t="s">
        <v>1138</v>
      </c>
      <c r="C301" s="53">
        <v>4</v>
      </c>
      <c r="D301" s="53" t="s">
        <v>95</v>
      </c>
      <c r="E301" s="11">
        <v>0</v>
      </c>
      <c r="F301" s="11">
        <v>101.9</v>
      </c>
      <c r="G301" s="56"/>
      <c r="H301" s="56" t="s">
        <v>37</v>
      </c>
      <c r="I301" s="102" t="s">
        <v>2193</v>
      </c>
      <c r="J301" s="56"/>
      <c r="K301" s="28"/>
      <c r="L301" s="28"/>
      <c r="M301" s="28"/>
      <c r="N301" s="28"/>
      <c r="O301" s="28"/>
      <c r="P301" s="28"/>
      <c r="Q301" s="28"/>
      <c r="R301" s="28"/>
      <c r="S301" s="28"/>
      <c r="T301" s="28"/>
      <c r="U301" s="3"/>
      <c r="W301" s="3"/>
      <c r="X301" s="3"/>
      <c r="Y301" s="3"/>
      <c r="Z301" s="3"/>
    </row>
    <row r="302" spans="1:26" ht="14.4" outlineLevel="1" x14ac:dyDescent="0.3">
      <c r="A302" s="3"/>
      <c r="B302" s="9" t="s">
        <v>2194</v>
      </c>
      <c r="C302" s="53">
        <v>4</v>
      </c>
      <c r="D302" s="53" t="s">
        <v>95</v>
      </c>
      <c r="E302" s="11">
        <v>0</v>
      </c>
      <c r="F302" s="11">
        <v>320</v>
      </c>
      <c r="G302" s="56"/>
      <c r="H302" s="56" t="s">
        <v>37</v>
      </c>
      <c r="I302" s="102" t="s">
        <v>2195</v>
      </c>
      <c r="J302" s="56"/>
      <c r="K302" s="28"/>
      <c r="L302" s="28"/>
      <c r="M302" s="28"/>
      <c r="N302" s="28"/>
      <c r="O302" s="28"/>
      <c r="P302" s="28"/>
      <c r="Q302" s="28"/>
      <c r="R302" s="28"/>
      <c r="S302" s="28"/>
      <c r="T302" s="28"/>
      <c r="U302" s="3"/>
      <c r="W302" s="3"/>
      <c r="X302" s="3"/>
      <c r="Y302" s="3"/>
      <c r="Z302" s="3"/>
    </row>
    <row r="303" spans="1:26" ht="14.4" outlineLevel="1" x14ac:dyDescent="0.3">
      <c r="A303" s="3"/>
      <c r="B303" s="9" t="s">
        <v>2196</v>
      </c>
      <c r="C303" s="53">
        <v>5</v>
      </c>
      <c r="D303" s="53" t="s">
        <v>95</v>
      </c>
      <c r="E303" s="11">
        <v>0</v>
      </c>
      <c r="F303" s="11">
        <v>301.82</v>
      </c>
      <c r="G303" s="80"/>
      <c r="H303" s="56" t="s">
        <v>37</v>
      </c>
      <c r="I303" s="102" t="s">
        <v>2197</v>
      </c>
      <c r="J303" s="56"/>
      <c r="K303" s="28"/>
      <c r="L303" s="28"/>
      <c r="M303" s="28"/>
      <c r="N303" s="28"/>
      <c r="O303" s="28"/>
      <c r="P303" s="28"/>
      <c r="Q303" s="28"/>
      <c r="R303" s="28"/>
      <c r="S303" s="28"/>
      <c r="T303" s="28"/>
      <c r="U303" s="3"/>
      <c r="W303" s="3"/>
      <c r="X303" s="3"/>
      <c r="Y303" s="3"/>
      <c r="Z303" s="3"/>
    </row>
    <row r="304" spans="1:26" ht="14.4" outlineLevel="1" x14ac:dyDescent="0.3">
      <c r="A304" s="3"/>
      <c r="B304" s="9" t="s">
        <v>1659</v>
      </c>
      <c r="C304" s="53">
        <v>8</v>
      </c>
      <c r="D304" s="53" t="s">
        <v>95</v>
      </c>
      <c r="E304" s="11">
        <v>0</v>
      </c>
      <c r="F304" s="11">
        <v>157.5</v>
      </c>
      <c r="G304" s="56"/>
      <c r="H304" s="56" t="s">
        <v>37</v>
      </c>
      <c r="I304" s="102" t="s">
        <v>2198</v>
      </c>
      <c r="J304" s="56"/>
      <c r="K304" s="28"/>
      <c r="L304" s="28"/>
      <c r="M304" s="28"/>
      <c r="N304" s="28"/>
      <c r="O304" s="28"/>
      <c r="P304" s="28"/>
      <c r="Q304" s="28"/>
      <c r="R304" s="28"/>
      <c r="S304" s="28"/>
      <c r="T304" s="28"/>
      <c r="U304" s="3"/>
      <c r="W304" s="3"/>
      <c r="X304" s="3"/>
      <c r="Y304" s="3"/>
      <c r="Z304" s="3"/>
    </row>
    <row r="305" spans="1:26" ht="14.4" outlineLevel="1" x14ac:dyDescent="0.3">
      <c r="A305" s="3"/>
      <c r="B305" s="9" t="s">
        <v>2199</v>
      </c>
      <c r="C305" s="53">
        <v>10</v>
      </c>
      <c r="D305" s="53" t="s">
        <v>95</v>
      </c>
      <c r="E305" s="11">
        <v>0</v>
      </c>
      <c r="F305" s="11">
        <v>620</v>
      </c>
      <c r="G305" s="56"/>
      <c r="H305" s="56" t="s">
        <v>37</v>
      </c>
      <c r="I305" s="102" t="s">
        <v>2200</v>
      </c>
      <c r="J305" s="56"/>
      <c r="K305" s="28"/>
      <c r="L305" s="28"/>
      <c r="M305" s="28"/>
      <c r="N305" s="28"/>
      <c r="O305" s="28"/>
      <c r="P305" s="28"/>
      <c r="Q305" s="28"/>
      <c r="R305" s="28"/>
      <c r="S305" s="28"/>
      <c r="T305" s="28"/>
      <c r="U305" s="3"/>
      <c r="W305" s="3"/>
      <c r="X305" s="3"/>
      <c r="Y305" s="3"/>
      <c r="Z305" s="3"/>
    </row>
    <row r="306" spans="1:26" ht="14.4" outlineLevel="1" x14ac:dyDescent="0.3">
      <c r="A306" s="3"/>
      <c r="B306" s="9" t="s">
        <v>2201</v>
      </c>
      <c r="C306" s="53">
        <v>9</v>
      </c>
      <c r="D306" s="53" t="s">
        <v>95</v>
      </c>
      <c r="E306" s="11">
        <v>0</v>
      </c>
      <c r="F306" s="11">
        <v>750</v>
      </c>
      <c r="G306" s="56" t="s">
        <v>1062</v>
      </c>
      <c r="H306" s="56" t="s">
        <v>36</v>
      </c>
      <c r="I306" s="102" t="s">
        <v>2202</v>
      </c>
      <c r="J306" s="56"/>
      <c r="K306" s="28"/>
      <c r="L306" s="28"/>
      <c r="M306" s="28"/>
      <c r="N306" s="28"/>
      <c r="O306" s="28"/>
      <c r="P306" s="28"/>
      <c r="Q306" s="28"/>
      <c r="R306" s="28"/>
      <c r="S306" s="28"/>
      <c r="T306" s="28"/>
      <c r="U306" s="3"/>
      <c r="W306" s="3"/>
      <c r="X306" s="3"/>
      <c r="Y306" s="3"/>
      <c r="Z306" s="3"/>
    </row>
    <row r="307" spans="1:26" ht="14.4" hidden="1" outlineLevel="1" x14ac:dyDescent="0.3">
      <c r="A307" s="3"/>
      <c r="B307" s="9" t="s">
        <v>373</v>
      </c>
      <c r="C307" s="53"/>
      <c r="D307" s="53"/>
      <c r="E307" s="11">
        <v>0</v>
      </c>
      <c r="F307" s="11">
        <v>0</v>
      </c>
      <c r="G307" s="56"/>
      <c r="H307" s="56"/>
      <c r="I307" s="144"/>
      <c r="J307" s="56"/>
      <c r="K307" s="28"/>
      <c r="L307" s="28"/>
      <c r="M307" s="28"/>
      <c r="N307" s="28"/>
      <c r="O307" s="28"/>
      <c r="P307" s="28"/>
      <c r="Q307" s="28"/>
      <c r="R307" s="28"/>
      <c r="S307" s="28"/>
      <c r="T307" s="28"/>
      <c r="U307" s="3"/>
      <c r="W307" s="3"/>
      <c r="X307" s="3"/>
      <c r="Y307" s="3"/>
      <c r="Z307" s="3"/>
    </row>
    <row r="308" spans="1:26" ht="14.4" hidden="1" outlineLevel="1" x14ac:dyDescent="0.3">
      <c r="A308" s="3"/>
      <c r="B308" s="9" t="s">
        <v>1661</v>
      </c>
      <c r="C308" s="53"/>
      <c r="D308" s="53"/>
      <c r="E308" s="11">
        <v>0</v>
      </c>
      <c r="F308" s="11">
        <v>0</v>
      </c>
      <c r="G308" s="56"/>
      <c r="H308" s="56"/>
      <c r="I308" s="144"/>
      <c r="J308" s="56"/>
      <c r="K308" s="28"/>
      <c r="L308" s="28"/>
      <c r="M308" s="28"/>
      <c r="N308" s="28"/>
      <c r="O308" s="28"/>
      <c r="P308" s="28"/>
      <c r="Q308" s="28"/>
      <c r="R308" s="28"/>
      <c r="S308" s="28"/>
      <c r="T308" s="28"/>
      <c r="U308" s="3"/>
      <c r="W308" s="3"/>
      <c r="X308" s="3"/>
      <c r="Y308" s="3"/>
      <c r="Z308" s="3"/>
    </row>
    <row r="309" spans="1:26" ht="14.4" hidden="1" outlineLevel="1" x14ac:dyDescent="0.3">
      <c r="A309" s="3"/>
      <c r="B309" s="9" t="s">
        <v>1662</v>
      </c>
      <c r="C309" s="53"/>
      <c r="D309" s="53"/>
      <c r="E309" s="11">
        <v>0</v>
      </c>
      <c r="F309" s="11">
        <v>0</v>
      </c>
      <c r="G309" s="56"/>
      <c r="H309" s="56"/>
      <c r="I309" s="144"/>
      <c r="J309" s="56"/>
      <c r="K309" s="28"/>
      <c r="L309" s="28"/>
      <c r="M309" s="28"/>
      <c r="N309" s="28"/>
      <c r="O309" s="28"/>
      <c r="P309" s="28"/>
      <c r="Q309" s="28"/>
      <c r="R309" s="28"/>
      <c r="S309" s="28"/>
      <c r="T309" s="28"/>
      <c r="U309" s="3"/>
      <c r="W309" s="3"/>
      <c r="X309" s="3"/>
      <c r="Y309" s="3"/>
      <c r="Z309" s="3"/>
    </row>
    <row r="310" spans="1:26" ht="14.4" hidden="1" outlineLevel="1" x14ac:dyDescent="0.3">
      <c r="A310" s="3"/>
      <c r="B310" s="9" t="s">
        <v>1663</v>
      </c>
      <c r="C310" s="53"/>
      <c r="D310" s="53"/>
      <c r="E310" s="11">
        <v>0</v>
      </c>
      <c r="F310" s="11">
        <v>0</v>
      </c>
      <c r="G310" s="56"/>
      <c r="H310" s="56"/>
      <c r="I310" s="144"/>
      <c r="J310" s="56"/>
      <c r="K310" s="28"/>
      <c r="L310" s="28"/>
      <c r="M310" s="28"/>
      <c r="N310" s="28"/>
      <c r="O310" s="28"/>
      <c r="P310" s="28"/>
      <c r="Q310" s="28"/>
      <c r="R310" s="28"/>
      <c r="S310" s="28"/>
      <c r="T310" s="28"/>
      <c r="U310" s="3"/>
      <c r="W310" s="3"/>
      <c r="X310" s="3"/>
      <c r="Y310" s="3"/>
      <c r="Z310" s="3"/>
    </row>
    <row r="311" spans="1:26" ht="14.4" hidden="1" outlineLevel="1" x14ac:dyDescent="0.3">
      <c r="A311" s="3"/>
      <c r="B311" s="9" t="s">
        <v>1664</v>
      </c>
      <c r="C311" s="53"/>
      <c r="D311" s="53"/>
      <c r="E311" s="11">
        <v>0</v>
      </c>
      <c r="F311" s="11">
        <v>0</v>
      </c>
      <c r="G311" s="56"/>
      <c r="H311" s="56"/>
      <c r="I311" s="144"/>
      <c r="J311" s="56"/>
      <c r="K311" s="28"/>
      <c r="L311" s="28"/>
      <c r="M311" s="28"/>
      <c r="N311" s="28"/>
      <c r="O311" s="28"/>
      <c r="P311" s="28"/>
      <c r="Q311" s="28"/>
      <c r="R311" s="28"/>
      <c r="S311" s="28"/>
      <c r="T311" s="28"/>
      <c r="U311" s="3"/>
      <c r="W311" s="3"/>
      <c r="X311" s="3"/>
      <c r="Y311" s="3"/>
      <c r="Z311" s="3"/>
    </row>
    <row r="312" spans="1:26" ht="14.4" hidden="1" outlineLevel="1" x14ac:dyDescent="0.3">
      <c r="A312" s="3"/>
      <c r="B312" s="9" t="s">
        <v>1665</v>
      </c>
      <c r="C312" s="53"/>
      <c r="D312" s="53"/>
      <c r="E312" s="11">
        <v>0</v>
      </c>
      <c r="F312" s="11">
        <v>0</v>
      </c>
      <c r="G312" s="56"/>
      <c r="H312" s="56"/>
      <c r="I312" s="144"/>
      <c r="J312" s="56"/>
      <c r="K312" s="28"/>
      <c r="L312" s="28"/>
      <c r="M312" s="28"/>
      <c r="N312" s="28"/>
      <c r="O312" s="28"/>
      <c r="P312" s="28"/>
      <c r="Q312" s="28"/>
      <c r="R312" s="28"/>
      <c r="S312" s="28"/>
      <c r="T312" s="28"/>
      <c r="U312" s="3"/>
      <c r="W312" s="3"/>
      <c r="X312" s="3"/>
      <c r="Y312" s="3"/>
      <c r="Z312" s="3"/>
    </row>
    <row r="313" spans="1:26" ht="14.4" hidden="1" outlineLevel="1" x14ac:dyDescent="0.3">
      <c r="A313" s="3"/>
      <c r="B313" s="9" t="s">
        <v>1666</v>
      </c>
      <c r="C313" s="53"/>
      <c r="D313" s="53"/>
      <c r="E313" s="11">
        <v>0</v>
      </c>
      <c r="F313" s="11">
        <v>0</v>
      </c>
      <c r="G313" s="56"/>
      <c r="H313" s="56"/>
      <c r="I313" s="144"/>
      <c r="J313" s="56"/>
      <c r="K313" s="28"/>
      <c r="L313" s="28"/>
      <c r="M313" s="28"/>
      <c r="N313" s="28"/>
      <c r="O313" s="28"/>
      <c r="P313" s="28"/>
      <c r="Q313" s="28"/>
      <c r="R313" s="28"/>
      <c r="S313" s="28"/>
      <c r="T313" s="28"/>
      <c r="U313" s="3"/>
      <c r="W313" s="3"/>
      <c r="X313" s="3"/>
      <c r="Y313" s="3"/>
      <c r="Z313" s="3"/>
    </row>
    <row r="314" spans="1:26" ht="14.4" hidden="1" outlineLevel="1" x14ac:dyDescent="0.3">
      <c r="A314" s="3"/>
      <c r="B314" s="9" t="s">
        <v>1667</v>
      </c>
      <c r="C314" s="53"/>
      <c r="D314" s="53"/>
      <c r="E314" s="11">
        <v>0</v>
      </c>
      <c r="F314" s="11">
        <v>0</v>
      </c>
      <c r="G314" s="56"/>
      <c r="H314" s="56"/>
      <c r="I314" s="144"/>
      <c r="J314" s="56"/>
      <c r="K314" s="28"/>
      <c r="L314" s="28"/>
      <c r="M314" s="28"/>
      <c r="N314" s="28"/>
      <c r="O314" s="28"/>
      <c r="P314" s="28"/>
      <c r="Q314" s="28"/>
      <c r="R314" s="28"/>
      <c r="S314" s="28"/>
      <c r="T314" s="28"/>
      <c r="U314" s="3"/>
      <c r="W314" s="3"/>
      <c r="X314" s="3"/>
      <c r="Y314" s="3"/>
      <c r="Z314" s="3"/>
    </row>
    <row r="315" spans="1:26" ht="14.4" hidden="1" outlineLevel="1" x14ac:dyDescent="0.3">
      <c r="A315" s="3"/>
      <c r="B315" s="9" t="s">
        <v>1668</v>
      </c>
      <c r="C315" s="53"/>
      <c r="D315" s="53"/>
      <c r="E315" s="11">
        <v>0</v>
      </c>
      <c r="F315" s="11">
        <v>0</v>
      </c>
      <c r="G315" s="56"/>
      <c r="H315" s="56"/>
      <c r="I315" s="144"/>
      <c r="J315" s="56"/>
      <c r="K315" s="28"/>
      <c r="L315" s="28"/>
      <c r="M315" s="28"/>
      <c r="N315" s="28"/>
      <c r="O315" s="28"/>
      <c r="P315" s="28"/>
      <c r="Q315" s="28"/>
      <c r="R315" s="28"/>
      <c r="S315" s="28"/>
      <c r="T315" s="28"/>
      <c r="U315" s="3"/>
      <c r="W315" s="3"/>
      <c r="X315" s="3"/>
      <c r="Y315" s="3"/>
      <c r="Z315" s="3"/>
    </row>
    <row r="316" spans="1:26" ht="14.4" hidden="1" outlineLevel="1" x14ac:dyDescent="0.3">
      <c r="A316" s="3"/>
      <c r="B316" s="9" t="s">
        <v>1669</v>
      </c>
      <c r="C316" s="53"/>
      <c r="D316" s="53"/>
      <c r="E316" s="11">
        <v>0</v>
      </c>
      <c r="F316" s="11">
        <v>0</v>
      </c>
      <c r="G316" s="56"/>
      <c r="H316" s="56"/>
      <c r="I316" s="144"/>
      <c r="J316" s="56"/>
      <c r="K316" s="28"/>
      <c r="L316" s="28"/>
      <c r="M316" s="28"/>
      <c r="N316" s="28"/>
      <c r="O316" s="28"/>
      <c r="P316" s="28"/>
      <c r="Q316" s="28"/>
      <c r="R316" s="28"/>
      <c r="S316" s="28"/>
      <c r="T316" s="28"/>
      <c r="U316" s="3"/>
      <c r="W316" s="3"/>
      <c r="X316" s="3"/>
      <c r="Y316" s="3"/>
      <c r="Z316" s="3"/>
    </row>
    <row r="317" spans="1:26" ht="14.4" hidden="1" outlineLevel="1" x14ac:dyDescent="0.3">
      <c r="A317" s="3"/>
      <c r="B317" s="9" t="s">
        <v>1670</v>
      </c>
      <c r="C317" s="53"/>
      <c r="D317" s="53"/>
      <c r="E317" s="11">
        <v>0</v>
      </c>
      <c r="F317" s="11">
        <v>0</v>
      </c>
      <c r="G317" s="56"/>
      <c r="H317" s="56"/>
      <c r="I317" s="144"/>
      <c r="J317" s="56"/>
      <c r="K317" s="28"/>
      <c r="L317" s="28"/>
      <c r="M317" s="28"/>
      <c r="N317" s="28"/>
      <c r="O317" s="28"/>
      <c r="P317" s="28"/>
      <c r="Q317" s="28"/>
      <c r="R317" s="28"/>
      <c r="S317" s="28"/>
      <c r="T317" s="28"/>
      <c r="U317" s="3"/>
      <c r="W317" s="3"/>
      <c r="X317" s="3"/>
      <c r="Y317" s="3"/>
      <c r="Z317" s="3"/>
    </row>
    <row r="318" spans="1:26" ht="14.4" hidden="1" outlineLevel="1" x14ac:dyDescent="0.3">
      <c r="A318" s="3"/>
      <c r="B318" s="9" t="s">
        <v>1671</v>
      </c>
      <c r="C318" s="53"/>
      <c r="D318" s="53"/>
      <c r="E318" s="11">
        <v>0</v>
      </c>
      <c r="F318" s="11">
        <v>0</v>
      </c>
      <c r="G318" s="56"/>
      <c r="H318" s="56"/>
      <c r="I318" s="144"/>
      <c r="J318" s="56"/>
      <c r="K318" s="28"/>
      <c r="L318" s="28"/>
      <c r="M318" s="28"/>
      <c r="N318" s="28"/>
      <c r="O318" s="28"/>
      <c r="P318" s="28"/>
      <c r="Q318" s="28"/>
      <c r="R318" s="28"/>
      <c r="S318" s="28"/>
      <c r="T318" s="28"/>
      <c r="U318" s="3"/>
      <c r="W318" s="3"/>
      <c r="X318" s="3"/>
      <c r="Y318" s="3"/>
      <c r="Z318" s="3"/>
    </row>
    <row r="319" spans="1:26" ht="14.4" hidden="1" outlineLevel="1" x14ac:dyDescent="0.3">
      <c r="A319" s="3"/>
      <c r="B319" s="9" t="s">
        <v>1672</v>
      </c>
      <c r="C319" s="53"/>
      <c r="D319" s="53"/>
      <c r="E319" s="11">
        <v>0</v>
      </c>
      <c r="F319" s="11">
        <v>0</v>
      </c>
      <c r="G319" s="56"/>
      <c r="H319" s="56"/>
      <c r="I319" s="80"/>
      <c r="J319" s="56"/>
      <c r="K319" s="28"/>
      <c r="L319" s="28"/>
      <c r="M319" s="28"/>
      <c r="N319" s="28"/>
      <c r="O319" s="28"/>
      <c r="P319" s="28"/>
      <c r="Q319" s="28"/>
      <c r="R319" s="28"/>
      <c r="S319" s="28"/>
      <c r="T319" s="28"/>
      <c r="U319" s="3"/>
      <c r="W319" s="3"/>
      <c r="X319" s="3"/>
      <c r="Y319" s="3"/>
      <c r="Z319" s="3"/>
    </row>
    <row r="320" spans="1:26" outlineLevel="1" x14ac:dyDescent="0.3">
      <c r="A320" s="3"/>
      <c r="B320" s="82" t="s">
        <v>690</v>
      </c>
      <c r="C320" s="83"/>
      <c r="D320" s="83"/>
      <c r="E320" s="84">
        <f>SUM(E321:E328)</f>
        <v>0</v>
      </c>
      <c r="F320" s="84">
        <f>SUMIF(D321:D328,"OK",F321:F328)</f>
        <v>1112.4000000000001</v>
      </c>
      <c r="G320" s="85"/>
      <c r="H320" s="85"/>
      <c r="I320" s="86"/>
      <c r="J320" s="85"/>
      <c r="K320" s="28"/>
      <c r="L320" s="28"/>
      <c r="M320" s="28"/>
      <c r="N320" s="28"/>
      <c r="O320" s="28"/>
      <c r="P320" s="28"/>
      <c r="Q320" s="28"/>
      <c r="R320" s="28"/>
      <c r="S320" s="28"/>
      <c r="T320" s="28"/>
      <c r="U320" s="3"/>
      <c r="W320" s="3"/>
      <c r="X320" s="3"/>
      <c r="Y320" s="3"/>
      <c r="Z320" s="3"/>
    </row>
    <row r="321" spans="1:26" ht="14.4" outlineLevel="1" x14ac:dyDescent="0.3">
      <c r="A321" s="3"/>
      <c r="B321" s="9" t="s">
        <v>2203</v>
      </c>
      <c r="C321" s="53">
        <v>4</v>
      </c>
      <c r="D321" s="53" t="s">
        <v>95</v>
      </c>
      <c r="E321" s="11">
        <v>0</v>
      </c>
      <c r="F321" s="11">
        <v>111</v>
      </c>
      <c r="G321" s="56"/>
      <c r="H321" s="56" t="s">
        <v>37</v>
      </c>
      <c r="I321" s="102" t="s">
        <v>2204</v>
      </c>
      <c r="J321" s="56"/>
      <c r="K321" s="28"/>
      <c r="L321" s="28"/>
      <c r="M321" s="28"/>
      <c r="N321" s="28"/>
      <c r="O321" s="28"/>
      <c r="P321" s="28"/>
      <c r="Q321" s="28"/>
      <c r="R321" s="28"/>
      <c r="S321" s="28"/>
      <c r="T321" s="28"/>
      <c r="U321" s="3"/>
      <c r="W321" s="3"/>
      <c r="X321" s="3"/>
      <c r="Y321" s="3"/>
      <c r="Z321" s="3"/>
    </row>
    <row r="322" spans="1:26" ht="14.4" outlineLevel="1" x14ac:dyDescent="0.3">
      <c r="A322" s="3"/>
      <c r="B322" s="9" t="s">
        <v>2205</v>
      </c>
      <c r="C322" s="53">
        <v>4</v>
      </c>
      <c r="D322" s="53" t="s">
        <v>95</v>
      </c>
      <c r="E322" s="11">
        <v>0</v>
      </c>
      <c r="F322" s="11">
        <v>212</v>
      </c>
      <c r="G322" s="56"/>
      <c r="H322" s="56" t="s">
        <v>37</v>
      </c>
      <c r="I322" s="102" t="s">
        <v>2206</v>
      </c>
      <c r="J322" s="56"/>
      <c r="K322" s="28"/>
      <c r="L322" s="28"/>
      <c r="M322" s="28"/>
      <c r="N322" s="28"/>
      <c r="O322" s="28"/>
      <c r="P322" s="28"/>
      <c r="Q322" s="28"/>
      <c r="R322" s="28"/>
      <c r="S322" s="28"/>
      <c r="T322" s="28"/>
      <c r="U322" s="3"/>
      <c r="W322" s="3"/>
      <c r="X322" s="3"/>
      <c r="Y322" s="3"/>
      <c r="Z322" s="3"/>
    </row>
    <row r="323" spans="1:26" ht="14.4" outlineLevel="1" x14ac:dyDescent="0.3">
      <c r="A323" s="3"/>
      <c r="B323" s="9" t="s">
        <v>2205</v>
      </c>
      <c r="C323" s="53">
        <v>4</v>
      </c>
      <c r="D323" s="53" t="s">
        <v>95</v>
      </c>
      <c r="E323" s="11">
        <v>0</v>
      </c>
      <c r="F323" s="11">
        <v>718</v>
      </c>
      <c r="G323" s="56"/>
      <c r="H323" s="56" t="s">
        <v>37</v>
      </c>
      <c r="I323" s="102" t="s">
        <v>2207</v>
      </c>
      <c r="J323" s="56"/>
      <c r="K323" s="28"/>
      <c r="L323" s="28"/>
      <c r="M323" s="28"/>
      <c r="N323" s="28"/>
      <c r="O323" s="28"/>
      <c r="P323" s="28"/>
      <c r="Q323" s="28"/>
      <c r="R323" s="28"/>
      <c r="S323" s="28"/>
      <c r="T323" s="28"/>
      <c r="U323" s="3"/>
      <c r="W323" s="3"/>
      <c r="X323" s="3"/>
      <c r="Y323" s="3"/>
      <c r="Z323" s="3"/>
    </row>
    <row r="324" spans="1:26" ht="14.4" outlineLevel="1" x14ac:dyDescent="0.3">
      <c r="A324" s="3"/>
      <c r="B324" s="9" t="s">
        <v>2203</v>
      </c>
      <c r="C324" s="53">
        <v>14</v>
      </c>
      <c r="D324" s="53" t="s">
        <v>95</v>
      </c>
      <c r="E324" s="11">
        <v>0</v>
      </c>
      <c r="F324" s="11">
        <v>71.400000000000006</v>
      </c>
      <c r="G324" s="56"/>
      <c r="H324" s="56" t="s">
        <v>37</v>
      </c>
      <c r="I324" s="102" t="s">
        <v>2208</v>
      </c>
      <c r="J324" s="56"/>
      <c r="K324" s="28"/>
      <c r="L324" s="28"/>
      <c r="M324" s="28"/>
      <c r="N324" s="28"/>
      <c r="O324" s="28"/>
      <c r="P324" s="28"/>
      <c r="Q324" s="28"/>
      <c r="R324" s="28"/>
      <c r="S324" s="28"/>
      <c r="T324" s="28"/>
      <c r="U324" s="3"/>
      <c r="W324" s="3"/>
      <c r="X324" s="3"/>
      <c r="Y324" s="3"/>
      <c r="Z324" s="3"/>
    </row>
    <row r="325" spans="1:26" ht="14.4" hidden="1" outlineLevel="1" x14ac:dyDescent="0.3">
      <c r="A325" s="3"/>
      <c r="B325" s="9" t="s">
        <v>329</v>
      </c>
      <c r="C325" s="53"/>
      <c r="D325" s="53"/>
      <c r="E325" s="11">
        <v>0</v>
      </c>
      <c r="F325" s="11">
        <v>0</v>
      </c>
      <c r="G325" s="56"/>
      <c r="H325" s="56"/>
      <c r="I325" s="80"/>
      <c r="J325" s="56"/>
      <c r="K325" s="28"/>
      <c r="L325" s="28"/>
      <c r="M325" s="28"/>
      <c r="N325" s="28"/>
      <c r="O325" s="28"/>
      <c r="P325" s="28"/>
      <c r="Q325" s="28"/>
      <c r="R325" s="28"/>
      <c r="S325" s="28"/>
      <c r="T325" s="28"/>
      <c r="U325" s="3"/>
      <c r="W325" s="3"/>
      <c r="X325" s="3"/>
      <c r="Y325" s="3"/>
      <c r="Z325" s="3"/>
    </row>
    <row r="326" spans="1:26" ht="14.4" hidden="1" outlineLevel="1" x14ac:dyDescent="0.3">
      <c r="A326" s="3"/>
      <c r="B326" s="9" t="s">
        <v>371</v>
      </c>
      <c r="C326" s="53"/>
      <c r="D326" s="53"/>
      <c r="E326" s="11">
        <v>0</v>
      </c>
      <c r="F326" s="11">
        <v>0</v>
      </c>
      <c r="G326" s="56"/>
      <c r="H326" s="56"/>
      <c r="I326" s="80"/>
      <c r="J326" s="56"/>
      <c r="K326" s="28"/>
      <c r="L326" s="28"/>
      <c r="M326" s="28"/>
      <c r="N326" s="28"/>
      <c r="O326" s="28"/>
      <c r="P326" s="28"/>
      <c r="Q326" s="28"/>
      <c r="R326" s="28"/>
      <c r="S326" s="28"/>
      <c r="T326" s="28"/>
      <c r="U326" s="3"/>
      <c r="W326" s="3"/>
      <c r="X326" s="3"/>
      <c r="Y326" s="3"/>
      <c r="Z326" s="3"/>
    </row>
    <row r="327" spans="1:26" ht="14.4" hidden="1" outlineLevel="1" x14ac:dyDescent="0.3">
      <c r="A327" s="3"/>
      <c r="B327" s="9" t="s">
        <v>372</v>
      </c>
      <c r="C327" s="53"/>
      <c r="D327" s="53"/>
      <c r="E327" s="11">
        <v>0</v>
      </c>
      <c r="F327" s="11">
        <v>0</v>
      </c>
      <c r="G327" s="56"/>
      <c r="H327" s="56"/>
      <c r="I327" s="80"/>
      <c r="J327" s="56"/>
      <c r="K327" s="28"/>
      <c r="L327" s="28"/>
      <c r="M327" s="28"/>
      <c r="N327" s="28"/>
      <c r="O327" s="28"/>
      <c r="P327" s="28"/>
      <c r="Q327" s="28"/>
      <c r="R327" s="28"/>
      <c r="S327" s="28"/>
      <c r="T327" s="28"/>
      <c r="U327" s="3"/>
      <c r="W327" s="3"/>
      <c r="X327" s="3"/>
      <c r="Y327" s="3"/>
      <c r="Z327" s="3"/>
    </row>
    <row r="328" spans="1:26" ht="14.4" hidden="1" outlineLevel="1" x14ac:dyDescent="0.3">
      <c r="A328" s="3"/>
      <c r="B328" s="9" t="s">
        <v>373</v>
      </c>
      <c r="C328" s="53"/>
      <c r="D328" s="53"/>
      <c r="E328" s="11">
        <v>0</v>
      </c>
      <c r="F328" s="11">
        <v>0</v>
      </c>
      <c r="G328" s="56"/>
      <c r="H328" s="56"/>
      <c r="I328" s="80"/>
      <c r="J328" s="56"/>
      <c r="K328" s="28"/>
      <c r="L328" s="28"/>
      <c r="M328" s="28"/>
      <c r="N328" s="28"/>
      <c r="O328" s="28"/>
      <c r="P328" s="28"/>
      <c r="Q328" s="28"/>
      <c r="R328" s="28"/>
      <c r="S328" s="28"/>
      <c r="T328" s="28"/>
      <c r="U328" s="3"/>
      <c r="W328" s="3"/>
      <c r="X328" s="3"/>
      <c r="Y328" s="3"/>
      <c r="Z328" s="3"/>
    </row>
    <row r="329" spans="1:26" ht="20.399999999999999" x14ac:dyDescent="0.3">
      <c r="A329" s="3"/>
      <c r="B329" s="75" t="s">
        <v>412</v>
      </c>
      <c r="C329" s="76" t="s">
        <v>44</v>
      </c>
      <c r="D329" s="76" t="s">
        <v>44</v>
      </c>
      <c r="E329" s="77">
        <f>SUM(E330:E351)</f>
        <v>0</v>
      </c>
      <c r="F329" s="77">
        <f>SUMIF(D330:D351,"OK",F330:F351)</f>
        <v>469.88</v>
      </c>
      <c r="G329" s="78"/>
      <c r="H329" s="78"/>
      <c r="I329" s="79"/>
      <c r="J329" s="78"/>
      <c r="K329" s="28"/>
      <c r="L329" s="28"/>
      <c r="M329" s="28"/>
      <c r="N329" s="28"/>
      <c r="O329" s="28"/>
      <c r="P329" s="28"/>
      <c r="Q329" s="28"/>
      <c r="R329" s="28"/>
      <c r="S329" s="28"/>
      <c r="T329" s="28"/>
      <c r="U329" s="3"/>
      <c r="W329" s="3"/>
      <c r="X329" s="3"/>
      <c r="Y329" s="3"/>
      <c r="Z329" s="3"/>
    </row>
    <row r="330" spans="1:26" ht="15.75" hidden="1" customHeight="1" outlineLevel="1" x14ac:dyDescent="0.3">
      <c r="A330" s="3"/>
      <c r="B330" s="9" t="s">
        <v>413</v>
      </c>
      <c r="C330" s="53"/>
      <c r="D330" s="53"/>
      <c r="E330" s="11">
        <v>0</v>
      </c>
      <c r="F330" s="11">
        <v>0</v>
      </c>
      <c r="G330" s="56"/>
      <c r="H330" s="56"/>
      <c r="I330" s="80"/>
      <c r="J330" s="56"/>
      <c r="K330" s="28"/>
      <c r="L330" s="28"/>
      <c r="M330" s="28"/>
      <c r="N330" s="28"/>
      <c r="O330" s="28"/>
      <c r="P330" s="28"/>
      <c r="Q330" s="28"/>
      <c r="R330" s="28"/>
      <c r="S330" s="28"/>
      <c r="T330" s="28"/>
      <c r="U330" s="3"/>
      <c r="W330" s="3"/>
      <c r="X330" s="3"/>
      <c r="Y330" s="3"/>
      <c r="Z330" s="3"/>
    </row>
    <row r="331" spans="1:26" ht="15.75" hidden="1" customHeight="1" outlineLevel="1" x14ac:dyDescent="0.3">
      <c r="A331" s="3"/>
      <c r="B331" s="9" t="s">
        <v>414</v>
      </c>
      <c r="C331" s="53"/>
      <c r="D331" s="53"/>
      <c r="E331" s="11">
        <v>0</v>
      </c>
      <c r="F331" s="11">
        <v>0</v>
      </c>
      <c r="G331" s="80"/>
      <c r="H331" s="56"/>
      <c r="I331" s="144"/>
      <c r="J331" s="56"/>
      <c r="K331" s="28"/>
      <c r="L331" s="28"/>
      <c r="M331" s="28"/>
      <c r="N331" s="28"/>
      <c r="O331" s="28"/>
      <c r="P331" s="28"/>
      <c r="Q331" s="28"/>
      <c r="R331" s="28"/>
      <c r="S331" s="28"/>
      <c r="T331" s="28"/>
      <c r="U331" s="3"/>
      <c r="W331" s="3"/>
      <c r="X331" s="3"/>
      <c r="Y331" s="3"/>
      <c r="Z331" s="3"/>
    </row>
    <row r="332" spans="1:26" ht="15.75" hidden="1" customHeight="1" outlineLevel="1" x14ac:dyDescent="0.3">
      <c r="A332" s="3"/>
      <c r="B332" s="9" t="s">
        <v>414</v>
      </c>
      <c r="C332" s="53"/>
      <c r="D332" s="53"/>
      <c r="E332" s="11">
        <v>0</v>
      </c>
      <c r="F332" s="11">
        <v>0</v>
      </c>
      <c r="G332" s="56"/>
      <c r="H332" s="56"/>
      <c r="I332" s="144"/>
      <c r="J332" s="56"/>
      <c r="K332" s="28"/>
      <c r="L332" s="28"/>
      <c r="M332" s="28"/>
      <c r="N332" s="28"/>
      <c r="O332" s="28"/>
      <c r="P332" s="28"/>
      <c r="Q332" s="28"/>
      <c r="R332" s="28"/>
      <c r="S332" s="28"/>
      <c r="T332" s="28"/>
      <c r="U332" s="3"/>
      <c r="W332" s="3"/>
      <c r="X332" s="3"/>
      <c r="Y332" s="3"/>
      <c r="Z332" s="3"/>
    </row>
    <row r="333" spans="1:26" ht="15.75" hidden="1" customHeight="1" outlineLevel="1" x14ac:dyDescent="0.3">
      <c r="A333" s="3"/>
      <c r="B333" s="9" t="s">
        <v>415</v>
      </c>
      <c r="C333" s="53"/>
      <c r="D333" s="53"/>
      <c r="E333" s="11">
        <v>0</v>
      </c>
      <c r="F333" s="11">
        <v>0</v>
      </c>
      <c r="G333" s="56"/>
      <c r="H333" s="56"/>
      <c r="I333" s="80"/>
      <c r="J333" s="56"/>
      <c r="K333" s="28"/>
      <c r="L333" s="28"/>
      <c r="M333" s="28"/>
      <c r="N333" s="28"/>
      <c r="O333" s="28"/>
      <c r="P333" s="28"/>
      <c r="Q333" s="28"/>
      <c r="R333" s="28"/>
      <c r="S333" s="28"/>
      <c r="T333" s="28"/>
      <c r="U333" s="3"/>
      <c r="W333" s="3"/>
      <c r="X333" s="3"/>
      <c r="Y333" s="3"/>
      <c r="Z333" s="3"/>
    </row>
    <row r="334" spans="1:26" ht="15.75" hidden="1" customHeight="1" outlineLevel="1" x14ac:dyDescent="0.3">
      <c r="A334" s="3"/>
      <c r="B334" s="9" t="s">
        <v>415</v>
      </c>
      <c r="C334" s="53"/>
      <c r="D334" s="53"/>
      <c r="E334" s="11">
        <v>0</v>
      </c>
      <c r="F334" s="11">
        <v>0</v>
      </c>
      <c r="G334" s="56"/>
      <c r="H334" s="56"/>
      <c r="I334" s="80"/>
      <c r="J334" s="56"/>
      <c r="K334" s="28"/>
      <c r="L334" s="28"/>
      <c r="M334" s="28"/>
      <c r="N334" s="28"/>
      <c r="O334" s="28"/>
      <c r="P334" s="28"/>
      <c r="Q334" s="28"/>
      <c r="R334" s="28"/>
      <c r="S334" s="28"/>
      <c r="T334" s="28"/>
      <c r="U334" s="3"/>
      <c r="W334" s="3"/>
      <c r="X334" s="3"/>
      <c r="Y334" s="3"/>
      <c r="Z334" s="3"/>
    </row>
    <row r="335" spans="1:26" ht="15.75" hidden="1" customHeight="1" outlineLevel="1" x14ac:dyDescent="0.3">
      <c r="A335" s="3"/>
      <c r="B335" s="9" t="s">
        <v>415</v>
      </c>
      <c r="C335" s="53"/>
      <c r="D335" s="53"/>
      <c r="E335" s="11">
        <v>0</v>
      </c>
      <c r="F335" s="11">
        <v>0</v>
      </c>
      <c r="G335" s="56"/>
      <c r="H335" s="56"/>
      <c r="I335" s="80"/>
      <c r="J335" s="56"/>
      <c r="K335" s="28"/>
      <c r="L335" s="28"/>
      <c r="M335" s="28"/>
      <c r="N335" s="28"/>
      <c r="O335" s="28"/>
      <c r="P335" s="28"/>
      <c r="Q335" s="28"/>
      <c r="R335" s="28"/>
      <c r="S335" s="28"/>
      <c r="T335" s="28"/>
      <c r="U335" s="3"/>
      <c r="W335" s="3"/>
      <c r="X335" s="3"/>
      <c r="Y335" s="3"/>
      <c r="Z335" s="3"/>
    </row>
    <row r="336" spans="1:26" ht="15.75" hidden="1" customHeight="1" outlineLevel="1" x14ac:dyDescent="0.3">
      <c r="A336" s="3"/>
      <c r="B336" s="9" t="s">
        <v>416</v>
      </c>
      <c r="C336" s="53"/>
      <c r="D336" s="53"/>
      <c r="E336" s="11">
        <v>0</v>
      </c>
      <c r="F336" s="11">
        <v>0</v>
      </c>
      <c r="G336" s="56"/>
      <c r="H336" s="56"/>
      <c r="I336" s="144"/>
      <c r="J336" s="56"/>
      <c r="K336" s="28"/>
      <c r="L336" s="28"/>
      <c r="M336" s="28"/>
      <c r="N336" s="28"/>
      <c r="O336" s="28"/>
      <c r="P336" s="28"/>
      <c r="Q336" s="28"/>
      <c r="R336" s="28"/>
      <c r="S336" s="28"/>
      <c r="T336" s="28"/>
      <c r="U336" s="3"/>
      <c r="W336" s="3"/>
      <c r="X336" s="3"/>
      <c r="Y336" s="3"/>
      <c r="Z336" s="3"/>
    </row>
    <row r="337" spans="1:26" ht="15.75" hidden="1" customHeight="1" outlineLevel="1" x14ac:dyDescent="0.3">
      <c r="A337" s="3"/>
      <c r="B337" s="9" t="s">
        <v>416</v>
      </c>
      <c r="C337" s="53"/>
      <c r="D337" s="53"/>
      <c r="E337" s="11">
        <v>0</v>
      </c>
      <c r="F337" s="11">
        <v>0</v>
      </c>
      <c r="G337" s="56"/>
      <c r="H337" s="56"/>
      <c r="I337" s="144"/>
      <c r="J337" s="56"/>
      <c r="K337" s="28"/>
      <c r="L337" s="28"/>
      <c r="M337" s="28"/>
      <c r="N337" s="28"/>
      <c r="O337" s="28"/>
      <c r="P337" s="28"/>
      <c r="Q337" s="28"/>
      <c r="R337" s="28"/>
      <c r="S337" s="28"/>
      <c r="T337" s="28"/>
      <c r="U337" s="3"/>
      <c r="W337" s="3"/>
      <c r="X337" s="3"/>
      <c r="Y337" s="3"/>
      <c r="Z337" s="3"/>
    </row>
    <row r="338" spans="1:26" ht="15.75" hidden="1" customHeight="1" outlineLevel="1" x14ac:dyDescent="0.3">
      <c r="A338" s="3"/>
      <c r="B338" s="9" t="s">
        <v>416</v>
      </c>
      <c r="C338" s="53"/>
      <c r="D338" s="53"/>
      <c r="E338" s="11">
        <v>0</v>
      </c>
      <c r="F338" s="11">
        <v>0</v>
      </c>
      <c r="G338" s="56"/>
      <c r="H338" s="56"/>
      <c r="I338" s="144"/>
      <c r="J338" s="56"/>
      <c r="K338" s="28"/>
      <c r="L338" s="28"/>
      <c r="M338" s="28"/>
      <c r="N338" s="28"/>
      <c r="O338" s="28"/>
      <c r="P338" s="28"/>
      <c r="Q338" s="28"/>
      <c r="R338" s="28"/>
      <c r="S338" s="28"/>
      <c r="T338" s="28"/>
      <c r="U338" s="3"/>
      <c r="W338" s="3"/>
      <c r="X338" s="3"/>
      <c r="Y338" s="3"/>
      <c r="Z338" s="3"/>
    </row>
    <row r="339" spans="1:26" ht="15.75" hidden="1" customHeight="1" outlineLevel="1" x14ac:dyDescent="0.3">
      <c r="A339" s="3"/>
      <c r="B339" s="9" t="s">
        <v>417</v>
      </c>
      <c r="C339" s="53"/>
      <c r="D339" s="53"/>
      <c r="E339" s="11">
        <v>0</v>
      </c>
      <c r="F339" s="11">
        <v>0</v>
      </c>
      <c r="G339" s="56"/>
      <c r="H339" s="56"/>
      <c r="I339" s="144"/>
      <c r="J339" s="56"/>
      <c r="K339" s="28"/>
      <c r="L339" s="28"/>
      <c r="M339" s="28"/>
      <c r="N339" s="28"/>
      <c r="O339" s="28"/>
      <c r="P339" s="28"/>
      <c r="Q339" s="28"/>
      <c r="R339" s="28"/>
      <c r="S339" s="28"/>
      <c r="T339" s="28"/>
      <c r="U339" s="3"/>
      <c r="W339" s="3"/>
      <c r="X339" s="3"/>
      <c r="Y339" s="3"/>
      <c r="Z339" s="3"/>
    </row>
    <row r="340" spans="1:26" ht="15.75" hidden="1" customHeight="1" outlineLevel="1" x14ac:dyDescent="0.3">
      <c r="A340" s="3"/>
      <c r="B340" s="9" t="s">
        <v>417</v>
      </c>
      <c r="C340" s="53"/>
      <c r="D340" s="53"/>
      <c r="E340" s="11">
        <v>0</v>
      </c>
      <c r="F340" s="11">
        <v>0</v>
      </c>
      <c r="G340" s="56"/>
      <c r="H340" s="56"/>
      <c r="I340" s="144"/>
      <c r="J340" s="56"/>
      <c r="K340" s="28"/>
      <c r="L340" s="28"/>
      <c r="M340" s="28"/>
      <c r="N340" s="28"/>
      <c r="O340" s="28"/>
      <c r="P340" s="28"/>
      <c r="Q340" s="28"/>
      <c r="R340" s="28"/>
      <c r="S340" s="28"/>
      <c r="T340" s="28"/>
      <c r="U340" s="3"/>
      <c r="W340" s="3"/>
      <c r="X340" s="3"/>
      <c r="Y340" s="3"/>
      <c r="Z340" s="3"/>
    </row>
    <row r="341" spans="1:26" ht="15.75" hidden="1" customHeight="1" outlineLevel="1" x14ac:dyDescent="0.3">
      <c r="A341" s="3"/>
      <c r="B341" s="9" t="s">
        <v>417</v>
      </c>
      <c r="C341" s="53"/>
      <c r="D341" s="53"/>
      <c r="E341" s="11">
        <v>0</v>
      </c>
      <c r="F341" s="11">
        <v>0</v>
      </c>
      <c r="G341" s="56"/>
      <c r="H341" s="56"/>
      <c r="I341" s="144"/>
      <c r="J341" s="56"/>
      <c r="K341" s="28"/>
      <c r="L341" s="28"/>
      <c r="M341" s="28"/>
      <c r="N341" s="28"/>
      <c r="O341" s="28"/>
      <c r="P341" s="28"/>
      <c r="Q341" s="28"/>
      <c r="R341" s="28"/>
      <c r="S341" s="28"/>
      <c r="T341" s="28"/>
      <c r="U341" s="3"/>
      <c r="W341" s="3"/>
      <c r="X341" s="3"/>
      <c r="Y341" s="3"/>
      <c r="Z341" s="3"/>
    </row>
    <row r="342" spans="1:26" ht="15.75" hidden="1" customHeight="1" outlineLevel="1" x14ac:dyDescent="0.3">
      <c r="A342" s="3"/>
      <c r="B342" s="9" t="s">
        <v>417</v>
      </c>
      <c r="C342" s="53"/>
      <c r="D342" s="53"/>
      <c r="E342" s="11">
        <v>0</v>
      </c>
      <c r="F342" s="11">
        <v>0</v>
      </c>
      <c r="G342" s="56"/>
      <c r="H342" s="56"/>
      <c r="I342" s="144"/>
      <c r="J342" s="56"/>
      <c r="K342" s="28"/>
      <c r="L342" s="28"/>
      <c r="M342" s="28"/>
      <c r="N342" s="28"/>
      <c r="O342" s="28"/>
      <c r="P342" s="28"/>
      <c r="Q342" s="28"/>
      <c r="R342" s="28"/>
      <c r="S342" s="28"/>
      <c r="T342" s="28"/>
      <c r="U342" s="3"/>
      <c r="W342" s="3"/>
      <c r="X342" s="3"/>
      <c r="Y342" s="3"/>
      <c r="Z342" s="3"/>
    </row>
    <row r="343" spans="1:26" ht="15.75" hidden="1" customHeight="1" outlineLevel="1" x14ac:dyDescent="0.3">
      <c r="A343" s="3"/>
      <c r="B343" s="9" t="s">
        <v>418</v>
      </c>
      <c r="C343" s="53"/>
      <c r="D343" s="53"/>
      <c r="E343" s="11">
        <v>0</v>
      </c>
      <c r="F343" s="11">
        <v>0</v>
      </c>
      <c r="G343" s="56"/>
      <c r="H343" s="56"/>
      <c r="I343" s="144"/>
      <c r="J343" s="56"/>
      <c r="K343" s="28"/>
      <c r="L343" s="28"/>
      <c r="M343" s="28"/>
      <c r="N343" s="28"/>
      <c r="O343" s="28"/>
      <c r="P343" s="28"/>
      <c r="Q343" s="28"/>
      <c r="R343" s="28"/>
      <c r="S343" s="28"/>
      <c r="T343" s="28"/>
      <c r="U343" s="3"/>
      <c r="W343" s="3"/>
      <c r="X343" s="3"/>
      <c r="Y343" s="3"/>
      <c r="Z343" s="3"/>
    </row>
    <row r="344" spans="1:26" ht="15.75" hidden="1" customHeight="1" outlineLevel="1" x14ac:dyDescent="0.3">
      <c r="A344" s="3"/>
      <c r="B344" s="9" t="s">
        <v>418</v>
      </c>
      <c r="C344" s="53"/>
      <c r="D344" s="53"/>
      <c r="E344" s="11">
        <v>0</v>
      </c>
      <c r="F344" s="11">
        <v>0</v>
      </c>
      <c r="G344" s="56"/>
      <c r="H344" s="56"/>
      <c r="I344" s="144"/>
      <c r="J344" s="56"/>
      <c r="K344" s="28"/>
      <c r="L344" s="28"/>
      <c r="M344" s="28"/>
      <c r="N344" s="28"/>
      <c r="O344" s="28"/>
      <c r="P344" s="28"/>
      <c r="Q344" s="28"/>
      <c r="R344" s="28"/>
      <c r="S344" s="28"/>
      <c r="T344" s="28"/>
      <c r="U344" s="3"/>
      <c r="W344" s="3"/>
      <c r="X344" s="3"/>
      <c r="Y344" s="3"/>
      <c r="Z344" s="3"/>
    </row>
    <row r="345" spans="1:26" ht="15.75" hidden="1" customHeight="1" outlineLevel="1" x14ac:dyDescent="0.3">
      <c r="A345" s="3"/>
      <c r="B345" s="9" t="s">
        <v>418</v>
      </c>
      <c r="C345" s="53"/>
      <c r="D345" s="53"/>
      <c r="E345" s="11">
        <v>0</v>
      </c>
      <c r="F345" s="11">
        <v>0</v>
      </c>
      <c r="G345" s="56"/>
      <c r="H345" s="56"/>
      <c r="I345" s="144"/>
      <c r="J345" s="56"/>
      <c r="K345" s="28"/>
      <c r="L345" s="28"/>
      <c r="M345" s="28"/>
      <c r="N345" s="28"/>
      <c r="O345" s="28"/>
      <c r="P345" s="28"/>
      <c r="Q345" s="28"/>
      <c r="R345" s="28"/>
      <c r="S345" s="28"/>
      <c r="T345" s="28"/>
      <c r="U345" s="3"/>
      <c r="W345" s="3"/>
      <c r="X345" s="3"/>
      <c r="Y345" s="3"/>
      <c r="Z345" s="3"/>
    </row>
    <row r="346" spans="1:26" ht="15.75" hidden="1" customHeight="1" outlineLevel="1" x14ac:dyDescent="0.3">
      <c r="A346" s="3"/>
      <c r="B346" s="9" t="s">
        <v>418</v>
      </c>
      <c r="C346" s="53"/>
      <c r="D346" s="53"/>
      <c r="E346" s="11">
        <v>0</v>
      </c>
      <c r="F346" s="11">
        <v>0</v>
      </c>
      <c r="G346" s="56"/>
      <c r="H346" s="56"/>
      <c r="I346" s="144"/>
      <c r="J346" s="56"/>
      <c r="K346" s="28"/>
      <c r="L346" s="28"/>
      <c r="M346" s="28"/>
      <c r="N346" s="28"/>
      <c r="O346" s="28"/>
      <c r="P346" s="28"/>
      <c r="Q346" s="28"/>
      <c r="R346" s="28"/>
      <c r="S346" s="28"/>
      <c r="T346" s="28"/>
      <c r="U346" s="3"/>
      <c r="W346" s="3"/>
      <c r="X346" s="3"/>
      <c r="Y346" s="3"/>
      <c r="Z346" s="3"/>
    </row>
    <row r="347" spans="1:26" ht="15.75" hidden="1" customHeight="1" outlineLevel="1" x14ac:dyDescent="0.3">
      <c r="A347" s="3"/>
      <c r="B347" s="9" t="s">
        <v>419</v>
      </c>
      <c r="C347" s="53"/>
      <c r="D347" s="53"/>
      <c r="E347" s="11">
        <v>0</v>
      </c>
      <c r="F347" s="11">
        <v>0</v>
      </c>
      <c r="G347" s="56"/>
      <c r="H347" s="56"/>
      <c r="I347" s="145"/>
      <c r="J347" s="56"/>
      <c r="K347" s="28"/>
      <c r="L347" s="28"/>
      <c r="M347" s="28"/>
      <c r="N347" s="28"/>
      <c r="O347" s="28"/>
      <c r="P347" s="28"/>
      <c r="Q347" s="28"/>
      <c r="R347" s="28"/>
      <c r="S347" s="28"/>
      <c r="T347" s="28"/>
      <c r="U347" s="3"/>
      <c r="W347" s="3"/>
      <c r="X347" s="3"/>
      <c r="Y347" s="3"/>
      <c r="Z347" s="3"/>
    </row>
    <row r="348" spans="1:26" ht="15.75" hidden="1" customHeight="1" outlineLevel="1" x14ac:dyDescent="0.3">
      <c r="A348" s="3"/>
      <c r="B348" s="9" t="s">
        <v>420</v>
      </c>
      <c r="C348" s="53"/>
      <c r="D348" s="53"/>
      <c r="E348" s="11">
        <v>0</v>
      </c>
      <c r="F348" s="11">
        <v>0</v>
      </c>
      <c r="G348" s="56"/>
      <c r="H348" s="56"/>
      <c r="I348" s="102"/>
      <c r="J348" s="56"/>
      <c r="K348" s="28"/>
      <c r="L348" s="28"/>
      <c r="M348" s="28"/>
      <c r="N348" s="28"/>
      <c r="O348" s="28"/>
      <c r="P348" s="28"/>
      <c r="Q348" s="28"/>
      <c r="R348" s="28"/>
      <c r="S348" s="28"/>
      <c r="T348" s="28"/>
      <c r="U348" s="3"/>
      <c r="W348" s="3"/>
      <c r="X348" s="3"/>
      <c r="Y348" s="3"/>
      <c r="Z348" s="3"/>
    </row>
    <row r="349" spans="1:26" ht="15.75" hidden="1" customHeight="1" outlineLevel="1" x14ac:dyDescent="0.3">
      <c r="A349" s="3"/>
      <c r="B349" s="9" t="s">
        <v>420</v>
      </c>
      <c r="C349" s="53"/>
      <c r="D349" s="53"/>
      <c r="E349" s="11">
        <v>0</v>
      </c>
      <c r="F349" s="11">
        <v>0</v>
      </c>
      <c r="G349" s="56"/>
      <c r="H349" s="56"/>
      <c r="I349" s="102"/>
      <c r="J349" s="56"/>
      <c r="K349" s="28"/>
      <c r="L349" s="28"/>
      <c r="M349" s="28"/>
      <c r="N349" s="28"/>
      <c r="O349" s="28"/>
      <c r="P349" s="28"/>
      <c r="Q349" s="28"/>
      <c r="R349" s="28"/>
      <c r="S349" s="28"/>
      <c r="T349" s="28"/>
      <c r="U349" s="3"/>
      <c r="W349" s="3"/>
      <c r="X349" s="3"/>
      <c r="Y349" s="3"/>
      <c r="Z349" s="3"/>
    </row>
    <row r="350" spans="1:26" ht="15.75" hidden="1" customHeight="1" outlineLevel="1" x14ac:dyDescent="0.3">
      <c r="A350" s="3"/>
      <c r="B350" s="9" t="s">
        <v>421</v>
      </c>
      <c r="C350" s="53"/>
      <c r="D350" s="53"/>
      <c r="E350" s="11">
        <v>0</v>
      </c>
      <c r="F350" s="11">
        <v>0</v>
      </c>
      <c r="G350" s="56"/>
      <c r="H350" s="56"/>
      <c r="I350" s="80"/>
      <c r="J350" s="56"/>
      <c r="K350" s="28"/>
      <c r="L350" s="28"/>
      <c r="M350" s="28"/>
      <c r="N350" s="28"/>
      <c r="O350" s="28"/>
      <c r="P350" s="28"/>
      <c r="Q350" s="28"/>
      <c r="R350" s="28"/>
      <c r="S350" s="28"/>
      <c r="T350" s="28"/>
      <c r="U350" s="3"/>
      <c r="W350" s="3"/>
      <c r="X350" s="3"/>
      <c r="Y350" s="3"/>
      <c r="Z350" s="3"/>
    </row>
    <row r="351" spans="1:26" ht="15.75" customHeight="1" outlineLevel="1" x14ac:dyDescent="0.3">
      <c r="A351" s="3"/>
      <c r="B351" s="9" t="s">
        <v>66</v>
      </c>
      <c r="C351" s="53">
        <v>18</v>
      </c>
      <c r="D351" s="53" t="s">
        <v>95</v>
      </c>
      <c r="E351" s="11">
        <v>0</v>
      </c>
      <c r="F351" s="11">
        <v>469.88</v>
      </c>
      <c r="G351" s="56" t="s">
        <v>2209</v>
      </c>
      <c r="H351" s="56" t="s">
        <v>37</v>
      </c>
      <c r="I351" s="102" t="s">
        <v>2210</v>
      </c>
      <c r="J351" s="56"/>
      <c r="K351" s="28"/>
      <c r="L351" s="28"/>
      <c r="M351" s="28"/>
      <c r="N351" s="28"/>
      <c r="O351" s="28"/>
      <c r="P351" s="28"/>
      <c r="Q351" s="28"/>
      <c r="R351" s="28"/>
      <c r="S351" s="28"/>
      <c r="T351" s="28"/>
      <c r="U351" s="3"/>
      <c r="W351" s="3"/>
      <c r="X351" s="3"/>
      <c r="Y351" s="3"/>
      <c r="Z351" s="3"/>
    </row>
    <row r="352" spans="1:26" ht="15.75" customHeight="1" x14ac:dyDescent="0.3">
      <c r="A352" s="3"/>
      <c r="B352" s="3"/>
      <c r="C352" s="28"/>
      <c r="D352" s="28"/>
      <c r="E352" s="28"/>
      <c r="F352" s="28"/>
      <c r="G352" s="89"/>
      <c r="H352" s="89"/>
      <c r="I352" s="90"/>
      <c r="J352" s="89"/>
      <c r="K352" s="28"/>
      <c r="L352" s="28"/>
      <c r="M352" s="28"/>
      <c r="N352" s="28"/>
      <c r="O352" s="28"/>
      <c r="P352" s="28"/>
      <c r="Q352" s="28"/>
      <c r="R352" s="28"/>
      <c r="S352" s="28"/>
      <c r="T352" s="28"/>
      <c r="U352" s="3"/>
    </row>
    <row r="353" spans="1:21" ht="14.25" customHeight="1" x14ac:dyDescent="0.3">
      <c r="A353" s="3"/>
      <c r="B353" s="3"/>
      <c r="C353" s="28"/>
      <c r="D353" s="28"/>
      <c r="E353" s="28"/>
      <c r="F353" s="28"/>
      <c r="G353" s="89"/>
      <c r="H353" s="89"/>
      <c r="I353" s="90"/>
      <c r="J353" s="89"/>
      <c r="K353" s="28"/>
      <c r="L353" s="28"/>
      <c r="M353" s="28"/>
      <c r="N353" s="28"/>
      <c r="O353" s="28"/>
      <c r="P353" s="28"/>
      <c r="Q353" s="28"/>
      <c r="R353" s="28"/>
      <c r="S353" s="28"/>
      <c r="T353" s="28"/>
      <c r="U353" s="3"/>
    </row>
    <row r="354" spans="1:21" ht="57" customHeight="1" x14ac:dyDescent="0.3">
      <c r="A354" s="3"/>
      <c r="B354" s="216" t="s">
        <v>2211</v>
      </c>
      <c r="C354" s="217"/>
      <c r="D354" s="217"/>
      <c r="E354" s="217"/>
      <c r="F354" s="217"/>
      <c r="G354" s="217"/>
      <c r="H354" s="217"/>
      <c r="I354" s="194"/>
      <c r="J354" s="89"/>
      <c r="K354" s="28"/>
      <c r="L354" s="28"/>
      <c r="M354" s="28"/>
      <c r="N354" s="28"/>
      <c r="O354" s="28"/>
      <c r="P354" s="28"/>
      <c r="Q354" s="28"/>
      <c r="R354" s="28"/>
      <c r="S354" s="28"/>
      <c r="T354" s="28"/>
      <c r="U354" s="3"/>
    </row>
    <row r="355" spans="1:21" ht="14.25" customHeight="1" x14ac:dyDescent="0.3">
      <c r="A355" s="3"/>
      <c r="B355" s="3"/>
      <c r="C355" s="28"/>
      <c r="D355" s="28"/>
      <c r="E355" s="28"/>
      <c r="F355" s="28"/>
      <c r="G355" s="89"/>
      <c r="H355" s="89"/>
      <c r="I355" s="90"/>
      <c r="J355" s="89"/>
      <c r="K355" s="28"/>
      <c r="L355" s="28"/>
      <c r="M355" s="28"/>
      <c r="N355" s="28"/>
      <c r="O355" s="28"/>
      <c r="P355" s="28"/>
      <c r="Q355" s="28"/>
      <c r="R355" s="28"/>
      <c r="S355" s="28"/>
      <c r="T355" s="28"/>
      <c r="U355" s="3"/>
    </row>
    <row r="356" spans="1:21" ht="14.25" customHeight="1" x14ac:dyDescent="0.3">
      <c r="A356" s="3"/>
      <c r="B356" s="3"/>
      <c r="C356" s="28"/>
      <c r="D356" s="28"/>
      <c r="E356" s="28"/>
      <c r="F356" s="28"/>
      <c r="G356" s="89"/>
      <c r="H356" s="89"/>
      <c r="I356" s="90"/>
      <c r="J356" s="89"/>
      <c r="K356" s="28"/>
      <c r="L356" s="28"/>
      <c r="M356" s="28"/>
      <c r="N356" s="28"/>
      <c r="O356" s="28"/>
      <c r="P356" s="28"/>
      <c r="Q356" s="28"/>
      <c r="R356" s="28"/>
      <c r="S356" s="28"/>
      <c r="T356" s="28"/>
      <c r="U356" s="3"/>
    </row>
    <row r="357" spans="1:21" ht="14.25" customHeight="1" x14ac:dyDescent="0.3">
      <c r="A357" s="3"/>
      <c r="B357" s="3"/>
      <c r="C357" s="28"/>
      <c r="D357" s="28"/>
      <c r="E357" s="28"/>
      <c r="F357" s="28"/>
      <c r="G357" s="89"/>
      <c r="H357" s="89"/>
      <c r="I357" s="90"/>
      <c r="J357" s="89"/>
      <c r="K357" s="28"/>
      <c r="L357" s="28"/>
      <c r="M357" s="28"/>
      <c r="N357" s="28"/>
      <c r="O357" s="28"/>
      <c r="P357" s="28"/>
      <c r="Q357" s="28"/>
      <c r="R357" s="28"/>
      <c r="S357" s="28"/>
      <c r="T357" s="28"/>
      <c r="U357" s="3"/>
    </row>
    <row r="358" spans="1:21" ht="14.25" customHeight="1" x14ac:dyDescent="0.3">
      <c r="A358" s="3"/>
      <c r="B358" s="3"/>
      <c r="C358" s="28"/>
      <c r="D358" s="28"/>
      <c r="E358" s="28"/>
      <c r="F358" s="28"/>
      <c r="G358" s="89"/>
      <c r="H358" s="89"/>
      <c r="I358" s="90"/>
      <c r="J358" s="89"/>
      <c r="K358" s="28"/>
      <c r="L358" s="28"/>
      <c r="M358" s="28"/>
      <c r="N358" s="28"/>
      <c r="O358" s="28"/>
      <c r="P358" s="28"/>
      <c r="Q358" s="28"/>
      <c r="R358" s="28"/>
      <c r="S358" s="28"/>
      <c r="T358" s="28"/>
      <c r="U358" s="3"/>
    </row>
    <row r="359" spans="1:21" ht="14.25" customHeight="1" x14ac:dyDescent="0.3">
      <c r="A359" s="3"/>
      <c r="B359" s="3"/>
      <c r="C359" s="28"/>
      <c r="D359" s="28"/>
      <c r="E359" s="28"/>
      <c r="F359" s="28"/>
      <c r="G359" s="89"/>
      <c r="H359" s="89"/>
      <c r="I359" s="90"/>
      <c r="J359" s="89"/>
      <c r="K359" s="28"/>
      <c r="L359" s="28"/>
      <c r="M359" s="28"/>
      <c r="N359" s="28"/>
      <c r="O359" s="28"/>
      <c r="P359" s="28"/>
      <c r="Q359" s="28"/>
      <c r="R359" s="28"/>
      <c r="S359" s="28"/>
      <c r="T359" s="28"/>
      <c r="U359" s="3"/>
    </row>
    <row r="360" spans="1:21" ht="14.25" customHeight="1" x14ac:dyDescent="0.3">
      <c r="A360" s="3"/>
      <c r="B360" s="3"/>
      <c r="C360" s="28"/>
      <c r="D360" s="28"/>
      <c r="E360" s="28"/>
      <c r="F360" s="28"/>
      <c r="G360" s="89"/>
      <c r="H360" s="89"/>
      <c r="I360" s="90"/>
      <c r="J360" s="89"/>
      <c r="K360" s="28"/>
      <c r="L360" s="28"/>
      <c r="M360" s="28"/>
      <c r="N360" s="28"/>
      <c r="O360" s="28"/>
      <c r="P360" s="28"/>
      <c r="Q360" s="28"/>
      <c r="R360" s="28"/>
      <c r="S360" s="28"/>
      <c r="T360" s="28"/>
      <c r="U360" s="3"/>
    </row>
    <row r="361" spans="1:21" ht="14.25" customHeight="1" x14ac:dyDescent="0.3">
      <c r="A361" s="3"/>
      <c r="B361" s="3"/>
      <c r="C361" s="28"/>
      <c r="D361" s="28"/>
      <c r="E361" s="28"/>
      <c r="F361" s="28"/>
      <c r="G361" s="89"/>
      <c r="H361" s="89"/>
      <c r="I361" s="90"/>
      <c r="J361" s="89"/>
      <c r="K361" s="28"/>
      <c r="L361" s="28"/>
      <c r="M361" s="28"/>
      <c r="N361" s="28"/>
      <c r="O361" s="28"/>
      <c r="P361" s="28"/>
      <c r="Q361" s="28"/>
      <c r="R361" s="28"/>
      <c r="S361" s="28"/>
      <c r="T361" s="28"/>
      <c r="U361" s="3"/>
    </row>
    <row r="362" spans="1:21" ht="14.25" customHeight="1" x14ac:dyDescent="0.3">
      <c r="A362" s="3"/>
      <c r="B362" s="3"/>
      <c r="C362" s="28"/>
      <c r="D362" s="28"/>
      <c r="E362" s="28"/>
      <c r="F362" s="28"/>
      <c r="G362" s="89"/>
      <c r="H362" s="89"/>
      <c r="I362" s="90"/>
      <c r="J362" s="89"/>
      <c r="K362" s="28"/>
      <c r="L362" s="28"/>
      <c r="M362" s="28"/>
      <c r="N362" s="28"/>
      <c r="O362" s="28"/>
      <c r="P362" s="28"/>
      <c r="Q362" s="28"/>
      <c r="R362" s="28"/>
      <c r="S362" s="28"/>
      <c r="T362" s="28"/>
      <c r="U362" s="3"/>
    </row>
    <row r="363" spans="1:21" ht="14.25" customHeight="1" x14ac:dyDescent="0.3">
      <c r="A363" s="3"/>
      <c r="B363" s="3"/>
      <c r="C363" s="28"/>
      <c r="D363" s="28"/>
      <c r="E363" s="28"/>
      <c r="F363" s="28"/>
      <c r="G363" s="89"/>
      <c r="H363" s="89"/>
      <c r="I363" s="90"/>
      <c r="J363" s="89"/>
      <c r="K363" s="28"/>
      <c r="L363" s="28"/>
      <c r="M363" s="28"/>
      <c r="N363" s="28"/>
      <c r="O363" s="28"/>
      <c r="P363" s="28"/>
      <c r="Q363" s="28"/>
      <c r="R363" s="28"/>
      <c r="S363" s="28"/>
      <c r="T363" s="28"/>
      <c r="U363" s="3"/>
    </row>
    <row r="364" spans="1:21" ht="14.25" customHeight="1" x14ac:dyDescent="0.3">
      <c r="A364" s="3"/>
      <c r="B364" s="3"/>
      <c r="C364" s="28"/>
      <c r="D364" s="28"/>
      <c r="E364" s="28"/>
      <c r="F364" s="28"/>
      <c r="G364" s="89"/>
      <c r="H364" s="89"/>
      <c r="I364" s="90"/>
      <c r="J364" s="89"/>
      <c r="K364" s="28"/>
      <c r="L364" s="28"/>
      <c r="M364" s="28"/>
      <c r="N364" s="28"/>
      <c r="O364" s="28"/>
      <c r="P364" s="28"/>
      <c r="Q364" s="28"/>
      <c r="R364" s="28"/>
      <c r="S364" s="28"/>
      <c r="T364" s="28"/>
      <c r="U364" s="3"/>
    </row>
    <row r="365" spans="1:21" ht="14.25" customHeight="1" x14ac:dyDescent="0.3">
      <c r="A365" s="3"/>
      <c r="B365" s="3"/>
      <c r="C365" s="28"/>
      <c r="D365" s="28"/>
      <c r="E365" s="28"/>
      <c r="F365" s="28"/>
      <c r="G365" s="89"/>
      <c r="H365" s="89"/>
      <c r="I365" s="90"/>
      <c r="J365" s="89"/>
      <c r="K365" s="28"/>
      <c r="L365" s="28"/>
      <c r="M365" s="28"/>
      <c r="N365" s="28"/>
      <c r="O365" s="28"/>
      <c r="P365" s="28"/>
      <c r="Q365" s="28"/>
      <c r="R365" s="28"/>
      <c r="S365" s="28"/>
      <c r="T365" s="28"/>
      <c r="U365" s="3"/>
    </row>
    <row r="366" spans="1:21" ht="14.25" customHeight="1" x14ac:dyDescent="0.3">
      <c r="A366" s="3"/>
      <c r="B366" s="3"/>
      <c r="C366" s="28"/>
      <c r="D366" s="28"/>
      <c r="E366" s="28"/>
      <c r="F366" s="28"/>
      <c r="G366" s="89"/>
      <c r="H366" s="89"/>
      <c r="I366" s="90"/>
      <c r="J366" s="89"/>
      <c r="K366" s="28"/>
      <c r="L366" s="28"/>
      <c r="M366" s="28"/>
      <c r="N366" s="28"/>
      <c r="O366" s="28"/>
      <c r="P366" s="28"/>
      <c r="Q366" s="28"/>
      <c r="R366" s="28"/>
      <c r="S366" s="28"/>
      <c r="T366" s="28"/>
      <c r="U366" s="3"/>
    </row>
    <row r="367" spans="1:21" ht="14.25" customHeight="1" x14ac:dyDescent="0.3">
      <c r="A367" s="3"/>
      <c r="B367" s="3"/>
      <c r="C367" s="28"/>
      <c r="D367" s="28"/>
      <c r="E367" s="28"/>
      <c r="F367" s="28"/>
      <c r="G367" s="89"/>
      <c r="H367" s="89"/>
      <c r="I367" s="90"/>
      <c r="J367" s="89"/>
      <c r="K367" s="28"/>
      <c r="L367" s="28"/>
      <c r="M367" s="28"/>
      <c r="N367" s="28"/>
      <c r="O367" s="28"/>
      <c r="P367" s="28"/>
      <c r="Q367" s="28"/>
      <c r="R367" s="28"/>
      <c r="S367" s="28"/>
      <c r="T367" s="28"/>
      <c r="U367" s="3"/>
    </row>
    <row r="368" spans="1:21" ht="14.25" customHeight="1" x14ac:dyDescent="0.3">
      <c r="A368" s="3"/>
      <c r="B368" s="3"/>
      <c r="C368" s="28"/>
      <c r="D368" s="28"/>
      <c r="E368" s="28"/>
      <c r="F368" s="28"/>
      <c r="G368" s="89"/>
      <c r="H368" s="89"/>
      <c r="I368" s="90"/>
      <c r="J368" s="89"/>
      <c r="K368" s="28"/>
      <c r="L368" s="28"/>
      <c r="M368" s="28"/>
      <c r="N368" s="28"/>
      <c r="O368" s="28"/>
      <c r="P368" s="28"/>
      <c r="Q368" s="28"/>
      <c r="R368" s="28"/>
      <c r="S368" s="28"/>
      <c r="T368" s="28"/>
      <c r="U368" s="3"/>
    </row>
    <row r="369" spans="1:21" ht="14.25" customHeight="1" x14ac:dyDescent="0.3">
      <c r="A369" s="3"/>
      <c r="B369" s="3"/>
      <c r="C369" s="28"/>
      <c r="D369" s="28"/>
      <c r="E369" s="28"/>
      <c r="F369" s="28"/>
      <c r="G369" s="89"/>
      <c r="H369" s="89"/>
      <c r="I369" s="90"/>
      <c r="J369" s="89"/>
      <c r="K369" s="28"/>
      <c r="L369" s="28"/>
      <c r="M369" s="28"/>
      <c r="N369" s="28"/>
      <c r="O369" s="28"/>
      <c r="P369" s="28"/>
      <c r="Q369" s="28"/>
      <c r="R369" s="28"/>
      <c r="S369" s="28"/>
      <c r="T369" s="28"/>
      <c r="U369" s="3"/>
    </row>
    <row r="370" spans="1:21" ht="14.25" customHeight="1" x14ac:dyDescent="0.3">
      <c r="A370" s="3"/>
      <c r="B370" s="3"/>
      <c r="C370" s="28"/>
      <c r="D370" s="28"/>
      <c r="E370" s="28"/>
      <c r="F370" s="28"/>
      <c r="G370" s="89"/>
      <c r="H370" s="89"/>
      <c r="I370" s="90"/>
      <c r="J370" s="89"/>
      <c r="K370" s="28"/>
      <c r="L370" s="28"/>
      <c r="M370" s="28"/>
      <c r="N370" s="28"/>
      <c r="O370" s="28"/>
      <c r="P370" s="28"/>
      <c r="Q370" s="28"/>
      <c r="R370" s="28"/>
      <c r="S370" s="28"/>
      <c r="T370" s="28"/>
      <c r="U370" s="3"/>
    </row>
    <row r="371" spans="1:21" ht="14.25" customHeight="1" x14ac:dyDescent="0.3">
      <c r="A371" s="3"/>
      <c r="B371" s="3"/>
      <c r="C371" s="28"/>
      <c r="D371" s="28"/>
      <c r="E371" s="28"/>
      <c r="F371" s="28"/>
      <c r="G371" s="89"/>
      <c r="H371" s="89"/>
      <c r="I371" s="90"/>
      <c r="J371" s="89"/>
      <c r="K371" s="28"/>
      <c r="L371" s="28"/>
      <c r="M371" s="28"/>
      <c r="N371" s="28"/>
      <c r="O371" s="28"/>
      <c r="P371" s="28"/>
      <c r="Q371" s="28"/>
      <c r="R371" s="28"/>
      <c r="S371" s="28"/>
      <c r="T371" s="28"/>
      <c r="U371" s="3"/>
    </row>
    <row r="372" spans="1:21" ht="14.25" customHeight="1" x14ac:dyDescent="0.3">
      <c r="A372" s="3"/>
      <c r="B372" s="3"/>
      <c r="C372" s="28"/>
      <c r="D372" s="28"/>
      <c r="E372" s="28"/>
      <c r="F372" s="28"/>
      <c r="G372" s="89"/>
      <c r="H372" s="89"/>
      <c r="I372" s="90"/>
      <c r="J372" s="89"/>
      <c r="K372" s="28"/>
      <c r="L372" s="28"/>
      <c r="M372" s="28"/>
      <c r="N372" s="28"/>
      <c r="O372" s="28"/>
      <c r="P372" s="28"/>
      <c r="Q372" s="28"/>
      <c r="R372" s="28"/>
      <c r="S372" s="28"/>
      <c r="T372" s="28"/>
      <c r="U372" s="3"/>
    </row>
    <row r="373" spans="1:21" ht="14.25" customHeight="1" x14ac:dyDescent="0.3">
      <c r="A373" s="3"/>
      <c r="B373" s="3"/>
      <c r="C373" s="28"/>
      <c r="D373" s="28"/>
      <c r="E373" s="28"/>
      <c r="F373" s="28"/>
      <c r="G373" s="89"/>
      <c r="H373" s="89"/>
      <c r="I373" s="90"/>
      <c r="J373" s="89"/>
      <c r="K373" s="28"/>
      <c r="L373" s="28"/>
      <c r="M373" s="28"/>
      <c r="N373" s="28"/>
      <c r="O373" s="28"/>
      <c r="P373" s="28"/>
      <c r="Q373" s="28"/>
      <c r="R373" s="28"/>
      <c r="S373" s="28"/>
      <c r="T373" s="28"/>
      <c r="U373" s="3"/>
    </row>
    <row r="374" spans="1:21" ht="14.25" customHeight="1" x14ac:dyDescent="0.3">
      <c r="A374" s="3"/>
      <c r="B374" s="3"/>
      <c r="C374" s="28"/>
      <c r="D374" s="28"/>
      <c r="E374" s="28"/>
      <c r="F374" s="28"/>
      <c r="G374" s="89"/>
      <c r="H374" s="89"/>
      <c r="I374" s="90"/>
      <c r="J374" s="89"/>
      <c r="K374" s="28"/>
      <c r="L374" s="28"/>
      <c r="M374" s="28"/>
      <c r="N374" s="28"/>
      <c r="O374" s="28"/>
      <c r="P374" s="28"/>
      <c r="Q374" s="28"/>
      <c r="R374" s="28"/>
      <c r="S374" s="28"/>
      <c r="T374" s="28"/>
      <c r="U374" s="3"/>
    </row>
    <row r="375" spans="1:21" ht="14.25" customHeight="1" x14ac:dyDescent="0.3">
      <c r="A375" s="3"/>
      <c r="B375" s="3"/>
      <c r="C375" s="28"/>
      <c r="D375" s="28"/>
      <c r="E375" s="28"/>
      <c r="F375" s="28"/>
      <c r="G375" s="89"/>
      <c r="H375" s="89"/>
      <c r="I375" s="90"/>
      <c r="J375" s="89"/>
      <c r="K375" s="28"/>
      <c r="L375" s="28"/>
      <c r="M375" s="28"/>
      <c r="N375" s="28"/>
      <c r="O375" s="28"/>
      <c r="P375" s="28"/>
      <c r="Q375" s="28"/>
      <c r="R375" s="28"/>
      <c r="S375" s="28"/>
      <c r="T375" s="28"/>
      <c r="U375" s="3"/>
    </row>
    <row r="376" spans="1:21" ht="14.25" customHeight="1" x14ac:dyDescent="0.3">
      <c r="A376" s="3"/>
      <c r="B376" s="3"/>
      <c r="C376" s="28"/>
      <c r="D376" s="28"/>
      <c r="E376" s="28"/>
      <c r="F376" s="28"/>
      <c r="G376" s="89"/>
      <c r="H376" s="89"/>
      <c r="I376" s="90"/>
      <c r="J376" s="89"/>
      <c r="K376" s="28"/>
      <c r="L376" s="28"/>
      <c r="M376" s="28"/>
      <c r="N376" s="28"/>
      <c r="O376" s="28"/>
      <c r="P376" s="28"/>
      <c r="Q376" s="28"/>
      <c r="R376" s="28"/>
      <c r="S376" s="28"/>
      <c r="T376" s="28"/>
      <c r="U376" s="3"/>
    </row>
    <row r="377" spans="1:21" ht="14.25" customHeight="1" x14ac:dyDescent="0.3">
      <c r="A377" s="3"/>
      <c r="B377" s="3"/>
      <c r="C377" s="28"/>
      <c r="D377" s="28"/>
      <c r="E377" s="28"/>
      <c r="F377" s="28"/>
      <c r="G377" s="89"/>
      <c r="H377" s="89"/>
      <c r="I377" s="90"/>
      <c r="J377" s="89"/>
      <c r="K377" s="28"/>
      <c r="L377" s="28"/>
      <c r="M377" s="28"/>
      <c r="N377" s="28"/>
      <c r="O377" s="28"/>
      <c r="P377" s="28"/>
      <c r="Q377" s="28"/>
      <c r="R377" s="28"/>
      <c r="S377" s="28"/>
      <c r="T377" s="28"/>
      <c r="U377" s="3"/>
    </row>
    <row r="378" spans="1:21" ht="14.25" customHeight="1" x14ac:dyDescent="0.3">
      <c r="A378" s="3"/>
      <c r="B378" s="3"/>
      <c r="C378" s="28"/>
      <c r="D378" s="28"/>
      <c r="E378" s="28"/>
      <c r="F378" s="28"/>
      <c r="G378" s="89"/>
      <c r="H378" s="89"/>
      <c r="I378" s="90"/>
      <c r="J378" s="89"/>
      <c r="K378" s="28"/>
      <c r="L378" s="28"/>
      <c r="M378" s="28"/>
      <c r="N378" s="28"/>
      <c r="O378" s="28"/>
      <c r="P378" s="28"/>
      <c r="Q378" s="28"/>
      <c r="R378" s="28"/>
      <c r="S378" s="28"/>
      <c r="T378" s="28"/>
      <c r="U378" s="3"/>
    </row>
    <row r="379" spans="1:21" ht="14.25" customHeight="1" x14ac:dyDescent="0.3">
      <c r="A379" s="3"/>
      <c r="B379" s="3"/>
      <c r="C379" s="28"/>
      <c r="D379" s="28"/>
      <c r="E379" s="28"/>
      <c r="F379" s="28"/>
      <c r="G379" s="89"/>
      <c r="H379" s="89"/>
      <c r="I379" s="90"/>
      <c r="J379" s="89"/>
      <c r="K379" s="28"/>
      <c r="L379" s="28"/>
      <c r="M379" s="28"/>
      <c r="N379" s="28"/>
      <c r="O379" s="28"/>
      <c r="P379" s="28"/>
      <c r="Q379" s="28"/>
      <c r="R379" s="28"/>
      <c r="S379" s="28"/>
      <c r="T379" s="28"/>
      <c r="U379" s="3"/>
    </row>
    <row r="380" spans="1:21" ht="14.25" customHeight="1" x14ac:dyDescent="0.3">
      <c r="A380" s="3"/>
      <c r="B380" s="3"/>
      <c r="C380" s="28"/>
      <c r="D380" s="28"/>
      <c r="E380" s="28"/>
      <c r="F380" s="28"/>
      <c r="G380" s="89"/>
      <c r="H380" s="89"/>
      <c r="I380" s="90"/>
      <c r="J380" s="89"/>
      <c r="K380" s="28"/>
      <c r="L380" s="28"/>
      <c r="M380" s="28"/>
      <c r="N380" s="28"/>
      <c r="O380" s="28"/>
      <c r="P380" s="28"/>
      <c r="Q380" s="28"/>
      <c r="R380" s="28"/>
      <c r="S380" s="28"/>
      <c r="T380" s="28"/>
      <c r="U380" s="3"/>
    </row>
    <row r="381" spans="1:21" ht="14.25" customHeight="1" x14ac:dyDescent="0.3">
      <c r="A381" s="3"/>
      <c r="B381" s="3"/>
      <c r="C381" s="28"/>
      <c r="D381" s="28"/>
      <c r="E381" s="28"/>
      <c r="F381" s="28"/>
      <c r="G381" s="89"/>
      <c r="H381" s="89"/>
      <c r="I381" s="90"/>
      <c r="J381" s="89"/>
      <c r="K381" s="28"/>
      <c r="L381" s="28"/>
      <c r="M381" s="28"/>
      <c r="N381" s="28"/>
      <c r="O381" s="28"/>
      <c r="P381" s="28"/>
      <c r="Q381" s="28"/>
      <c r="R381" s="28"/>
      <c r="S381" s="28"/>
      <c r="T381" s="28"/>
      <c r="U381" s="3"/>
    </row>
    <row r="382" spans="1:21" ht="14.25" customHeight="1" x14ac:dyDescent="0.3">
      <c r="A382" s="3"/>
      <c r="B382" s="3"/>
      <c r="C382" s="28"/>
      <c r="D382" s="28"/>
      <c r="E382" s="28"/>
      <c r="F382" s="28"/>
      <c r="G382" s="89"/>
      <c r="H382" s="89"/>
      <c r="I382" s="90"/>
      <c r="J382" s="89"/>
      <c r="K382" s="28"/>
      <c r="L382" s="28"/>
      <c r="M382" s="28"/>
      <c r="N382" s="28"/>
      <c r="O382" s="28"/>
      <c r="P382" s="28"/>
      <c r="Q382" s="28"/>
      <c r="R382" s="28"/>
      <c r="S382" s="28"/>
      <c r="T382" s="28"/>
      <c r="U382" s="3"/>
    </row>
    <row r="383" spans="1:21" ht="14.25" customHeight="1" x14ac:dyDescent="0.3">
      <c r="A383" s="3"/>
      <c r="B383" s="3"/>
      <c r="C383" s="28"/>
      <c r="D383" s="28"/>
      <c r="E383" s="28"/>
      <c r="F383" s="28"/>
      <c r="G383" s="89"/>
      <c r="H383" s="89"/>
      <c r="I383" s="90"/>
      <c r="J383" s="89"/>
      <c r="K383" s="28"/>
      <c r="L383" s="28"/>
      <c r="M383" s="28"/>
      <c r="N383" s="28"/>
      <c r="O383" s="28"/>
      <c r="P383" s="28"/>
      <c r="Q383" s="28"/>
      <c r="R383" s="28"/>
      <c r="S383" s="28"/>
      <c r="T383" s="28"/>
      <c r="U383" s="3"/>
    </row>
    <row r="384" spans="1:21" ht="14.25" customHeight="1" x14ac:dyDescent="0.3">
      <c r="A384" s="3"/>
      <c r="B384" s="3"/>
      <c r="C384" s="28"/>
      <c r="D384" s="28"/>
      <c r="E384" s="28"/>
      <c r="F384" s="28"/>
      <c r="G384" s="89"/>
      <c r="H384" s="89"/>
      <c r="I384" s="90"/>
      <c r="J384" s="89"/>
      <c r="K384" s="28"/>
      <c r="L384" s="28"/>
      <c r="M384" s="28"/>
      <c r="N384" s="28"/>
      <c r="O384" s="28"/>
      <c r="P384" s="28"/>
      <c r="Q384" s="28"/>
      <c r="R384" s="28"/>
      <c r="S384" s="28"/>
      <c r="T384" s="28"/>
      <c r="U384" s="3"/>
    </row>
    <row r="385" spans="1:21" ht="14.25" customHeight="1" x14ac:dyDescent="0.3">
      <c r="A385" s="3"/>
      <c r="B385" s="3"/>
      <c r="C385" s="28"/>
      <c r="D385" s="28"/>
      <c r="E385" s="28"/>
      <c r="F385" s="28"/>
      <c r="G385" s="89"/>
      <c r="H385" s="89"/>
      <c r="I385" s="90"/>
      <c r="J385" s="89"/>
      <c r="K385" s="28"/>
      <c r="L385" s="28"/>
      <c r="M385" s="28"/>
      <c r="N385" s="28"/>
      <c r="O385" s="28"/>
      <c r="P385" s="28"/>
      <c r="Q385" s="28"/>
      <c r="R385" s="28"/>
      <c r="S385" s="28"/>
      <c r="T385" s="28"/>
      <c r="U385" s="3"/>
    </row>
    <row r="386" spans="1:21" ht="14.25" customHeight="1" x14ac:dyDescent="0.3">
      <c r="A386" s="3"/>
      <c r="B386" s="3"/>
      <c r="C386" s="28"/>
      <c r="D386" s="28"/>
      <c r="E386" s="28"/>
      <c r="F386" s="28"/>
      <c r="G386" s="89"/>
      <c r="H386" s="89"/>
      <c r="I386" s="90"/>
      <c r="J386" s="89"/>
      <c r="K386" s="28"/>
      <c r="L386" s="28"/>
      <c r="M386" s="28"/>
      <c r="N386" s="28"/>
      <c r="O386" s="28"/>
      <c r="P386" s="28"/>
      <c r="Q386" s="28"/>
      <c r="R386" s="28"/>
      <c r="S386" s="28"/>
      <c r="T386" s="28"/>
      <c r="U386" s="3"/>
    </row>
    <row r="387" spans="1:21" ht="14.25" customHeight="1" x14ac:dyDescent="0.3">
      <c r="A387" s="3"/>
      <c r="B387" s="3"/>
      <c r="C387" s="28"/>
      <c r="D387" s="28"/>
      <c r="E387" s="28"/>
      <c r="F387" s="28"/>
      <c r="G387" s="89"/>
      <c r="H387" s="89"/>
      <c r="I387" s="90"/>
      <c r="J387" s="89"/>
      <c r="K387" s="28"/>
      <c r="L387" s="28"/>
      <c r="M387" s="28"/>
      <c r="N387" s="28"/>
      <c r="O387" s="28"/>
      <c r="P387" s="28"/>
      <c r="Q387" s="28"/>
      <c r="R387" s="28"/>
      <c r="S387" s="28"/>
      <c r="T387" s="28"/>
      <c r="U387" s="3"/>
    </row>
    <row r="388" spans="1:21" ht="14.25" customHeight="1" x14ac:dyDescent="0.3">
      <c r="A388" s="3"/>
      <c r="B388" s="3"/>
      <c r="C388" s="28"/>
      <c r="D388" s="28"/>
      <c r="E388" s="28"/>
      <c r="F388" s="28"/>
      <c r="G388" s="89"/>
      <c r="H388" s="89"/>
      <c r="I388" s="90"/>
      <c r="J388" s="89"/>
      <c r="K388" s="28"/>
      <c r="L388" s="28"/>
      <c r="M388" s="28"/>
      <c r="N388" s="28"/>
      <c r="O388" s="28"/>
      <c r="P388" s="28"/>
      <c r="Q388" s="28"/>
      <c r="R388" s="28"/>
      <c r="S388" s="28"/>
      <c r="T388" s="28"/>
      <c r="U388" s="3"/>
    </row>
    <row r="389" spans="1:21" ht="14.25" customHeight="1" x14ac:dyDescent="0.3">
      <c r="A389" s="3"/>
      <c r="B389" s="3"/>
      <c r="C389" s="28"/>
      <c r="D389" s="28"/>
      <c r="E389" s="28"/>
      <c r="F389" s="28"/>
      <c r="G389" s="89"/>
      <c r="H389" s="89"/>
      <c r="I389" s="90"/>
      <c r="J389" s="89"/>
      <c r="K389" s="28"/>
      <c r="L389" s="28"/>
      <c r="M389" s="28"/>
      <c r="N389" s="28"/>
      <c r="O389" s="28"/>
      <c r="P389" s="28"/>
      <c r="Q389" s="28"/>
      <c r="R389" s="28"/>
      <c r="S389" s="28"/>
      <c r="T389" s="28"/>
      <c r="U389" s="3"/>
    </row>
    <row r="390" spans="1:21" ht="14.25" customHeight="1" x14ac:dyDescent="0.3">
      <c r="A390" s="3"/>
      <c r="B390" s="3"/>
      <c r="C390" s="28"/>
      <c r="D390" s="28"/>
      <c r="E390" s="28"/>
      <c r="F390" s="28"/>
      <c r="G390" s="89"/>
      <c r="H390" s="89"/>
      <c r="I390" s="90"/>
      <c r="J390" s="89"/>
      <c r="K390" s="28"/>
      <c r="L390" s="28"/>
      <c r="M390" s="28"/>
      <c r="N390" s="28"/>
      <c r="O390" s="28"/>
      <c r="P390" s="28"/>
      <c r="Q390" s="28"/>
      <c r="R390" s="28"/>
      <c r="S390" s="28"/>
      <c r="T390" s="28"/>
      <c r="U390" s="3"/>
    </row>
    <row r="391" spans="1:21" ht="14.25" customHeight="1" x14ac:dyDescent="0.3">
      <c r="A391" s="3"/>
      <c r="B391" s="3"/>
      <c r="C391" s="28"/>
      <c r="D391" s="28"/>
      <c r="E391" s="28"/>
      <c r="F391" s="28"/>
      <c r="G391" s="89"/>
      <c r="H391" s="89"/>
      <c r="I391" s="90"/>
      <c r="J391" s="89"/>
      <c r="K391" s="28"/>
      <c r="L391" s="28"/>
      <c r="M391" s="28"/>
      <c r="N391" s="28"/>
      <c r="O391" s="28"/>
      <c r="P391" s="28"/>
      <c r="Q391" s="28"/>
      <c r="R391" s="28"/>
      <c r="S391" s="28"/>
      <c r="T391" s="28"/>
      <c r="U391" s="3"/>
    </row>
    <row r="392" spans="1:21" ht="14.25" customHeight="1" x14ac:dyDescent="0.3">
      <c r="A392" s="3"/>
      <c r="B392" s="3"/>
      <c r="C392" s="28"/>
      <c r="D392" s="28"/>
      <c r="E392" s="28"/>
      <c r="F392" s="28"/>
      <c r="G392" s="89"/>
      <c r="H392" s="89"/>
      <c r="I392" s="90"/>
      <c r="J392" s="89"/>
      <c r="K392" s="28"/>
      <c r="L392" s="28"/>
      <c r="M392" s="28"/>
      <c r="N392" s="28"/>
      <c r="O392" s="28"/>
      <c r="P392" s="28"/>
      <c r="Q392" s="28"/>
      <c r="R392" s="28"/>
      <c r="S392" s="28"/>
      <c r="T392" s="28"/>
      <c r="U392" s="3"/>
    </row>
    <row r="393" spans="1:21" ht="14.25" customHeight="1" x14ac:dyDescent="0.3">
      <c r="A393" s="3"/>
      <c r="B393" s="3"/>
      <c r="C393" s="28"/>
      <c r="D393" s="28"/>
      <c r="E393" s="28"/>
      <c r="F393" s="28"/>
      <c r="G393" s="89"/>
      <c r="H393" s="89"/>
      <c r="I393" s="90"/>
      <c r="J393" s="89"/>
      <c r="K393" s="28"/>
      <c r="L393" s="28"/>
      <c r="M393" s="28"/>
      <c r="N393" s="28"/>
      <c r="O393" s="28"/>
      <c r="P393" s="28"/>
      <c r="Q393" s="28"/>
      <c r="R393" s="28"/>
      <c r="S393" s="28"/>
      <c r="T393" s="28"/>
      <c r="U393" s="3"/>
    </row>
    <row r="394" spans="1:21" ht="14.25" customHeight="1" x14ac:dyDescent="0.3">
      <c r="A394" s="3"/>
      <c r="B394" s="3"/>
      <c r="C394" s="28"/>
      <c r="D394" s="28"/>
      <c r="E394" s="28"/>
      <c r="F394" s="28"/>
      <c r="G394" s="89"/>
      <c r="H394" s="89"/>
      <c r="I394" s="90"/>
      <c r="J394" s="89"/>
      <c r="K394" s="28"/>
      <c r="L394" s="28"/>
      <c r="M394" s="28"/>
      <c r="N394" s="28"/>
      <c r="O394" s="28"/>
      <c r="P394" s="28"/>
      <c r="Q394" s="28"/>
      <c r="R394" s="28"/>
      <c r="S394" s="28"/>
      <c r="T394" s="28"/>
      <c r="U394" s="3"/>
    </row>
    <row r="395" spans="1:21" ht="14.25" customHeight="1" x14ac:dyDescent="0.3">
      <c r="A395" s="3"/>
      <c r="B395" s="3"/>
      <c r="C395" s="28"/>
      <c r="D395" s="28"/>
      <c r="E395" s="28"/>
      <c r="F395" s="28"/>
      <c r="G395" s="89"/>
      <c r="H395" s="89"/>
      <c r="I395" s="90"/>
      <c r="J395" s="89"/>
      <c r="K395" s="28"/>
      <c r="L395" s="28"/>
      <c r="M395" s="28"/>
      <c r="N395" s="28"/>
      <c r="O395" s="28"/>
      <c r="P395" s="28"/>
      <c r="Q395" s="28"/>
      <c r="R395" s="28"/>
      <c r="S395" s="28"/>
      <c r="T395" s="28"/>
      <c r="U395" s="3"/>
    </row>
    <row r="396" spans="1:21" ht="14.25" customHeight="1" x14ac:dyDescent="0.3">
      <c r="A396" s="3"/>
      <c r="B396" s="3"/>
      <c r="C396" s="28"/>
      <c r="D396" s="28"/>
      <c r="E396" s="28"/>
      <c r="F396" s="28"/>
      <c r="G396" s="89"/>
      <c r="H396" s="89"/>
      <c r="I396" s="90"/>
      <c r="J396" s="89"/>
      <c r="K396" s="28"/>
      <c r="L396" s="28"/>
      <c r="M396" s="28"/>
      <c r="N396" s="28"/>
      <c r="O396" s="28"/>
      <c r="P396" s="28"/>
      <c r="Q396" s="28"/>
      <c r="R396" s="28"/>
      <c r="S396" s="28"/>
      <c r="T396" s="28"/>
      <c r="U396" s="3"/>
    </row>
    <row r="397" spans="1:21" ht="14.25" customHeight="1" x14ac:dyDescent="0.3">
      <c r="A397" s="3"/>
      <c r="B397" s="3"/>
      <c r="C397" s="28"/>
      <c r="D397" s="28"/>
      <c r="E397" s="28"/>
      <c r="F397" s="28"/>
      <c r="G397" s="89"/>
      <c r="H397" s="89"/>
      <c r="I397" s="90"/>
      <c r="J397" s="89"/>
      <c r="K397" s="28"/>
      <c r="L397" s="28"/>
      <c r="M397" s="28"/>
      <c r="N397" s="28"/>
      <c r="O397" s="28"/>
      <c r="P397" s="28"/>
      <c r="Q397" s="28"/>
      <c r="R397" s="28"/>
      <c r="S397" s="28"/>
      <c r="T397" s="28"/>
      <c r="U397" s="3"/>
    </row>
    <row r="398" spans="1:21" ht="14.25" customHeight="1" x14ac:dyDescent="0.3">
      <c r="A398" s="3"/>
      <c r="B398" s="3"/>
      <c r="C398" s="28"/>
      <c r="D398" s="28"/>
      <c r="E398" s="28"/>
      <c r="F398" s="28"/>
      <c r="G398" s="89"/>
      <c r="H398" s="89"/>
      <c r="I398" s="90"/>
      <c r="J398" s="89"/>
      <c r="K398" s="28"/>
      <c r="L398" s="28"/>
      <c r="M398" s="28"/>
      <c r="N398" s="28"/>
      <c r="O398" s="28"/>
      <c r="P398" s="28"/>
      <c r="Q398" s="28"/>
      <c r="R398" s="28"/>
      <c r="S398" s="28"/>
      <c r="T398" s="28"/>
      <c r="U398" s="3"/>
    </row>
    <row r="399" spans="1:21" ht="14.25" customHeight="1" x14ac:dyDescent="0.3">
      <c r="A399" s="3"/>
      <c r="B399" s="3"/>
      <c r="C399" s="28"/>
      <c r="D399" s="28"/>
      <c r="E399" s="28"/>
      <c r="F399" s="28"/>
      <c r="G399" s="89"/>
      <c r="H399" s="89"/>
      <c r="I399" s="90"/>
      <c r="J399" s="89"/>
      <c r="K399" s="28"/>
      <c r="L399" s="28"/>
      <c r="M399" s="28"/>
      <c r="N399" s="28"/>
      <c r="O399" s="28"/>
      <c r="P399" s="28"/>
      <c r="Q399" s="28"/>
      <c r="R399" s="28"/>
      <c r="S399" s="28"/>
      <c r="T399" s="28"/>
      <c r="U399" s="3"/>
    </row>
    <row r="400" spans="1:21" ht="14.25" customHeight="1" x14ac:dyDescent="0.3">
      <c r="A400" s="3"/>
      <c r="B400" s="3"/>
      <c r="C400" s="28"/>
      <c r="D400" s="28"/>
      <c r="E400" s="28"/>
      <c r="F400" s="28"/>
      <c r="G400" s="89"/>
      <c r="H400" s="89"/>
      <c r="I400" s="90"/>
      <c r="J400" s="89"/>
      <c r="K400" s="28"/>
      <c r="L400" s="28"/>
      <c r="M400" s="28"/>
      <c r="N400" s="28"/>
      <c r="O400" s="28"/>
      <c r="P400" s="28"/>
      <c r="Q400" s="28"/>
      <c r="R400" s="28"/>
      <c r="S400" s="28"/>
      <c r="T400" s="28"/>
      <c r="U400" s="3"/>
    </row>
    <row r="401" spans="1:21" ht="14.25" customHeight="1" x14ac:dyDescent="0.3">
      <c r="A401" s="3"/>
      <c r="B401" s="3"/>
      <c r="C401" s="28"/>
      <c r="D401" s="28"/>
      <c r="E401" s="28"/>
      <c r="F401" s="28"/>
      <c r="G401" s="89"/>
      <c r="H401" s="89"/>
      <c r="I401" s="90"/>
      <c r="J401" s="89"/>
      <c r="K401" s="28"/>
      <c r="L401" s="28"/>
      <c r="M401" s="28"/>
      <c r="N401" s="28"/>
      <c r="O401" s="28"/>
      <c r="P401" s="28"/>
      <c r="Q401" s="28"/>
      <c r="R401" s="28"/>
      <c r="S401" s="28"/>
      <c r="T401" s="28"/>
      <c r="U401" s="3"/>
    </row>
    <row r="402" spans="1:21" ht="14.25" customHeight="1" x14ac:dyDescent="0.3">
      <c r="A402" s="3"/>
      <c r="B402" s="3"/>
      <c r="C402" s="28"/>
      <c r="D402" s="28"/>
      <c r="E402" s="28"/>
      <c r="F402" s="28"/>
      <c r="G402" s="89"/>
      <c r="H402" s="89"/>
      <c r="I402" s="90"/>
      <c r="J402" s="89"/>
      <c r="K402" s="28"/>
      <c r="L402" s="28"/>
      <c r="M402" s="28"/>
      <c r="N402" s="28"/>
      <c r="O402" s="28"/>
      <c r="P402" s="28"/>
      <c r="Q402" s="28"/>
      <c r="R402" s="28"/>
      <c r="S402" s="28"/>
      <c r="T402" s="28"/>
      <c r="U402" s="3"/>
    </row>
    <row r="403" spans="1:21" ht="14.25" customHeight="1" x14ac:dyDescent="0.3">
      <c r="A403" s="3"/>
      <c r="B403" s="3"/>
      <c r="C403" s="28"/>
      <c r="D403" s="28"/>
      <c r="E403" s="28"/>
      <c r="F403" s="28"/>
      <c r="G403" s="89"/>
      <c r="H403" s="89"/>
      <c r="I403" s="90"/>
      <c r="J403" s="89"/>
      <c r="K403" s="28"/>
      <c r="L403" s="28"/>
      <c r="M403" s="28"/>
      <c r="N403" s="28"/>
      <c r="O403" s="28"/>
      <c r="P403" s="28"/>
      <c r="Q403" s="28"/>
      <c r="R403" s="28"/>
      <c r="S403" s="28"/>
      <c r="T403" s="28"/>
      <c r="U403" s="3"/>
    </row>
    <row r="404" spans="1:21" ht="14.25" customHeight="1" x14ac:dyDescent="0.3">
      <c r="A404" s="3"/>
      <c r="B404" s="3"/>
      <c r="C404" s="28"/>
      <c r="D404" s="28"/>
      <c r="E404" s="28"/>
      <c r="F404" s="28"/>
      <c r="G404" s="89"/>
      <c r="H404" s="89"/>
      <c r="I404" s="90"/>
      <c r="J404" s="89"/>
      <c r="K404" s="28"/>
      <c r="L404" s="28"/>
      <c r="M404" s="28"/>
      <c r="N404" s="28"/>
      <c r="O404" s="28"/>
      <c r="P404" s="28"/>
      <c r="Q404" s="28"/>
      <c r="R404" s="28"/>
      <c r="S404" s="28"/>
      <c r="T404" s="28"/>
      <c r="U404" s="3"/>
    </row>
    <row r="405" spans="1:21" ht="14.25" customHeight="1" x14ac:dyDescent="0.3">
      <c r="A405" s="3"/>
      <c r="B405" s="3"/>
      <c r="C405" s="28"/>
      <c r="D405" s="28"/>
      <c r="E405" s="28"/>
      <c r="F405" s="28"/>
      <c r="G405" s="89"/>
      <c r="H405" s="89"/>
      <c r="I405" s="90"/>
      <c r="J405" s="89"/>
      <c r="K405" s="28"/>
      <c r="L405" s="28"/>
      <c r="M405" s="28"/>
      <c r="N405" s="28"/>
      <c r="O405" s="28"/>
      <c r="P405" s="28"/>
      <c r="Q405" s="28"/>
      <c r="R405" s="28"/>
      <c r="S405" s="28"/>
      <c r="T405" s="28"/>
      <c r="U405" s="3"/>
    </row>
    <row r="406" spans="1:21" ht="14.25" customHeight="1" x14ac:dyDescent="0.3">
      <c r="A406" s="3"/>
      <c r="B406" s="3"/>
      <c r="C406" s="28"/>
      <c r="D406" s="28"/>
      <c r="E406" s="28"/>
      <c r="F406" s="28"/>
      <c r="G406" s="89"/>
      <c r="H406" s="89"/>
      <c r="I406" s="90"/>
      <c r="J406" s="89"/>
      <c r="K406" s="28"/>
      <c r="L406" s="28"/>
      <c r="M406" s="28"/>
      <c r="N406" s="28"/>
      <c r="O406" s="28"/>
      <c r="P406" s="28"/>
      <c r="Q406" s="28"/>
      <c r="R406" s="28"/>
      <c r="S406" s="28"/>
      <c r="T406" s="28"/>
      <c r="U406" s="3"/>
    </row>
    <row r="407" spans="1:21" ht="14.25" customHeight="1" x14ac:dyDescent="0.3">
      <c r="A407" s="3"/>
      <c r="B407" s="3"/>
      <c r="C407" s="28"/>
      <c r="D407" s="28"/>
      <c r="E407" s="28"/>
      <c r="F407" s="28"/>
      <c r="G407" s="89"/>
      <c r="H407" s="89"/>
      <c r="I407" s="90"/>
      <c r="J407" s="89"/>
      <c r="K407" s="28"/>
      <c r="L407" s="28"/>
      <c r="M407" s="28"/>
      <c r="N407" s="28"/>
      <c r="O407" s="28"/>
      <c r="P407" s="28"/>
      <c r="Q407" s="28"/>
      <c r="R407" s="28"/>
      <c r="S407" s="28"/>
      <c r="T407" s="28"/>
      <c r="U407" s="3"/>
    </row>
    <row r="408" spans="1:21" ht="14.25" customHeight="1" x14ac:dyDescent="0.3">
      <c r="A408" s="3"/>
      <c r="B408" s="3"/>
      <c r="C408" s="28"/>
      <c r="D408" s="28"/>
      <c r="E408" s="28"/>
      <c r="F408" s="28"/>
      <c r="G408" s="89"/>
      <c r="H408" s="89"/>
      <c r="I408" s="90"/>
      <c r="J408" s="89"/>
      <c r="K408" s="28"/>
      <c r="L408" s="28"/>
      <c r="M408" s="28"/>
      <c r="N408" s="28"/>
      <c r="O408" s="28"/>
      <c r="P408" s="28"/>
      <c r="Q408" s="28"/>
      <c r="R408" s="28"/>
      <c r="S408" s="28"/>
      <c r="T408" s="28"/>
      <c r="U408" s="3"/>
    </row>
    <row r="409" spans="1:21" ht="14.25" customHeight="1" x14ac:dyDescent="0.3">
      <c r="A409" s="3"/>
      <c r="B409" s="3"/>
      <c r="C409" s="28"/>
      <c r="D409" s="28"/>
      <c r="E409" s="28"/>
      <c r="F409" s="28"/>
      <c r="G409" s="89"/>
      <c r="H409" s="89"/>
      <c r="I409" s="90"/>
      <c r="J409" s="89"/>
      <c r="K409" s="28"/>
      <c r="L409" s="28"/>
      <c r="M409" s="28"/>
      <c r="N409" s="28"/>
      <c r="O409" s="28"/>
      <c r="P409" s="28"/>
      <c r="Q409" s="28"/>
      <c r="R409" s="28"/>
      <c r="S409" s="28"/>
      <c r="T409" s="28"/>
      <c r="U409" s="3"/>
    </row>
    <row r="410" spans="1:21" ht="14.25" customHeight="1" x14ac:dyDescent="0.3">
      <c r="A410" s="3"/>
      <c r="B410" s="3"/>
      <c r="C410" s="28"/>
      <c r="D410" s="28"/>
      <c r="E410" s="28"/>
      <c r="F410" s="28"/>
      <c r="G410" s="89"/>
      <c r="H410" s="89"/>
      <c r="I410" s="90"/>
      <c r="J410" s="89"/>
      <c r="K410" s="28"/>
      <c r="L410" s="28"/>
      <c r="M410" s="28"/>
      <c r="N410" s="28"/>
      <c r="O410" s="28"/>
      <c r="P410" s="28"/>
      <c r="Q410" s="28"/>
      <c r="R410" s="28"/>
      <c r="S410" s="28"/>
      <c r="T410" s="28"/>
      <c r="U410" s="3"/>
    </row>
    <row r="411" spans="1:21" ht="14.25" customHeight="1" x14ac:dyDescent="0.3">
      <c r="A411" s="3"/>
      <c r="B411" s="3"/>
      <c r="C411" s="28"/>
      <c r="D411" s="28"/>
      <c r="E411" s="28"/>
      <c r="F411" s="28"/>
      <c r="G411" s="89"/>
      <c r="H411" s="89"/>
      <c r="I411" s="90"/>
      <c r="J411" s="89"/>
      <c r="K411" s="28"/>
      <c r="L411" s="28"/>
      <c r="M411" s="28"/>
      <c r="N411" s="28"/>
      <c r="O411" s="28"/>
      <c r="P411" s="28"/>
      <c r="Q411" s="28"/>
      <c r="R411" s="28"/>
      <c r="S411" s="28"/>
      <c r="T411" s="28"/>
      <c r="U411" s="3"/>
    </row>
    <row r="412" spans="1:21" ht="14.25" customHeight="1" x14ac:dyDescent="0.3">
      <c r="A412" s="3"/>
      <c r="B412" s="3"/>
      <c r="C412" s="28"/>
      <c r="D412" s="28"/>
      <c r="E412" s="28"/>
      <c r="F412" s="28"/>
      <c r="G412" s="89"/>
      <c r="H412" s="89"/>
      <c r="I412" s="90"/>
      <c r="J412" s="89"/>
      <c r="K412" s="28"/>
      <c r="L412" s="28"/>
      <c r="M412" s="28"/>
      <c r="N412" s="28"/>
      <c r="O412" s="28"/>
      <c r="P412" s="28"/>
      <c r="Q412" s="28"/>
      <c r="R412" s="28"/>
      <c r="S412" s="28"/>
      <c r="T412" s="28"/>
      <c r="U412" s="3"/>
    </row>
    <row r="413" spans="1:21" ht="14.25" customHeight="1" x14ac:dyDescent="0.3">
      <c r="A413" s="3"/>
      <c r="B413" s="3"/>
      <c r="C413" s="28"/>
      <c r="D413" s="28"/>
      <c r="E413" s="28"/>
      <c r="F413" s="28"/>
      <c r="G413" s="89"/>
      <c r="H413" s="89"/>
      <c r="I413" s="90"/>
      <c r="J413" s="89"/>
      <c r="K413" s="28"/>
      <c r="L413" s="28"/>
      <c r="M413" s="28"/>
      <c r="N413" s="28"/>
      <c r="O413" s="28"/>
      <c r="P413" s="28"/>
      <c r="Q413" s="28"/>
      <c r="R413" s="28"/>
      <c r="S413" s="28"/>
      <c r="T413" s="28"/>
      <c r="U413" s="3"/>
    </row>
    <row r="414" spans="1:21" ht="14.25" customHeight="1" x14ac:dyDescent="0.3">
      <c r="A414" s="3"/>
      <c r="B414" s="3"/>
      <c r="C414" s="28"/>
      <c r="D414" s="28"/>
      <c r="E414" s="28"/>
      <c r="F414" s="28"/>
      <c r="G414" s="89"/>
      <c r="H414" s="89"/>
      <c r="I414" s="90"/>
      <c r="J414" s="89"/>
      <c r="K414" s="28"/>
      <c r="L414" s="28"/>
      <c r="M414" s="28"/>
      <c r="N414" s="28"/>
      <c r="O414" s="28"/>
      <c r="P414" s="28"/>
      <c r="Q414" s="28"/>
      <c r="R414" s="28"/>
      <c r="S414" s="28"/>
      <c r="T414" s="28"/>
      <c r="U414" s="3"/>
    </row>
    <row r="415" spans="1:21" ht="14.25" customHeight="1" x14ac:dyDescent="0.3">
      <c r="A415" s="3"/>
      <c r="B415" s="3"/>
      <c r="C415" s="28"/>
      <c r="D415" s="28"/>
      <c r="E415" s="28"/>
      <c r="F415" s="28"/>
      <c r="G415" s="89"/>
      <c r="H415" s="89"/>
      <c r="I415" s="90"/>
      <c r="J415" s="89"/>
      <c r="K415" s="28"/>
      <c r="L415" s="28"/>
      <c r="M415" s="28"/>
      <c r="N415" s="28"/>
      <c r="O415" s="28"/>
      <c r="P415" s="28"/>
      <c r="Q415" s="28"/>
      <c r="R415" s="28"/>
      <c r="S415" s="28"/>
      <c r="T415" s="28"/>
      <c r="U415" s="3"/>
    </row>
    <row r="416" spans="1:21" ht="14.25" customHeight="1" x14ac:dyDescent="0.3">
      <c r="A416" s="3"/>
      <c r="B416" s="3"/>
      <c r="C416" s="28"/>
      <c r="D416" s="28"/>
      <c r="E416" s="28"/>
      <c r="F416" s="28"/>
      <c r="G416" s="89"/>
      <c r="H416" s="89"/>
      <c r="I416" s="90"/>
      <c r="J416" s="89"/>
      <c r="K416" s="28"/>
      <c r="L416" s="28"/>
      <c r="M416" s="28"/>
      <c r="N416" s="28"/>
      <c r="O416" s="28"/>
      <c r="P416" s="28"/>
      <c r="Q416" s="28"/>
      <c r="R416" s="28"/>
      <c r="S416" s="28"/>
      <c r="T416" s="28"/>
      <c r="U416" s="3"/>
    </row>
    <row r="417" spans="1:21" ht="14.25" customHeight="1" x14ac:dyDescent="0.3">
      <c r="A417" s="3"/>
      <c r="B417" s="3"/>
      <c r="C417" s="28"/>
      <c r="D417" s="28"/>
      <c r="E417" s="28"/>
      <c r="F417" s="28"/>
      <c r="G417" s="89"/>
      <c r="H417" s="89"/>
      <c r="I417" s="90"/>
      <c r="J417" s="89"/>
      <c r="K417" s="28"/>
      <c r="L417" s="28"/>
      <c r="M417" s="28"/>
      <c r="N417" s="28"/>
      <c r="O417" s="28"/>
      <c r="P417" s="28"/>
      <c r="Q417" s="28"/>
      <c r="R417" s="28"/>
      <c r="S417" s="28"/>
      <c r="T417" s="28"/>
      <c r="U417" s="3"/>
    </row>
    <row r="418" spans="1:21" ht="14.25" customHeight="1" x14ac:dyDescent="0.3">
      <c r="A418" s="3"/>
      <c r="B418" s="3"/>
      <c r="C418" s="28"/>
      <c r="D418" s="28"/>
      <c r="E418" s="28"/>
      <c r="F418" s="28"/>
      <c r="G418" s="89"/>
      <c r="H418" s="89"/>
      <c r="I418" s="90"/>
      <c r="J418" s="89"/>
      <c r="K418" s="28"/>
      <c r="L418" s="28"/>
      <c r="M418" s="28"/>
      <c r="N418" s="28"/>
      <c r="O418" s="28"/>
      <c r="P418" s="28"/>
      <c r="Q418" s="28"/>
      <c r="R418" s="28"/>
      <c r="S418" s="28"/>
      <c r="T418" s="28"/>
      <c r="U418" s="3"/>
    </row>
    <row r="419" spans="1:21" ht="14.25" customHeight="1" x14ac:dyDescent="0.3">
      <c r="A419" s="3"/>
      <c r="B419" s="3"/>
      <c r="C419" s="28"/>
      <c r="D419" s="28"/>
      <c r="E419" s="28"/>
      <c r="F419" s="28"/>
      <c r="G419" s="89"/>
      <c r="H419" s="89"/>
      <c r="I419" s="90"/>
      <c r="J419" s="89"/>
      <c r="K419" s="28"/>
      <c r="L419" s="28"/>
      <c r="M419" s="28"/>
      <c r="N419" s="28"/>
      <c r="O419" s="28"/>
      <c r="P419" s="28"/>
      <c r="Q419" s="28"/>
      <c r="R419" s="28"/>
      <c r="S419" s="28"/>
      <c r="T419" s="28"/>
      <c r="U419" s="3"/>
    </row>
    <row r="420" spans="1:21" ht="14.25" customHeight="1" x14ac:dyDescent="0.3">
      <c r="A420" s="3"/>
      <c r="B420" s="3"/>
      <c r="C420" s="28"/>
      <c r="D420" s="28"/>
      <c r="E420" s="28"/>
      <c r="F420" s="28"/>
      <c r="G420" s="89"/>
      <c r="H420" s="89"/>
      <c r="I420" s="90"/>
      <c r="J420" s="89"/>
      <c r="K420" s="28"/>
      <c r="L420" s="28"/>
      <c r="M420" s="28"/>
      <c r="N420" s="28"/>
      <c r="O420" s="28"/>
      <c r="P420" s="28"/>
      <c r="Q420" s="28"/>
      <c r="R420" s="28"/>
      <c r="S420" s="28"/>
      <c r="T420" s="28"/>
      <c r="U420" s="3"/>
    </row>
    <row r="421" spans="1:21" ht="14.25" customHeight="1" x14ac:dyDescent="0.3">
      <c r="A421" s="3"/>
      <c r="B421" s="3"/>
      <c r="C421" s="28"/>
      <c r="D421" s="28"/>
      <c r="E421" s="28"/>
      <c r="F421" s="28"/>
      <c r="G421" s="89"/>
      <c r="H421" s="89"/>
      <c r="I421" s="90"/>
      <c r="J421" s="89"/>
      <c r="K421" s="28"/>
      <c r="L421" s="28"/>
      <c r="M421" s="28"/>
      <c r="N421" s="28"/>
      <c r="O421" s="28"/>
      <c r="P421" s="28"/>
      <c r="Q421" s="28"/>
      <c r="R421" s="28"/>
      <c r="S421" s="28"/>
      <c r="T421" s="28"/>
      <c r="U421" s="3"/>
    </row>
    <row r="422" spans="1:21" ht="14.25" customHeight="1" x14ac:dyDescent="0.3">
      <c r="A422" s="3"/>
      <c r="B422" s="3"/>
      <c r="C422" s="28"/>
      <c r="D422" s="28"/>
      <c r="E422" s="28"/>
      <c r="F422" s="28"/>
      <c r="G422" s="89"/>
      <c r="H422" s="89"/>
      <c r="I422" s="90"/>
      <c r="J422" s="89"/>
      <c r="K422" s="28"/>
      <c r="L422" s="28"/>
      <c r="M422" s="28"/>
      <c r="N422" s="28"/>
      <c r="O422" s="28"/>
      <c r="P422" s="28"/>
      <c r="Q422" s="28"/>
      <c r="R422" s="28"/>
      <c r="S422" s="28"/>
      <c r="T422" s="28"/>
      <c r="U422" s="3"/>
    </row>
    <row r="423" spans="1:21" ht="14.25" customHeight="1" x14ac:dyDescent="0.3">
      <c r="A423" s="3"/>
      <c r="B423" s="3"/>
      <c r="C423" s="28"/>
      <c r="D423" s="28"/>
      <c r="E423" s="28"/>
      <c r="F423" s="28"/>
      <c r="G423" s="89"/>
      <c r="H423" s="89"/>
      <c r="I423" s="90"/>
      <c r="J423" s="89"/>
      <c r="K423" s="28"/>
      <c r="L423" s="28"/>
      <c r="M423" s="28"/>
      <c r="N423" s="28"/>
      <c r="O423" s="28"/>
      <c r="P423" s="28"/>
      <c r="Q423" s="28"/>
      <c r="R423" s="28"/>
      <c r="S423" s="28"/>
      <c r="T423" s="28"/>
      <c r="U423" s="3"/>
    </row>
    <row r="424" spans="1:21" ht="14.25" customHeight="1" x14ac:dyDescent="0.3">
      <c r="A424" s="3"/>
      <c r="B424" s="3"/>
      <c r="C424" s="28"/>
      <c r="D424" s="28"/>
      <c r="E424" s="28"/>
      <c r="F424" s="28"/>
      <c r="G424" s="89"/>
      <c r="H424" s="89"/>
      <c r="I424" s="90"/>
      <c r="J424" s="89"/>
      <c r="K424" s="28"/>
      <c r="L424" s="28"/>
      <c r="M424" s="28"/>
      <c r="N424" s="28"/>
      <c r="O424" s="28"/>
      <c r="P424" s="28"/>
      <c r="Q424" s="28"/>
      <c r="R424" s="28"/>
      <c r="S424" s="28"/>
      <c r="T424" s="28"/>
      <c r="U424" s="3"/>
    </row>
    <row r="425" spans="1:21" ht="14.25" customHeight="1" x14ac:dyDescent="0.3">
      <c r="A425" s="3"/>
      <c r="B425" s="3"/>
      <c r="C425" s="28"/>
      <c r="D425" s="28"/>
      <c r="E425" s="28"/>
      <c r="F425" s="28"/>
      <c r="G425" s="89"/>
      <c r="H425" s="89"/>
      <c r="I425" s="90"/>
      <c r="J425" s="89"/>
      <c r="K425" s="28"/>
      <c r="L425" s="28"/>
      <c r="M425" s="28"/>
      <c r="N425" s="28"/>
      <c r="O425" s="28"/>
      <c r="P425" s="28"/>
      <c r="Q425" s="28"/>
      <c r="R425" s="28"/>
      <c r="S425" s="28"/>
      <c r="T425" s="28"/>
      <c r="U425" s="3"/>
    </row>
    <row r="426" spans="1:21" ht="14.25" customHeight="1" x14ac:dyDescent="0.3">
      <c r="A426" s="3"/>
      <c r="B426" s="3"/>
      <c r="C426" s="28"/>
      <c r="D426" s="28"/>
      <c r="E426" s="28"/>
      <c r="F426" s="28"/>
      <c r="G426" s="89"/>
      <c r="H426" s="89"/>
      <c r="I426" s="90"/>
      <c r="J426" s="89"/>
      <c r="K426" s="28"/>
      <c r="L426" s="28"/>
      <c r="M426" s="28"/>
      <c r="N426" s="28"/>
      <c r="O426" s="28"/>
      <c r="P426" s="28"/>
      <c r="Q426" s="28"/>
      <c r="R426" s="28"/>
      <c r="S426" s="28"/>
      <c r="T426" s="28"/>
      <c r="U426" s="3"/>
    </row>
    <row r="427" spans="1:21" ht="14.25" customHeight="1" x14ac:dyDescent="0.3">
      <c r="A427" s="3"/>
      <c r="B427" s="3"/>
      <c r="C427" s="28"/>
      <c r="D427" s="28"/>
      <c r="E427" s="28"/>
      <c r="F427" s="28"/>
      <c r="G427" s="89"/>
      <c r="H427" s="89"/>
      <c r="I427" s="90"/>
      <c r="J427" s="89"/>
      <c r="K427" s="28"/>
      <c r="L427" s="28"/>
      <c r="M427" s="28"/>
      <c r="N427" s="28"/>
      <c r="O427" s="28"/>
      <c r="P427" s="28"/>
      <c r="Q427" s="28"/>
      <c r="R427" s="28"/>
      <c r="S427" s="28"/>
      <c r="T427" s="28"/>
      <c r="U427" s="3"/>
    </row>
    <row r="428" spans="1:21" ht="14.25" customHeight="1" x14ac:dyDescent="0.3">
      <c r="A428" s="3"/>
      <c r="B428" s="3"/>
      <c r="C428" s="28"/>
      <c r="D428" s="28"/>
      <c r="E428" s="28"/>
      <c r="F428" s="28"/>
      <c r="G428" s="89"/>
      <c r="H428" s="89"/>
      <c r="I428" s="90"/>
      <c r="J428" s="89"/>
      <c r="K428" s="28"/>
      <c r="L428" s="28"/>
      <c r="M428" s="28"/>
      <c r="N428" s="28"/>
      <c r="O428" s="28"/>
      <c r="P428" s="28"/>
      <c r="Q428" s="28"/>
      <c r="R428" s="28"/>
      <c r="S428" s="28"/>
      <c r="T428" s="28"/>
      <c r="U428" s="3"/>
    </row>
    <row r="429" spans="1:21" ht="14.25" customHeight="1" x14ac:dyDescent="0.3">
      <c r="A429" s="3"/>
      <c r="B429" s="3"/>
      <c r="C429" s="28"/>
      <c r="D429" s="28"/>
      <c r="E429" s="28"/>
      <c r="F429" s="28"/>
      <c r="G429" s="89"/>
      <c r="H429" s="89"/>
      <c r="I429" s="90"/>
      <c r="J429" s="89"/>
      <c r="K429" s="28"/>
      <c r="L429" s="28"/>
      <c r="M429" s="28"/>
      <c r="N429" s="28"/>
      <c r="O429" s="28"/>
      <c r="P429" s="28"/>
      <c r="Q429" s="28"/>
      <c r="R429" s="28"/>
      <c r="S429" s="28"/>
      <c r="T429" s="28"/>
      <c r="U429" s="3"/>
    </row>
    <row r="430" spans="1:21" ht="14.25" customHeight="1" x14ac:dyDescent="0.3">
      <c r="A430" s="3"/>
      <c r="B430" s="3"/>
      <c r="C430" s="28"/>
      <c r="D430" s="28"/>
      <c r="E430" s="28"/>
      <c r="F430" s="28"/>
      <c r="G430" s="89"/>
      <c r="H430" s="89"/>
      <c r="I430" s="90"/>
      <c r="J430" s="89"/>
      <c r="K430" s="28"/>
      <c r="L430" s="28"/>
      <c r="M430" s="28"/>
      <c r="N430" s="28"/>
      <c r="O430" s="28"/>
      <c r="P430" s="28"/>
      <c r="Q430" s="28"/>
      <c r="R430" s="28"/>
      <c r="S430" s="28"/>
      <c r="T430" s="28"/>
      <c r="U430" s="3"/>
    </row>
    <row r="431" spans="1:21" ht="14.25" customHeight="1" x14ac:dyDescent="0.3">
      <c r="A431" s="3"/>
      <c r="B431" s="3"/>
      <c r="C431" s="28"/>
      <c r="D431" s="28"/>
      <c r="E431" s="28"/>
      <c r="F431" s="28"/>
      <c r="G431" s="89"/>
      <c r="H431" s="89"/>
      <c r="I431" s="90"/>
      <c r="J431" s="89"/>
      <c r="K431" s="28"/>
      <c r="L431" s="28"/>
      <c r="M431" s="28"/>
      <c r="N431" s="28"/>
      <c r="O431" s="28"/>
      <c r="P431" s="28"/>
      <c r="Q431" s="28"/>
      <c r="R431" s="28"/>
      <c r="S431" s="28"/>
      <c r="T431" s="28"/>
      <c r="U431" s="3"/>
    </row>
    <row r="432" spans="1:21" ht="14.25" customHeight="1" x14ac:dyDescent="0.3">
      <c r="A432" s="3"/>
      <c r="B432" s="3"/>
      <c r="C432" s="28"/>
      <c r="D432" s="28"/>
      <c r="E432" s="28"/>
      <c r="F432" s="28"/>
      <c r="G432" s="89"/>
      <c r="H432" s="89"/>
      <c r="I432" s="90"/>
      <c r="J432" s="89"/>
      <c r="K432" s="28"/>
      <c r="L432" s="28"/>
      <c r="M432" s="28"/>
      <c r="N432" s="28"/>
      <c r="O432" s="28"/>
      <c r="P432" s="28"/>
      <c r="Q432" s="28"/>
      <c r="R432" s="28"/>
      <c r="S432" s="28"/>
      <c r="T432" s="28"/>
      <c r="U432" s="3"/>
    </row>
    <row r="433" spans="1:21" ht="14.25" customHeight="1" x14ac:dyDescent="0.3">
      <c r="A433" s="3"/>
      <c r="B433" s="3"/>
      <c r="C433" s="28"/>
      <c r="D433" s="28"/>
      <c r="E433" s="28"/>
      <c r="F433" s="28"/>
      <c r="G433" s="89"/>
      <c r="H433" s="89"/>
      <c r="I433" s="90"/>
      <c r="J433" s="89"/>
      <c r="K433" s="28"/>
      <c r="L433" s="28"/>
      <c r="M433" s="28"/>
      <c r="N433" s="28"/>
      <c r="O433" s="28"/>
      <c r="P433" s="28"/>
      <c r="Q433" s="28"/>
      <c r="R433" s="28"/>
      <c r="S433" s="28"/>
      <c r="T433" s="28"/>
      <c r="U433" s="3"/>
    </row>
    <row r="434" spans="1:21" ht="14.25" customHeight="1" x14ac:dyDescent="0.3">
      <c r="A434" s="3"/>
      <c r="B434" s="3"/>
      <c r="C434" s="28"/>
      <c r="D434" s="28"/>
      <c r="E434" s="28"/>
      <c r="F434" s="28"/>
      <c r="G434" s="89"/>
      <c r="H434" s="89"/>
      <c r="I434" s="90"/>
      <c r="J434" s="89"/>
      <c r="K434" s="28"/>
      <c r="L434" s="28"/>
      <c r="M434" s="28"/>
      <c r="N434" s="28"/>
      <c r="O434" s="28"/>
      <c r="P434" s="28"/>
      <c r="Q434" s="28"/>
      <c r="R434" s="28"/>
      <c r="S434" s="28"/>
      <c r="T434" s="28"/>
      <c r="U434" s="3"/>
    </row>
    <row r="435" spans="1:21" ht="14.25" customHeight="1" x14ac:dyDescent="0.3">
      <c r="A435" s="3"/>
      <c r="B435" s="3"/>
      <c r="C435" s="28"/>
      <c r="D435" s="28"/>
      <c r="E435" s="28"/>
      <c r="F435" s="28"/>
      <c r="G435" s="89"/>
      <c r="H435" s="89"/>
      <c r="I435" s="90"/>
      <c r="J435" s="89"/>
      <c r="K435" s="28"/>
      <c r="L435" s="28"/>
      <c r="M435" s="28"/>
      <c r="N435" s="28"/>
      <c r="O435" s="28"/>
      <c r="P435" s="28"/>
      <c r="Q435" s="28"/>
      <c r="R435" s="28"/>
      <c r="S435" s="28"/>
      <c r="T435" s="28"/>
      <c r="U435" s="3"/>
    </row>
    <row r="436" spans="1:21" ht="14.25" customHeight="1" x14ac:dyDescent="0.3">
      <c r="A436" s="3"/>
      <c r="B436" s="3"/>
      <c r="C436" s="28"/>
      <c r="D436" s="28"/>
      <c r="E436" s="28"/>
      <c r="F436" s="28"/>
      <c r="G436" s="89"/>
      <c r="H436" s="89"/>
      <c r="I436" s="90"/>
      <c r="J436" s="89"/>
      <c r="K436" s="28"/>
      <c r="L436" s="28"/>
      <c r="M436" s="28"/>
      <c r="N436" s="28"/>
      <c r="O436" s="28"/>
      <c r="P436" s="28"/>
      <c r="Q436" s="28"/>
      <c r="R436" s="28"/>
      <c r="S436" s="28"/>
      <c r="T436" s="28"/>
      <c r="U436" s="3"/>
    </row>
    <row r="437" spans="1:21" ht="14.25" customHeight="1" x14ac:dyDescent="0.3">
      <c r="A437" s="3"/>
      <c r="B437" s="3"/>
      <c r="C437" s="28"/>
      <c r="D437" s="28"/>
      <c r="E437" s="28"/>
      <c r="F437" s="28"/>
      <c r="G437" s="89"/>
      <c r="H437" s="89"/>
      <c r="I437" s="90"/>
      <c r="J437" s="89"/>
      <c r="K437" s="28"/>
      <c r="L437" s="28"/>
      <c r="M437" s="28"/>
      <c r="N437" s="28"/>
      <c r="O437" s="28"/>
      <c r="P437" s="28"/>
      <c r="Q437" s="28"/>
      <c r="R437" s="28"/>
      <c r="S437" s="28"/>
      <c r="T437" s="28"/>
      <c r="U437" s="3"/>
    </row>
    <row r="438" spans="1:21" ht="14.25" customHeight="1" x14ac:dyDescent="0.3">
      <c r="A438" s="3"/>
      <c r="B438" s="3"/>
      <c r="C438" s="28"/>
      <c r="D438" s="28"/>
      <c r="E438" s="28"/>
      <c r="F438" s="28"/>
      <c r="G438" s="89"/>
      <c r="H438" s="89"/>
      <c r="I438" s="90"/>
      <c r="J438" s="89"/>
      <c r="K438" s="28"/>
      <c r="L438" s="28"/>
      <c r="M438" s="28"/>
      <c r="N438" s="28"/>
      <c r="O438" s="28"/>
      <c r="P438" s="28"/>
      <c r="Q438" s="28"/>
      <c r="R438" s="28"/>
      <c r="S438" s="28"/>
      <c r="T438" s="28"/>
      <c r="U438" s="3"/>
    </row>
    <row r="439" spans="1:21" ht="14.25" customHeight="1" x14ac:dyDescent="0.3">
      <c r="A439" s="3"/>
      <c r="B439" s="3"/>
      <c r="C439" s="28"/>
      <c r="D439" s="28"/>
      <c r="E439" s="28"/>
      <c r="F439" s="28"/>
      <c r="G439" s="89"/>
      <c r="H439" s="89"/>
      <c r="I439" s="90"/>
      <c r="J439" s="89"/>
      <c r="K439" s="28"/>
      <c r="L439" s="28"/>
      <c r="M439" s="28"/>
      <c r="N439" s="28"/>
      <c r="O439" s="28"/>
      <c r="P439" s="28"/>
      <c r="Q439" s="28"/>
      <c r="R439" s="28"/>
      <c r="S439" s="28"/>
      <c r="T439" s="28"/>
      <c r="U439" s="3"/>
    </row>
    <row r="440" spans="1:21" ht="14.25" customHeight="1" x14ac:dyDescent="0.3">
      <c r="A440" s="3"/>
      <c r="B440" s="3"/>
      <c r="C440" s="28"/>
      <c r="D440" s="28"/>
      <c r="E440" s="28"/>
      <c r="F440" s="28"/>
      <c r="G440" s="89"/>
      <c r="H440" s="89"/>
      <c r="I440" s="90"/>
      <c r="J440" s="89"/>
      <c r="K440" s="28"/>
      <c r="L440" s="28"/>
      <c r="M440" s="28"/>
      <c r="N440" s="28"/>
      <c r="O440" s="28"/>
      <c r="P440" s="28"/>
      <c r="Q440" s="28"/>
      <c r="R440" s="28"/>
      <c r="S440" s="28"/>
      <c r="T440" s="28"/>
      <c r="U440" s="3"/>
    </row>
    <row r="441" spans="1:21" ht="14.25" customHeight="1" x14ac:dyDescent="0.3">
      <c r="A441" s="3"/>
      <c r="B441" s="3"/>
      <c r="C441" s="28"/>
      <c r="D441" s="28"/>
      <c r="E441" s="28"/>
      <c r="F441" s="28"/>
      <c r="G441" s="89"/>
      <c r="H441" s="89"/>
      <c r="I441" s="90"/>
      <c r="J441" s="89"/>
      <c r="K441" s="28"/>
      <c r="L441" s="28"/>
      <c r="M441" s="28"/>
      <c r="N441" s="28"/>
      <c r="O441" s="28"/>
      <c r="P441" s="28"/>
      <c r="Q441" s="28"/>
      <c r="R441" s="28"/>
      <c r="S441" s="28"/>
      <c r="T441" s="28"/>
      <c r="U441" s="3"/>
    </row>
    <row r="442" spans="1:21" ht="14.25" customHeight="1" x14ac:dyDescent="0.3">
      <c r="A442" s="3"/>
      <c r="B442" s="3"/>
      <c r="C442" s="28"/>
      <c r="D442" s="28"/>
      <c r="E442" s="28"/>
      <c r="F442" s="28"/>
      <c r="G442" s="89"/>
      <c r="H442" s="89"/>
      <c r="I442" s="90"/>
      <c r="J442" s="89"/>
      <c r="K442" s="28"/>
      <c r="L442" s="28"/>
      <c r="M442" s="28"/>
      <c r="N442" s="28"/>
      <c r="O442" s="28"/>
      <c r="P442" s="28"/>
      <c r="Q442" s="28"/>
      <c r="R442" s="28"/>
      <c r="S442" s="28"/>
      <c r="T442" s="28"/>
      <c r="U442" s="3"/>
    </row>
    <row r="443" spans="1:21" ht="14.25" customHeight="1" x14ac:dyDescent="0.3">
      <c r="A443" s="3"/>
      <c r="B443" s="3"/>
      <c r="C443" s="28"/>
      <c r="D443" s="28"/>
      <c r="E443" s="28"/>
      <c r="F443" s="28"/>
      <c r="G443" s="89"/>
      <c r="H443" s="89"/>
      <c r="I443" s="90"/>
      <c r="J443" s="89"/>
      <c r="K443" s="28"/>
      <c r="L443" s="28"/>
      <c r="M443" s="28"/>
      <c r="N443" s="28"/>
      <c r="O443" s="28"/>
      <c r="P443" s="28"/>
      <c r="Q443" s="28"/>
      <c r="R443" s="28"/>
      <c r="S443" s="28"/>
      <c r="T443" s="28"/>
      <c r="U443" s="3"/>
    </row>
    <row r="444" spans="1:21" ht="14.25" customHeight="1" x14ac:dyDescent="0.3">
      <c r="A444" s="3"/>
      <c r="B444" s="3"/>
      <c r="C444" s="28"/>
      <c r="D444" s="28"/>
      <c r="E444" s="28"/>
      <c r="F444" s="28"/>
      <c r="G444" s="89"/>
      <c r="H444" s="89"/>
      <c r="I444" s="90"/>
      <c r="J444" s="89"/>
      <c r="K444" s="28"/>
      <c r="L444" s="28"/>
      <c r="M444" s="28"/>
      <c r="N444" s="28"/>
      <c r="O444" s="28"/>
      <c r="P444" s="28"/>
      <c r="Q444" s="28"/>
      <c r="R444" s="28"/>
      <c r="S444" s="28"/>
      <c r="T444" s="28"/>
      <c r="U444" s="3"/>
    </row>
    <row r="445" spans="1:21" ht="14.25" customHeight="1" x14ac:dyDescent="0.3">
      <c r="A445" s="3"/>
      <c r="B445" s="3"/>
      <c r="C445" s="28"/>
      <c r="D445" s="28"/>
      <c r="E445" s="28"/>
      <c r="F445" s="28"/>
      <c r="G445" s="89"/>
      <c r="H445" s="89"/>
      <c r="I445" s="90"/>
      <c r="J445" s="89"/>
      <c r="K445" s="28"/>
      <c r="L445" s="28"/>
      <c r="M445" s="28"/>
      <c r="N445" s="28"/>
      <c r="O445" s="28"/>
      <c r="P445" s="28"/>
      <c r="Q445" s="28"/>
      <c r="R445" s="28"/>
      <c r="S445" s="28"/>
      <c r="T445" s="28"/>
      <c r="U445" s="3"/>
    </row>
    <row r="446" spans="1:21" ht="14.25" customHeight="1" x14ac:dyDescent="0.3">
      <c r="A446" s="3"/>
      <c r="B446" s="3"/>
      <c r="C446" s="28"/>
      <c r="D446" s="28"/>
      <c r="E446" s="28"/>
      <c r="F446" s="28"/>
      <c r="G446" s="89"/>
      <c r="H446" s="89"/>
      <c r="I446" s="90"/>
      <c r="J446" s="89"/>
      <c r="K446" s="28"/>
      <c r="L446" s="28"/>
      <c r="M446" s="28"/>
      <c r="N446" s="28"/>
      <c r="O446" s="28"/>
      <c r="P446" s="28"/>
      <c r="Q446" s="28"/>
      <c r="R446" s="28"/>
      <c r="S446" s="28"/>
      <c r="T446" s="28"/>
      <c r="U446" s="3"/>
    </row>
    <row r="447" spans="1:21" ht="14.25" customHeight="1" x14ac:dyDescent="0.3">
      <c r="A447" s="3"/>
      <c r="B447" s="3"/>
      <c r="C447" s="28"/>
      <c r="D447" s="28"/>
      <c r="E447" s="28"/>
      <c r="F447" s="28"/>
      <c r="G447" s="89"/>
      <c r="H447" s="89"/>
      <c r="I447" s="90"/>
      <c r="J447" s="89"/>
      <c r="K447" s="28"/>
      <c r="L447" s="28"/>
      <c r="M447" s="28"/>
      <c r="N447" s="28"/>
      <c r="O447" s="28"/>
      <c r="P447" s="28"/>
      <c r="Q447" s="28"/>
      <c r="R447" s="28"/>
      <c r="S447" s="28"/>
      <c r="T447" s="28"/>
      <c r="U447" s="3"/>
    </row>
    <row r="448" spans="1:21" ht="14.25" customHeight="1" x14ac:dyDescent="0.3">
      <c r="A448" s="3"/>
      <c r="B448" s="3"/>
      <c r="C448" s="28"/>
      <c r="D448" s="28"/>
      <c r="E448" s="28"/>
      <c r="F448" s="28"/>
      <c r="G448" s="89"/>
      <c r="H448" s="89"/>
      <c r="I448" s="90"/>
      <c r="J448" s="89"/>
      <c r="K448" s="28"/>
      <c r="L448" s="28"/>
      <c r="M448" s="28"/>
      <c r="N448" s="28"/>
      <c r="O448" s="28"/>
      <c r="P448" s="28"/>
      <c r="Q448" s="28"/>
      <c r="R448" s="28"/>
      <c r="S448" s="28"/>
      <c r="T448" s="28"/>
      <c r="U448" s="3"/>
    </row>
    <row r="449" spans="1:21" ht="14.25" customHeight="1" x14ac:dyDescent="0.3">
      <c r="A449" s="3"/>
      <c r="B449" s="3"/>
      <c r="C449" s="28"/>
      <c r="D449" s="28"/>
      <c r="E449" s="28"/>
      <c r="F449" s="28"/>
      <c r="G449" s="89"/>
      <c r="H449" s="89"/>
      <c r="I449" s="90"/>
      <c r="J449" s="89"/>
      <c r="K449" s="28"/>
      <c r="L449" s="28"/>
      <c r="M449" s="28"/>
      <c r="N449" s="28"/>
      <c r="O449" s="28"/>
      <c r="P449" s="28"/>
      <c r="Q449" s="28"/>
      <c r="R449" s="28"/>
      <c r="S449" s="28"/>
      <c r="T449" s="28"/>
      <c r="U449" s="3"/>
    </row>
    <row r="450" spans="1:21" ht="14.25" customHeight="1" x14ac:dyDescent="0.3">
      <c r="A450" s="3"/>
      <c r="B450" s="3"/>
      <c r="C450" s="28"/>
      <c r="D450" s="28"/>
      <c r="E450" s="28"/>
      <c r="F450" s="28"/>
      <c r="G450" s="89"/>
      <c r="H450" s="89"/>
      <c r="I450" s="90"/>
      <c r="J450" s="89"/>
      <c r="K450" s="28"/>
      <c r="L450" s="28"/>
      <c r="M450" s="28"/>
      <c r="N450" s="28"/>
      <c r="O450" s="28"/>
      <c r="P450" s="28"/>
      <c r="Q450" s="28"/>
      <c r="R450" s="28"/>
      <c r="S450" s="28"/>
      <c r="T450" s="28"/>
      <c r="U450" s="3"/>
    </row>
    <row r="451" spans="1:21" ht="14.25" customHeight="1" x14ac:dyDescent="0.3">
      <c r="A451" s="3"/>
      <c r="B451" s="3"/>
      <c r="C451" s="28"/>
      <c r="D451" s="28"/>
      <c r="E451" s="28"/>
      <c r="F451" s="28"/>
      <c r="G451" s="89"/>
      <c r="H451" s="89"/>
      <c r="I451" s="90"/>
      <c r="J451" s="89"/>
      <c r="K451" s="28"/>
      <c r="L451" s="28"/>
      <c r="M451" s="28"/>
      <c r="N451" s="28"/>
      <c r="O451" s="28"/>
      <c r="P451" s="28"/>
      <c r="Q451" s="28"/>
      <c r="R451" s="28"/>
      <c r="S451" s="28"/>
      <c r="T451" s="28"/>
      <c r="U451" s="3"/>
    </row>
    <row r="452" spans="1:21" ht="14.25" customHeight="1" x14ac:dyDescent="0.3">
      <c r="A452" s="3"/>
      <c r="B452" s="3"/>
      <c r="C452" s="28"/>
      <c r="D452" s="28"/>
      <c r="E452" s="28"/>
      <c r="F452" s="28"/>
      <c r="G452" s="89"/>
      <c r="H452" s="89"/>
      <c r="I452" s="90"/>
      <c r="J452" s="89"/>
      <c r="K452" s="28"/>
      <c r="L452" s="28"/>
      <c r="M452" s="28"/>
      <c r="N452" s="28"/>
      <c r="O452" s="28"/>
      <c r="P452" s="28"/>
      <c r="Q452" s="28"/>
      <c r="R452" s="28"/>
      <c r="S452" s="28"/>
      <c r="T452" s="28"/>
      <c r="U452" s="3"/>
    </row>
    <row r="453" spans="1:21" ht="14.25" customHeight="1" x14ac:dyDescent="0.3">
      <c r="A453" s="3"/>
      <c r="B453" s="3"/>
      <c r="C453" s="28"/>
      <c r="D453" s="28"/>
      <c r="E453" s="28"/>
      <c r="F453" s="28"/>
      <c r="G453" s="89"/>
      <c r="H453" s="89"/>
      <c r="I453" s="90"/>
      <c r="J453" s="89"/>
      <c r="K453" s="28"/>
      <c r="L453" s="28"/>
      <c r="M453" s="28"/>
      <c r="N453" s="28"/>
      <c r="O453" s="28"/>
      <c r="P453" s="28"/>
      <c r="Q453" s="28"/>
      <c r="R453" s="28"/>
      <c r="S453" s="28"/>
      <c r="T453" s="28"/>
      <c r="U453" s="3"/>
    </row>
    <row r="454" spans="1:21" ht="14.25" customHeight="1" x14ac:dyDescent="0.3">
      <c r="A454" s="3"/>
      <c r="B454" s="3"/>
      <c r="C454" s="28"/>
      <c r="D454" s="28"/>
      <c r="E454" s="28"/>
      <c r="F454" s="28"/>
      <c r="G454" s="89"/>
      <c r="H454" s="89"/>
      <c r="I454" s="90"/>
      <c r="J454" s="89"/>
      <c r="K454" s="28"/>
      <c r="L454" s="28"/>
      <c r="M454" s="28"/>
      <c r="N454" s="28"/>
      <c r="O454" s="28"/>
      <c r="P454" s="28"/>
      <c r="Q454" s="28"/>
      <c r="R454" s="28"/>
      <c r="S454" s="28"/>
      <c r="T454" s="28"/>
      <c r="U454" s="3"/>
    </row>
    <row r="455" spans="1:21" ht="14.25" customHeight="1" x14ac:dyDescent="0.3">
      <c r="A455" s="3"/>
      <c r="B455" s="3"/>
      <c r="C455" s="28"/>
      <c r="D455" s="28"/>
      <c r="E455" s="28"/>
      <c r="F455" s="28"/>
      <c r="G455" s="89"/>
      <c r="H455" s="89"/>
      <c r="I455" s="90"/>
      <c r="J455" s="89"/>
      <c r="K455" s="28"/>
      <c r="L455" s="28"/>
      <c r="M455" s="28"/>
      <c r="N455" s="28"/>
      <c r="O455" s="28"/>
      <c r="P455" s="28"/>
      <c r="Q455" s="28"/>
      <c r="R455" s="28"/>
      <c r="S455" s="28"/>
      <c r="T455" s="28"/>
      <c r="U455" s="3"/>
    </row>
    <row r="456" spans="1:21" ht="14.25" customHeight="1" x14ac:dyDescent="0.3">
      <c r="A456" s="3"/>
      <c r="B456" s="3"/>
      <c r="C456" s="28"/>
      <c r="D456" s="28"/>
      <c r="E456" s="28"/>
      <c r="F456" s="28"/>
      <c r="G456" s="89"/>
      <c r="H456" s="89"/>
      <c r="I456" s="90"/>
      <c r="J456" s="89"/>
      <c r="K456" s="28"/>
      <c r="L456" s="28"/>
      <c r="M456" s="28"/>
      <c r="N456" s="28"/>
      <c r="O456" s="28"/>
      <c r="P456" s="28"/>
      <c r="Q456" s="28"/>
      <c r="R456" s="28"/>
      <c r="S456" s="28"/>
      <c r="T456" s="28"/>
      <c r="U456" s="3"/>
    </row>
    <row r="457" spans="1:21" ht="14.25" customHeight="1" x14ac:dyDescent="0.3">
      <c r="A457" s="3"/>
      <c r="B457" s="3"/>
      <c r="C457" s="28"/>
      <c r="D457" s="28"/>
      <c r="E457" s="28"/>
      <c r="F457" s="28"/>
      <c r="G457" s="89"/>
      <c r="H457" s="89"/>
      <c r="I457" s="90"/>
      <c r="J457" s="89"/>
      <c r="K457" s="28"/>
      <c r="L457" s="28"/>
      <c r="M457" s="28"/>
      <c r="N457" s="28"/>
      <c r="O457" s="28"/>
      <c r="P457" s="28"/>
      <c r="Q457" s="28"/>
      <c r="R457" s="28"/>
      <c r="S457" s="28"/>
      <c r="T457" s="28"/>
      <c r="U457" s="3"/>
    </row>
    <row r="458" spans="1:21" ht="14.25" customHeight="1" x14ac:dyDescent="0.3">
      <c r="A458" s="3"/>
      <c r="B458" s="3"/>
      <c r="C458" s="28"/>
      <c r="D458" s="28"/>
      <c r="E458" s="28"/>
      <c r="F458" s="28"/>
      <c r="G458" s="89"/>
      <c r="H458" s="89"/>
      <c r="I458" s="90"/>
      <c r="J458" s="89"/>
      <c r="K458" s="28"/>
      <c r="L458" s="28"/>
      <c r="M458" s="28"/>
      <c r="N458" s="28"/>
      <c r="O458" s="28"/>
      <c r="P458" s="28"/>
      <c r="Q458" s="28"/>
      <c r="R458" s="28"/>
      <c r="S458" s="28"/>
      <c r="T458" s="28"/>
      <c r="U458" s="3"/>
    </row>
    <row r="459" spans="1:21" ht="14.25" customHeight="1" x14ac:dyDescent="0.3">
      <c r="A459" s="3"/>
      <c r="B459" s="3"/>
      <c r="C459" s="28"/>
      <c r="D459" s="28"/>
      <c r="E459" s="28"/>
      <c r="F459" s="28"/>
      <c r="G459" s="89"/>
      <c r="H459" s="89"/>
      <c r="I459" s="90"/>
      <c r="J459" s="89"/>
      <c r="K459" s="28"/>
      <c r="L459" s="28"/>
      <c r="M459" s="28"/>
      <c r="N459" s="28"/>
      <c r="O459" s="28"/>
      <c r="P459" s="28"/>
      <c r="Q459" s="28"/>
      <c r="R459" s="28"/>
      <c r="S459" s="28"/>
      <c r="T459" s="28"/>
      <c r="U459" s="3"/>
    </row>
    <row r="460" spans="1:21" ht="14.25" customHeight="1" x14ac:dyDescent="0.3">
      <c r="A460" s="3"/>
      <c r="B460" s="3"/>
      <c r="C460" s="28"/>
      <c r="D460" s="28"/>
      <c r="E460" s="28"/>
      <c r="F460" s="28"/>
      <c r="G460" s="89"/>
      <c r="H460" s="89"/>
      <c r="I460" s="90"/>
      <c r="J460" s="89"/>
      <c r="K460" s="28"/>
      <c r="L460" s="28"/>
      <c r="M460" s="28"/>
      <c r="N460" s="28"/>
      <c r="O460" s="28"/>
      <c r="P460" s="28"/>
      <c r="Q460" s="28"/>
      <c r="R460" s="28"/>
      <c r="S460" s="28"/>
      <c r="T460" s="28"/>
      <c r="U460" s="3"/>
    </row>
    <row r="461" spans="1:21" ht="14.25" customHeight="1" x14ac:dyDescent="0.3">
      <c r="A461" s="3"/>
      <c r="B461" s="3"/>
      <c r="C461" s="28"/>
      <c r="D461" s="28"/>
      <c r="E461" s="28"/>
      <c r="F461" s="28"/>
      <c r="G461" s="89"/>
      <c r="H461" s="89"/>
      <c r="I461" s="90"/>
      <c r="J461" s="89"/>
      <c r="K461" s="28"/>
      <c r="L461" s="28"/>
      <c r="M461" s="28"/>
      <c r="N461" s="28"/>
      <c r="O461" s="28"/>
      <c r="P461" s="28"/>
      <c r="Q461" s="28"/>
      <c r="R461" s="28"/>
      <c r="S461" s="28"/>
      <c r="T461" s="28"/>
      <c r="U461" s="3"/>
    </row>
    <row r="462" spans="1:21" ht="14.25" customHeight="1" x14ac:dyDescent="0.3">
      <c r="A462" s="3"/>
      <c r="B462" s="3"/>
      <c r="C462" s="28"/>
      <c r="D462" s="28"/>
      <c r="E462" s="28"/>
      <c r="F462" s="28"/>
      <c r="G462" s="89"/>
      <c r="H462" s="89"/>
      <c r="I462" s="90"/>
      <c r="J462" s="89"/>
      <c r="K462" s="28"/>
      <c r="L462" s="28"/>
      <c r="M462" s="28"/>
      <c r="N462" s="28"/>
      <c r="O462" s="28"/>
      <c r="P462" s="28"/>
      <c r="Q462" s="28"/>
      <c r="R462" s="28"/>
      <c r="S462" s="28"/>
      <c r="T462" s="28"/>
      <c r="U462" s="3"/>
    </row>
    <row r="463" spans="1:21" ht="14.25" customHeight="1" x14ac:dyDescent="0.3">
      <c r="A463" s="3"/>
      <c r="B463" s="3"/>
      <c r="C463" s="28"/>
      <c r="D463" s="28"/>
      <c r="E463" s="28"/>
      <c r="F463" s="28"/>
      <c r="G463" s="89"/>
      <c r="H463" s="89"/>
      <c r="I463" s="90"/>
      <c r="J463" s="89"/>
      <c r="K463" s="28"/>
      <c r="L463" s="28"/>
      <c r="M463" s="28"/>
      <c r="N463" s="28"/>
      <c r="O463" s="28"/>
      <c r="P463" s="28"/>
      <c r="Q463" s="28"/>
      <c r="R463" s="28"/>
      <c r="S463" s="28"/>
      <c r="T463" s="28"/>
      <c r="U463" s="3"/>
    </row>
    <row r="464" spans="1:21" ht="14.25" customHeight="1" x14ac:dyDescent="0.3">
      <c r="A464" s="3"/>
      <c r="B464" s="3"/>
      <c r="C464" s="28"/>
      <c r="D464" s="28"/>
      <c r="E464" s="28"/>
      <c r="F464" s="28"/>
      <c r="G464" s="89"/>
      <c r="H464" s="89"/>
      <c r="I464" s="90"/>
      <c r="J464" s="89"/>
      <c r="K464" s="28"/>
      <c r="L464" s="28"/>
      <c r="M464" s="28"/>
      <c r="N464" s="28"/>
      <c r="O464" s="28"/>
      <c r="P464" s="28"/>
      <c r="Q464" s="28"/>
      <c r="R464" s="28"/>
      <c r="S464" s="28"/>
      <c r="T464" s="28"/>
      <c r="U464" s="3"/>
    </row>
    <row r="465" spans="1:21" ht="14.25" customHeight="1" x14ac:dyDescent="0.3">
      <c r="A465" s="3"/>
      <c r="B465" s="3"/>
      <c r="C465" s="28"/>
      <c r="D465" s="28"/>
      <c r="E465" s="28"/>
      <c r="F465" s="28"/>
      <c r="G465" s="89"/>
      <c r="H465" s="89"/>
      <c r="I465" s="90"/>
      <c r="J465" s="89"/>
      <c r="K465" s="28"/>
      <c r="L465" s="28"/>
      <c r="M465" s="28"/>
      <c r="N465" s="28"/>
      <c r="O465" s="28"/>
      <c r="P465" s="28"/>
      <c r="Q465" s="28"/>
      <c r="R465" s="28"/>
      <c r="S465" s="28"/>
      <c r="T465" s="28"/>
      <c r="U465" s="3"/>
    </row>
    <row r="466" spans="1:21" ht="14.25" customHeight="1" x14ac:dyDescent="0.3">
      <c r="A466" s="3"/>
      <c r="B466" s="3"/>
      <c r="C466" s="28"/>
      <c r="D466" s="28"/>
      <c r="E466" s="28"/>
      <c r="F466" s="28"/>
      <c r="G466" s="89"/>
      <c r="H466" s="89"/>
      <c r="I466" s="90"/>
      <c r="J466" s="89"/>
      <c r="K466" s="28"/>
      <c r="L466" s="28"/>
      <c r="M466" s="28"/>
      <c r="N466" s="28"/>
      <c r="O466" s="28"/>
      <c r="P466" s="28"/>
      <c r="Q466" s="28"/>
      <c r="R466" s="28"/>
      <c r="S466" s="28"/>
      <c r="T466" s="28"/>
      <c r="U466" s="3"/>
    </row>
    <row r="467" spans="1:21" ht="14.25" customHeight="1" x14ac:dyDescent="0.3">
      <c r="A467" s="3"/>
      <c r="B467" s="3"/>
      <c r="C467" s="28"/>
      <c r="D467" s="28"/>
      <c r="E467" s="28"/>
      <c r="F467" s="28"/>
      <c r="G467" s="89"/>
      <c r="H467" s="89"/>
      <c r="I467" s="90"/>
      <c r="J467" s="89"/>
      <c r="K467" s="28"/>
      <c r="L467" s="28"/>
      <c r="M467" s="28"/>
      <c r="N467" s="28"/>
      <c r="O467" s="28"/>
      <c r="P467" s="28"/>
      <c r="Q467" s="28"/>
      <c r="R467" s="28"/>
      <c r="S467" s="28"/>
      <c r="T467" s="28"/>
      <c r="U467" s="3"/>
    </row>
    <row r="468" spans="1:21" ht="14.25" customHeight="1" x14ac:dyDescent="0.3">
      <c r="A468" s="3"/>
      <c r="B468" s="3"/>
      <c r="C468" s="28"/>
      <c r="D468" s="28"/>
      <c r="E468" s="28"/>
      <c r="F468" s="28"/>
      <c r="G468" s="89"/>
      <c r="H468" s="89"/>
      <c r="I468" s="90"/>
      <c r="J468" s="89"/>
      <c r="K468" s="28"/>
      <c r="L468" s="28"/>
      <c r="M468" s="28"/>
      <c r="N468" s="28"/>
      <c r="O468" s="28"/>
      <c r="P468" s="28"/>
      <c r="Q468" s="28"/>
      <c r="R468" s="28"/>
      <c r="S468" s="28"/>
      <c r="T468" s="28"/>
      <c r="U468" s="3"/>
    </row>
    <row r="469" spans="1:21" ht="14.25" customHeight="1" x14ac:dyDescent="0.3">
      <c r="A469" s="3"/>
      <c r="B469" s="3"/>
      <c r="C469" s="28"/>
      <c r="D469" s="28"/>
      <c r="E469" s="28"/>
      <c r="F469" s="28"/>
      <c r="G469" s="89"/>
      <c r="H469" s="89"/>
      <c r="I469" s="90"/>
      <c r="J469" s="89"/>
      <c r="K469" s="28"/>
      <c r="L469" s="28"/>
      <c r="M469" s="28"/>
      <c r="N469" s="28"/>
      <c r="O469" s="28"/>
      <c r="P469" s="28"/>
      <c r="Q469" s="28"/>
      <c r="R469" s="28"/>
      <c r="S469" s="28"/>
      <c r="T469" s="28"/>
      <c r="U469" s="3"/>
    </row>
    <row r="470" spans="1:21" ht="14.25" customHeight="1" x14ac:dyDescent="0.3">
      <c r="A470" s="3"/>
      <c r="B470" s="3"/>
      <c r="C470" s="28"/>
      <c r="D470" s="28"/>
      <c r="E470" s="28"/>
      <c r="F470" s="28"/>
      <c r="G470" s="89"/>
      <c r="H470" s="89"/>
      <c r="I470" s="90"/>
      <c r="J470" s="89"/>
      <c r="K470" s="28"/>
      <c r="L470" s="28"/>
      <c r="M470" s="28"/>
      <c r="N470" s="28"/>
      <c r="O470" s="28"/>
      <c r="P470" s="28"/>
      <c r="Q470" s="28"/>
      <c r="R470" s="28"/>
      <c r="S470" s="28"/>
      <c r="T470" s="28"/>
      <c r="U470" s="3"/>
    </row>
    <row r="471" spans="1:21" ht="14.25" customHeight="1" x14ac:dyDescent="0.3">
      <c r="A471" s="3"/>
      <c r="B471" s="3"/>
      <c r="C471" s="28"/>
      <c r="D471" s="28"/>
      <c r="E471" s="28"/>
      <c r="F471" s="28"/>
      <c r="G471" s="89"/>
      <c r="H471" s="89"/>
      <c r="I471" s="90"/>
      <c r="J471" s="89"/>
      <c r="K471" s="28"/>
      <c r="L471" s="28"/>
      <c r="M471" s="28"/>
      <c r="N471" s="28"/>
      <c r="O471" s="28"/>
      <c r="P471" s="28"/>
      <c r="Q471" s="28"/>
      <c r="R471" s="28"/>
      <c r="S471" s="28"/>
      <c r="T471" s="28"/>
      <c r="U471" s="3"/>
    </row>
    <row r="472" spans="1:21" ht="14.25" customHeight="1" x14ac:dyDescent="0.3">
      <c r="A472" s="3"/>
      <c r="B472" s="3"/>
      <c r="C472" s="28"/>
      <c r="D472" s="28"/>
      <c r="E472" s="28"/>
      <c r="F472" s="28"/>
      <c r="G472" s="89"/>
      <c r="H472" s="89"/>
      <c r="I472" s="90"/>
      <c r="J472" s="89"/>
      <c r="K472" s="28"/>
      <c r="L472" s="28"/>
      <c r="M472" s="28"/>
      <c r="N472" s="28"/>
      <c r="O472" s="28"/>
      <c r="P472" s="28"/>
      <c r="Q472" s="28"/>
      <c r="R472" s="28"/>
      <c r="S472" s="28"/>
      <c r="T472" s="28"/>
      <c r="U472" s="3"/>
    </row>
    <row r="473" spans="1:21" ht="14.25" customHeight="1" x14ac:dyDescent="0.3">
      <c r="A473" s="3"/>
      <c r="B473" s="3"/>
      <c r="C473" s="28"/>
      <c r="D473" s="28"/>
      <c r="E473" s="28"/>
      <c r="F473" s="28"/>
      <c r="G473" s="89"/>
      <c r="H473" s="89"/>
      <c r="I473" s="90"/>
      <c r="J473" s="89"/>
      <c r="K473" s="28"/>
      <c r="L473" s="28"/>
      <c r="M473" s="28"/>
      <c r="N473" s="28"/>
      <c r="O473" s="28"/>
      <c r="P473" s="28"/>
      <c r="Q473" s="28"/>
      <c r="R473" s="28"/>
      <c r="S473" s="28"/>
      <c r="T473" s="28"/>
      <c r="U473" s="3"/>
    </row>
    <row r="474" spans="1:21" ht="14.25" customHeight="1" x14ac:dyDescent="0.3">
      <c r="A474" s="3"/>
      <c r="B474" s="3"/>
      <c r="C474" s="28"/>
      <c r="D474" s="28"/>
      <c r="E474" s="28"/>
      <c r="F474" s="28"/>
      <c r="G474" s="89"/>
      <c r="H474" s="89"/>
      <c r="I474" s="90"/>
      <c r="J474" s="89"/>
      <c r="K474" s="28"/>
      <c r="L474" s="28"/>
      <c r="M474" s="28"/>
      <c r="N474" s="28"/>
      <c r="O474" s="28"/>
      <c r="P474" s="28"/>
      <c r="Q474" s="28"/>
      <c r="R474" s="28"/>
      <c r="S474" s="28"/>
      <c r="T474" s="28"/>
      <c r="U474" s="3"/>
    </row>
    <row r="475" spans="1:21" ht="14.25" customHeight="1" x14ac:dyDescent="0.3">
      <c r="A475" s="3"/>
      <c r="B475" s="3"/>
      <c r="C475" s="28"/>
      <c r="D475" s="28"/>
      <c r="E475" s="28"/>
      <c r="F475" s="28"/>
      <c r="G475" s="89"/>
      <c r="H475" s="89"/>
      <c r="I475" s="90"/>
      <c r="J475" s="89"/>
      <c r="K475" s="28"/>
      <c r="L475" s="28"/>
      <c r="M475" s="28"/>
      <c r="N475" s="28"/>
      <c r="O475" s="28"/>
      <c r="P475" s="28"/>
      <c r="Q475" s="28"/>
      <c r="R475" s="28"/>
      <c r="S475" s="28"/>
      <c r="T475" s="28"/>
      <c r="U475" s="3"/>
    </row>
    <row r="476" spans="1:21" ht="14.25" customHeight="1" x14ac:dyDescent="0.3">
      <c r="A476" s="3"/>
      <c r="B476" s="3"/>
      <c r="C476" s="28"/>
      <c r="D476" s="28"/>
      <c r="E476" s="28"/>
      <c r="F476" s="28"/>
      <c r="G476" s="89"/>
      <c r="H476" s="89"/>
      <c r="I476" s="90"/>
      <c r="J476" s="89"/>
      <c r="K476" s="28"/>
      <c r="L476" s="28"/>
      <c r="M476" s="28"/>
      <c r="N476" s="28"/>
      <c r="O476" s="28"/>
      <c r="P476" s="28"/>
      <c r="Q476" s="28"/>
      <c r="R476" s="28"/>
      <c r="S476" s="28"/>
      <c r="T476" s="28"/>
      <c r="U476" s="3"/>
    </row>
    <row r="477" spans="1:21" ht="14.25" customHeight="1" x14ac:dyDescent="0.3">
      <c r="A477" s="3"/>
      <c r="B477" s="3"/>
      <c r="C477" s="28"/>
      <c r="D477" s="28"/>
      <c r="E477" s="28"/>
      <c r="F477" s="28"/>
      <c r="G477" s="89"/>
      <c r="H477" s="89"/>
      <c r="I477" s="90"/>
      <c r="J477" s="89"/>
      <c r="K477" s="28"/>
      <c r="L477" s="28"/>
      <c r="M477" s="28"/>
      <c r="N477" s="28"/>
      <c r="O477" s="28"/>
      <c r="P477" s="28"/>
      <c r="Q477" s="28"/>
      <c r="R477" s="28"/>
      <c r="S477" s="28"/>
      <c r="T477" s="28"/>
      <c r="U477" s="3"/>
    </row>
    <row r="478" spans="1:21" ht="14.25" customHeight="1" x14ac:dyDescent="0.3">
      <c r="A478" s="3"/>
      <c r="B478" s="3"/>
      <c r="C478" s="28"/>
      <c r="D478" s="28"/>
      <c r="E478" s="28"/>
      <c r="F478" s="28"/>
      <c r="G478" s="89"/>
      <c r="H478" s="89"/>
      <c r="I478" s="90"/>
      <c r="J478" s="89"/>
      <c r="K478" s="28"/>
      <c r="L478" s="28"/>
      <c r="M478" s="28"/>
      <c r="N478" s="28"/>
      <c r="O478" s="28"/>
      <c r="P478" s="28"/>
      <c r="Q478" s="28"/>
      <c r="R478" s="28"/>
      <c r="S478" s="28"/>
      <c r="T478" s="28"/>
      <c r="U478" s="3"/>
    </row>
    <row r="479" spans="1:21" ht="14.25" customHeight="1" x14ac:dyDescent="0.3">
      <c r="A479" s="3"/>
      <c r="B479" s="3"/>
      <c r="C479" s="28"/>
      <c r="D479" s="28"/>
      <c r="E479" s="28"/>
      <c r="F479" s="28"/>
      <c r="G479" s="89"/>
      <c r="H479" s="89"/>
      <c r="I479" s="90"/>
      <c r="J479" s="89"/>
      <c r="K479" s="28"/>
      <c r="L479" s="28"/>
      <c r="M479" s="28"/>
      <c r="N479" s="28"/>
      <c r="O479" s="28"/>
      <c r="P479" s="28"/>
      <c r="Q479" s="28"/>
      <c r="R479" s="28"/>
      <c r="S479" s="28"/>
      <c r="T479" s="28"/>
      <c r="U479" s="3"/>
    </row>
    <row r="480" spans="1:21" ht="14.25" customHeight="1" x14ac:dyDescent="0.3">
      <c r="A480" s="3"/>
      <c r="B480" s="3"/>
      <c r="C480" s="28"/>
      <c r="D480" s="28"/>
      <c r="E480" s="28"/>
      <c r="F480" s="28"/>
      <c r="G480" s="89"/>
      <c r="H480" s="89"/>
      <c r="I480" s="90"/>
      <c r="J480" s="89"/>
      <c r="K480" s="28"/>
      <c r="L480" s="28"/>
      <c r="M480" s="28"/>
      <c r="N480" s="28"/>
      <c r="O480" s="28"/>
      <c r="P480" s="28"/>
      <c r="Q480" s="28"/>
      <c r="R480" s="28"/>
      <c r="S480" s="28"/>
      <c r="T480" s="28"/>
      <c r="U480" s="3"/>
    </row>
    <row r="481" spans="1:21" ht="14.25" customHeight="1" x14ac:dyDescent="0.3">
      <c r="A481" s="3"/>
      <c r="B481" s="3"/>
      <c r="C481" s="28"/>
      <c r="D481" s="28"/>
      <c r="E481" s="28"/>
      <c r="F481" s="28"/>
      <c r="G481" s="89"/>
      <c r="H481" s="89"/>
      <c r="I481" s="90"/>
      <c r="J481" s="89"/>
      <c r="K481" s="28"/>
      <c r="L481" s="28"/>
      <c r="M481" s="28"/>
      <c r="N481" s="28"/>
      <c r="O481" s="28"/>
      <c r="P481" s="28"/>
      <c r="Q481" s="28"/>
      <c r="R481" s="28"/>
      <c r="S481" s="28"/>
      <c r="T481" s="28"/>
      <c r="U481" s="3"/>
    </row>
    <row r="482" spans="1:21" ht="14.25" customHeight="1" x14ac:dyDescent="0.3">
      <c r="A482" s="3"/>
      <c r="B482" s="3"/>
      <c r="C482" s="28"/>
      <c r="D482" s="28"/>
      <c r="E482" s="28"/>
      <c r="F482" s="28"/>
      <c r="G482" s="89"/>
      <c r="H482" s="89"/>
      <c r="I482" s="90"/>
      <c r="J482" s="89"/>
      <c r="K482" s="28"/>
      <c r="L482" s="28"/>
      <c r="M482" s="28"/>
      <c r="N482" s="28"/>
      <c r="O482" s="28"/>
      <c r="P482" s="28"/>
      <c r="Q482" s="28"/>
      <c r="R482" s="28"/>
      <c r="S482" s="28"/>
      <c r="T482" s="28"/>
      <c r="U482" s="3"/>
    </row>
    <row r="483" spans="1:21" ht="14.25" customHeight="1" x14ac:dyDescent="0.3">
      <c r="A483" s="3"/>
      <c r="B483" s="3"/>
      <c r="C483" s="28"/>
      <c r="D483" s="28"/>
      <c r="E483" s="28"/>
      <c r="F483" s="28"/>
      <c r="G483" s="89"/>
      <c r="H483" s="89"/>
      <c r="I483" s="90"/>
      <c r="J483" s="89"/>
      <c r="K483" s="28"/>
      <c r="L483" s="28"/>
      <c r="M483" s="28"/>
      <c r="N483" s="28"/>
      <c r="O483" s="28"/>
      <c r="P483" s="28"/>
      <c r="Q483" s="28"/>
      <c r="R483" s="28"/>
      <c r="S483" s="28"/>
      <c r="T483" s="28"/>
      <c r="U483" s="3"/>
    </row>
    <row r="484" spans="1:21" ht="14.25" customHeight="1" x14ac:dyDescent="0.3">
      <c r="A484" s="3"/>
      <c r="B484" s="3"/>
      <c r="C484" s="28"/>
      <c r="D484" s="28"/>
      <c r="E484" s="28"/>
      <c r="F484" s="28"/>
      <c r="G484" s="89"/>
      <c r="H484" s="89"/>
      <c r="I484" s="90"/>
      <c r="J484" s="89"/>
      <c r="K484" s="28"/>
      <c r="L484" s="28"/>
      <c r="M484" s="28"/>
      <c r="N484" s="28"/>
      <c r="O484" s="28"/>
      <c r="P484" s="28"/>
      <c r="Q484" s="28"/>
      <c r="R484" s="28"/>
      <c r="S484" s="28"/>
      <c r="T484" s="28"/>
      <c r="U484" s="3"/>
    </row>
    <row r="485" spans="1:21" ht="14.25" customHeight="1" x14ac:dyDescent="0.3">
      <c r="A485" s="3"/>
      <c r="B485" s="3"/>
      <c r="C485" s="28"/>
      <c r="D485" s="28"/>
      <c r="E485" s="28"/>
      <c r="F485" s="28"/>
      <c r="G485" s="89"/>
      <c r="H485" s="89"/>
      <c r="I485" s="90"/>
      <c r="J485" s="89"/>
      <c r="K485" s="28"/>
      <c r="L485" s="28"/>
      <c r="M485" s="28"/>
      <c r="N485" s="28"/>
      <c r="O485" s="28"/>
      <c r="P485" s="28"/>
      <c r="Q485" s="28"/>
      <c r="R485" s="28"/>
      <c r="S485" s="28"/>
      <c r="T485" s="28"/>
      <c r="U485" s="3"/>
    </row>
    <row r="486" spans="1:21" ht="14.25" customHeight="1" x14ac:dyDescent="0.3">
      <c r="A486" s="3"/>
      <c r="B486" s="3"/>
      <c r="C486" s="28"/>
      <c r="D486" s="28"/>
      <c r="E486" s="28"/>
      <c r="F486" s="28"/>
      <c r="G486" s="89"/>
      <c r="H486" s="89"/>
      <c r="I486" s="90"/>
      <c r="J486" s="89"/>
      <c r="K486" s="28"/>
      <c r="L486" s="28"/>
      <c r="M486" s="28"/>
      <c r="N486" s="28"/>
      <c r="O486" s="28"/>
      <c r="P486" s="28"/>
      <c r="Q486" s="28"/>
      <c r="R486" s="28"/>
      <c r="S486" s="28"/>
      <c r="T486" s="28"/>
      <c r="U486" s="3"/>
    </row>
    <row r="487" spans="1:21" ht="14.25" customHeight="1" x14ac:dyDescent="0.3">
      <c r="A487" s="3"/>
      <c r="B487" s="3"/>
      <c r="C487" s="28"/>
      <c r="D487" s="28"/>
      <c r="E487" s="28"/>
      <c r="F487" s="28"/>
      <c r="G487" s="89"/>
      <c r="H487" s="89"/>
      <c r="I487" s="90"/>
      <c r="J487" s="89"/>
      <c r="K487" s="28"/>
      <c r="L487" s="28"/>
      <c r="M487" s="28"/>
      <c r="N487" s="28"/>
      <c r="O487" s="28"/>
      <c r="P487" s="28"/>
      <c r="Q487" s="28"/>
      <c r="R487" s="28"/>
      <c r="S487" s="28"/>
      <c r="T487" s="28"/>
      <c r="U487" s="3"/>
    </row>
    <row r="488" spans="1:21" ht="14.25" customHeight="1" x14ac:dyDescent="0.3">
      <c r="A488" s="3"/>
      <c r="B488" s="3"/>
      <c r="C488" s="28"/>
      <c r="D488" s="28"/>
      <c r="E488" s="28"/>
      <c r="F488" s="28"/>
      <c r="G488" s="89"/>
      <c r="H488" s="89"/>
      <c r="I488" s="90"/>
      <c r="J488" s="89"/>
      <c r="K488" s="28"/>
      <c r="L488" s="28"/>
      <c r="M488" s="28"/>
      <c r="N488" s="28"/>
      <c r="O488" s="28"/>
      <c r="P488" s="28"/>
      <c r="Q488" s="28"/>
      <c r="R488" s="28"/>
      <c r="S488" s="28"/>
      <c r="T488" s="28"/>
      <c r="U488" s="3"/>
    </row>
    <row r="489" spans="1:21" ht="14.25" customHeight="1" x14ac:dyDescent="0.3">
      <c r="A489" s="3"/>
      <c r="B489" s="3"/>
      <c r="C489" s="28"/>
      <c r="D489" s="28"/>
      <c r="E489" s="28"/>
      <c r="F489" s="28"/>
      <c r="G489" s="89"/>
      <c r="H489" s="89"/>
      <c r="I489" s="90"/>
      <c r="J489" s="89"/>
      <c r="K489" s="28"/>
      <c r="L489" s="28"/>
      <c r="M489" s="28"/>
      <c r="N489" s="28"/>
      <c r="O489" s="28"/>
      <c r="P489" s="28"/>
      <c r="Q489" s="28"/>
      <c r="R489" s="28"/>
      <c r="S489" s="28"/>
      <c r="T489" s="28"/>
      <c r="U489" s="3"/>
    </row>
    <row r="490" spans="1:21" ht="14.25" customHeight="1" x14ac:dyDescent="0.3">
      <c r="A490" s="3"/>
      <c r="B490" s="3"/>
      <c r="C490" s="28"/>
      <c r="D490" s="28"/>
      <c r="E490" s="28"/>
      <c r="F490" s="28"/>
      <c r="G490" s="89"/>
      <c r="H490" s="89"/>
      <c r="I490" s="90"/>
      <c r="J490" s="89"/>
      <c r="K490" s="28"/>
      <c r="L490" s="28"/>
      <c r="M490" s="28"/>
      <c r="N490" s="28"/>
      <c r="O490" s="28"/>
      <c r="P490" s="28"/>
      <c r="Q490" s="28"/>
      <c r="R490" s="28"/>
      <c r="S490" s="28"/>
      <c r="T490" s="28"/>
      <c r="U490" s="3"/>
    </row>
    <row r="491" spans="1:21" ht="14.25" customHeight="1" x14ac:dyDescent="0.3">
      <c r="A491" s="3"/>
      <c r="B491" s="3"/>
      <c r="C491" s="28"/>
      <c r="D491" s="28"/>
      <c r="E491" s="28"/>
      <c r="F491" s="28"/>
      <c r="G491" s="89"/>
      <c r="H491" s="89"/>
      <c r="I491" s="90"/>
      <c r="J491" s="89"/>
      <c r="K491" s="28"/>
      <c r="L491" s="28"/>
      <c r="M491" s="28"/>
      <c r="N491" s="28"/>
      <c r="O491" s="28"/>
      <c r="P491" s="28"/>
      <c r="Q491" s="28"/>
      <c r="R491" s="28"/>
      <c r="S491" s="28"/>
      <c r="T491" s="28"/>
      <c r="U491" s="3"/>
    </row>
    <row r="492" spans="1:21" ht="14.25" customHeight="1" x14ac:dyDescent="0.3">
      <c r="A492" s="3"/>
      <c r="B492" s="3"/>
      <c r="C492" s="28"/>
      <c r="D492" s="28"/>
      <c r="E492" s="28"/>
      <c r="F492" s="28"/>
      <c r="G492" s="89"/>
      <c r="H492" s="89"/>
      <c r="I492" s="90"/>
      <c r="J492" s="89"/>
      <c r="K492" s="28"/>
      <c r="L492" s="28"/>
      <c r="M492" s="28"/>
      <c r="N492" s="28"/>
      <c r="O492" s="28"/>
      <c r="P492" s="28"/>
      <c r="Q492" s="28"/>
      <c r="R492" s="28"/>
      <c r="S492" s="28"/>
      <c r="T492" s="28"/>
      <c r="U492" s="3"/>
    </row>
    <row r="493" spans="1:21" ht="14.25" customHeight="1" x14ac:dyDescent="0.3">
      <c r="A493" s="3"/>
      <c r="B493" s="3"/>
      <c r="C493" s="28"/>
      <c r="D493" s="28"/>
      <c r="E493" s="28"/>
      <c r="F493" s="28"/>
      <c r="G493" s="89"/>
      <c r="H493" s="89"/>
      <c r="I493" s="90"/>
      <c r="J493" s="89"/>
      <c r="K493" s="28"/>
      <c r="L493" s="28"/>
      <c r="M493" s="28"/>
      <c r="N493" s="28"/>
      <c r="O493" s="28"/>
      <c r="P493" s="28"/>
      <c r="Q493" s="28"/>
      <c r="R493" s="28"/>
      <c r="S493" s="28"/>
      <c r="T493" s="28"/>
      <c r="U493" s="3"/>
    </row>
    <row r="494" spans="1:21" ht="14.25" customHeight="1" x14ac:dyDescent="0.3">
      <c r="A494" s="3"/>
      <c r="B494" s="3"/>
      <c r="C494" s="28"/>
      <c r="D494" s="28"/>
      <c r="E494" s="28"/>
      <c r="F494" s="28"/>
      <c r="G494" s="89"/>
      <c r="H494" s="89"/>
      <c r="I494" s="90"/>
      <c r="J494" s="89"/>
      <c r="K494" s="28"/>
      <c r="L494" s="28"/>
      <c r="M494" s="28"/>
      <c r="N494" s="28"/>
      <c r="O494" s="28"/>
      <c r="P494" s="28"/>
      <c r="Q494" s="28"/>
      <c r="R494" s="28"/>
      <c r="S494" s="28"/>
      <c r="T494" s="28"/>
      <c r="U494" s="3"/>
    </row>
    <row r="495" spans="1:21" ht="14.25" customHeight="1" x14ac:dyDescent="0.3">
      <c r="A495" s="3"/>
      <c r="B495" s="3"/>
      <c r="C495" s="28"/>
      <c r="D495" s="28"/>
      <c r="E495" s="28"/>
      <c r="F495" s="28"/>
      <c r="G495" s="89"/>
      <c r="H495" s="89"/>
      <c r="I495" s="90"/>
      <c r="J495" s="89"/>
      <c r="K495" s="28"/>
      <c r="L495" s="28"/>
      <c r="M495" s="28"/>
      <c r="N495" s="28"/>
      <c r="O495" s="28"/>
      <c r="P495" s="28"/>
      <c r="Q495" s="28"/>
      <c r="R495" s="28"/>
      <c r="S495" s="28"/>
      <c r="T495" s="28"/>
      <c r="U495" s="3"/>
    </row>
    <row r="496" spans="1:21" ht="14.25" customHeight="1" x14ac:dyDescent="0.3">
      <c r="A496" s="3"/>
      <c r="B496" s="3"/>
      <c r="C496" s="28"/>
      <c r="D496" s="28"/>
      <c r="E496" s="28"/>
      <c r="F496" s="28"/>
      <c r="G496" s="89"/>
      <c r="H496" s="89"/>
      <c r="I496" s="90"/>
      <c r="J496" s="89"/>
      <c r="K496" s="28"/>
      <c r="L496" s="28"/>
      <c r="M496" s="28"/>
      <c r="N496" s="28"/>
      <c r="O496" s="28"/>
      <c r="P496" s="28"/>
      <c r="Q496" s="28"/>
      <c r="R496" s="28"/>
      <c r="S496" s="28"/>
      <c r="T496" s="28"/>
      <c r="U496" s="3"/>
    </row>
    <row r="497" spans="1:21" ht="14.25" customHeight="1" x14ac:dyDescent="0.3">
      <c r="A497" s="3"/>
      <c r="B497" s="3"/>
      <c r="C497" s="28"/>
      <c r="D497" s="28"/>
      <c r="E497" s="28"/>
      <c r="F497" s="28"/>
      <c r="G497" s="89"/>
      <c r="H497" s="89"/>
      <c r="I497" s="90"/>
      <c r="J497" s="89"/>
      <c r="K497" s="28"/>
      <c r="L497" s="28"/>
      <c r="M497" s="28"/>
      <c r="N497" s="28"/>
      <c r="O497" s="28"/>
      <c r="P497" s="28"/>
      <c r="Q497" s="28"/>
      <c r="R497" s="28"/>
      <c r="S497" s="28"/>
      <c r="T497" s="28"/>
      <c r="U497" s="3"/>
    </row>
    <row r="498" spans="1:21" ht="14.25" customHeight="1" x14ac:dyDescent="0.3">
      <c r="A498" s="3"/>
      <c r="B498" s="3"/>
      <c r="C498" s="28"/>
      <c r="D498" s="28"/>
      <c r="E498" s="28"/>
      <c r="F498" s="28"/>
      <c r="G498" s="89"/>
      <c r="H498" s="89"/>
      <c r="I498" s="90"/>
      <c r="J498" s="89"/>
      <c r="K498" s="28"/>
      <c r="L498" s="28"/>
      <c r="M498" s="28"/>
      <c r="N498" s="28"/>
      <c r="O498" s="28"/>
      <c r="P498" s="28"/>
      <c r="Q498" s="28"/>
      <c r="R498" s="28"/>
      <c r="S498" s="28"/>
      <c r="T498" s="28"/>
      <c r="U498" s="3"/>
    </row>
    <row r="499" spans="1:21" ht="14.25" customHeight="1" x14ac:dyDescent="0.3">
      <c r="A499" s="3"/>
      <c r="B499" s="3"/>
      <c r="C499" s="28"/>
      <c r="D499" s="28"/>
      <c r="E499" s="28"/>
      <c r="F499" s="28"/>
      <c r="G499" s="89"/>
      <c r="H499" s="89"/>
      <c r="I499" s="90"/>
      <c r="J499" s="89"/>
      <c r="K499" s="28"/>
      <c r="L499" s="28"/>
      <c r="M499" s="28"/>
      <c r="N499" s="28"/>
      <c r="O499" s="28"/>
      <c r="P499" s="28"/>
      <c r="Q499" s="28"/>
      <c r="R499" s="28"/>
      <c r="S499" s="28"/>
      <c r="T499" s="28"/>
      <c r="U499" s="3"/>
    </row>
    <row r="500" spans="1:21" ht="14.25" customHeight="1" x14ac:dyDescent="0.3">
      <c r="A500" s="3"/>
      <c r="B500" s="3"/>
      <c r="C500" s="28"/>
      <c r="D500" s="28"/>
      <c r="E500" s="28"/>
      <c r="F500" s="28"/>
      <c r="G500" s="89"/>
      <c r="H500" s="89"/>
      <c r="I500" s="90"/>
      <c r="J500" s="89"/>
      <c r="K500" s="28"/>
      <c r="L500" s="28"/>
      <c r="M500" s="28"/>
      <c r="N500" s="28"/>
      <c r="O500" s="28"/>
      <c r="P500" s="28"/>
      <c r="Q500" s="28"/>
      <c r="R500" s="28"/>
      <c r="S500" s="28"/>
      <c r="T500" s="28"/>
      <c r="U500" s="3"/>
    </row>
    <row r="501" spans="1:21" ht="14.25" customHeight="1" x14ac:dyDescent="0.3">
      <c r="A501" s="3"/>
      <c r="B501" s="3"/>
      <c r="C501" s="28"/>
      <c r="D501" s="28"/>
      <c r="E501" s="28"/>
      <c r="F501" s="28"/>
      <c r="G501" s="89"/>
      <c r="H501" s="89"/>
      <c r="I501" s="90"/>
      <c r="J501" s="89"/>
      <c r="K501" s="28"/>
      <c r="L501" s="28"/>
      <c r="M501" s="28"/>
      <c r="N501" s="28"/>
      <c r="O501" s="28"/>
      <c r="P501" s="28"/>
      <c r="Q501" s="28"/>
      <c r="R501" s="28"/>
      <c r="S501" s="28"/>
      <c r="T501" s="28"/>
      <c r="U501" s="3"/>
    </row>
    <row r="502" spans="1:21" ht="14.25" customHeight="1" x14ac:dyDescent="0.3">
      <c r="A502" s="3"/>
      <c r="B502" s="3"/>
      <c r="C502" s="28"/>
      <c r="D502" s="28"/>
      <c r="E502" s="28"/>
      <c r="F502" s="28"/>
      <c r="G502" s="89"/>
      <c r="H502" s="89"/>
      <c r="I502" s="90"/>
      <c r="J502" s="89"/>
      <c r="K502" s="28"/>
      <c r="L502" s="28"/>
      <c r="M502" s="28"/>
      <c r="N502" s="28"/>
      <c r="O502" s="28"/>
      <c r="P502" s="28"/>
      <c r="Q502" s="28"/>
      <c r="R502" s="28"/>
      <c r="S502" s="28"/>
      <c r="T502" s="28"/>
      <c r="U502" s="3"/>
    </row>
    <row r="503" spans="1:21" ht="14.25" customHeight="1" x14ac:dyDescent="0.3">
      <c r="A503" s="3"/>
      <c r="B503" s="3"/>
      <c r="C503" s="28"/>
      <c r="D503" s="28"/>
      <c r="E503" s="28"/>
      <c r="F503" s="28"/>
      <c r="G503" s="89"/>
      <c r="H503" s="89"/>
      <c r="I503" s="90"/>
      <c r="J503" s="89"/>
      <c r="K503" s="28"/>
      <c r="L503" s="28"/>
      <c r="M503" s="28"/>
      <c r="N503" s="28"/>
      <c r="O503" s="28"/>
      <c r="P503" s="28"/>
      <c r="Q503" s="28"/>
      <c r="R503" s="28"/>
      <c r="S503" s="28"/>
      <c r="T503" s="28"/>
      <c r="U503" s="3"/>
    </row>
    <row r="504" spans="1:21" ht="14.25" customHeight="1" x14ac:dyDescent="0.3">
      <c r="A504" s="3"/>
      <c r="B504" s="3"/>
      <c r="C504" s="28"/>
      <c r="D504" s="28"/>
      <c r="E504" s="28"/>
      <c r="F504" s="28"/>
      <c r="G504" s="89"/>
      <c r="H504" s="89"/>
      <c r="I504" s="90"/>
      <c r="J504" s="89"/>
      <c r="K504" s="28"/>
      <c r="L504" s="28"/>
      <c r="M504" s="28"/>
      <c r="N504" s="28"/>
      <c r="O504" s="28"/>
      <c r="P504" s="28"/>
      <c r="Q504" s="28"/>
      <c r="R504" s="28"/>
      <c r="S504" s="28"/>
      <c r="T504" s="28"/>
      <c r="U504" s="3"/>
    </row>
    <row r="505" spans="1:21" ht="14.25" customHeight="1" x14ac:dyDescent="0.3">
      <c r="A505" s="3"/>
      <c r="B505" s="3"/>
      <c r="C505" s="28"/>
      <c r="D505" s="28"/>
      <c r="E505" s="28"/>
      <c r="F505" s="28"/>
      <c r="G505" s="89"/>
      <c r="H505" s="89"/>
      <c r="I505" s="90"/>
      <c r="J505" s="89"/>
      <c r="K505" s="28"/>
      <c r="L505" s="28"/>
      <c r="M505" s="28"/>
      <c r="N505" s="28"/>
      <c r="O505" s="28"/>
      <c r="P505" s="28"/>
      <c r="Q505" s="28"/>
      <c r="R505" s="28"/>
      <c r="S505" s="28"/>
      <c r="T505" s="28"/>
      <c r="U505" s="3"/>
    </row>
    <row r="506" spans="1:21" ht="14.25" customHeight="1" x14ac:dyDescent="0.3">
      <c r="A506" s="3"/>
      <c r="B506" s="3"/>
      <c r="C506" s="28"/>
      <c r="D506" s="28"/>
      <c r="E506" s="28"/>
      <c r="F506" s="28"/>
      <c r="G506" s="89"/>
      <c r="H506" s="89"/>
      <c r="I506" s="90"/>
      <c r="J506" s="89"/>
      <c r="K506" s="28"/>
      <c r="L506" s="28"/>
      <c r="M506" s="28"/>
      <c r="N506" s="28"/>
      <c r="O506" s="28"/>
      <c r="P506" s="28"/>
      <c r="Q506" s="28"/>
      <c r="R506" s="28"/>
      <c r="S506" s="28"/>
      <c r="T506" s="28"/>
      <c r="U506" s="3"/>
    </row>
    <row r="507" spans="1:21" ht="14.25" customHeight="1" x14ac:dyDescent="0.3">
      <c r="A507" s="3"/>
      <c r="B507" s="3"/>
      <c r="C507" s="28"/>
      <c r="D507" s="28"/>
      <c r="E507" s="28"/>
      <c r="F507" s="28"/>
      <c r="G507" s="89"/>
      <c r="H507" s="89"/>
      <c r="I507" s="90"/>
      <c r="J507" s="89"/>
      <c r="K507" s="28"/>
      <c r="L507" s="28"/>
      <c r="M507" s="28"/>
      <c r="N507" s="28"/>
      <c r="O507" s="28"/>
      <c r="P507" s="28"/>
      <c r="Q507" s="28"/>
      <c r="R507" s="28"/>
      <c r="S507" s="28"/>
      <c r="T507" s="28"/>
      <c r="U507" s="3"/>
    </row>
    <row r="508" spans="1:21" ht="14.25" customHeight="1" x14ac:dyDescent="0.3">
      <c r="A508" s="3"/>
      <c r="B508" s="3"/>
      <c r="C508" s="28"/>
      <c r="D508" s="28"/>
      <c r="E508" s="28"/>
      <c r="F508" s="28"/>
      <c r="G508" s="89"/>
      <c r="H508" s="89"/>
      <c r="I508" s="90"/>
      <c r="J508" s="89"/>
      <c r="K508" s="28"/>
      <c r="L508" s="28"/>
      <c r="M508" s="28"/>
      <c r="N508" s="28"/>
      <c r="O508" s="28"/>
      <c r="P508" s="28"/>
      <c r="Q508" s="28"/>
      <c r="R508" s="28"/>
      <c r="S508" s="28"/>
      <c r="T508" s="28"/>
      <c r="U508" s="3"/>
    </row>
    <row r="509" spans="1:21" ht="14.25" customHeight="1" x14ac:dyDescent="0.3">
      <c r="A509" s="3"/>
      <c r="B509" s="3"/>
      <c r="C509" s="28"/>
      <c r="D509" s="28"/>
      <c r="E509" s="28"/>
      <c r="F509" s="28"/>
      <c r="G509" s="89"/>
      <c r="H509" s="89"/>
      <c r="I509" s="90"/>
      <c r="J509" s="89"/>
      <c r="K509" s="28"/>
      <c r="L509" s="28"/>
      <c r="M509" s="28"/>
      <c r="N509" s="28"/>
      <c r="O509" s="28"/>
      <c r="P509" s="28"/>
      <c r="Q509" s="28"/>
      <c r="R509" s="28"/>
      <c r="S509" s="28"/>
      <c r="T509" s="28"/>
      <c r="U509" s="3"/>
    </row>
    <row r="510" spans="1:21" ht="14.25" customHeight="1" x14ac:dyDescent="0.3">
      <c r="A510" s="3"/>
      <c r="B510" s="3"/>
      <c r="C510" s="28"/>
      <c r="D510" s="28"/>
      <c r="E510" s="28"/>
      <c r="F510" s="28"/>
      <c r="G510" s="89"/>
      <c r="H510" s="89"/>
      <c r="I510" s="90"/>
      <c r="J510" s="89"/>
      <c r="K510" s="28"/>
      <c r="L510" s="28"/>
      <c r="M510" s="28"/>
      <c r="N510" s="28"/>
      <c r="O510" s="28"/>
      <c r="P510" s="28"/>
      <c r="Q510" s="28"/>
      <c r="R510" s="28"/>
      <c r="S510" s="28"/>
      <c r="T510" s="28"/>
      <c r="U510" s="3"/>
    </row>
    <row r="511" spans="1:21" ht="14.25" customHeight="1" x14ac:dyDescent="0.3">
      <c r="A511" s="3"/>
      <c r="B511" s="3"/>
      <c r="C511" s="28"/>
      <c r="D511" s="28"/>
      <c r="E511" s="28"/>
      <c r="F511" s="28"/>
      <c r="G511" s="89"/>
      <c r="H511" s="89"/>
      <c r="I511" s="90"/>
      <c r="J511" s="89"/>
      <c r="K511" s="28"/>
      <c r="L511" s="28"/>
      <c r="M511" s="28"/>
      <c r="N511" s="28"/>
      <c r="O511" s="28"/>
      <c r="P511" s="28"/>
      <c r="Q511" s="28"/>
      <c r="R511" s="28"/>
      <c r="S511" s="28"/>
      <c r="T511" s="28"/>
      <c r="U511" s="3"/>
    </row>
    <row r="512" spans="1:21" ht="14.25" customHeight="1" x14ac:dyDescent="0.3">
      <c r="A512" s="3"/>
      <c r="B512" s="3"/>
      <c r="C512" s="28"/>
      <c r="D512" s="28"/>
      <c r="E512" s="28"/>
      <c r="F512" s="28"/>
      <c r="G512" s="89"/>
      <c r="H512" s="89"/>
      <c r="I512" s="90"/>
      <c r="J512" s="89"/>
      <c r="K512" s="28"/>
      <c r="L512" s="28"/>
      <c r="M512" s="28"/>
      <c r="N512" s="28"/>
      <c r="O512" s="28"/>
      <c r="P512" s="28"/>
      <c r="Q512" s="28"/>
      <c r="R512" s="28"/>
      <c r="S512" s="28"/>
      <c r="T512" s="28"/>
      <c r="U512" s="3"/>
    </row>
    <row r="513" spans="1:21" ht="14.25" customHeight="1" x14ac:dyDescent="0.3">
      <c r="A513" s="3"/>
      <c r="B513" s="3"/>
      <c r="C513" s="28"/>
      <c r="D513" s="28"/>
      <c r="E513" s="28"/>
      <c r="F513" s="28"/>
      <c r="G513" s="89"/>
      <c r="H513" s="89"/>
      <c r="I513" s="90"/>
      <c r="J513" s="89"/>
      <c r="K513" s="28"/>
      <c r="L513" s="28"/>
      <c r="M513" s="28"/>
      <c r="N513" s="28"/>
      <c r="O513" s="28"/>
      <c r="P513" s="28"/>
      <c r="Q513" s="28"/>
      <c r="R513" s="28"/>
      <c r="S513" s="28"/>
      <c r="T513" s="28"/>
      <c r="U513" s="3"/>
    </row>
    <row r="514" spans="1:21" ht="14.25" customHeight="1" x14ac:dyDescent="0.3">
      <c r="A514" s="3"/>
      <c r="B514" s="3"/>
      <c r="C514" s="28"/>
      <c r="D514" s="28"/>
      <c r="E514" s="28"/>
      <c r="F514" s="28"/>
      <c r="G514" s="89"/>
      <c r="H514" s="89"/>
      <c r="I514" s="90"/>
      <c r="J514" s="89"/>
      <c r="K514" s="28"/>
      <c r="L514" s="28"/>
      <c r="M514" s="28"/>
      <c r="N514" s="28"/>
      <c r="O514" s="28"/>
      <c r="P514" s="28"/>
      <c r="Q514" s="28"/>
      <c r="R514" s="28"/>
      <c r="S514" s="28"/>
      <c r="T514" s="28"/>
      <c r="U514" s="3"/>
    </row>
    <row r="515" spans="1:21" ht="14.25" customHeight="1" x14ac:dyDescent="0.3">
      <c r="A515" s="3"/>
      <c r="B515" s="3"/>
      <c r="C515" s="28"/>
      <c r="D515" s="28"/>
      <c r="E515" s="28"/>
      <c r="F515" s="28"/>
      <c r="G515" s="89"/>
      <c r="H515" s="89"/>
      <c r="I515" s="90"/>
      <c r="J515" s="89"/>
      <c r="K515" s="28"/>
      <c r="L515" s="28"/>
      <c r="M515" s="28"/>
      <c r="N515" s="28"/>
      <c r="O515" s="28"/>
      <c r="P515" s="28"/>
      <c r="Q515" s="28"/>
      <c r="R515" s="28"/>
      <c r="S515" s="28"/>
      <c r="T515" s="28"/>
      <c r="U515" s="3"/>
    </row>
    <row r="516" spans="1:21" ht="14.25" customHeight="1" x14ac:dyDescent="0.3">
      <c r="A516" s="3"/>
      <c r="B516" s="3"/>
      <c r="C516" s="28"/>
      <c r="D516" s="28"/>
      <c r="E516" s="28"/>
      <c r="F516" s="28"/>
      <c r="G516" s="89"/>
      <c r="H516" s="89"/>
      <c r="I516" s="90"/>
      <c r="J516" s="89"/>
      <c r="K516" s="28"/>
      <c r="L516" s="28"/>
      <c r="M516" s="28"/>
      <c r="N516" s="28"/>
      <c r="O516" s="28"/>
      <c r="P516" s="28"/>
      <c r="Q516" s="28"/>
      <c r="R516" s="28"/>
      <c r="S516" s="28"/>
      <c r="T516" s="28"/>
      <c r="U516" s="3"/>
    </row>
    <row r="517" spans="1:21" ht="14.25" customHeight="1" x14ac:dyDescent="0.3">
      <c r="A517" s="3"/>
      <c r="B517" s="3"/>
      <c r="C517" s="28"/>
      <c r="D517" s="28"/>
      <c r="E517" s="28"/>
      <c r="F517" s="28"/>
      <c r="G517" s="89"/>
      <c r="H517" s="89"/>
      <c r="I517" s="90"/>
      <c r="J517" s="89"/>
      <c r="K517" s="28"/>
      <c r="L517" s="28"/>
      <c r="M517" s="28"/>
      <c r="N517" s="28"/>
      <c r="O517" s="28"/>
      <c r="P517" s="28"/>
      <c r="Q517" s="28"/>
      <c r="R517" s="28"/>
      <c r="S517" s="28"/>
      <c r="T517" s="28"/>
      <c r="U517" s="3"/>
    </row>
    <row r="518" spans="1:21" ht="14.25" customHeight="1" x14ac:dyDescent="0.3">
      <c r="A518" s="3"/>
      <c r="B518" s="3"/>
      <c r="C518" s="28"/>
      <c r="D518" s="28"/>
      <c r="E518" s="28"/>
      <c r="F518" s="28"/>
      <c r="G518" s="89"/>
      <c r="H518" s="89"/>
      <c r="I518" s="90"/>
      <c r="J518" s="89"/>
      <c r="K518" s="28"/>
      <c r="L518" s="28"/>
      <c r="M518" s="28"/>
      <c r="N518" s="28"/>
      <c r="O518" s="28"/>
      <c r="P518" s="28"/>
      <c r="Q518" s="28"/>
      <c r="R518" s="28"/>
      <c r="S518" s="28"/>
      <c r="T518" s="28"/>
      <c r="U518" s="3"/>
    </row>
    <row r="519" spans="1:21" ht="14.25" customHeight="1" x14ac:dyDescent="0.3">
      <c r="A519" s="3"/>
      <c r="B519" s="3"/>
      <c r="C519" s="28"/>
      <c r="D519" s="28"/>
      <c r="E519" s="28"/>
      <c r="F519" s="28"/>
      <c r="G519" s="89"/>
      <c r="H519" s="89"/>
      <c r="I519" s="90"/>
      <c r="J519" s="89"/>
      <c r="K519" s="28"/>
      <c r="L519" s="28"/>
      <c r="M519" s="28"/>
      <c r="N519" s="28"/>
      <c r="O519" s="28"/>
      <c r="P519" s="28"/>
      <c r="Q519" s="28"/>
      <c r="R519" s="28"/>
      <c r="S519" s="28"/>
      <c r="T519" s="28"/>
      <c r="U519" s="3"/>
    </row>
    <row r="520" spans="1:21" ht="14.25" customHeight="1" x14ac:dyDescent="0.3">
      <c r="A520" s="3"/>
      <c r="B520" s="3"/>
      <c r="C520" s="28"/>
      <c r="D520" s="28"/>
      <c r="E520" s="28"/>
      <c r="F520" s="28"/>
      <c r="G520" s="89"/>
      <c r="H520" s="89"/>
      <c r="I520" s="90"/>
      <c r="J520" s="89"/>
      <c r="K520" s="28"/>
      <c r="L520" s="28"/>
      <c r="M520" s="28"/>
      <c r="N520" s="28"/>
      <c r="O520" s="28"/>
      <c r="P520" s="28"/>
      <c r="Q520" s="28"/>
      <c r="R520" s="28"/>
      <c r="S520" s="28"/>
      <c r="T520" s="28"/>
      <c r="U520" s="3"/>
    </row>
    <row r="521" spans="1:21" ht="14.25" customHeight="1" x14ac:dyDescent="0.3">
      <c r="A521" s="3"/>
      <c r="B521" s="3"/>
      <c r="C521" s="28"/>
      <c r="D521" s="28"/>
      <c r="E521" s="28"/>
      <c r="F521" s="28"/>
      <c r="G521" s="89"/>
      <c r="H521" s="89"/>
      <c r="I521" s="90"/>
      <c r="J521" s="89"/>
      <c r="K521" s="28"/>
      <c r="L521" s="28"/>
      <c r="M521" s="28"/>
      <c r="N521" s="28"/>
      <c r="O521" s="28"/>
      <c r="P521" s="28"/>
      <c r="Q521" s="28"/>
      <c r="R521" s="28"/>
      <c r="S521" s="28"/>
      <c r="T521" s="28"/>
      <c r="U521" s="3"/>
    </row>
    <row r="522" spans="1:21" ht="14.25" customHeight="1" x14ac:dyDescent="0.3">
      <c r="A522" s="3"/>
      <c r="B522" s="3"/>
      <c r="C522" s="28"/>
      <c r="D522" s="28"/>
      <c r="E522" s="28"/>
      <c r="F522" s="28"/>
      <c r="G522" s="89"/>
      <c r="H522" s="89"/>
      <c r="I522" s="90"/>
      <c r="J522" s="89"/>
      <c r="K522" s="28"/>
      <c r="L522" s="28"/>
      <c r="M522" s="28"/>
      <c r="N522" s="28"/>
      <c r="O522" s="28"/>
      <c r="P522" s="28"/>
      <c r="Q522" s="28"/>
      <c r="R522" s="28"/>
      <c r="S522" s="28"/>
      <c r="T522" s="28"/>
      <c r="U522" s="3"/>
    </row>
    <row r="523" spans="1:21" ht="14.25" customHeight="1" x14ac:dyDescent="0.3">
      <c r="A523" s="3"/>
      <c r="B523" s="3"/>
      <c r="C523" s="28"/>
      <c r="D523" s="28"/>
      <c r="E523" s="28"/>
      <c r="F523" s="28"/>
      <c r="G523" s="89"/>
      <c r="H523" s="89"/>
      <c r="I523" s="90"/>
      <c r="J523" s="89"/>
      <c r="K523" s="28"/>
      <c r="L523" s="28"/>
      <c r="M523" s="28"/>
      <c r="N523" s="28"/>
      <c r="O523" s="28"/>
      <c r="P523" s="28"/>
      <c r="Q523" s="28"/>
      <c r="R523" s="28"/>
      <c r="S523" s="28"/>
      <c r="T523" s="28"/>
      <c r="U523" s="3"/>
    </row>
    <row r="524" spans="1:21" ht="14.25" customHeight="1" x14ac:dyDescent="0.3">
      <c r="A524" s="3"/>
      <c r="B524" s="3"/>
      <c r="C524" s="28"/>
      <c r="D524" s="28"/>
      <c r="E524" s="28"/>
      <c r="F524" s="28"/>
      <c r="G524" s="89"/>
      <c r="H524" s="89"/>
      <c r="I524" s="90"/>
      <c r="J524" s="89"/>
      <c r="K524" s="28"/>
      <c r="L524" s="28"/>
      <c r="M524" s="28"/>
      <c r="N524" s="28"/>
      <c r="O524" s="28"/>
      <c r="P524" s="28"/>
      <c r="Q524" s="28"/>
      <c r="R524" s="28"/>
      <c r="S524" s="28"/>
      <c r="T524" s="28"/>
      <c r="U524" s="3"/>
    </row>
    <row r="525" spans="1:21" ht="14.25" customHeight="1" x14ac:dyDescent="0.3">
      <c r="A525" s="3"/>
      <c r="B525" s="3"/>
      <c r="C525" s="28"/>
      <c r="D525" s="28"/>
      <c r="E525" s="28"/>
      <c r="F525" s="28"/>
      <c r="G525" s="89"/>
      <c r="H525" s="89"/>
      <c r="I525" s="90"/>
      <c r="J525" s="89"/>
      <c r="K525" s="28"/>
      <c r="L525" s="28"/>
      <c r="M525" s="28"/>
      <c r="N525" s="28"/>
      <c r="O525" s="28"/>
      <c r="P525" s="28"/>
      <c r="Q525" s="28"/>
      <c r="R525" s="28"/>
      <c r="S525" s="28"/>
      <c r="T525" s="28"/>
      <c r="U525" s="3"/>
    </row>
    <row r="526" spans="1:21" ht="14.25" customHeight="1" x14ac:dyDescent="0.3">
      <c r="A526" s="3"/>
      <c r="B526" s="3"/>
      <c r="C526" s="28"/>
      <c r="D526" s="28"/>
      <c r="E526" s="28"/>
      <c r="F526" s="28"/>
      <c r="G526" s="89"/>
      <c r="H526" s="89"/>
      <c r="I526" s="90"/>
      <c r="J526" s="89"/>
      <c r="K526" s="28"/>
      <c r="L526" s="28"/>
      <c r="M526" s="28"/>
      <c r="N526" s="28"/>
      <c r="O526" s="28"/>
      <c r="P526" s="28"/>
      <c r="Q526" s="28"/>
      <c r="R526" s="28"/>
      <c r="S526" s="28"/>
      <c r="T526" s="28"/>
      <c r="U526" s="3"/>
    </row>
    <row r="527" spans="1:21" ht="14.25" customHeight="1" x14ac:dyDescent="0.3">
      <c r="A527" s="3"/>
      <c r="B527" s="3"/>
      <c r="C527" s="28"/>
      <c r="D527" s="28"/>
      <c r="E527" s="28"/>
      <c r="F527" s="28"/>
      <c r="G527" s="89"/>
      <c r="H527" s="89"/>
      <c r="I527" s="90"/>
      <c r="J527" s="89"/>
      <c r="K527" s="28"/>
      <c r="L527" s="28"/>
      <c r="M527" s="28"/>
      <c r="N527" s="28"/>
      <c r="O527" s="28"/>
      <c r="P527" s="28"/>
      <c r="Q527" s="28"/>
      <c r="R527" s="28"/>
      <c r="S527" s="28"/>
      <c r="T527" s="28"/>
      <c r="U527" s="3"/>
    </row>
    <row r="528" spans="1:21" ht="14.25" customHeight="1" x14ac:dyDescent="0.3">
      <c r="A528" s="3"/>
      <c r="B528" s="3"/>
      <c r="C528" s="28"/>
      <c r="D528" s="28"/>
      <c r="E528" s="28"/>
      <c r="F528" s="28"/>
      <c r="G528" s="89"/>
      <c r="H528" s="89"/>
      <c r="I528" s="90"/>
      <c r="J528" s="89"/>
      <c r="K528" s="28"/>
      <c r="L528" s="28"/>
      <c r="M528" s="28"/>
      <c r="N528" s="28"/>
      <c r="O528" s="28"/>
      <c r="P528" s="28"/>
      <c r="Q528" s="28"/>
      <c r="R528" s="28"/>
      <c r="S528" s="28"/>
      <c r="T528" s="28"/>
      <c r="U528" s="3"/>
    </row>
    <row r="529" spans="1:21" ht="14.25" customHeight="1" x14ac:dyDescent="0.3">
      <c r="A529" s="3"/>
      <c r="B529" s="3"/>
      <c r="C529" s="28"/>
      <c r="D529" s="28"/>
      <c r="E529" s="28"/>
      <c r="F529" s="28"/>
      <c r="G529" s="89"/>
      <c r="H529" s="89"/>
      <c r="I529" s="90"/>
      <c r="J529" s="89"/>
      <c r="K529" s="28"/>
      <c r="L529" s="28"/>
      <c r="M529" s="28"/>
      <c r="N529" s="28"/>
      <c r="O529" s="28"/>
      <c r="P529" s="28"/>
      <c r="Q529" s="28"/>
      <c r="R529" s="28"/>
      <c r="S529" s="28"/>
      <c r="T529" s="28"/>
      <c r="U529" s="3"/>
    </row>
    <row r="530" spans="1:21" ht="14.25" customHeight="1" x14ac:dyDescent="0.3">
      <c r="A530" s="3"/>
      <c r="B530" s="3"/>
      <c r="C530" s="28"/>
      <c r="D530" s="28"/>
      <c r="E530" s="28"/>
      <c r="F530" s="28"/>
      <c r="G530" s="89"/>
      <c r="H530" s="89"/>
      <c r="I530" s="90"/>
      <c r="J530" s="89"/>
      <c r="K530" s="28"/>
      <c r="L530" s="28"/>
      <c r="M530" s="28"/>
      <c r="N530" s="28"/>
      <c r="O530" s="28"/>
      <c r="P530" s="28"/>
      <c r="Q530" s="28"/>
      <c r="R530" s="28"/>
      <c r="S530" s="28"/>
      <c r="T530" s="28"/>
      <c r="U530" s="3"/>
    </row>
    <row r="531" spans="1:21" ht="14.25" customHeight="1" x14ac:dyDescent="0.3">
      <c r="A531" s="3"/>
      <c r="B531" s="3"/>
      <c r="C531" s="28"/>
      <c r="D531" s="28"/>
      <c r="E531" s="28"/>
      <c r="F531" s="28"/>
      <c r="G531" s="89"/>
      <c r="H531" s="89"/>
      <c r="I531" s="90"/>
      <c r="J531" s="89"/>
      <c r="K531" s="28"/>
      <c r="L531" s="28"/>
      <c r="M531" s="28"/>
      <c r="N531" s="28"/>
      <c r="O531" s="28"/>
      <c r="P531" s="28"/>
      <c r="Q531" s="28"/>
      <c r="R531" s="28"/>
      <c r="S531" s="28"/>
      <c r="T531" s="28"/>
      <c r="U531" s="3"/>
    </row>
    <row r="532" spans="1:21" ht="14.25" customHeight="1" x14ac:dyDescent="0.3">
      <c r="A532" s="3"/>
      <c r="B532" s="3"/>
      <c r="C532" s="28"/>
      <c r="D532" s="28"/>
      <c r="E532" s="28"/>
      <c r="F532" s="28"/>
      <c r="G532" s="89"/>
      <c r="H532" s="89"/>
      <c r="I532" s="90"/>
      <c r="J532" s="89"/>
      <c r="K532" s="28"/>
      <c r="L532" s="28"/>
      <c r="M532" s="28"/>
      <c r="N532" s="28"/>
      <c r="O532" s="28"/>
      <c r="P532" s="28"/>
      <c r="Q532" s="28"/>
      <c r="R532" s="28"/>
      <c r="S532" s="28"/>
      <c r="T532" s="28"/>
      <c r="U532" s="3"/>
    </row>
    <row r="533" spans="1:21" ht="14.25" customHeight="1" x14ac:dyDescent="0.3">
      <c r="A533" s="3"/>
      <c r="B533" s="3"/>
      <c r="C533" s="28"/>
      <c r="D533" s="28"/>
      <c r="E533" s="28"/>
      <c r="F533" s="28"/>
      <c r="G533" s="89"/>
      <c r="H533" s="89"/>
      <c r="I533" s="90"/>
      <c r="J533" s="89"/>
      <c r="K533" s="28"/>
      <c r="L533" s="28"/>
      <c r="M533" s="28"/>
      <c r="N533" s="28"/>
      <c r="O533" s="28"/>
      <c r="P533" s="28"/>
      <c r="Q533" s="28"/>
      <c r="R533" s="28"/>
      <c r="S533" s="28"/>
      <c r="T533" s="28"/>
      <c r="U533" s="3"/>
    </row>
    <row r="534" spans="1:21" ht="14.25" customHeight="1" x14ac:dyDescent="0.3">
      <c r="A534" s="3"/>
      <c r="B534" s="3"/>
      <c r="C534" s="28"/>
      <c r="D534" s="28"/>
      <c r="E534" s="28"/>
      <c r="F534" s="28"/>
      <c r="G534" s="89"/>
      <c r="H534" s="89"/>
      <c r="I534" s="90"/>
      <c r="J534" s="89"/>
      <c r="K534" s="28"/>
      <c r="L534" s="28"/>
      <c r="M534" s="28"/>
      <c r="N534" s="28"/>
      <c r="O534" s="28"/>
      <c r="P534" s="28"/>
      <c r="Q534" s="28"/>
      <c r="R534" s="28"/>
      <c r="S534" s="28"/>
      <c r="T534" s="28"/>
      <c r="U534" s="3"/>
    </row>
    <row r="535" spans="1:21" ht="14.25" customHeight="1" x14ac:dyDescent="0.3">
      <c r="A535" s="3"/>
      <c r="B535" s="3"/>
      <c r="C535" s="28"/>
      <c r="D535" s="28"/>
      <c r="E535" s="28"/>
      <c r="F535" s="28"/>
      <c r="G535" s="89"/>
      <c r="H535" s="89"/>
      <c r="I535" s="90"/>
      <c r="J535" s="89"/>
      <c r="K535" s="28"/>
      <c r="L535" s="28"/>
      <c r="M535" s="28"/>
      <c r="N535" s="28"/>
      <c r="O535" s="28"/>
      <c r="P535" s="28"/>
      <c r="Q535" s="28"/>
      <c r="R535" s="28"/>
      <c r="S535" s="28"/>
      <c r="T535" s="28"/>
      <c r="U535" s="3"/>
    </row>
    <row r="536" spans="1:21" ht="14.25" customHeight="1" x14ac:dyDescent="0.3">
      <c r="A536" s="3"/>
      <c r="B536" s="3"/>
      <c r="C536" s="28"/>
      <c r="D536" s="28"/>
      <c r="E536" s="28"/>
      <c r="F536" s="28"/>
      <c r="G536" s="89"/>
      <c r="H536" s="89"/>
      <c r="I536" s="90"/>
      <c r="J536" s="89"/>
      <c r="K536" s="28"/>
      <c r="L536" s="28"/>
      <c r="M536" s="28"/>
      <c r="N536" s="28"/>
      <c r="O536" s="28"/>
      <c r="P536" s="28"/>
      <c r="Q536" s="28"/>
      <c r="R536" s="28"/>
      <c r="S536" s="28"/>
      <c r="T536" s="28"/>
      <c r="U536" s="3"/>
    </row>
    <row r="537" spans="1:21" ht="14.25" customHeight="1" x14ac:dyDescent="0.3">
      <c r="A537" s="3"/>
      <c r="B537" s="3"/>
      <c r="C537" s="28"/>
      <c r="D537" s="28"/>
      <c r="E537" s="28"/>
      <c r="F537" s="28"/>
      <c r="G537" s="89"/>
      <c r="H537" s="89"/>
      <c r="I537" s="90"/>
      <c r="J537" s="89"/>
      <c r="K537" s="28"/>
      <c r="L537" s="28"/>
      <c r="M537" s="28"/>
      <c r="N537" s="28"/>
      <c r="O537" s="28"/>
      <c r="P537" s="28"/>
      <c r="Q537" s="28"/>
      <c r="R537" s="28"/>
      <c r="S537" s="28"/>
      <c r="T537" s="28"/>
      <c r="U537" s="3"/>
    </row>
    <row r="538" spans="1:21" ht="14.25" customHeight="1" x14ac:dyDescent="0.3">
      <c r="A538" s="3"/>
      <c r="B538" s="3"/>
      <c r="C538" s="28"/>
      <c r="D538" s="28"/>
      <c r="E538" s="28"/>
      <c r="F538" s="28"/>
      <c r="G538" s="89"/>
      <c r="H538" s="89"/>
      <c r="I538" s="90"/>
      <c r="J538" s="89"/>
      <c r="K538" s="28"/>
      <c r="L538" s="28"/>
      <c r="M538" s="28"/>
      <c r="N538" s="28"/>
      <c r="O538" s="28"/>
      <c r="P538" s="28"/>
      <c r="Q538" s="28"/>
      <c r="R538" s="28"/>
      <c r="S538" s="28"/>
      <c r="T538" s="28"/>
      <c r="U538" s="3"/>
    </row>
    <row r="539" spans="1:21" ht="14.25" customHeight="1" x14ac:dyDescent="0.3">
      <c r="A539" s="3"/>
      <c r="B539" s="3"/>
      <c r="C539" s="28"/>
      <c r="D539" s="28"/>
      <c r="E539" s="28"/>
      <c r="F539" s="28"/>
      <c r="G539" s="89"/>
      <c r="H539" s="89"/>
      <c r="I539" s="90"/>
      <c r="J539" s="89"/>
      <c r="K539" s="28"/>
      <c r="L539" s="28"/>
      <c r="M539" s="28"/>
      <c r="N539" s="28"/>
      <c r="O539" s="28"/>
      <c r="P539" s="28"/>
      <c r="Q539" s="28"/>
      <c r="R539" s="28"/>
      <c r="S539" s="28"/>
      <c r="T539" s="28"/>
      <c r="U539" s="3"/>
    </row>
    <row r="540" spans="1:21" ht="14.25" customHeight="1" x14ac:dyDescent="0.3">
      <c r="A540" s="3"/>
      <c r="B540" s="3"/>
      <c r="C540" s="28"/>
      <c r="D540" s="28"/>
      <c r="E540" s="28"/>
      <c r="F540" s="28"/>
      <c r="G540" s="89"/>
      <c r="H540" s="89"/>
      <c r="I540" s="90"/>
      <c r="J540" s="89"/>
      <c r="K540" s="28"/>
      <c r="L540" s="28"/>
      <c r="M540" s="28"/>
      <c r="N540" s="28"/>
      <c r="O540" s="28"/>
      <c r="P540" s="28"/>
      <c r="Q540" s="28"/>
      <c r="R540" s="28"/>
      <c r="S540" s="28"/>
      <c r="T540" s="28"/>
      <c r="U540" s="3"/>
    </row>
    <row r="541" spans="1:21" ht="14.25" customHeight="1" x14ac:dyDescent="0.3">
      <c r="A541" s="3"/>
      <c r="B541" s="3"/>
      <c r="C541" s="28"/>
      <c r="D541" s="28"/>
      <c r="E541" s="28"/>
      <c r="F541" s="28"/>
      <c r="G541" s="89"/>
      <c r="H541" s="89"/>
      <c r="I541" s="90"/>
      <c r="J541" s="89"/>
      <c r="K541" s="28"/>
      <c r="L541" s="28"/>
      <c r="M541" s="28"/>
      <c r="N541" s="28"/>
      <c r="O541" s="28"/>
      <c r="P541" s="28"/>
      <c r="Q541" s="28"/>
      <c r="R541" s="28"/>
      <c r="S541" s="28"/>
      <c r="T541" s="28"/>
      <c r="U541" s="3"/>
    </row>
    <row r="542" spans="1:21" ht="14.25" customHeight="1" x14ac:dyDescent="0.3">
      <c r="A542" s="3"/>
      <c r="B542" s="3"/>
      <c r="C542" s="28"/>
      <c r="D542" s="28"/>
      <c r="E542" s="28"/>
      <c r="F542" s="28"/>
      <c r="G542" s="89"/>
      <c r="H542" s="89"/>
      <c r="I542" s="90"/>
      <c r="J542" s="89"/>
      <c r="K542" s="28"/>
      <c r="L542" s="28"/>
      <c r="M542" s="28"/>
      <c r="N542" s="28"/>
      <c r="O542" s="28"/>
      <c r="P542" s="28"/>
      <c r="Q542" s="28"/>
      <c r="R542" s="28"/>
      <c r="S542" s="28"/>
      <c r="T542" s="28"/>
      <c r="U542" s="3"/>
    </row>
    <row r="543" spans="1:21" ht="14.25" customHeight="1" x14ac:dyDescent="0.3">
      <c r="A543" s="3"/>
      <c r="B543" s="3"/>
      <c r="C543" s="28"/>
      <c r="D543" s="28"/>
      <c r="E543" s="28"/>
      <c r="F543" s="28"/>
      <c r="G543" s="89"/>
      <c r="H543" s="89"/>
      <c r="I543" s="90"/>
      <c r="J543" s="89"/>
      <c r="K543" s="28"/>
      <c r="L543" s="28"/>
      <c r="M543" s="28"/>
      <c r="N543" s="28"/>
      <c r="O543" s="28"/>
      <c r="P543" s="28"/>
      <c r="Q543" s="28"/>
      <c r="R543" s="28"/>
      <c r="S543" s="28"/>
      <c r="T543" s="28"/>
      <c r="U543" s="3"/>
    </row>
    <row r="544" spans="1:21" ht="14.25" customHeight="1" x14ac:dyDescent="0.3">
      <c r="A544" s="3"/>
      <c r="B544" s="3"/>
      <c r="C544" s="28"/>
      <c r="D544" s="28"/>
      <c r="E544" s="28"/>
      <c r="F544" s="28"/>
      <c r="G544" s="89"/>
      <c r="H544" s="89"/>
      <c r="I544" s="90"/>
      <c r="J544" s="89"/>
      <c r="K544" s="28"/>
      <c r="L544" s="28"/>
      <c r="M544" s="28"/>
      <c r="N544" s="28"/>
      <c r="O544" s="28"/>
      <c r="P544" s="28"/>
      <c r="Q544" s="28"/>
      <c r="R544" s="28"/>
      <c r="S544" s="28"/>
      <c r="T544" s="28"/>
      <c r="U544" s="3"/>
    </row>
    <row r="545" spans="1:21" ht="14.25" customHeight="1" x14ac:dyDescent="0.3">
      <c r="A545" s="3"/>
      <c r="B545" s="3"/>
      <c r="C545" s="28"/>
      <c r="D545" s="28"/>
      <c r="E545" s="28"/>
      <c r="F545" s="28"/>
      <c r="G545" s="89"/>
      <c r="H545" s="89"/>
      <c r="I545" s="90"/>
      <c r="J545" s="89"/>
      <c r="K545" s="28"/>
      <c r="L545" s="28"/>
      <c r="M545" s="28"/>
      <c r="N545" s="28"/>
      <c r="O545" s="28"/>
      <c r="P545" s="28"/>
      <c r="Q545" s="28"/>
      <c r="R545" s="28"/>
      <c r="S545" s="28"/>
      <c r="T545" s="28"/>
      <c r="U545" s="3"/>
    </row>
    <row r="546" spans="1:21" ht="14.25" customHeight="1" x14ac:dyDescent="0.3">
      <c r="A546" s="3"/>
      <c r="B546" s="3"/>
      <c r="C546" s="28"/>
      <c r="D546" s="28"/>
      <c r="E546" s="28"/>
      <c r="F546" s="28"/>
      <c r="G546" s="89"/>
      <c r="H546" s="89"/>
      <c r="I546" s="90"/>
      <c r="J546" s="89"/>
      <c r="K546" s="28"/>
      <c r="L546" s="28"/>
      <c r="M546" s="28"/>
      <c r="N546" s="28"/>
      <c r="O546" s="28"/>
      <c r="P546" s="28"/>
      <c r="Q546" s="28"/>
      <c r="R546" s="28"/>
      <c r="S546" s="28"/>
      <c r="T546" s="28"/>
      <c r="U546" s="3"/>
    </row>
    <row r="547" spans="1:21" ht="14.25" customHeight="1" x14ac:dyDescent="0.3">
      <c r="A547" s="3"/>
      <c r="B547" s="3"/>
      <c r="C547" s="28"/>
      <c r="D547" s="28"/>
      <c r="E547" s="28"/>
      <c r="F547" s="28"/>
      <c r="G547" s="89"/>
      <c r="H547" s="89"/>
      <c r="I547" s="90"/>
      <c r="J547" s="89"/>
      <c r="K547" s="28"/>
      <c r="L547" s="28"/>
      <c r="M547" s="28"/>
      <c r="N547" s="28"/>
      <c r="O547" s="28"/>
      <c r="P547" s="28"/>
      <c r="Q547" s="28"/>
      <c r="R547" s="28"/>
      <c r="S547" s="28"/>
      <c r="T547" s="28"/>
      <c r="U547" s="3"/>
    </row>
    <row r="548" spans="1:21" ht="14.25" customHeight="1" x14ac:dyDescent="0.3">
      <c r="A548" s="3"/>
      <c r="B548" s="3"/>
      <c r="C548" s="28"/>
      <c r="D548" s="28"/>
      <c r="E548" s="28"/>
      <c r="F548" s="28"/>
      <c r="G548" s="89"/>
      <c r="H548" s="89"/>
      <c r="I548" s="90"/>
      <c r="J548" s="89"/>
      <c r="K548" s="28"/>
      <c r="L548" s="28"/>
      <c r="M548" s="28"/>
      <c r="N548" s="28"/>
      <c r="O548" s="28"/>
      <c r="P548" s="28"/>
      <c r="Q548" s="28"/>
      <c r="R548" s="28"/>
      <c r="S548" s="28"/>
      <c r="T548" s="28"/>
      <c r="U548" s="3"/>
    </row>
    <row r="549" spans="1:21" ht="14.25" customHeight="1" x14ac:dyDescent="0.3">
      <c r="A549" s="3"/>
      <c r="B549" s="3"/>
      <c r="C549" s="28"/>
      <c r="D549" s="28"/>
      <c r="E549" s="28"/>
      <c r="F549" s="28"/>
      <c r="G549" s="89"/>
      <c r="H549" s="89"/>
      <c r="I549" s="90"/>
      <c r="J549" s="89"/>
      <c r="K549" s="28"/>
      <c r="L549" s="28"/>
      <c r="M549" s="28"/>
      <c r="N549" s="28"/>
      <c r="O549" s="28"/>
      <c r="P549" s="28"/>
      <c r="Q549" s="28"/>
      <c r="R549" s="28"/>
      <c r="S549" s="28"/>
      <c r="T549" s="28"/>
      <c r="U549" s="3"/>
    </row>
    <row r="550" spans="1:21" ht="14.25" customHeight="1" x14ac:dyDescent="0.3">
      <c r="A550" s="3"/>
      <c r="B550" s="3"/>
      <c r="C550" s="28"/>
      <c r="D550" s="28"/>
      <c r="E550" s="28"/>
      <c r="F550" s="28"/>
      <c r="G550" s="89"/>
      <c r="H550" s="89"/>
      <c r="I550" s="90"/>
      <c r="J550" s="89"/>
      <c r="K550" s="28"/>
      <c r="L550" s="28"/>
      <c r="M550" s="28"/>
      <c r="N550" s="28"/>
      <c r="O550" s="28"/>
      <c r="P550" s="28"/>
      <c r="Q550" s="28"/>
      <c r="R550" s="28"/>
      <c r="S550" s="28"/>
      <c r="T550" s="28"/>
      <c r="U550" s="3"/>
    </row>
    <row r="551" spans="1:21" ht="14.25" customHeight="1" x14ac:dyDescent="0.3">
      <c r="A551" s="3"/>
      <c r="B551" s="3"/>
      <c r="C551" s="28"/>
      <c r="D551" s="28"/>
      <c r="E551" s="28"/>
      <c r="F551" s="28"/>
      <c r="G551" s="89"/>
      <c r="H551" s="89"/>
      <c r="I551" s="90"/>
      <c r="J551" s="89"/>
      <c r="K551" s="28"/>
      <c r="L551" s="28"/>
      <c r="M551" s="28"/>
      <c r="N551" s="28"/>
      <c r="O551" s="28"/>
      <c r="P551" s="28"/>
      <c r="Q551" s="28"/>
      <c r="R551" s="28"/>
      <c r="S551" s="28"/>
      <c r="T551" s="28"/>
      <c r="U551" s="3"/>
    </row>
    <row r="552" spans="1:21" ht="14.25" customHeight="1" x14ac:dyDescent="0.3"/>
    <row r="553" spans="1:21" ht="14.25" customHeight="1" x14ac:dyDescent="0.3"/>
    <row r="554" spans="1:21" ht="14.25" customHeight="1" x14ac:dyDescent="0.3"/>
    <row r="555" spans="1:21" ht="15.75" customHeight="1" x14ac:dyDescent="0.3"/>
    <row r="556" spans="1:21" ht="15.75" customHeight="1" x14ac:dyDescent="0.3"/>
    <row r="557" spans="1:21" ht="15.75" customHeight="1" x14ac:dyDescent="0.3"/>
    <row r="558" spans="1:21" ht="15.75" customHeight="1" x14ac:dyDescent="0.3"/>
    <row r="559" spans="1:21" ht="15.75" customHeight="1" x14ac:dyDescent="0.3"/>
    <row r="560" spans="1:21"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autoFilter ref="C5:F351" xr:uid="{00000000-0009-0000-0000-00001D000000}">
    <filterColumn colId="3">
      <filters>
        <filter val="R$  0.06"/>
        <filter val="R$  1,000.00"/>
        <filter val="R$  1,112.40"/>
        <filter val="R$  1,183.67"/>
        <filter val="R$  1,392.98"/>
        <filter val="R$  1,412.04"/>
        <filter val="R$  1,466.76"/>
        <filter val="R$  100.00"/>
        <filter val="R$  100.30"/>
        <filter val="R$  101.90"/>
        <filter val="R$  102.00"/>
        <filter val="R$  111.00"/>
        <filter val="R$  114.00"/>
        <filter val="R$  128.00"/>
        <filter val="R$  152.60"/>
        <filter val="R$  154.50"/>
        <filter val="R$  157.50"/>
        <filter val="R$  163.20"/>
        <filter val="R$  166.00"/>
        <filter val="R$  176.00"/>
        <filter val="R$  2,000.00"/>
        <filter val="R$  2,873.94"/>
        <filter val="R$  200.00"/>
        <filter val="R$  209.65"/>
        <filter val="R$  212.00"/>
        <filter val="R$  220.71"/>
        <filter val="R$  225.93"/>
        <filter val="R$  235.00"/>
        <filter val="R$  250.00"/>
        <filter val="R$  254.00"/>
        <filter val="R$  264.02"/>
        <filter val="R$  299.00"/>
        <filter val="R$  3,000.00"/>
        <filter val="R$  3,040.40"/>
        <filter val="R$  3,239.32"/>
        <filter val="R$  30,693.11"/>
        <filter val="R$  30.00"/>
        <filter val="R$  30.60"/>
        <filter val="R$  301.82"/>
        <filter val="R$  306.18"/>
        <filter val="R$  31,230.11"/>
        <filter val="R$  320.00"/>
        <filter val="R$  365.42"/>
        <filter val="R$  4,252.14"/>
        <filter val="R$  4,572.00"/>
        <filter val="R$  4,693.11"/>
        <filter val="R$  408.00"/>
        <filter val="R$  433.75"/>
        <filter val="R$  44.90"/>
        <filter val="R$  45.38"/>
        <filter val="R$  469.88"/>
        <filter val="R$  489.60"/>
        <filter val="R$  5,000.00"/>
        <filter val="R$  5,744.70"/>
        <filter val="R$  50.00"/>
        <filter val="R$  500.00"/>
        <filter val="R$  537.00"/>
        <filter val="R$  540.60"/>
        <filter val="R$  557.34"/>
        <filter val="R$  59.00"/>
        <filter val="R$  59.98"/>
        <filter val="R$  620.00"/>
        <filter val="R$  650.00"/>
        <filter val="R$  69.39"/>
        <filter val="R$  70.00"/>
        <filter val="R$  71.40"/>
        <filter val="R$  718.00"/>
        <filter val="R$  750.00"/>
        <filter val="R$  780.00"/>
        <filter val="R$  807.10"/>
        <filter val="R$  82.50"/>
        <filter val="R$  83.10"/>
        <filter val="R$  835.38"/>
        <filter val="R$  84.90"/>
        <filter val="R$  905.00"/>
        <filter val="R$  928.62"/>
        <filter val="R$  961.72"/>
      </filters>
    </filterColumn>
  </autoFilter>
  <mergeCells count="11">
    <mergeCell ref="J4:J5"/>
    <mergeCell ref="I17:I21"/>
    <mergeCell ref="G17:G21"/>
    <mergeCell ref="G22:G28"/>
    <mergeCell ref="I22:I28"/>
    <mergeCell ref="B354:I354"/>
    <mergeCell ref="B2:B3"/>
    <mergeCell ref="C2:F3"/>
    <mergeCell ref="B4:B5"/>
    <mergeCell ref="H4:H5"/>
    <mergeCell ref="I4:I5"/>
  </mergeCells>
  <dataValidations count="1">
    <dataValidation type="list" allowBlank="1" showErrorMessage="1" sqref="D7:D37 D39:D62 D64:D143 D145:D153 D156:D160 D162:D169 D171:D175 D177:D181 D183:D187 D189:D266 D269:D277 D279:D287 D289:D297 D299:D319 D321:D328 D330:D351" xr:uid="{00000000-0002-0000-1D00-000001000000}">
      <formula1>"OK,Parcial,Pendente"</formula1>
    </dataValidation>
  </dataValidations>
  <hyperlinks>
    <hyperlink ref="I7" r:id="rId1" xr:uid="{00000000-0004-0000-1D00-000000000000}"/>
    <hyperlink ref="I8" r:id="rId2" xr:uid="{00000000-0004-0000-1D00-000001000000}"/>
    <hyperlink ref="I10" r:id="rId3" xr:uid="{00000000-0004-0000-1D00-000002000000}"/>
    <hyperlink ref="I11" r:id="rId4" xr:uid="{00000000-0004-0000-1D00-000003000000}"/>
    <hyperlink ref="I12" r:id="rId5" xr:uid="{00000000-0004-0000-1D00-000004000000}"/>
    <hyperlink ref="I17" r:id="rId6" xr:uid="{00000000-0004-0000-1D00-000005000000}"/>
    <hyperlink ref="I22" r:id="rId7" xr:uid="{00000000-0004-0000-1D00-000006000000}"/>
    <hyperlink ref="I29" r:id="rId8" xr:uid="{00000000-0004-0000-1D00-000007000000}"/>
    <hyperlink ref="I35" r:id="rId9" xr:uid="{00000000-0004-0000-1D00-000008000000}"/>
    <hyperlink ref="I39" r:id="rId10" xr:uid="{00000000-0004-0000-1D00-000009000000}"/>
    <hyperlink ref="I40" r:id="rId11" xr:uid="{00000000-0004-0000-1D00-00000A000000}"/>
    <hyperlink ref="I43" r:id="rId12" xr:uid="{00000000-0004-0000-1D00-00000B000000}"/>
    <hyperlink ref="I47" r:id="rId13" xr:uid="{00000000-0004-0000-1D00-00000C000000}"/>
    <hyperlink ref="I48" r:id="rId14" xr:uid="{00000000-0004-0000-1D00-00000D000000}"/>
    <hyperlink ref="I49" r:id="rId15" xr:uid="{00000000-0004-0000-1D00-00000E000000}"/>
    <hyperlink ref="I50" r:id="rId16" xr:uid="{00000000-0004-0000-1D00-00000F000000}"/>
    <hyperlink ref="I64" r:id="rId17" xr:uid="{00000000-0004-0000-1D00-000010000000}"/>
    <hyperlink ref="I65" r:id="rId18" xr:uid="{00000000-0004-0000-1D00-000011000000}"/>
    <hyperlink ref="I66" r:id="rId19" xr:uid="{00000000-0004-0000-1D00-000012000000}"/>
    <hyperlink ref="I67" r:id="rId20" xr:uid="{00000000-0004-0000-1D00-000013000000}"/>
    <hyperlink ref="I68" r:id="rId21" xr:uid="{00000000-0004-0000-1D00-000014000000}"/>
    <hyperlink ref="I71" r:id="rId22" xr:uid="{00000000-0004-0000-1D00-000015000000}"/>
    <hyperlink ref="I72" r:id="rId23" xr:uid="{00000000-0004-0000-1D00-000016000000}"/>
    <hyperlink ref="I73" r:id="rId24" xr:uid="{00000000-0004-0000-1D00-000017000000}"/>
    <hyperlink ref="I77" r:id="rId25" xr:uid="{00000000-0004-0000-1D00-000018000000}"/>
    <hyperlink ref="I78" r:id="rId26" xr:uid="{00000000-0004-0000-1D00-000019000000}"/>
    <hyperlink ref="I79" r:id="rId27" xr:uid="{00000000-0004-0000-1D00-00001A000000}"/>
    <hyperlink ref="I80" r:id="rId28" xr:uid="{00000000-0004-0000-1D00-00001B000000}"/>
    <hyperlink ref="I126" r:id="rId29" xr:uid="{00000000-0004-0000-1D00-00001C000000}"/>
    <hyperlink ref="I127" r:id="rId30" xr:uid="{00000000-0004-0000-1D00-00001D000000}"/>
    <hyperlink ref="I128" r:id="rId31" xr:uid="{00000000-0004-0000-1D00-00001E000000}"/>
    <hyperlink ref="I156" r:id="rId32" xr:uid="{00000000-0004-0000-1D00-00001F000000}"/>
    <hyperlink ref="I163" r:id="rId33" xr:uid="{00000000-0004-0000-1D00-000020000000}"/>
    <hyperlink ref="I164" r:id="rId34" xr:uid="{00000000-0004-0000-1D00-000021000000}"/>
    <hyperlink ref="I167" r:id="rId35" xr:uid="{00000000-0004-0000-1D00-000022000000}"/>
    <hyperlink ref="I168" r:id="rId36" xr:uid="{00000000-0004-0000-1D00-000023000000}"/>
    <hyperlink ref="I169" r:id="rId37" xr:uid="{00000000-0004-0000-1D00-000024000000}"/>
    <hyperlink ref="I189" r:id="rId38" xr:uid="{00000000-0004-0000-1D00-000025000000}"/>
    <hyperlink ref="I190" r:id="rId39" xr:uid="{00000000-0004-0000-1D00-000026000000}"/>
    <hyperlink ref="I191" r:id="rId40" xr:uid="{00000000-0004-0000-1D00-000027000000}"/>
    <hyperlink ref="I192" r:id="rId41" xr:uid="{00000000-0004-0000-1D00-000028000000}"/>
    <hyperlink ref="I193" r:id="rId42" xr:uid="{00000000-0004-0000-1D00-000029000000}"/>
    <hyperlink ref="I194" r:id="rId43" xr:uid="{00000000-0004-0000-1D00-00002A000000}"/>
    <hyperlink ref="I195" r:id="rId44" xr:uid="{00000000-0004-0000-1D00-00002B000000}"/>
    <hyperlink ref="I196" r:id="rId45" xr:uid="{00000000-0004-0000-1D00-00002C000000}"/>
    <hyperlink ref="I197" r:id="rId46" xr:uid="{00000000-0004-0000-1D00-00002D000000}"/>
    <hyperlink ref="I198" r:id="rId47" xr:uid="{00000000-0004-0000-1D00-00002E000000}"/>
    <hyperlink ref="I199" r:id="rId48" xr:uid="{00000000-0004-0000-1D00-00002F000000}"/>
    <hyperlink ref="I200" r:id="rId49" xr:uid="{00000000-0004-0000-1D00-000030000000}"/>
    <hyperlink ref="I201" r:id="rId50" xr:uid="{00000000-0004-0000-1D00-000031000000}"/>
    <hyperlink ref="I218" r:id="rId51" xr:uid="{00000000-0004-0000-1D00-000032000000}"/>
    <hyperlink ref="I258" r:id="rId52" xr:uid="{00000000-0004-0000-1D00-000033000000}"/>
    <hyperlink ref="I269" r:id="rId53" xr:uid="{00000000-0004-0000-1D00-000034000000}"/>
    <hyperlink ref="I270" r:id="rId54" xr:uid="{00000000-0004-0000-1D00-000035000000}"/>
    <hyperlink ref="I271" r:id="rId55" xr:uid="{00000000-0004-0000-1D00-000036000000}"/>
    <hyperlink ref="I272" r:id="rId56" xr:uid="{00000000-0004-0000-1D00-000037000000}"/>
    <hyperlink ref="I299" r:id="rId57" xr:uid="{00000000-0004-0000-1D00-000038000000}"/>
    <hyperlink ref="I300" r:id="rId58" xr:uid="{00000000-0004-0000-1D00-000039000000}"/>
    <hyperlink ref="I301" r:id="rId59" xr:uid="{00000000-0004-0000-1D00-00003A000000}"/>
    <hyperlink ref="I302" r:id="rId60" xr:uid="{00000000-0004-0000-1D00-00003B000000}"/>
    <hyperlink ref="I303" r:id="rId61" xr:uid="{00000000-0004-0000-1D00-00003C000000}"/>
    <hyperlink ref="I304" r:id="rId62" xr:uid="{00000000-0004-0000-1D00-00003D000000}"/>
    <hyperlink ref="I305" r:id="rId63" xr:uid="{00000000-0004-0000-1D00-00003E000000}"/>
    <hyperlink ref="I306" r:id="rId64" xr:uid="{00000000-0004-0000-1D00-00003F000000}"/>
    <hyperlink ref="I321" r:id="rId65" xr:uid="{00000000-0004-0000-1D00-000040000000}"/>
    <hyperlink ref="I322" r:id="rId66" xr:uid="{00000000-0004-0000-1D00-000041000000}"/>
    <hyperlink ref="I323" r:id="rId67" xr:uid="{00000000-0004-0000-1D00-000042000000}"/>
    <hyperlink ref="I324" r:id="rId68" xr:uid="{00000000-0004-0000-1D00-000043000000}"/>
    <hyperlink ref="I351" r:id="rId69" xr:uid="{00000000-0004-0000-1D00-000044000000}"/>
  </hyperlink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D00-000000000000}">
          <x14:formula1>
            <xm:f>Caixa!$B$5:$B$8</xm:f>
          </x14:formula1>
          <xm:sqref>H7:H15 H17:H33 H35:H37 H39:H62 H64:H89 H92:H106 H108:H111 H113:H115 H118:H124 H126:H143 H145:H153 H156:H160 H162:H169 H171:H175 H177:H181 H183:H187 H189:H216 H218:H226 H228:H236 H238:H246 H248:H256 H258:H266 H269:H277 H279:H287 H289:H297 H299:H319 H321:H328 H330:H351</xm:sqref>
        </x14:dataValidation>
        <x14:dataValidation type="list" allowBlank="1" showErrorMessage="1" xr:uid="{00000000-0002-0000-1D00-000002000000}">
          <x14:formula1>
            <xm:f>'Plano de contas DG'!$C$43:$C$145</xm:f>
          </x14:formula1>
          <xm:sqref>J249</xm:sqref>
        </x14:dataValidation>
        <x14:dataValidation type="list" allowBlank="1" showErrorMessage="1" xr:uid="{00000000-0002-0000-1D00-000003000000}">
          <x14:formula1>
            <xm:f>'Plano de contas DG'!$C$5:$C$145</xm:f>
          </x14:formula1>
          <xm:sqref>J6:J248 J250:J351</xm:sqref>
        </x14:dataValidation>
        <x14:dataValidation type="list" allowBlank="1" showErrorMessage="1" xr:uid="{00000000-0002-0000-1D00-000004000000}">
          <x14:formula1>
            <xm:f>Caixa!$B$5:$B$7</xm:f>
          </x14:formula1>
          <xm:sqref>H16 H34 H90:H91 H107 H112 H116:H117 H125 H217 H227 H237 H247 H257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sheetPr>
  <dimension ref="A1:AA830"/>
  <sheetViews>
    <sheetView showGridLines="0" workbookViewId="0">
      <pane xSplit="2" ySplit="5" topLeftCell="C8" activePane="bottomRight" state="frozen"/>
      <selection pane="topRight" activeCell="C1" sqref="C1"/>
      <selection pane="bottomLeft" activeCell="A6" sqref="A6"/>
      <selection pane="bottomRight" activeCell="I1" sqref="I1:I1048576"/>
    </sheetView>
  </sheetViews>
  <sheetFormatPr defaultColWidth="14.44140625" defaultRowHeight="15" customHeight="1" outlineLevelRow="1" x14ac:dyDescent="0.3"/>
  <cols>
    <col min="1" max="1" width="0.44140625" customWidth="1"/>
    <col min="2" max="2" width="40" customWidth="1"/>
    <col min="3" max="3" width="10.109375" customWidth="1"/>
    <col min="4" max="4" width="10.109375" hidden="1" customWidth="1"/>
    <col min="5" max="5" width="14.109375" hidden="1" customWidth="1"/>
    <col min="6" max="6" width="14.109375" customWidth="1"/>
    <col min="7" max="7" width="35.109375" bestFit="1" customWidth="1"/>
    <col min="8" max="8" width="14.88671875" customWidth="1"/>
    <col min="9" max="9" width="20.6640625" hidden="1" customWidth="1"/>
    <col min="10" max="21" width="14.109375" customWidth="1"/>
    <col min="22" max="22" width="34" customWidth="1"/>
    <col min="23" max="23" width="9" customWidth="1"/>
    <col min="24" max="24" width="12.6640625" customWidth="1"/>
    <col min="25" max="25" width="15.33203125" customWidth="1"/>
    <col min="26" max="26" width="11.6640625" customWidth="1"/>
  </cols>
  <sheetData>
    <row r="1" spans="1:27" ht="2.25" customHeight="1" x14ac:dyDescent="0.3">
      <c r="A1" s="29"/>
      <c r="B1" s="29"/>
      <c r="C1" s="30"/>
      <c r="D1" s="30"/>
      <c r="E1" s="30"/>
      <c r="F1" s="30"/>
      <c r="G1" s="151"/>
      <c r="H1" s="30"/>
      <c r="I1" s="30"/>
      <c r="J1" s="30"/>
      <c r="K1" s="30"/>
      <c r="L1" s="30"/>
      <c r="M1" s="30"/>
      <c r="N1" s="30"/>
      <c r="O1" s="30"/>
      <c r="P1" s="30"/>
      <c r="Q1" s="30"/>
      <c r="R1" s="30"/>
      <c r="S1" s="30"/>
      <c r="T1" s="30"/>
      <c r="U1" s="30"/>
      <c r="V1" s="30"/>
      <c r="W1" s="31"/>
      <c r="X1" s="32"/>
      <c r="Y1" s="29"/>
      <c r="Z1" s="29"/>
    </row>
    <row r="2" spans="1:27" ht="14.4" x14ac:dyDescent="0.3">
      <c r="A2" s="3"/>
      <c r="B2" s="219" t="s">
        <v>73</v>
      </c>
      <c r="C2" s="33"/>
      <c r="D2" s="34"/>
      <c r="E2" s="34"/>
      <c r="F2" s="34"/>
      <c r="G2" s="152"/>
      <c r="H2" s="34"/>
      <c r="I2" s="34"/>
      <c r="J2" s="34"/>
      <c r="K2" s="34"/>
      <c r="L2" s="34"/>
      <c r="M2" s="34"/>
      <c r="N2" s="34"/>
      <c r="O2" s="34"/>
      <c r="P2" s="34"/>
      <c r="Q2" s="34"/>
      <c r="R2" s="34"/>
      <c r="S2" s="34"/>
      <c r="T2" s="34"/>
      <c r="U2" s="34"/>
      <c r="V2" s="34"/>
      <c r="W2" s="35"/>
      <c r="X2" s="32"/>
      <c r="Y2" s="3"/>
      <c r="Z2" s="3"/>
    </row>
    <row r="3" spans="1:27" ht="14.4" x14ac:dyDescent="0.3">
      <c r="A3" s="3"/>
      <c r="B3" s="202"/>
      <c r="C3" s="36"/>
      <c r="D3" s="37"/>
      <c r="E3" s="37"/>
      <c r="F3" s="37"/>
      <c r="G3" s="153"/>
      <c r="H3" s="37"/>
      <c r="I3" s="37"/>
      <c r="J3" s="37"/>
      <c r="K3" s="37"/>
      <c r="L3" s="37"/>
      <c r="M3" s="37"/>
      <c r="N3" s="37"/>
      <c r="O3" s="37"/>
      <c r="P3" s="37"/>
      <c r="Q3" s="37"/>
      <c r="R3" s="37"/>
      <c r="S3" s="37"/>
      <c r="T3" s="37"/>
      <c r="U3" s="37"/>
      <c r="V3" s="37"/>
      <c r="W3" s="35"/>
      <c r="X3" s="38"/>
      <c r="Y3" s="3"/>
      <c r="Z3" s="3"/>
    </row>
    <row r="4" spans="1:27" ht="14.4" x14ac:dyDescent="0.3">
      <c r="A4" s="3"/>
      <c r="B4" s="220" t="s">
        <v>74</v>
      </c>
      <c r="C4" s="39"/>
      <c r="D4" s="39"/>
      <c r="E4" s="18">
        <v>18705.229999999992</v>
      </c>
      <c r="F4" s="18">
        <v>25865.699999999997</v>
      </c>
      <c r="G4" s="154"/>
      <c r="H4" s="222" t="s">
        <v>1</v>
      </c>
      <c r="I4" s="236" t="s">
        <v>75</v>
      </c>
      <c r="J4" s="41"/>
      <c r="K4" s="39"/>
      <c r="L4" s="39"/>
      <c r="M4" s="18"/>
      <c r="N4" s="18"/>
      <c r="O4" s="18"/>
      <c r="P4" s="18"/>
      <c r="Q4" s="18"/>
      <c r="R4" s="18"/>
      <c r="S4" s="18"/>
      <c r="T4" s="18"/>
      <c r="U4" s="18"/>
      <c r="V4" s="39"/>
      <c r="W4" s="42"/>
      <c r="X4" s="32"/>
      <c r="Y4" s="3"/>
      <c r="Z4" s="3"/>
    </row>
    <row r="5" spans="1:27" ht="14.4" x14ac:dyDescent="0.3">
      <c r="A5" s="3"/>
      <c r="B5" s="221"/>
      <c r="C5" s="43" t="s">
        <v>76</v>
      </c>
      <c r="D5" s="43" t="s">
        <v>77</v>
      </c>
      <c r="E5" s="44" t="s">
        <v>78</v>
      </c>
      <c r="F5" s="44" t="s">
        <v>79</v>
      </c>
      <c r="G5" s="106" t="s">
        <v>80</v>
      </c>
      <c r="H5" s="204"/>
      <c r="I5" s="221"/>
      <c r="J5" s="43" t="s">
        <v>81</v>
      </c>
      <c r="K5" s="43" t="s">
        <v>82</v>
      </c>
      <c r="L5" s="43" t="s">
        <v>422</v>
      </c>
      <c r="M5" s="43" t="s">
        <v>83</v>
      </c>
      <c r="N5" s="43" t="s">
        <v>84</v>
      </c>
      <c r="O5" s="43" t="s">
        <v>85</v>
      </c>
      <c r="P5" s="43" t="s">
        <v>86</v>
      </c>
      <c r="Q5" s="43" t="s">
        <v>87</v>
      </c>
      <c r="R5" s="43" t="s">
        <v>48</v>
      </c>
      <c r="S5" s="43" t="s">
        <v>88</v>
      </c>
      <c r="T5" s="43" t="s">
        <v>89</v>
      </c>
      <c r="U5" s="43" t="s">
        <v>90</v>
      </c>
      <c r="V5" s="43" t="s">
        <v>91</v>
      </c>
      <c r="W5" s="35"/>
      <c r="X5" s="45" t="s">
        <v>92</v>
      </c>
      <c r="Y5" s="3"/>
      <c r="Z5" s="3"/>
    </row>
    <row r="6" spans="1:27" ht="20.399999999999999" x14ac:dyDescent="0.3">
      <c r="A6" s="3"/>
      <c r="B6" s="46" t="s">
        <v>93</v>
      </c>
      <c r="C6" s="47">
        <v>10</v>
      </c>
      <c r="D6" s="47" t="s">
        <v>44</v>
      </c>
      <c r="E6" s="48">
        <v>18705.229999999992</v>
      </c>
      <c r="F6" s="48">
        <v>19388.829999999998</v>
      </c>
      <c r="G6" s="155" t="s">
        <v>44</v>
      </c>
      <c r="H6" s="50"/>
      <c r="I6" s="50"/>
      <c r="J6" s="51">
        <v>0.19230769230769232</v>
      </c>
      <c r="K6" s="51">
        <v>0.10817028178750013</v>
      </c>
      <c r="L6" s="91">
        <v>0.21649484536082475</v>
      </c>
      <c r="M6" s="48">
        <v>10438.080000000005</v>
      </c>
      <c r="N6" s="48">
        <v>1916.4599999999991</v>
      </c>
      <c r="O6" s="48">
        <v>936</v>
      </c>
      <c r="P6" s="48">
        <v>141.59999999999997</v>
      </c>
      <c r="Q6" s="48">
        <v>174.4</v>
      </c>
      <c r="R6" s="48">
        <v>130</v>
      </c>
      <c r="S6" s="48">
        <v>235</v>
      </c>
      <c r="T6" s="48">
        <v>330</v>
      </c>
      <c r="U6" s="48">
        <v>5087.29</v>
      </c>
      <c r="V6" s="47" t="s">
        <v>44</v>
      </c>
      <c r="W6" s="35" t="s">
        <v>95</v>
      </c>
      <c r="X6" s="38">
        <v>-2023.3500000000001</v>
      </c>
      <c r="Y6" s="14">
        <v>0</v>
      </c>
      <c r="Z6" s="3"/>
    </row>
    <row r="7" spans="1:27" ht="19.5" customHeight="1" x14ac:dyDescent="0.3">
      <c r="A7" s="3"/>
      <c r="B7" s="64" t="s">
        <v>63</v>
      </c>
      <c r="C7" s="47" t="s">
        <v>44</v>
      </c>
      <c r="D7" s="47" t="s">
        <v>44</v>
      </c>
      <c r="E7" s="48">
        <v>0</v>
      </c>
      <c r="F7" s="48">
        <v>902.89</v>
      </c>
      <c r="G7" s="156" t="s">
        <v>44</v>
      </c>
      <c r="H7" s="65"/>
      <c r="I7" s="65"/>
      <c r="J7" s="3"/>
      <c r="K7" s="3"/>
      <c r="L7" s="3"/>
      <c r="M7" s="3"/>
      <c r="N7" s="3"/>
      <c r="O7" s="3"/>
      <c r="P7" s="3"/>
      <c r="Q7" s="3"/>
      <c r="R7" s="3"/>
      <c r="S7" s="3"/>
      <c r="T7" s="3"/>
      <c r="U7" s="3"/>
      <c r="V7" s="3"/>
      <c r="W7" s="35"/>
      <c r="X7" s="32"/>
      <c r="Y7" s="3"/>
      <c r="Z7" s="3"/>
      <c r="AA7" s="14"/>
    </row>
    <row r="8" spans="1:27" ht="15.75" customHeight="1" outlineLevel="1" x14ac:dyDescent="0.3">
      <c r="A8" s="3"/>
      <c r="B8" s="66" t="s">
        <v>231</v>
      </c>
      <c r="C8" s="67" t="s">
        <v>44</v>
      </c>
      <c r="D8" s="67" t="s">
        <v>44</v>
      </c>
      <c r="E8" s="68">
        <v>0</v>
      </c>
      <c r="F8" s="68">
        <v>360.39</v>
      </c>
      <c r="G8" s="157" t="s">
        <v>44</v>
      </c>
      <c r="H8" s="70"/>
      <c r="I8" s="70"/>
      <c r="J8" s="3"/>
      <c r="K8" s="3"/>
      <c r="L8" s="3"/>
      <c r="M8" s="3"/>
      <c r="N8" s="3"/>
      <c r="O8" s="3"/>
      <c r="P8" s="3"/>
      <c r="Q8" s="3"/>
      <c r="R8" s="3"/>
      <c r="S8" s="3"/>
      <c r="T8" s="3"/>
      <c r="U8" s="3"/>
      <c r="V8" s="3"/>
      <c r="W8" s="35"/>
      <c r="X8" s="32"/>
      <c r="Y8" s="3"/>
      <c r="Z8" s="3"/>
      <c r="AA8" s="14"/>
    </row>
    <row r="9" spans="1:27" ht="15.75" customHeight="1" outlineLevel="1" x14ac:dyDescent="0.3">
      <c r="A9" s="3"/>
      <c r="B9" s="9" t="s">
        <v>232</v>
      </c>
      <c r="C9" s="53">
        <v>8</v>
      </c>
      <c r="D9" s="53" t="s">
        <v>95</v>
      </c>
      <c r="E9" s="11">
        <v>0</v>
      </c>
      <c r="F9" s="11">
        <v>360.39</v>
      </c>
      <c r="G9" s="61"/>
      <c r="H9" s="54" t="s">
        <v>37</v>
      </c>
      <c r="I9" s="54"/>
      <c r="J9" s="3"/>
      <c r="K9" s="3"/>
      <c r="L9" s="3"/>
      <c r="M9" s="3"/>
      <c r="N9" s="3"/>
      <c r="O9" s="3"/>
      <c r="P9" s="3"/>
      <c r="Q9" s="3"/>
      <c r="R9" s="3"/>
      <c r="S9" s="3"/>
      <c r="T9" s="3"/>
      <c r="U9" s="3"/>
      <c r="V9" s="3"/>
      <c r="W9" s="35"/>
      <c r="X9" s="32"/>
      <c r="Y9" s="3"/>
      <c r="Z9" s="3"/>
      <c r="AA9" s="14"/>
    </row>
    <row r="10" spans="1:27" ht="15.75" customHeight="1" outlineLevel="1" x14ac:dyDescent="0.3">
      <c r="A10" s="3"/>
      <c r="B10" s="66" t="s">
        <v>233</v>
      </c>
      <c r="C10" s="67" t="s">
        <v>44</v>
      </c>
      <c r="D10" s="67" t="s">
        <v>44</v>
      </c>
      <c r="E10" s="68">
        <v>0</v>
      </c>
      <c r="F10" s="68">
        <v>412.5</v>
      </c>
      <c r="G10" s="157" t="s">
        <v>44</v>
      </c>
      <c r="H10" s="70"/>
      <c r="I10" s="70"/>
      <c r="J10" s="3"/>
      <c r="K10" s="3"/>
      <c r="L10" s="3"/>
      <c r="M10" s="3"/>
      <c r="N10" s="3"/>
      <c r="O10" s="3"/>
      <c r="P10" s="3"/>
      <c r="Q10" s="3"/>
      <c r="R10" s="3"/>
      <c r="S10" s="3"/>
      <c r="T10" s="3"/>
      <c r="U10" s="3"/>
      <c r="V10" s="3"/>
      <c r="W10" s="35"/>
      <c r="X10" s="32"/>
      <c r="Y10" s="3"/>
      <c r="Z10" s="3"/>
      <c r="AA10" s="14"/>
    </row>
    <row r="11" spans="1:27" ht="15.75" customHeight="1" outlineLevel="1" x14ac:dyDescent="0.3">
      <c r="A11" s="3"/>
      <c r="B11" s="9" t="s">
        <v>530</v>
      </c>
      <c r="C11" s="53" t="s">
        <v>642</v>
      </c>
      <c r="D11" s="53" t="s">
        <v>95</v>
      </c>
      <c r="E11" s="11">
        <v>0</v>
      </c>
      <c r="F11" s="11">
        <v>412.5</v>
      </c>
      <c r="G11" s="61"/>
      <c r="H11" s="54" t="s">
        <v>39</v>
      </c>
      <c r="I11" s="54"/>
      <c r="J11" s="3"/>
      <c r="K11" s="3"/>
      <c r="L11" s="3"/>
      <c r="M11" s="3"/>
      <c r="N11" s="3"/>
      <c r="O11" s="3"/>
      <c r="P11" s="3"/>
      <c r="Q11" s="3"/>
      <c r="R11" s="3"/>
      <c r="S11" s="3"/>
      <c r="T11" s="3"/>
      <c r="U11" s="3"/>
      <c r="V11" s="3"/>
      <c r="W11" s="35"/>
      <c r="X11" s="32"/>
      <c r="Y11" s="3"/>
      <c r="Z11" s="3"/>
      <c r="AA11" s="14"/>
    </row>
    <row r="12" spans="1:27" ht="15.75" customHeight="1" outlineLevel="1" x14ac:dyDescent="0.3">
      <c r="A12" s="3"/>
      <c r="B12" s="66" t="s">
        <v>690</v>
      </c>
      <c r="C12" s="67" t="s">
        <v>44</v>
      </c>
      <c r="D12" s="67" t="s">
        <v>44</v>
      </c>
      <c r="E12" s="68">
        <v>0</v>
      </c>
      <c r="F12" s="68">
        <v>130</v>
      </c>
      <c r="G12" s="157" t="s">
        <v>44</v>
      </c>
      <c r="H12" s="70"/>
      <c r="I12" s="70"/>
      <c r="J12" s="3"/>
      <c r="K12" s="3"/>
      <c r="L12" s="3"/>
      <c r="M12" s="3"/>
      <c r="N12" s="3"/>
      <c r="O12" s="3"/>
      <c r="P12" s="3"/>
      <c r="Q12" s="3"/>
      <c r="R12" s="3"/>
      <c r="S12" s="3"/>
      <c r="T12" s="3"/>
      <c r="U12" s="3"/>
      <c r="V12" s="3"/>
      <c r="W12" s="35"/>
      <c r="X12" s="32"/>
      <c r="Y12" s="3"/>
      <c r="Z12" s="3"/>
      <c r="AA12" s="14"/>
    </row>
    <row r="13" spans="1:27" ht="15.75" customHeight="1" outlineLevel="1" x14ac:dyDescent="0.3">
      <c r="A13" s="3"/>
      <c r="B13" s="9" t="s">
        <v>538</v>
      </c>
      <c r="C13" s="53">
        <v>16</v>
      </c>
      <c r="D13" s="53" t="s">
        <v>95</v>
      </c>
      <c r="E13" s="11">
        <v>0</v>
      </c>
      <c r="F13" s="11">
        <v>130</v>
      </c>
      <c r="G13" s="60" t="s">
        <v>2212</v>
      </c>
      <c r="H13" s="54" t="s">
        <v>38</v>
      </c>
      <c r="I13" s="54"/>
      <c r="J13" s="3"/>
      <c r="K13" s="3"/>
      <c r="L13" s="3"/>
      <c r="M13" s="3"/>
      <c r="N13" s="3"/>
      <c r="O13" s="3"/>
      <c r="P13" s="3"/>
      <c r="Q13" s="3"/>
      <c r="R13" s="3"/>
      <c r="S13" s="3"/>
      <c r="T13" s="3"/>
      <c r="U13" s="3"/>
      <c r="V13" s="3"/>
      <c r="W13" s="35"/>
      <c r="X13" s="32"/>
      <c r="Y13" s="3"/>
      <c r="Z13" s="3"/>
      <c r="AA13" s="14"/>
    </row>
    <row r="14" spans="1:27" ht="19.5" customHeight="1" x14ac:dyDescent="0.3">
      <c r="A14" s="3"/>
      <c r="B14" s="64" t="s">
        <v>240</v>
      </c>
      <c r="C14" s="47" t="s">
        <v>44</v>
      </c>
      <c r="D14" s="47" t="s">
        <v>44</v>
      </c>
      <c r="E14" s="48">
        <v>0</v>
      </c>
      <c r="F14" s="48">
        <v>5323.77</v>
      </c>
      <c r="G14" s="156" t="s">
        <v>44</v>
      </c>
      <c r="H14" s="65"/>
      <c r="I14" s="65"/>
      <c r="J14" s="3"/>
      <c r="K14" s="3"/>
      <c r="L14" s="3"/>
      <c r="M14" s="3"/>
      <c r="N14" s="3"/>
      <c r="O14" s="3"/>
      <c r="P14" s="3"/>
      <c r="Q14" s="3"/>
      <c r="R14" s="3"/>
      <c r="S14" s="3"/>
      <c r="T14" s="3"/>
      <c r="U14" s="3"/>
      <c r="V14" s="3"/>
      <c r="W14" s="35"/>
      <c r="X14" s="32"/>
      <c r="Y14" s="3"/>
      <c r="Z14" s="3"/>
      <c r="AA14" s="14"/>
    </row>
    <row r="15" spans="1:27" ht="15.75" customHeight="1" outlineLevel="1" x14ac:dyDescent="0.3">
      <c r="A15" s="3"/>
      <c r="B15" s="66" t="s">
        <v>241</v>
      </c>
      <c r="C15" s="67" t="s">
        <v>44</v>
      </c>
      <c r="D15" s="67" t="s">
        <v>44</v>
      </c>
      <c r="E15" s="68">
        <v>0</v>
      </c>
      <c r="F15" s="68">
        <v>833.77</v>
      </c>
      <c r="G15" s="157" t="s">
        <v>44</v>
      </c>
      <c r="H15" s="70"/>
      <c r="I15" s="70"/>
      <c r="J15" s="3"/>
      <c r="K15" s="3"/>
      <c r="L15" s="3"/>
      <c r="M15" s="3"/>
      <c r="N15" s="3"/>
      <c r="O15" s="3"/>
      <c r="P15" s="3"/>
      <c r="Q15" s="3"/>
      <c r="R15" s="3"/>
      <c r="S15" s="3"/>
      <c r="T15" s="3"/>
      <c r="U15" s="3"/>
      <c r="V15" s="3"/>
      <c r="W15" s="35"/>
      <c r="X15" s="32"/>
      <c r="Y15" s="3"/>
      <c r="Z15" s="3"/>
      <c r="AA15" s="14"/>
    </row>
    <row r="16" spans="1:27" ht="15.75" customHeight="1" outlineLevel="1" x14ac:dyDescent="0.3">
      <c r="A16" s="3"/>
      <c r="B16" s="9" t="s">
        <v>242</v>
      </c>
      <c r="C16" s="53" t="s">
        <v>2213</v>
      </c>
      <c r="D16" s="53" t="s">
        <v>95</v>
      </c>
      <c r="E16" s="11">
        <v>0</v>
      </c>
      <c r="F16" s="11">
        <v>387</v>
      </c>
      <c r="G16" s="61"/>
      <c r="H16" s="54" t="s">
        <v>37</v>
      </c>
      <c r="I16" s="54"/>
      <c r="J16" s="3"/>
      <c r="K16" s="3"/>
      <c r="L16" s="3"/>
      <c r="M16" s="3"/>
      <c r="N16" s="3"/>
      <c r="O16" s="3"/>
      <c r="P16" s="3"/>
      <c r="Q16" s="3"/>
      <c r="R16" s="3"/>
      <c r="S16" s="3"/>
      <c r="T16" s="3"/>
      <c r="U16" s="3"/>
      <c r="V16" s="3"/>
      <c r="W16" s="35"/>
      <c r="X16" s="32"/>
      <c r="Y16" s="3"/>
      <c r="Z16" s="3"/>
      <c r="AA16" s="14"/>
    </row>
    <row r="17" spans="1:27" ht="15.75" customHeight="1" outlineLevel="1" x14ac:dyDescent="0.3">
      <c r="A17" s="3"/>
      <c r="B17" s="9" t="s">
        <v>244</v>
      </c>
      <c r="C17" s="53">
        <v>20</v>
      </c>
      <c r="D17" s="53" t="s">
        <v>95</v>
      </c>
      <c r="E17" s="11">
        <v>0</v>
      </c>
      <c r="F17" s="11">
        <v>446.77</v>
      </c>
      <c r="G17" s="61"/>
      <c r="H17" s="54" t="s">
        <v>37</v>
      </c>
      <c r="I17" s="54"/>
      <c r="J17" s="3"/>
      <c r="K17" s="3"/>
      <c r="L17" s="3"/>
      <c r="M17" s="3"/>
      <c r="N17" s="3"/>
      <c r="O17" s="3"/>
      <c r="P17" s="3"/>
      <c r="Q17" s="3"/>
      <c r="R17" s="3"/>
      <c r="S17" s="3"/>
      <c r="T17" s="3"/>
      <c r="U17" s="3"/>
      <c r="V17" s="3"/>
      <c r="W17" s="35"/>
      <c r="X17" s="32"/>
      <c r="Y17" s="3"/>
      <c r="Z17" s="3"/>
      <c r="AA17" s="14"/>
    </row>
    <row r="18" spans="1:27" ht="15.75" customHeight="1" outlineLevel="1" x14ac:dyDescent="0.3">
      <c r="A18" s="3"/>
      <c r="B18" s="66" t="s">
        <v>246</v>
      </c>
      <c r="C18" s="67" t="s">
        <v>44</v>
      </c>
      <c r="D18" s="67" t="s">
        <v>44</v>
      </c>
      <c r="E18" s="68">
        <v>0</v>
      </c>
      <c r="F18" s="68">
        <v>490</v>
      </c>
      <c r="G18" s="157" t="s">
        <v>44</v>
      </c>
      <c r="H18" s="70"/>
      <c r="I18" s="70"/>
      <c r="J18" s="3"/>
      <c r="K18" s="3"/>
      <c r="L18" s="3"/>
      <c r="M18" s="3"/>
      <c r="N18" s="3"/>
      <c r="O18" s="3"/>
      <c r="P18" s="3"/>
      <c r="Q18" s="3"/>
      <c r="R18" s="3"/>
      <c r="S18" s="3"/>
      <c r="T18" s="3"/>
      <c r="U18" s="3"/>
      <c r="V18" s="3"/>
      <c r="W18" s="35"/>
      <c r="X18" s="32"/>
      <c r="Y18" s="3"/>
      <c r="Z18" s="3"/>
      <c r="AA18" s="14"/>
    </row>
    <row r="19" spans="1:27" ht="15.75" customHeight="1" outlineLevel="1" x14ac:dyDescent="0.3">
      <c r="A19" s="3"/>
      <c r="B19" s="9" t="s">
        <v>242</v>
      </c>
      <c r="C19" s="53">
        <v>6</v>
      </c>
      <c r="D19" s="53" t="s">
        <v>95</v>
      </c>
      <c r="E19" s="11">
        <v>0</v>
      </c>
      <c r="F19" s="11">
        <v>490</v>
      </c>
      <c r="G19" s="60"/>
      <c r="H19" s="54" t="s">
        <v>37</v>
      </c>
      <c r="I19" s="54"/>
      <c r="J19" s="3"/>
      <c r="K19" s="3"/>
      <c r="L19" s="3"/>
      <c r="M19" s="3"/>
      <c r="N19" s="3"/>
      <c r="O19" s="3"/>
      <c r="P19" s="3"/>
      <c r="Q19" s="3"/>
      <c r="R19" s="3"/>
      <c r="S19" s="3"/>
      <c r="T19" s="3"/>
      <c r="U19" s="3"/>
      <c r="V19" s="3"/>
      <c r="W19" s="35"/>
      <c r="X19" s="32"/>
      <c r="Y19" s="3"/>
      <c r="Z19" s="3"/>
      <c r="AA19" s="14"/>
    </row>
    <row r="20" spans="1:27" ht="15.75" customHeight="1" outlineLevel="1" x14ac:dyDescent="0.3">
      <c r="A20" s="3"/>
      <c r="B20" s="66" t="s">
        <v>62</v>
      </c>
      <c r="C20" s="67" t="s">
        <v>44</v>
      </c>
      <c r="D20" s="67" t="s">
        <v>44</v>
      </c>
      <c r="E20" s="68">
        <v>0</v>
      </c>
      <c r="F20" s="68">
        <v>4000</v>
      </c>
      <c r="G20" s="157" t="s">
        <v>44</v>
      </c>
      <c r="H20" s="70"/>
      <c r="I20" s="70"/>
      <c r="J20" s="3"/>
      <c r="K20" s="3"/>
      <c r="L20" s="3"/>
      <c r="M20" s="3"/>
      <c r="N20" s="3"/>
      <c r="O20" s="3"/>
      <c r="P20" s="3"/>
      <c r="Q20" s="3"/>
      <c r="R20" s="3"/>
      <c r="S20" s="3"/>
      <c r="T20" s="3"/>
      <c r="U20" s="3"/>
      <c r="V20" s="3"/>
      <c r="W20" s="35"/>
      <c r="X20" s="32"/>
      <c r="Y20" s="3"/>
      <c r="Z20" s="3"/>
      <c r="AA20" s="14"/>
    </row>
    <row r="21" spans="1:27" ht="15.75" customHeight="1" outlineLevel="1" x14ac:dyDescent="0.3">
      <c r="A21" s="3"/>
      <c r="B21" s="9" t="s">
        <v>2214</v>
      </c>
      <c r="C21" s="53">
        <v>1</v>
      </c>
      <c r="D21" s="53" t="s">
        <v>95</v>
      </c>
      <c r="E21" s="11">
        <v>0</v>
      </c>
      <c r="F21" s="11">
        <v>4000</v>
      </c>
      <c r="G21" s="60" t="s">
        <v>2215</v>
      </c>
      <c r="H21" s="54" t="s">
        <v>37</v>
      </c>
      <c r="I21" s="54"/>
      <c r="J21" s="3"/>
      <c r="K21" s="3"/>
      <c r="L21" s="3"/>
      <c r="M21" s="3"/>
      <c r="N21" s="3"/>
      <c r="O21" s="3"/>
      <c r="P21" s="3"/>
      <c r="Q21" s="3"/>
      <c r="R21" s="3"/>
      <c r="S21" s="3"/>
      <c r="T21" s="3"/>
      <c r="U21" s="3"/>
      <c r="V21" s="3"/>
      <c r="W21" s="35"/>
      <c r="X21" s="32"/>
      <c r="Y21" s="3"/>
      <c r="Z21" s="3"/>
      <c r="AA21" s="14"/>
    </row>
    <row r="22" spans="1:27" ht="19.5" customHeight="1" x14ac:dyDescent="0.3">
      <c r="A22" s="3"/>
      <c r="B22" s="64" t="s">
        <v>64</v>
      </c>
      <c r="C22" s="47" t="s">
        <v>44</v>
      </c>
      <c r="D22" s="47" t="s">
        <v>44</v>
      </c>
      <c r="E22" s="48">
        <v>0</v>
      </c>
      <c r="F22" s="48">
        <v>250</v>
      </c>
      <c r="G22" s="156" t="s">
        <v>44</v>
      </c>
      <c r="H22" s="65"/>
      <c r="I22" s="65"/>
      <c r="J22" s="3"/>
      <c r="K22" s="3"/>
      <c r="L22" s="3"/>
      <c r="M22" s="3"/>
      <c r="N22" s="3"/>
      <c r="O22" s="3"/>
      <c r="P22" s="3"/>
      <c r="Q22" s="3"/>
      <c r="R22" s="3"/>
      <c r="S22" s="3"/>
      <c r="T22" s="3"/>
      <c r="U22" s="3"/>
      <c r="V22" s="3"/>
      <c r="W22" s="35"/>
      <c r="X22" s="32"/>
      <c r="Y22" s="3"/>
      <c r="Z22" s="3"/>
      <c r="AA22" s="14"/>
    </row>
    <row r="23" spans="1:27" ht="15.75" customHeight="1" outlineLevel="1" x14ac:dyDescent="0.3">
      <c r="A23" s="3"/>
      <c r="B23" s="9" t="s">
        <v>64</v>
      </c>
      <c r="C23" s="53">
        <v>19</v>
      </c>
      <c r="D23" s="53" t="s">
        <v>95</v>
      </c>
      <c r="E23" s="11">
        <v>0</v>
      </c>
      <c r="F23" s="11">
        <v>250</v>
      </c>
      <c r="G23" s="60"/>
      <c r="H23" s="54" t="s">
        <v>37</v>
      </c>
      <c r="I23" s="54"/>
      <c r="J23" s="3"/>
      <c r="K23" s="3"/>
      <c r="L23" s="3"/>
      <c r="M23" s="3"/>
      <c r="N23" s="3"/>
      <c r="O23" s="3"/>
      <c r="P23" s="3"/>
      <c r="Q23" s="3"/>
      <c r="R23" s="3"/>
      <c r="S23" s="3"/>
      <c r="T23" s="3"/>
      <c r="U23" s="3"/>
      <c r="V23" s="3"/>
      <c r="W23" s="35"/>
      <c r="X23" s="32"/>
      <c r="Y23" s="3"/>
      <c r="Z23" s="3"/>
      <c r="AA23" s="14"/>
    </row>
    <row r="24" spans="1:27" ht="19.5" customHeight="1" x14ac:dyDescent="0.3">
      <c r="A24" s="3"/>
      <c r="B24" s="64" t="s">
        <v>260</v>
      </c>
      <c r="C24" s="47" t="s">
        <v>44</v>
      </c>
      <c r="D24" s="47" t="s">
        <v>44</v>
      </c>
      <c r="E24" s="48">
        <v>0</v>
      </c>
      <c r="F24" s="48">
        <v>0.21</v>
      </c>
      <c r="G24" s="156" t="s">
        <v>44</v>
      </c>
      <c r="H24" s="65"/>
      <c r="I24" s="65"/>
      <c r="J24" s="3"/>
      <c r="K24" s="3"/>
      <c r="L24" s="3"/>
      <c r="M24" s="3"/>
      <c r="N24" s="3"/>
      <c r="O24" s="3"/>
      <c r="P24" s="3"/>
      <c r="Q24" s="3"/>
      <c r="R24" s="3"/>
      <c r="S24" s="3"/>
      <c r="T24" s="3"/>
      <c r="U24" s="3"/>
      <c r="V24" s="3"/>
      <c r="W24" s="35"/>
      <c r="X24" s="32"/>
      <c r="Y24" s="3"/>
      <c r="Z24" s="3"/>
      <c r="AA24" s="14"/>
    </row>
    <row r="25" spans="1:27" ht="15.75" customHeight="1" outlineLevel="1" x14ac:dyDescent="0.3">
      <c r="A25" s="3"/>
      <c r="B25" s="9" t="s">
        <v>262</v>
      </c>
      <c r="C25" s="53">
        <v>17</v>
      </c>
      <c r="D25" s="53" t="s">
        <v>95</v>
      </c>
      <c r="E25" s="11">
        <v>0</v>
      </c>
      <c r="F25" s="11">
        <v>0.21</v>
      </c>
      <c r="G25" s="60"/>
      <c r="H25" s="54" t="s">
        <v>38</v>
      </c>
      <c r="I25" s="54"/>
      <c r="J25" s="3"/>
      <c r="K25" s="3"/>
      <c r="L25" s="3"/>
      <c r="M25" s="3"/>
      <c r="N25" s="3"/>
      <c r="O25" s="3"/>
      <c r="P25" s="3"/>
      <c r="Q25" s="3"/>
      <c r="R25" s="3"/>
      <c r="S25" s="3"/>
      <c r="T25" s="3"/>
      <c r="U25" s="3"/>
      <c r="V25" s="3"/>
      <c r="W25" s="35"/>
      <c r="X25" s="32"/>
      <c r="Y25" s="3"/>
      <c r="Z25" s="3"/>
      <c r="AA25" s="14"/>
    </row>
    <row r="26" spans="1:27" ht="15.75" customHeight="1" x14ac:dyDescent="0.3">
      <c r="A26" s="3"/>
      <c r="B26" s="3"/>
      <c r="C26" s="28"/>
      <c r="D26" s="28"/>
      <c r="E26" s="28"/>
      <c r="F26" s="28"/>
      <c r="G26" s="158"/>
      <c r="H26" s="28"/>
      <c r="I26" s="28"/>
      <c r="J26" s="28"/>
      <c r="K26" s="28"/>
      <c r="L26" s="28"/>
      <c r="M26" s="28"/>
      <c r="N26" s="28"/>
      <c r="O26" s="28"/>
      <c r="P26" s="28"/>
      <c r="Q26" s="28"/>
      <c r="R26" s="28"/>
      <c r="S26" s="28"/>
      <c r="T26" s="28"/>
      <c r="U26" s="28"/>
      <c r="V26" s="28"/>
      <c r="W26" s="35"/>
      <c r="X26" s="32"/>
    </row>
    <row r="27" spans="1:27" ht="15.75" customHeight="1" x14ac:dyDescent="0.3">
      <c r="A27" s="3"/>
      <c r="B27" s="3"/>
      <c r="C27" s="28"/>
      <c r="D27" s="28"/>
      <c r="E27" s="28"/>
      <c r="F27" s="101"/>
      <c r="G27" s="158"/>
      <c r="H27" s="28"/>
      <c r="I27" s="28"/>
      <c r="J27" s="28"/>
      <c r="K27" s="28"/>
      <c r="L27" s="28"/>
      <c r="M27" s="28"/>
      <c r="N27" s="28"/>
      <c r="O27" s="28"/>
      <c r="P27" s="28"/>
      <c r="Q27" s="28"/>
      <c r="R27" s="28"/>
      <c r="S27" s="28"/>
      <c r="T27" s="28"/>
      <c r="U27" s="28"/>
      <c r="V27" s="28"/>
      <c r="W27" s="35"/>
      <c r="X27" s="32"/>
    </row>
    <row r="28" spans="1:27" ht="15.75" customHeight="1" x14ac:dyDescent="0.3">
      <c r="A28" s="3"/>
      <c r="B28" s="3"/>
      <c r="C28" s="28"/>
      <c r="D28" s="28"/>
      <c r="E28" s="28"/>
      <c r="F28" s="28"/>
      <c r="G28" s="158"/>
      <c r="H28" s="28"/>
      <c r="I28" s="28"/>
      <c r="J28" s="28"/>
      <c r="K28" s="28"/>
      <c r="L28" s="28"/>
      <c r="M28" s="28"/>
      <c r="N28" s="28"/>
      <c r="O28" s="28"/>
      <c r="P28" s="28"/>
      <c r="Q28" s="28"/>
      <c r="R28" s="28"/>
      <c r="S28" s="28"/>
      <c r="T28" s="28"/>
      <c r="U28" s="28"/>
      <c r="V28" s="28"/>
      <c r="W28" s="35"/>
      <c r="X28" s="32"/>
    </row>
    <row r="29" spans="1:27" ht="15.75" customHeight="1" x14ac:dyDescent="0.3">
      <c r="A29" s="3"/>
      <c r="B29" s="3"/>
      <c r="C29" s="28"/>
      <c r="D29" s="28"/>
      <c r="E29" s="28"/>
      <c r="F29" s="28"/>
      <c r="G29" s="158"/>
      <c r="H29" s="28"/>
      <c r="I29" s="28"/>
      <c r="J29" s="28"/>
      <c r="K29" s="28"/>
      <c r="L29" s="28"/>
      <c r="M29" s="28"/>
      <c r="N29" s="28"/>
      <c r="O29" s="28"/>
      <c r="P29" s="28"/>
      <c r="Q29" s="28"/>
      <c r="R29" s="28"/>
      <c r="S29" s="28"/>
      <c r="T29" s="28"/>
      <c r="U29" s="28"/>
      <c r="V29" s="28"/>
      <c r="W29" s="35"/>
      <c r="X29" s="32"/>
    </row>
    <row r="30" spans="1:27" ht="15.75" customHeight="1" x14ac:dyDescent="0.3">
      <c r="A30" s="3"/>
      <c r="B30" s="3"/>
      <c r="C30" s="28"/>
      <c r="D30" s="28"/>
      <c r="E30" s="28"/>
      <c r="F30" s="28"/>
      <c r="G30" s="158"/>
      <c r="H30" s="28"/>
      <c r="I30" s="28"/>
      <c r="J30" s="28"/>
      <c r="K30" s="28"/>
      <c r="L30" s="28"/>
      <c r="M30" s="28"/>
      <c r="N30" s="28"/>
      <c r="O30" s="28"/>
      <c r="P30" s="28"/>
      <c r="Q30" s="28"/>
      <c r="R30" s="28"/>
      <c r="S30" s="28"/>
      <c r="T30" s="28"/>
      <c r="U30" s="28"/>
      <c r="V30" s="28"/>
      <c r="W30" s="35"/>
      <c r="X30" s="32"/>
    </row>
    <row r="31" spans="1:27" ht="15.75" customHeight="1" x14ac:dyDescent="0.3">
      <c r="A31" s="3"/>
      <c r="B31" s="3"/>
      <c r="C31" s="28"/>
      <c r="D31" s="28"/>
      <c r="E31" s="28"/>
      <c r="F31" s="101"/>
      <c r="G31" s="158"/>
      <c r="H31" s="28"/>
      <c r="I31" s="28"/>
      <c r="J31" s="28"/>
      <c r="K31" s="28"/>
      <c r="L31" s="28"/>
      <c r="M31" s="28"/>
      <c r="N31" s="28"/>
      <c r="O31" s="28"/>
      <c r="P31" s="28"/>
      <c r="Q31" s="28"/>
      <c r="R31" s="28"/>
      <c r="S31" s="28"/>
      <c r="T31" s="28"/>
      <c r="U31" s="28"/>
      <c r="V31" s="28"/>
      <c r="W31" s="35"/>
      <c r="X31" s="32"/>
    </row>
    <row r="32" spans="1:27" ht="15.75" customHeight="1" x14ac:dyDescent="0.3">
      <c r="A32" s="3"/>
      <c r="B32" s="3"/>
      <c r="C32" s="28"/>
      <c r="D32" s="28"/>
      <c r="E32" s="28"/>
      <c r="F32" s="28"/>
      <c r="G32" s="158"/>
      <c r="H32" s="28"/>
      <c r="I32" s="28"/>
      <c r="J32" s="28"/>
      <c r="K32" s="28"/>
      <c r="L32" s="28"/>
      <c r="M32" s="28"/>
      <c r="N32" s="28"/>
      <c r="O32" s="28"/>
      <c r="P32" s="28"/>
      <c r="Q32" s="28"/>
      <c r="R32" s="28"/>
      <c r="S32" s="28"/>
      <c r="T32" s="28"/>
      <c r="U32" s="28"/>
      <c r="V32" s="28"/>
      <c r="W32" s="35"/>
      <c r="X32" s="32"/>
    </row>
    <row r="33" spans="1:24" ht="15.75" customHeight="1" x14ac:dyDescent="0.3">
      <c r="A33" s="3"/>
      <c r="B33" s="3"/>
      <c r="C33" s="28"/>
      <c r="D33" s="28"/>
      <c r="E33" s="28"/>
      <c r="F33" s="28"/>
      <c r="G33" s="158"/>
      <c r="H33" s="28"/>
      <c r="I33" s="28"/>
      <c r="J33" s="28"/>
      <c r="K33" s="28"/>
      <c r="L33" s="28"/>
      <c r="M33" s="28"/>
      <c r="N33" s="28"/>
      <c r="O33" s="28"/>
      <c r="P33" s="28"/>
      <c r="Q33" s="28"/>
      <c r="R33" s="28"/>
      <c r="S33" s="28"/>
      <c r="T33" s="28"/>
      <c r="U33" s="28"/>
      <c r="V33" s="28"/>
      <c r="W33" s="35"/>
      <c r="X33" s="32"/>
    </row>
    <row r="34" spans="1:24" ht="15.75" customHeight="1" x14ac:dyDescent="0.3">
      <c r="A34" s="3"/>
      <c r="B34" s="3"/>
      <c r="C34" s="28"/>
      <c r="D34" s="28"/>
      <c r="E34" s="28"/>
      <c r="F34" s="28"/>
      <c r="G34" s="158"/>
      <c r="H34" s="28"/>
      <c r="I34" s="28"/>
      <c r="J34" s="28"/>
      <c r="K34" s="28"/>
      <c r="L34" s="28"/>
      <c r="M34" s="28"/>
      <c r="N34" s="28"/>
      <c r="O34" s="28"/>
      <c r="P34" s="28"/>
      <c r="Q34" s="28"/>
      <c r="R34" s="28"/>
      <c r="S34" s="28"/>
      <c r="T34" s="28"/>
      <c r="U34" s="28"/>
      <c r="V34" s="28"/>
      <c r="W34" s="35"/>
      <c r="X34" s="32"/>
    </row>
    <row r="35" spans="1:24" ht="15.75" customHeight="1" x14ac:dyDescent="0.3">
      <c r="A35" s="3"/>
      <c r="B35" s="3"/>
      <c r="C35" s="28"/>
      <c r="D35" s="28"/>
      <c r="E35" s="28"/>
      <c r="F35" s="28"/>
      <c r="G35" s="158"/>
      <c r="H35" s="28"/>
      <c r="I35" s="28"/>
      <c r="J35" s="28"/>
      <c r="K35" s="28"/>
      <c r="L35" s="28"/>
      <c r="M35" s="28"/>
      <c r="N35" s="28"/>
      <c r="O35" s="28"/>
      <c r="P35" s="28"/>
      <c r="Q35" s="28"/>
      <c r="R35" s="28"/>
      <c r="S35" s="28"/>
      <c r="T35" s="28"/>
      <c r="U35" s="28"/>
      <c r="V35" s="28"/>
      <c r="W35" s="35"/>
      <c r="X35" s="32"/>
    </row>
    <row r="36" spans="1:24" ht="15.75" customHeight="1" x14ac:dyDescent="0.3">
      <c r="A36" s="3"/>
      <c r="B36" s="3"/>
      <c r="C36" s="28"/>
      <c r="D36" s="28"/>
      <c r="E36" s="28"/>
      <c r="F36" s="28"/>
      <c r="G36" s="158"/>
      <c r="H36" s="28"/>
      <c r="I36" s="28"/>
      <c r="J36" s="28"/>
      <c r="K36" s="28"/>
      <c r="L36" s="28"/>
      <c r="M36" s="28"/>
      <c r="N36" s="28"/>
      <c r="O36" s="28"/>
      <c r="P36" s="28"/>
      <c r="Q36" s="28"/>
      <c r="R36" s="28"/>
      <c r="S36" s="28"/>
      <c r="T36" s="28"/>
      <c r="U36" s="28"/>
      <c r="V36" s="28"/>
      <c r="W36" s="35"/>
      <c r="X36" s="32"/>
    </row>
    <row r="37" spans="1:24" ht="15.75" customHeight="1" x14ac:dyDescent="0.3">
      <c r="A37" s="3"/>
      <c r="B37" s="3"/>
      <c r="C37" s="28"/>
      <c r="D37" s="28"/>
      <c r="E37" s="28"/>
      <c r="F37" s="28"/>
      <c r="G37" s="158"/>
      <c r="H37" s="28"/>
      <c r="I37" s="28"/>
      <c r="J37" s="28"/>
      <c r="K37" s="28"/>
      <c r="L37" s="28"/>
      <c r="M37" s="28"/>
      <c r="N37" s="28"/>
      <c r="O37" s="28"/>
      <c r="P37" s="28"/>
      <c r="Q37" s="28"/>
      <c r="R37" s="28"/>
      <c r="S37" s="28"/>
      <c r="T37" s="28"/>
      <c r="U37" s="28"/>
      <c r="V37" s="28"/>
      <c r="W37" s="35"/>
      <c r="X37" s="32"/>
    </row>
    <row r="38" spans="1:24" ht="15.75" customHeight="1" x14ac:dyDescent="0.3">
      <c r="A38" s="3"/>
      <c r="B38" s="3"/>
      <c r="C38" s="28"/>
      <c r="D38" s="28"/>
      <c r="E38" s="28"/>
      <c r="F38" s="28"/>
      <c r="G38" s="158"/>
      <c r="H38" s="28"/>
      <c r="I38" s="28"/>
      <c r="J38" s="28"/>
      <c r="K38" s="28"/>
      <c r="L38" s="28"/>
      <c r="M38" s="28"/>
      <c r="N38" s="28"/>
      <c r="O38" s="28"/>
      <c r="P38" s="28"/>
      <c r="Q38" s="28"/>
      <c r="R38" s="28"/>
      <c r="S38" s="28"/>
      <c r="T38" s="28"/>
      <c r="U38" s="28"/>
      <c r="V38" s="28"/>
      <c r="W38" s="35"/>
      <c r="X38" s="32"/>
    </row>
    <row r="39" spans="1:24" ht="15.75" customHeight="1" x14ac:dyDescent="0.3">
      <c r="A39" s="3"/>
      <c r="B39" s="3"/>
      <c r="C39" s="28"/>
      <c r="D39" s="28"/>
      <c r="E39" s="28"/>
      <c r="F39" s="28"/>
      <c r="G39" s="158"/>
      <c r="H39" s="28"/>
      <c r="I39" s="28"/>
      <c r="J39" s="28"/>
      <c r="K39" s="28"/>
      <c r="L39" s="28"/>
      <c r="M39" s="28"/>
      <c r="N39" s="28"/>
      <c r="O39" s="28"/>
      <c r="P39" s="28"/>
      <c r="Q39" s="28"/>
      <c r="R39" s="28"/>
      <c r="S39" s="28"/>
      <c r="T39" s="28"/>
      <c r="U39" s="28"/>
      <c r="V39" s="28"/>
      <c r="W39" s="35"/>
      <c r="X39" s="32"/>
    </row>
    <row r="40" spans="1:24" ht="15.75" customHeight="1" x14ac:dyDescent="0.3">
      <c r="A40" s="3"/>
      <c r="B40" s="3"/>
      <c r="C40" s="28"/>
      <c r="D40" s="28"/>
      <c r="E40" s="28"/>
      <c r="F40" s="28"/>
      <c r="G40" s="158"/>
      <c r="H40" s="28"/>
      <c r="I40" s="28"/>
      <c r="J40" s="28"/>
      <c r="K40" s="28"/>
      <c r="L40" s="28"/>
      <c r="M40" s="28"/>
      <c r="N40" s="28"/>
      <c r="O40" s="28"/>
      <c r="P40" s="28"/>
      <c r="Q40" s="28"/>
      <c r="R40" s="28"/>
      <c r="S40" s="28"/>
      <c r="T40" s="28"/>
      <c r="U40" s="28"/>
      <c r="V40" s="28"/>
      <c r="W40" s="35"/>
      <c r="X40" s="32"/>
    </row>
    <row r="41" spans="1:24" ht="15.75" customHeight="1" x14ac:dyDescent="0.3">
      <c r="A41" s="3"/>
      <c r="B41" s="3"/>
      <c r="C41" s="28"/>
      <c r="D41" s="28"/>
      <c r="E41" s="28"/>
      <c r="F41" s="28"/>
      <c r="G41" s="158"/>
      <c r="H41" s="28"/>
      <c r="I41" s="28"/>
      <c r="J41" s="28"/>
      <c r="K41" s="28"/>
      <c r="L41" s="28"/>
      <c r="M41" s="28"/>
      <c r="N41" s="28"/>
      <c r="O41" s="28"/>
      <c r="P41" s="28"/>
      <c r="Q41" s="28"/>
      <c r="R41" s="28"/>
      <c r="S41" s="28"/>
      <c r="T41" s="28"/>
      <c r="U41" s="28"/>
      <c r="V41" s="28"/>
      <c r="W41" s="35"/>
      <c r="X41" s="32"/>
    </row>
    <row r="42" spans="1:24" ht="15.75" customHeight="1" x14ac:dyDescent="0.3">
      <c r="A42" s="3"/>
      <c r="B42" s="3"/>
      <c r="C42" s="28"/>
      <c r="D42" s="28"/>
      <c r="E42" s="28"/>
      <c r="F42" s="28"/>
      <c r="G42" s="158"/>
      <c r="H42" s="28"/>
      <c r="I42" s="28"/>
      <c r="J42" s="28"/>
      <c r="K42" s="28"/>
      <c r="L42" s="28"/>
      <c r="M42" s="28"/>
      <c r="N42" s="28"/>
      <c r="O42" s="28"/>
      <c r="P42" s="28"/>
      <c r="Q42" s="28"/>
      <c r="R42" s="28"/>
      <c r="S42" s="28"/>
      <c r="T42" s="28"/>
      <c r="U42" s="28"/>
      <c r="V42" s="28"/>
      <c r="W42" s="35"/>
      <c r="X42" s="32"/>
    </row>
    <row r="43" spans="1:24" ht="15.75" customHeight="1" x14ac:dyDescent="0.3">
      <c r="A43" s="3"/>
      <c r="B43" s="3"/>
      <c r="C43" s="28"/>
      <c r="D43" s="28"/>
      <c r="E43" s="28"/>
      <c r="F43" s="28"/>
      <c r="G43" s="158"/>
      <c r="H43" s="28"/>
      <c r="I43" s="28"/>
      <c r="J43" s="28"/>
      <c r="K43" s="28"/>
      <c r="L43" s="28"/>
      <c r="M43" s="28"/>
      <c r="N43" s="28"/>
      <c r="O43" s="28"/>
      <c r="P43" s="28"/>
      <c r="Q43" s="28"/>
      <c r="R43" s="28"/>
      <c r="S43" s="28"/>
      <c r="T43" s="28"/>
      <c r="U43" s="28"/>
      <c r="V43" s="28"/>
      <c r="W43" s="35"/>
      <c r="X43" s="32"/>
    </row>
    <row r="44" spans="1:24" ht="15.75" customHeight="1" x14ac:dyDescent="0.3">
      <c r="A44" s="3"/>
      <c r="B44" s="3"/>
      <c r="C44" s="28"/>
      <c r="D44" s="28"/>
      <c r="E44" s="28"/>
      <c r="F44" s="28"/>
      <c r="G44" s="158"/>
      <c r="H44" s="28"/>
      <c r="I44" s="28"/>
      <c r="J44" s="28"/>
      <c r="K44" s="28"/>
      <c r="L44" s="28"/>
      <c r="M44" s="28"/>
      <c r="N44" s="28"/>
      <c r="O44" s="28"/>
      <c r="P44" s="28"/>
      <c r="Q44" s="28"/>
      <c r="R44" s="28"/>
      <c r="S44" s="28"/>
      <c r="T44" s="28"/>
      <c r="U44" s="28"/>
      <c r="V44" s="28"/>
      <c r="W44" s="35"/>
      <c r="X44" s="32"/>
    </row>
    <row r="45" spans="1:24" ht="15.75" customHeight="1" x14ac:dyDescent="0.3">
      <c r="A45" s="3"/>
      <c r="B45" s="3"/>
      <c r="C45" s="28"/>
      <c r="D45" s="28"/>
      <c r="E45" s="28"/>
      <c r="F45" s="28"/>
      <c r="G45" s="158"/>
      <c r="H45" s="28"/>
      <c r="I45" s="28"/>
      <c r="J45" s="28"/>
      <c r="K45" s="28"/>
      <c r="L45" s="28"/>
      <c r="M45" s="28"/>
      <c r="N45" s="28"/>
      <c r="O45" s="28"/>
      <c r="P45" s="28"/>
      <c r="Q45" s="28"/>
      <c r="R45" s="28"/>
      <c r="S45" s="28"/>
      <c r="T45" s="28"/>
      <c r="U45" s="28"/>
      <c r="V45" s="28"/>
      <c r="W45" s="35"/>
      <c r="X45" s="32"/>
    </row>
    <row r="46" spans="1:24" ht="15.75" customHeight="1" x14ac:dyDescent="0.3">
      <c r="A46" s="3"/>
      <c r="B46" s="3"/>
      <c r="C46" s="28"/>
      <c r="D46" s="28"/>
      <c r="E46" s="28"/>
      <c r="F46" s="28"/>
      <c r="G46" s="158"/>
      <c r="H46" s="28"/>
      <c r="I46" s="28"/>
      <c r="J46" s="28"/>
      <c r="K46" s="28"/>
      <c r="L46" s="28"/>
      <c r="M46" s="28"/>
      <c r="N46" s="28"/>
      <c r="O46" s="28"/>
      <c r="P46" s="28"/>
      <c r="Q46" s="28"/>
      <c r="R46" s="28"/>
      <c r="S46" s="28"/>
      <c r="T46" s="28"/>
      <c r="U46" s="28"/>
      <c r="V46" s="28"/>
      <c r="W46" s="35"/>
      <c r="X46" s="32"/>
    </row>
    <row r="47" spans="1:24" ht="15.75" customHeight="1" x14ac:dyDescent="0.3">
      <c r="A47" s="3"/>
      <c r="B47" s="3"/>
      <c r="C47" s="28"/>
      <c r="D47" s="28"/>
      <c r="E47" s="28"/>
      <c r="F47" s="28"/>
      <c r="G47" s="158"/>
      <c r="H47" s="28"/>
      <c r="I47" s="28"/>
      <c r="J47" s="28"/>
      <c r="K47" s="28"/>
      <c r="L47" s="28"/>
      <c r="M47" s="28"/>
      <c r="N47" s="28"/>
      <c r="O47" s="28"/>
      <c r="P47" s="28"/>
      <c r="Q47" s="28"/>
      <c r="R47" s="28"/>
      <c r="S47" s="28"/>
      <c r="T47" s="28"/>
      <c r="U47" s="28"/>
      <c r="V47" s="28"/>
      <c r="W47" s="35"/>
      <c r="X47" s="32"/>
    </row>
    <row r="48" spans="1:24" ht="15.75" customHeight="1" x14ac:dyDescent="0.3">
      <c r="A48" s="3"/>
      <c r="B48" s="3"/>
      <c r="C48" s="28"/>
      <c r="D48" s="28"/>
      <c r="E48" s="28"/>
      <c r="F48" s="28"/>
      <c r="G48" s="158"/>
      <c r="H48" s="28"/>
      <c r="I48" s="28"/>
      <c r="J48" s="28"/>
      <c r="K48" s="28"/>
      <c r="L48" s="28"/>
      <c r="M48" s="28"/>
      <c r="N48" s="28"/>
      <c r="O48" s="28"/>
      <c r="P48" s="28"/>
      <c r="Q48" s="28"/>
      <c r="R48" s="28"/>
      <c r="S48" s="28"/>
      <c r="T48" s="28"/>
      <c r="U48" s="28"/>
      <c r="V48" s="28"/>
      <c r="W48" s="35"/>
      <c r="X48" s="32"/>
    </row>
    <row r="49" spans="1:24" ht="15.75" customHeight="1" x14ac:dyDescent="0.3">
      <c r="A49" s="3"/>
      <c r="B49" s="3"/>
      <c r="C49" s="28"/>
      <c r="D49" s="28"/>
      <c r="E49" s="28"/>
      <c r="F49" s="28"/>
      <c r="G49" s="158"/>
      <c r="H49" s="28"/>
      <c r="I49" s="28"/>
      <c r="J49" s="28"/>
      <c r="K49" s="28"/>
      <c r="L49" s="28"/>
      <c r="M49" s="28"/>
      <c r="N49" s="28"/>
      <c r="O49" s="28"/>
      <c r="P49" s="28"/>
      <c r="Q49" s="28"/>
      <c r="R49" s="28"/>
      <c r="S49" s="28"/>
      <c r="T49" s="28"/>
      <c r="U49" s="28"/>
      <c r="V49" s="28"/>
      <c r="W49" s="35"/>
      <c r="X49" s="32"/>
    </row>
    <row r="50" spans="1:24" ht="15.75" customHeight="1" x14ac:dyDescent="0.3">
      <c r="A50" s="3"/>
      <c r="B50" s="3"/>
      <c r="C50" s="28"/>
      <c r="D50" s="28"/>
      <c r="E50" s="28"/>
      <c r="F50" s="28"/>
      <c r="G50" s="158"/>
      <c r="H50" s="28"/>
      <c r="I50" s="28"/>
      <c r="J50" s="28"/>
      <c r="K50" s="28"/>
      <c r="L50" s="28"/>
      <c r="M50" s="28"/>
      <c r="N50" s="28"/>
      <c r="O50" s="28"/>
      <c r="P50" s="28"/>
      <c r="Q50" s="28"/>
      <c r="R50" s="28"/>
      <c r="S50" s="28"/>
      <c r="T50" s="28"/>
      <c r="U50" s="28"/>
      <c r="V50" s="28"/>
      <c r="W50" s="35"/>
      <c r="X50" s="32"/>
    </row>
    <row r="51" spans="1:24" ht="15.75" customHeight="1" x14ac:dyDescent="0.3">
      <c r="A51" s="3"/>
      <c r="B51" s="3"/>
      <c r="C51" s="28"/>
      <c r="D51" s="28"/>
      <c r="E51" s="28"/>
      <c r="F51" s="28"/>
      <c r="G51" s="158"/>
      <c r="H51" s="28"/>
      <c r="I51" s="28"/>
      <c r="J51" s="28"/>
      <c r="K51" s="28"/>
      <c r="L51" s="28"/>
      <c r="M51" s="28"/>
      <c r="N51" s="28"/>
      <c r="O51" s="28"/>
      <c r="P51" s="28"/>
      <c r="Q51" s="28"/>
      <c r="R51" s="28"/>
      <c r="S51" s="28"/>
      <c r="T51" s="28"/>
      <c r="U51" s="28"/>
      <c r="V51" s="28"/>
      <c r="W51" s="35"/>
      <c r="X51" s="32"/>
    </row>
    <row r="52" spans="1:24" ht="15.75" customHeight="1" x14ac:dyDescent="0.3">
      <c r="A52" s="3"/>
      <c r="B52" s="3"/>
      <c r="C52" s="28"/>
      <c r="D52" s="28"/>
      <c r="E52" s="28"/>
      <c r="F52" s="28"/>
      <c r="G52" s="158"/>
      <c r="H52" s="28"/>
      <c r="I52" s="28"/>
      <c r="J52" s="28"/>
      <c r="K52" s="28"/>
      <c r="L52" s="28"/>
      <c r="M52" s="28"/>
      <c r="N52" s="28"/>
      <c r="O52" s="28"/>
      <c r="P52" s="28"/>
      <c r="Q52" s="28"/>
      <c r="R52" s="28"/>
      <c r="S52" s="28"/>
      <c r="T52" s="28"/>
      <c r="U52" s="28"/>
      <c r="V52" s="28"/>
      <c r="W52" s="35"/>
      <c r="X52" s="32"/>
    </row>
    <row r="53" spans="1:24" ht="15.75" customHeight="1" x14ac:dyDescent="0.3">
      <c r="A53" s="3"/>
      <c r="B53" s="3"/>
      <c r="C53" s="28"/>
      <c r="D53" s="28"/>
      <c r="E53" s="28"/>
      <c r="F53" s="28"/>
      <c r="G53" s="158"/>
      <c r="H53" s="28"/>
      <c r="I53" s="28"/>
      <c r="J53" s="28"/>
      <c r="K53" s="28"/>
      <c r="L53" s="28"/>
      <c r="M53" s="28"/>
      <c r="N53" s="28"/>
      <c r="O53" s="28"/>
      <c r="P53" s="28"/>
      <c r="Q53" s="28"/>
      <c r="R53" s="28"/>
      <c r="S53" s="28"/>
      <c r="T53" s="28"/>
      <c r="U53" s="28"/>
      <c r="V53" s="28"/>
      <c r="W53" s="35"/>
      <c r="X53" s="32"/>
    </row>
    <row r="54" spans="1:24" ht="15.75" customHeight="1" x14ac:dyDescent="0.3">
      <c r="A54" s="3"/>
      <c r="B54" s="3"/>
      <c r="C54" s="28"/>
      <c r="D54" s="28"/>
      <c r="E54" s="28"/>
      <c r="F54" s="28"/>
      <c r="G54" s="158"/>
      <c r="H54" s="28"/>
      <c r="I54" s="28"/>
      <c r="J54" s="28"/>
      <c r="K54" s="28"/>
      <c r="L54" s="28"/>
      <c r="M54" s="28"/>
      <c r="N54" s="28"/>
      <c r="O54" s="28"/>
      <c r="P54" s="28"/>
      <c r="Q54" s="28"/>
      <c r="R54" s="28"/>
      <c r="S54" s="28"/>
      <c r="T54" s="28"/>
      <c r="U54" s="28"/>
      <c r="V54" s="28"/>
      <c r="W54" s="35"/>
      <c r="X54" s="32"/>
    </row>
    <row r="55" spans="1:24" ht="15.75" customHeight="1" x14ac:dyDescent="0.3">
      <c r="A55" s="3"/>
      <c r="B55" s="3"/>
      <c r="C55" s="28"/>
      <c r="D55" s="28"/>
      <c r="E55" s="28"/>
      <c r="F55" s="28"/>
      <c r="G55" s="158"/>
      <c r="H55" s="28"/>
      <c r="I55" s="28"/>
      <c r="J55" s="28"/>
      <c r="K55" s="28"/>
      <c r="L55" s="28"/>
      <c r="M55" s="28"/>
      <c r="N55" s="28"/>
      <c r="O55" s="28"/>
      <c r="P55" s="28"/>
      <c r="Q55" s="28"/>
      <c r="R55" s="28"/>
      <c r="S55" s="28"/>
      <c r="T55" s="28"/>
      <c r="U55" s="28"/>
      <c r="V55" s="28"/>
      <c r="W55" s="35"/>
      <c r="X55" s="32"/>
    </row>
    <row r="56" spans="1:24" ht="15.75" customHeight="1" x14ac:dyDescent="0.3">
      <c r="A56" s="3"/>
      <c r="B56" s="3"/>
      <c r="C56" s="28"/>
      <c r="D56" s="28"/>
      <c r="E56" s="28"/>
      <c r="F56" s="28"/>
      <c r="G56" s="158"/>
      <c r="H56" s="28"/>
      <c r="I56" s="28"/>
      <c r="J56" s="28"/>
      <c r="K56" s="28"/>
      <c r="L56" s="28"/>
      <c r="M56" s="28"/>
      <c r="N56" s="28"/>
      <c r="O56" s="28"/>
      <c r="P56" s="28"/>
      <c r="Q56" s="28"/>
      <c r="R56" s="28"/>
      <c r="S56" s="28"/>
      <c r="T56" s="28"/>
      <c r="U56" s="28"/>
      <c r="V56" s="28"/>
      <c r="W56" s="35"/>
      <c r="X56" s="32"/>
    </row>
    <row r="57" spans="1:24" ht="15.75" customHeight="1" x14ac:dyDescent="0.3">
      <c r="A57" s="3"/>
      <c r="B57" s="3"/>
      <c r="C57" s="28"/>
      <c r="D57" s="28"/>
      <c r="E57" s="28"/>
      <c r="F57" s="28"/>
      <c r="G57" s="158"/>
      <c r="H57" s="28"/>
      <c r="I57" s="28"/>
      <c r="J57" s="28"/>
      <c r="K57" s="28"/>
      <c r="L57" s="28"/>
      <c r="M57" s="28"/>
      <c r="N57" s="28"/>
      <c r="O57" s="28"/>
      <c r="P57" s="28"/>
      <c r="Q57" s="28"/>
      <c r="R57" s="28"/>
      <c r="S57" s="28"/>
      <c r="T57" s="28"/>
      <c r="U57" s="28"/>
      <c r="V57" s="28"/>
      <c r="W57" s="35"/>
      <c r="X57" s="32"/>
    </row>
    <row r="58" spans="1:24" ht="15.75" customHeight="1" x14ac:dyDescent="0.3">
      <c r="A58" s="3"/>
      <c r="B58" s="3"/>
      <c r="C58" s="28"/>
      <c r="D58" s="28"/>
      <c r="E58" s="28"/>
      <c r="F58" s="28"/>
      <c r="G58" s="158"/>
      <c r="H58" s="28"/>
      <c r="I58" s="28"/>
      <c r="J58" s="28"/>
      <c r="K58" s="28"/>
      <c r="L58" s="28"/>
      <c r="M58" s="28"/>
      <c r="N58" s="28"/>
      <c r="O58" s="28"/>
      <c r="P58" s="28"/>
      <c r="Q58" s="28"/>
      <c r="R58" s="28"/>
      <c r="S58" s="28"/>
      <c r="T58" s="28"/>
      <c r="U58" s="28"/>
      <c r="V58" s="28"/>
      <c r="W58" s="35"/>
      <c r="X58" s="32"/>
    </row>
    <row r="59" spans="1:24" ht="15.75" customHeight="1" x14ac:dyDescent="0.3">
      <c r="A59" s="3"/>
      <c r="B59" s="3"/>
      <c r="C59" s="28"/>
      <c r="D59" s="28"/>
      <c r="E59" s="28"/>
      <c r="F59" s="28"/>
      <c r="G59" s="158"/>
      <c r="H59" s="28"/>
      <c r="I59" s="28"/>
      <c r="J59" s="28"/>
      <c r="K59" s="28"/>
      <c r="L59" s="28"/>
      <c r="M59" s="28"/>
      <c r="N59" s="28"/>
      <c r="O59" s="28"/>
      <c r="P59" s="28"/>
      <c r="Q59" s="28"/>
      <c r="R59" s="28"/>
      <c r="S59" s="28"/>
      <c r="T59" s="28"/>
      <c r="U59" s="28"/>
      <c r="V59" s="28"/>
      <c r="W59" s="35"/>
      <c r="X59" s="32"/>
    </row>
    <row r="60" spans="1:24" ht="15.75" customHeight="1" x14ac:dyDescent="0.3">
      <c r="A60" s="3"/>
      <c r="B60" s="3"/>
      <c r="C60" s="28"/>
      <c r="D60" s="28"/>
      <c r="E60" s="28"/>
      <c r="F60" s="28"/>
      <c r="G60" s="158"/>
      <c r="H60" s="28"/>
      <c r="I60" s="28"/>
      <c r="J60" s="28"/>
      <c r="K60" s="28"/>
      <c r="L60" s="28"/>
      <c r="M60" s="28"/>
      <c r="N60" s="28"/>
      <c r="O60" s="28"/>
      <c r="P60" s="28"/>
      <c r="Q60" s="28"/>
      <c r="R60" s="28"/>
      <c r="S60" s="28"/>
      <c r="T60" s="28"/>
      <c r="U60" s="28"/>
      <c r="V60" s="28"/>
      <c r="W60" s="35"/>
      <c r="X60" s="32"/>
    </row>
    <row r="61" spans="1:24" ht="15.75" customHeight="1" x14ac:dyDescent="0.3">
      <c r="A61" s="3"/>
      <c r="B61" s="3"/>
      <c r="C61" s="28"/>
      <c r="D61" s="28"/>
      <c r="E61" s="28"/>
      <c r="F61" s="28"/>
      <c r="G61" s="158"/>
      <c r="H61" s="28"/>
      <c r="I61" s="28"/>
      <c r="J61" s="28"/>
      <c r="K61" s="28"/>
      <c r="L61" s="28"/>
      <c r="M61" s="28"/>
      <c r="N61" s="28"/>
      <c r="O61" s="28"/>
      <c r="P61" s="28"/>
      <c r="Q61" s="28"/>
      <c r="R61" s="28"/>
      <c r="S61" s="28"/>
      <c r="T61" s="28"/>
      <c r="U61" s="28"/>
      <c r="V61" s="28"/>
      <c r="W61" s="35"/>
      <c r="X61" s="32"/>
    </row>
    <row r="62" spans="1:24" ht="15.75" customHeight="1" x14ac:dyDescent="0.3">
      <c r="A62" s="3"/>
      <c r="B62" s="3"/>
      <c r="C62" s="28"/>
      <c r="D62" s="28"/>
      <c r="E62" s="28"/>
      <c r="F62" s="28"/>
      <c r="G62" s="158"/>
      <c r="H62" s="28"/>
      <c r="I62" s="28"/>
      <c r="J62" s="28"/>
      <c r="K62" s="28"/>
      <c r="L62" s="28"/>
      <c r="M62" s="28"/>
      <c r="N62" s="28"/>
      <c r="O62" s="28"/>
      <c r="P62" s="28"/>
      <c r="Q62" s="28"/>
      <c r="R62" s="28"/>
      <c r="S62" s="28"/>
      <c r="T62" s="28"/>
      <c r="U62" s="28"/>
      <c r="V62" s="28"/>
      <c r="W62" s="35"/>
      <c r="X62" s="32"/>
    </row>
    <row r="63" spans="1:24" ht="15.75" customHeight="1" x14ac:dyDescent="0.3">
      <c r="A63" s="3"/>
      <c r="B63" s="3"/>
      <c r="C63" s="28"/>
      <c r="D63" s="28"/>
      <c r="E63" s="28"/>
      <c r="F63" s="28"/>
      <c r="G63" s="158"/>
      <c r="H63" s="28"/>
      <c r="I63" s="28"/>
      <c r="J63" s="28"/>
      <c r="K63" s="28"/>
      <c r="L63" s="28"/>
      <c r="M63" s="28"/>
      <c r="N63" s="28"/>
      <c r="O63" s="28"/>
      <c r="P63" s="28"/>
      <c r="Q63" s="28"/>
      <c r="R63" s="28"/>
      <c r="S63" s="28"/>
      <c r="T63" s="28"/>
      <c r="U63" s="28"/>
      <c r="V63" s="28"/>
      <c r="W63" s="35"/>
      <c r="X63" s="32"/>
    </row>
    <row r="64" spans="1:24" ht="15.75" customHeight="1" x14ac:dyDescent="0.3">
      <c r="A64" s="3"/>
      <c r="B64" s="3"/>
      <c r="C64" s="28"/>
      <c r="D64" s="28"/>
      <c r="E64" s="28"/>
      <c r="F64" s="28"/>
      <c r="G64" s="158"/>
      <c r="H64" s="28"/>
      <c r="I64" s="28"/>
      <c r="J64" s="28"/>
      <c r="K64" s="28"/>
      <c r="L64" s="28"/>
      <c r="M64" s="28"/>
      <c r="N64" s="28"/>
      <c r="O64" s="28"/>
      <c r="P64" s="28"/>
      <c r="Q64" s="28"/>
      <c r="R64" s="28"/>
      <c r="S64" s="28"/>
      <c r="T64" s="28"/>
      <c r="U64" s="28"/>
      <c r="V64" s="28"/>
      <c r="W64" s="35"/>
      <c r="X64" s="32"/>
    </row>
    <row r="65" spans="1:24" ht="15.75" customHeight="1" x14ac:dyDescent="0.3">
      <c r="A65" s="3"/>
      <c r="B65" s="3"/>
      <c r="C65" s="28"/>
      <c r="D65" s="28"/>
      <c r="E65" s="28"/>
      <c r="F65" s="28"/>
      <c r="G65" s="158"/>
      <c r="H65" s="28"/>
      <c r="I65" s="28"/>
      <c r="J65" s="28"/>
      <c r="K65" s="28"/>
      <c r="L65" s="28"/>
      <c r="M65" s="28"/>
      <c r="N65" s="28"/>
      <c r="O65" s="28"/>
      <c r="P65" s="28"/>
      <c r="Q65" s="28"/>
      <c r="R65" s="28"/>
      <c r="S65" s="28"/>
      <c r="T65" s="28"/>
      <c r="U65" s="28"/>
      <c r="V65" s="28"/>
      <c r="W65" s="35"/>
      <c r="X65" s="32"/>
    </row>
    <row r="66" spans="1:24" ht="15.75" customHeight="1" x14ac:dyDescent="0.3">
      <c r="A66" s="3"/>
      <c r="B66" s="3"/>
      <c r="C66" s="28"/>
      <c r="D66" s="28"/>
      <c r="E66" s="28"/>
      <c r="F66" s="28"/>
      <c r="G66" s="158"/>
      <c r="H66" s="28"/>
      <c r="I66" s="28"/>
      <c r="J66" s="28"/>
      <c r="K66" s="28"/>
      <c r="L66" s="28"/>
      <c r="M66" s="28"/>
      <c r="N66" s="28"/>
      <c r="O66" s="28"/>
      <c r="P66" s="28"/>
      <c r="Q66" s="28"/>
      <c r="R66" s="28"/>
      <c r="S66" s="28"/>
      <c r="T66" s="28"/>
      <c r="U66" s="28"/>
      <c r="V66" s="28"/>
      <c r="W66" s="35"/>
      <c r="X66" s="32"/>
    </row>
    <row r="67" spans="1:24" ht="15.75" customHeight="1" x14ac:dyDescent="0.3">
      <c r="A67" s="3"/>
      <c r="B67" s="3"/>
      <c r="C67" s="28"/>
      <c r="D67" s="28"/>
      <c r="E67" s="28"/>
      <c r="F67" s="28"/>
      <c r="G67" s="158"/>
      <c r="H67" s="28"/>
      <c r="I67" s="28"/>
      <c r="J67" s="28"/>
      <c r="K67" s="28"/>
      <c r="L67" s="28"/>
      <c r="M67" s="28"/>
      <c r="N67" s="28"/>
      <c r="O67" s="28"/>
      <c r="P67" s="28"/>
      <c r="Q67" s="28"/>
      <c r="R67" s="28"/>
      <c r="S67" s="28"/>
      <c r="T67" s="28"/>
      <c r="U67" s="28"/>
      <c r="V67" s="28"/>
      <c r="W67" s="35"/>
      <c r="X67" s="32"/>
    </row>
    <row r="68" spans="1:24" ht="15.75" customHeight="1" x14ac:dyDescent="0.3">
      <c r="A68" s="3"/>
      <c r="B68" s="3"/>
      <c r="C68" s="28"/>
      <c r="D68" s="28"/>
      <c r="E68" s="28"/>
      <c r="F68" s="28"/>
      <c r="G68" s="158"/>
      <c r="H68" s="28"/>
      <c r="I68" s="28"/>
      <c r="J68" s="28"/>
      <c r="K68" s="28"/>
      <c r="L68" s="28"/>
      <c r="M68" s="28"/>
      <c r="N68" s="28"/>
      <c r="O68" s="28"/>
      <c r="P68" s="28"/>
      <c r="Q68" s="28"/>
      <c r="R68" s="28"/>
      <c r="S68" s="28"/>
      <c r="T68" s="28"/>
      <c r="U68" s="28"/>
      <c r="V68" s="28"/>
      <c r="W68" s="35"/>
      <c r="X68" s="32"/>
    </row>
    <row r="69" spans="1:24" ht="15.75" customHeight="1" x14ac:dyDescent="0.3">
      <c r="A69" s="3"/>
      <c r="B69" s="3"/>
      <c r="C69" s="28"/>
      <c r="D69" s="28"/>
      <c r="E69" s="28"/>
      <c r="F69" s="28"/>
      <c r="G69" s="158"/>
      <c r="H69" s="28"/>
      <c r="I69" s="28"/>
      <c r="J69" s="28"/>
      <c r="K69" s="28"/>
      <c r="L69" s="28"/>
      <c r="M69" s="28"/>
      <c r="N69" s="28"/>
      <c r="O69" s="28"/>
      <c r="P69" s="28"/>
      <c r="Q69" s="28"/>
      <c r="R69" s="28"/>
      <c r="S69" s="28"/>
      <c r="T69" s="28"/>
      <c r="U69" s="28"/>
      <c r="V69" s="28"/>
      <c r="W69" s="35"/>
      <c r="X69" s="32"/>
    </row>
    <row r="70" spans="1:24" ht="15.75" customHeight="1" x14ac:dyDescent="0.3">
      <c r="A70" s="3"/>
      <c r="B70" s="3"/>
      <c r="C70" s="28"/>
      <c r="D70" s="28"/>
      <c r="E70" s="28"/>
      <c r="F70" s="28"/>
      <c r="G70" s="158"/>
      <c r="H70" s="28"/>
      <c r="I70" s="28"/>
      <c r="J70" s="28"/>
      <c r="K70" s="28"/>
      <c r="L70" s="28"/>
      <c r="M70" s="28"/>
      <c r="N70" s="28"/>
      <c r="O70" s="28"/>
      <c r="P70" s="28"/>
      <c r="Q70" s="28"/>
      <c r="R70" s="28"/>
      <c r="S70" s="28"/>
      <c r="T70" s="28"/>
      <c r="U70" s="28"/>
      <c r="V70" s="28"/>
      <c r="W70" s="35"/>
      <c r="X70" s="32"/>
    </row>
    <row r="71" spans="1:24" ht="15.75" customHeight="1" x14ac:dyDescent="0.3">
      <c r="A71" s="3"/>
      <c r="B71" s="3"/>
      <c r="C71" s="28"/>
      <c r="D71" s="28"/>
      <c r="E71" s="28"/>
      <c r="F71" s="28"/>
      <c r="G71" s="158"/>
      <c r="H71" s="28"/>
      <c r="I71" s="28"/>
      <c r="J71" s="28"/>
      <c r="K71" s="28"/>
      <c r="L71" s="28"/>
      <c r="M71" s="28"/>
      <c r="N71" s="28"/>
      <c r="O71" s="28"/>
      <c r="P71" s="28"/>
      <c r="Q71" s="28"/>
      <c r="R71" s="28"/>
      <c r="S71" s="28"/>
      <c r="T71" s="28"/>
      <c r="U71" s="28"/>
      <c r="V71" s="28"/>
      <c r="W71" s="35"/>
      <c r="X71" s="32"/>
    </row>
    <row r="72" spans="1:24" ht="15.75" customHeight="1" x14ac:dyDescent="0.3">
      <c r="A72" s="3"/>
      <c r="B72" s="3"/>
      <c r="C72" s="28"/>
      <c r="D72" s="28"/>
      <c r="E72" s="28"/>
      <c r="F72" s="28"/>
      <c r="G72" s="158"/>
      <c r="H72" s="28"/>
      <c r="I72" s="28"/>
      <c r="J72" s="28"/>
      <c r="K72" s="28"/>
      <c r="L72" s="28"/>
      <c r="M72" s="28"/>
      <c r="N72" s="28"/>
      <c r="O72" s="28"/>
      <c r="P72" s="28"/>
      <c r="Q72" s="28"/>
      <c r="R72" s="28"/>
      <c r="S72" s="28"/>
      <c r="T72" s="28"/>
      <c r="U72" s="28"/>
      <c r="V72" s="28"/>
      <c r="W72" s="35"/>
      <c r="X72" s="32"/>
    </row>
    <row r="73" spans="1:24" ht="15.75" customHeight="1" x14ac:dyDescent="0.3">
      <c r="A73" s="3"/>
      <c r="B73" s="3"/>
      <c r="C73" s="28"/>
      <c r="D73" s="28"/>
      <c r="E73" s="28"/>
      <c r="F73" s="28"/>
      <c r="G73" s="158"/>
      <c r="H73" s="28"/>
      <c r="I73" s="28"/>
      <c r="J73" s="28"/>
      <c r="K73" s="28"/>
      <c r="L73" s="28"/>
      <c r="M73" s="28"/>
      <c r="N73" s="28"/>
      <c r="O73" s="28"/>
      <c r="P73" s="28"/>
      <c r="Q73" s="28"/>
      <c r="R73" s="28"/>
      <c r="S73" s="28"/>
      <c r="T73" s="28"/>
      <c r="U73" s="28"/>
      <c r="V73" s="28"/>
      <c r="W73" s="35"/>
      <c r="X73" s="32"/>
    </row>
    <row r="74" spans="1:24" ht="15.75" customHeight="1" x14ac:dyDescent="0.3">
      <c r="A74" s="3"/>
      <c r="B74" s="3"/>
      <c r="C74" s="28"/>
      <c r="D74" s="28"/>
      <c r="E74" s="28"/>
      <c r="F74" s="28"/>
      <c r="G74" s="158"/>
      <c r="H74" s="28"/>
      <c r="I74" s="28"/>
      <c r="J74" s="28"/>
      <c r="K74" s="28"/>
      <c r="L74" s="28"/>
      <c r="M74" s="28"/>
      <c r="N74" s="28"/>
      <c r="O74" s="28"/>
      <c r="P74" s="28"/>
      <c r="Q74" s="28"/>
      <c r="R74" s="28"/>
      <c r="S74" s="28"/>
      <c r="T74" s="28"/>
      <c r="U74" s="28"/>
      <c r="V74" s="28"/>
      <c r="W74" s="35"/>
      <c r="X74" s="32"/>
    </row>
    <row r="75" spans="1:24" ht="15.75" customHeight="1" x14ac:dyDescent="0.3">
      <c r="A75" s="3"/>
      <c r="B75" s="3"/>
      <c r="C75" s="28"/>
      <c r="D75" s="28"/>
      <c r="E75" s="28"/>
      <c r="F75" s="28"/>
      <c r="G75" s="158"/>
      <c r="H75" s="28"/>
      <c r="I75" s="28"/>
      <c r="J75" s="28"/>
      <c r="K75" s="28"/>
      <c r="L75" s="28"/>
      <c r="M75" s="28"/>
      <c r="N75" s="28"/>
      <c r="O75" s="28"/>
      <c r="P75" s="28"/>
      <c r="Q75" s="28"/>
      <c r="R75" s="28"/>
      <c r="S75" s="28"/>
      <c r="T75" s="28"/>
      <c r="U75" s="28"/>
      <c r="V75" s="28"/>
      <c r="W75" s="35"/>
      <c r="X75" s="32"/>
    </row>
    <row r="76" spans="1:24" ht="15.75" customHeight="1" x14ac:dyDescent="0.3">
      <c r="A76" s="3"/>
      <c r="B76" s="3"/>
      <c r="C76" s="28"/>
      <c r="D76" s="28"/>
      <c r="E76" s="28"/>
      <c r="F76" s="28"/>
      <c r="G76" s="158"/>
      <c r="H76" s="28"/>
      <c r="I76" s="28"/>
      <c r="J76" s="28"/>
      <c r="K76" s="28"/>
      <c r="L76" s="28"/>
      <c r="M76" s="28"/>
      <c r="N76" s="28"/>
      <c r="O76" s="28"/>
      <c r="P76" s="28"/>
      <c r="Q76" s="28"/>
      <c r="R76" s="28"/>
      <c r="S76" s="28"/>
      <c r="T76" s="28"/>
      <c r="U76" s="28"/>
      <c r="V76" s="28"/>
      <c r="W76" s="35"/>
      <c r="X76" s="32"/>
    </row>
    <row r="77" spans="1:24" ht="15.75" customHeight="1" x14ac:dyDescent="0.3">
      <c r="A77" s="3"/>
      <c r="B77" s="3"/>
      <c r="C77" s="28"/>
      <c r="D77" s="28"/>
      <c r="E77" s="28"/>
      <c r="F77" s="28"/>
      <c r="G77" s="158"/>
      <c r="H77" s="28"/>
      <c r="I77" s="28"/>
      <c r="J77" s="28"/>
      <c r="K77" s="28"/>
      <c r="L77" s="28"/>
      <c r="M77" s="28"/>
      <c r="N77" s="28"/>
      <c r="O77" s="28"/>
      <c r="P77" s="28"/>
      <c r="Q77" s="28"/>
      <c r="R77" s="28"/>
      <c r="S77" s="28"/>
      <c r="T77" s="28"/>
      <c r="U77" s="28"/>
      <c r="V77" s="28"/>
      <c r="W77" s="35"/>
      <c r="X77" s="32"/>
    </row>
    <row r="78" spans="1:24" ht="15.75" customHeight="1" x14ac:dyDescent="0.3">
      <c r="A78" s="3"/>
      <c r="B78" s="3"/>
      <c r="C78" s="28"/>
      <c r="D78" s="28"/>
      <c r="E78" s="28"/>
      <c r="F78" s="28"/>
      <c r="G78" s="158"/>
      <c r="H78" s="28"/>
      <c r="I78" s="28"/>
      <c r="J78" s="28"/>
      <c r="K78" s="28"/>
      <c r="L78" s="28"/>
      <c r="M78" s="28"/>
      <c r="N78" s="28"/>
      <c r="O78" s="28"/>
      <c r="P78" s="28"/>
      <c r="Q78" s="28"/>
      <c r="R78" s="28"/>
      <c r="S78" s="28"/>
      <c r="T78" s="28"/>
      <c r="U78" s="28"/>
      <c r="V78" s="28"/>
      <c r="W78" s="35"/>
      <c r="X78" s="32"/>
    </row>
    <row r="79" spans="1:24" ht="15.75" customHeight="1" x14ac:dyDescent="0.3">
      <c r="A79" s="3"/>
      <c r="B79" s="3"/>
      <c r="C79" s="28"/>
      <c r="D79" s="28"/>
      <c r="E79" s="28"/>
      <c r="F79" s="28"/>
      <c r="G79" s="158"/>
      <c r="H79" s="28"/>
      <c r="I79" s="28"/>
      <c r="J79" s="28"/>
      <c r="K79" s="28"/>
      <c r="L79" s="28"/>
      <c r="M79" s="28"/>
      <c r="N79" s="28"/>
      <c r="O79" s="28"/>
      <c r="P79" s="28"/>
      <c r="Q79" s="28"/>
      <c r="R79" s="28"/>
      <c r="S79" s="28"/>
      <c r="T79" s="28"/>
      <c r="U79" s="28"/>
      <c r="V79" s="28"/>
      <c r="W79" s="35"/>
      <c r="X79" s="32"/>
    </row>
    <row r="80" spans="1:24" ht="15.75" customHeight="1" x14ac:dyDescent="0.3">
      <c r="A80" s="3"/>
      <c r="B80" s="3"/>
      <c r="C80" s="28"/>
      <c r="D80" s="28"/>
      <c r="E80" s="28"/>
      <c r="F80" s="28"/>
      <c r="G80" s="158"/>
      <c r="H80" s="28"/>
      <c r="I80" s="28"/>
      <c r="J80" s="28"/>
      <c r="K80" s="28"/>
      <c r="L80" s="28"/>
      <c r="M80" s="28"/>
      <c r="N80" s="28"/>
      <c r="O80" s="28"/>
      <c r="P80" s="28"/>
      <c r="Q80" s="28"/>
      <c r="R80" s="28"/>
      <c r="S80" s="28"/>
      <c r="T80" s="28"/>
      <c r="U80" s="28"/>
      <c r="V80" s="28"/>
      <c r="W80" s="35"/>
      <c r="X80" s="32"/>
    </row>
    <row r="81" spans="1:24" ht="15.75" customHeight="1" x14ac:dyDescent="0.3">
      <c r="A81" s="3"/>
      <c r="B81" s="3"/>
      <c r="C81" s="28"/>
      <c r="D81" s="28"/>
      <c r="E81" s="28"/>
      <c r="F81" s="28"/>
      <c r="G81" s="158"/>
      <c r="H81" s="28"/>
      <c r="I81" s="28"/>
      <c r="J81" s="28"/>
      <c r="K81" s="28"/>
      <c r="L81" s="28"/>
      <c r="M81" s="28"/>
      <c r="N81" s="28"/>
      <c r="O81" s="28"/>
      <c r="P81" s="28"/>
      <c r="Q81" s="28"/>
      <c r="R81" s="28"/>
      <c r="S81" s="28"/>
      <c r="T81" s="28"/>
      <c r="U81" s="28"/>
      <c r="V81" s="28"/>
      <c r="W81" s="35"/>
      <c r="X81" s="32"/>
    </row>
    <row r="82" spans="1:24" ht="15.75" customHeight="1" x14ac:dyDescent="0.3">
      <c r="A82" s="3"/>
      <c r="B82" s="3"/>
      <c r="C82" s="28"/>
      <c r="D82" s="28"/>
      <c r="E82" s="28"/>
      <c r="F82" s="28"/>
      <c r="G82" s="158"/>
      <c r="H82" s="28"/>
      <c r="I82" s="28"/>
      <c r="J82" s="28"/>
      <c r="K82" s="28"/>
      <c r="L82" s="28"/>
      <c r="M82" s="28"/>
      <c r="N82" s="28"/>
      <c r="O82" s="28"/>
      <c r="P82" s="28"/>
      <c r="Q82" s="28"/>
      <c r="R82" s="28"/>
      <c r="S82" s="28"/>
      <c r="T82" s="28"/>
      <c r="U82" s="28"/>
      <c r="V82" s="28"/>
      <c r="W82" s="35"/>
      <c r="X82" s="32"/>
    </row>
    <row r="83" spans="1:24" ht="15.75" customHeight="1" x14ac:dyDescent="0.3">
      <c r="A83" s="3"/>
      <c r="B83" s="3"/>
      <c r="C83" s="28"/>
      <c r="D83" s="28"/>
      <c r="E83" s="28"/>
      <c r="F83" s="28"/>
      <c r="G83" s="158"/>
      <c r="H83" s="28"/>
      <c r="I83" s="28"/>
      <c r="J83" s="28"/>
      <c r="K83" s="28"/>
      <c r="L83" s="28"/>
      <c r="M83" s="28"/>
      <c r="N83" s="28"/>
      <c r="O83" s="28"/>
      <c r="P83" s="28"/>
      <c r="Q83" s="28"/>
      <c r="R83" s="28"/>
      <c r="S83" s="28"/>
      <c r="T83" s="28"/>
      <c r="U83" s="28"/>
      <c r="V83" s="28"/>
      <c r="W83" s="35"/>
      <c r="X83" s="32"/>
    </row>
    <row r="84" spans="1:24" ht="15.75" customHeight="1" x14ac:dyDescent="0.3">
      <c r="A84" s="3"/>
      <c r="B84" s="3"/>
      <c r="C84" s="28"/>
      <c r="D84" s="28"/>
      <c r="E84" s="28"/>
      <c r="F84" s="28"/>
      <c r="G84" s="158"/>
      <c r="H84" s="28"/>
      <c r="I84" s="28"/>
      <c r="J84" s="28"/>
      <c r="K84" s="28"/>
      <c r="L84" s="28"/>
      <c r="M84" s="28"/>
      <c r="N84" s="28"/>
      <c r="O84" s="28"/>
      <c r="P84" s="28"/>
      <c r="Q84" s="28"/>
      <c r="R84" s="28"/>
      <c r="S84" s="28"/>
      <c r="T84" s="28"/>
      <c r="U84" s="28"/>
      <c r="V84" s="28"/>
      <c r="W84" s="35"/>
      <c r="X84" s="32"/>
    </row>
    <row r="85" spans="1:24" ht="15.75" customHeight="1" x14ac:dyDescent="0.3">
      <c r="A85" s="3"/>
      <c r="B85" s="3"/>
      <c r="C85" s="28"/>
      <c r="D85" s="28"/>
      <c r="E85" s="28"/>
      <c r="F85" s="28"/>
      <c r="G85" s="158"/>
      <c r="H85" s="28"/>
      <c r="I85" s="28"/>
      <c r="J85" s="28"/>
      <c r="K85" s="28"/>
      <c r="L85" s="28"/>
      <c r="M85" s="28"/>
      <c r="N85" s="28"/>
      <c r="O85" s="28"/>
      <c r="P85" s="28"/>
      <c r="Q85" s="28"/>
      <c r="R85" s="28"/>
      <c r="S85" s="28"/>
      <c r="T85" s="28"/>
      <c r="U85" s="28"/>
      <c r="V85" s="28"/>
      <c r="W85" s="35"/>
      <c r="X85" s="32"/>
    </row>
    <row r="86" spans="1:24" ht="15.75" customHeight="1" x14ac:dyDescent="0.3">
      <c r="A86" s="3"/>
      <c r="B86" s="3"/>
      <c r="C86" s="28"/>
      <c r="D86" s="28"/>
      <c r="E86" s="28"/>
      <c r="F86" s="28"/>
      <c r="G86" s="158"/>
      <c r="H86" s="28"/>
      <c r="I86" s="28"/>
      <c r="J86" s="28"/>
      <c r="K86" s="28"/>
      <c r="L86" s="28"/>
      <c r="M86" s="28"/>
      <c r="N86" s="28"/>
      <c r="O86" s="28"/>
      <c r="P86" s="28"/>
      <c r="Q86" s="28"/>
      <c r="R86" s="28"/>
      <c r="S86" s="28"/>
      <c r="T86" s="28"/>
      <c r="U86" s="28"/>
      <c r="V86" s="28"/>
      <c r="W86" s="35"/>
      <c r="X86" s="32"/>
    </row>
    <row r="87" spans="1:24" ht="15.75" customHeight="1" x14ac:dyDescent="0.3">
      <c r="A87" s="3"/>
      <c r="B87" s="3"/>
      <c r="C87" s="28"/>
      <c r="D87" s="28"/>
      <c r="E87" s="28"/>
      <c r="F87" s="28"/>
      <c r="G87" s="158"/>
      <c r="H87" s="28"/>
      <c r="I87" s="28"/>
      <c r="J87" s="28"/>
      <c r="K87" s="28"/>
      <c r="L87" s="28"/>
      <c r="M87" s="28"/>
      <c r="N87" s="28"/>
      <c r="O87" s="28"/>
      <c r="P87" s="28"/>
      <c r="Q87" s="28"/>
      <c r="R87" s="28"/>
      <c r="S87" s="28"/>
      <c r="T87" s="28"/>
      <c r="U87" s="28"/>
      <c r="V87" s="28"/>
      <c r="W87" s="35"/>
      <c r="X87" s="32"/>
    </row>
    <row r="88" spans="1:24" ht="15.75" customHeight="1" x14ac:dyDescent="0.3">
      <c r="A88" s="3"/>
      <c r="B88" s="3"/>
      <c r="C88" s="28"/>
      <c r="D88" s="28"/>
      <c r="E88" s="28"/>
      <c r="F88" s="28"/>
      <c r="G88" s="158"/>
      <c r="H88" s="28"/>
      <c r="I88" s="28"/>
      <c r="J88" s="28"/>
      <c r="K88" s="28"/>
      <c r="L88" s="28"/>
      <c r="M88" s="28"/>
      <c r="N88" s="28"/>
      <c r="O88" s="28"/>
      <c r="P88" s="28"/>
      <c r="Q88" s="28"/>
      <c r="R88" s="28"/>
      <c r="S88" s="28"/>
      <c r="T88" s="28"/>
      <c r="U88" s="28"/>
      <c r="V88" s="28"/>
      <c r="W88" s="35"/>
      <c r="X88" s="32"/>
    </row>
    <row r="89" spans="1:24" ht="15.75" customHeight="1" x14ac:dyDescent="0.3">
      <c r="A89" s="3"/>
      <c r="B89" s="3"/>
      <c r="C89" s="28"/>
      <c r="D89" s="28"/>
      <c r="E89" s="28"/>
      <c r="F89" s="28"/>
      <c r="G89" s="158"/>
      <c r="H89" s="28"/>
      <c r="I89" s="28"/>
      <c r="J89" s="28"/>
      <c r="K89" s="28"/>
      <c r="L89" s="28"/>
      <c r="M89" s="28"/>
      <c r="N89" s="28"/>
      <c r="O89" s="28"/>
      <c r="P89" s="28"/>
      <c r="Q89" s="28"/>
      <c r="R89" s="28"/>
      <c r="S89" s="28"/>
      <c r="T89" s="28"/>
      <c r="U89" s="28"/>
      <c r="V89" s="28"/>
      <c r="W89" s="35"/>
      <c r="X89" s="32"/>
    </row>
    <row r="90" spans="1:24" ht="15.75" customHeight="1" x14ac:dyDescent="0.3">
      <c r="A90" s="3"/>
      <c r="B90" s="3"/>
      <c r="C90" s="28"/>
      <c r="D90" s="28"/>
      <c r="E90" s="28"/>
      <c r="F90" s="28"/>
      <c r="G90" s="158"/>
      <c r="H90" s="28"/>
      <c r="I90" s="28"/>
      <c r="J90" s="28"/>
      <c r="K90" s="28"/>
      <c r="L90" s="28"/>
      <c r="M90" s="28"/>
      <c r="N90" s="28"/>
      <c r="O90" s="28"/>
      <c r="P90" s="28"/>
      <c r="Q90" s="28"/>
      <c r="R90" s="28"/>
      <c r="S90" s="28"/>
      <c r="T90" s="28"/>
      <c r="U90" s="28"/>
      <c r="V90" s="28"/>
      <c r="W90" s="35"/>
      <c r="X90" s="32"/>
    </row>
    <row r="91" spans="1:24" ht="15.75" customHeight="1" x14ac:dyDescent="0.3">
      <c r="A91" s="3"/>
      <c r="B91" s="3"/>
      <c r="C91" s="28"/>
      <c r="D91" s="28"/>
      <c r="E91" s="28"/>
      <c r="F91" s="28"/>
      <c r="G91" s="158"/>
      <c r="H91" s="28"/>
      <c r="I91" s="28"/>
      <c r="J91" s="28"/>
      <c r="K91" s="28"/>
      <c r="L91" s="28"/>
      <c r="M91" s="28"/>
      <c r="N91" s="28"/>
      <c r="O91" s="28"/>
      <c r="P91" s="28"/>
      <c r="Q91" s="28"/>
      <c r="R91" s="28"/>
      <c r="S91" s="28"/>
      <c r="T91" s="28"/>
      <c r="U91" s="28"/>
      <c r="V91" s="28"/>
      <c r="W91" s="35"/>
      <c r="X91" s="32"/>
    </row>
    <row r="92" spans="1:24" ht="15.75" customHeight="1" x14ac:dyDescent="0.3">
      <c r="A92" s="3"/>
      <c r="B92" s="3"/>
      <c r="C92" s="28"/>
      <c r="D92" s="28"/>
      <c r="E92" s="28"/>
      <c r="F92" s="28"/>
      <c r="G92" s="158"/>
      <c r="H92" s="28"/>
      <c r="I92" s="28"/>
      <c r="J92" s="28"/>
      <c r="K92" s="28"/>
      <c r="L92" s="28"/>
      <c r="M92" s="28"/>
      <c r="N92" s="28"/>
      <c r="O92" s="28"/>
      <c r="P92" s="28"/>
      <c r="Q92" s="28"/>
      <c r="R92" s="28"/>
      <c r="S92" s="28"/>
      <c r="T92" s="28"/>
      <c r="U92" s="28"/>
      <c r="V92" s="28"/>
      <c r="W92" s="35"/>
      <c r="X92" s="32"/>
    </row>
    <row r="93" spans="1:24" ht="15.75" customHeight="1" x14ac:dyDescent="0.3">
      <c r="A93" s="3"/>
      <c r="B93" s="3"/>
      <c r="C93" s="28"/>
      <c r="D93" s="28"/>
      <c r="E93" s="28"/>
      <c r="F93" s="28"/>
      <c r="G93" s="158"/>
      <c r="H93" s="28"/>
      <c r="I93" s="28"/>
      <c r="J93" s="28"/>
      <c r="K93" s="28"/>
      <c r="L93" s="28"/>
      <c r="M93" s="28"/>
      <c r="N93" s="28"/>
      <c r="O93" s="28"/>
      <c r="P93" s="28"/>
      <c r="Q93" s="28"/>
      <c r="R93" s="28"/>
      <c r="S93" s="28"/>
      <c r="T93" s="28"/>
      <c r="U93" s="28"/>
      <c r="V93" s="28"/>
      <c r="W93" s="35"/>
      <c r="X93" s="32"/>
    </row>
    <row r="94" spans="1:24" ht="15.75" customHeight="1" x14ac:dyDescent="0.3">
      <c r="A94" s="3"/>
      <c r="B94" s="3"/>
      <c r="C94" s="28"/>
      <c r="D94" s="28"/>
      <c r="E94" s="28"/>
      <c r="F94" s="28"/>
      <c r="G94" s="158"/>
      <c r="H94" s="28"/>
      <c r="I94" s="28"/>
      <c r="J94" s="28"/>
      <c r="K94" s="28"/>
      <c r="L94" s="28"/>
      <c r="M94" s="28"/>
      <c r="N94" s="28"/>
      <c r="O94" s="28"/>
      <c r="P94" s="28"/>
      <c r="Q94" s="28"/>
      <c r="R94" s="28"/>
      <c r="S94" s="28"/>
      <c r="T94" s="28"/>
      <c r="U94" s="28"/>
      <c r="V94" s="28"/>
      <c r="W94" s="35"/>
      <c r="X94" s="32"/>
    </row>
    <row r="95" spans="1:24" ht="15.75" customHeight="1" x14ac:dyDescent="0.3">
      <c r="A95" s="3"/>
      <c r="B95" s="3"/>
      <c r="C95" s="28"/>
      <c r="D95" s="28"/>
      <c r="E95" s="28"/>
      <c r="F95" s="28"/>
      <c r="G95" s="158"/>
      <c r="H95" s="28"/>
      <c r="I95" s="28"/>
      <c r="J95" s="28"/>
      <c r="K95" s="28"/>
      <c r="L95" s="28"/>
      <c r="M95" s="28"/>
      <c r="N95" s="28"/>
      <c r="O95" s="28"/>
      <c r="P95" s="28"/>
      <c r="Q95" s="28"/>
      <c r="R95" s="28"/>
      <c r="S95" s="28"/>
      <c r="T95" s="28"/>
      <c r="U95" s="28"/>
      <c r="V95" s="28"/>
      <c r="W95" s="35"/>
      <c r="X95" s="32"/>
    </row>
    <row r="96" spans="1:24" ht="15.75" customHeight="1" x14ac:dyDescent="0.3">
      <c r="A96" s="3"/>
      <c r="B96" s="3"/>
      <c r="C96" s="28"/>
      <c r="D96" s="28"/>
      <c r="E96" s="28"/>
      <c r="F96" s="28"/>
      <c r="G96" s="158"/>
      <c r="H96" s="28"/>
      <c r="I96" s="28"/>
      <c r="J96" s="28"/>
      <c r="K96" s="28"/>
      <c r="L96" s="28"/>
      <c r="M96" s="28"/>
      <c r="N96" s="28"/>
      <c r="O96" s="28"/>
      <c r="P96" s="28"/>
      <c r="Q96" s="28"/>
      <c r="R96" s="28"/>
      <c r="S96" s="28"/>
      <c r="T96" s="28"/>
      <c r="U96" s="28"/>
      <c r="V96" s="28"/>
      <c r="W96" s="35"/>
      <c r="X96" s="32"/>
    </row>
    <row r="97" spans="1:24" ht="15.75" customHeight="1" x14ac:dyDescent="0.3">
      <c r="A97" s="3"/>
      <c r="B97" s="3"/>
      <c r="C97" s="28"/>
      <c r="D97" s="28"/>
      <c r="E97" s="28"/>
      <c r="F97" s="28"/>
      <c r="G97" s="158"/>
      <c r="H97" s="28"/>
      <c r="I97" s="28"/>
      <c r="J97" s="28"/>
      <c r="K97" s="28"/>
      <c r="L97" s="28"/>
      <c r="M97" s="28"/>
      <c r="N97" s="28"/>
      <c r="O97" s="28"/>
      <c r="P97" s="28"/>
      <c r="Q97" s="28"/>
      <c r="R97" s="28"/>
      <c r="S97" s="28"/>
      <c r="T97" s="28"/>
      <c r="U97" s="28"/>
      <c r="V97" s="28"/>
      <c r="W97" s="35"/>
      <c r="X97" s="32"/>
    </row>
    <row r="98" spans="1:24" ht="15.75" customHeight="1" x14ac:dyDescent="0.3">
      <c r="A98" s="3"/>
      <c r="B98" s="3"/>
      <c r="C98" s="28"/>
      <c r="D98" s="28"/>
      <c r="E98" s="28"/>
      <c r="F98" s="28"/>
      <c r="G98" s="158"/>
      <c r="H98" s="28"/>
      <c r="I98" s="28"/>
      <c r="J98" s="28"/>
      <c r="K98" s="28"/>
      <c r="L98" s="28"/>
      <c r="M98" s="28"/>
      <c r="N98" s="28"/>
      <c r="O98" s="28"/>
      <c r="P98" s="28"/>
      <c r="Q98" s="28"/>
      <c r="R98" s="28"/>
      <c r="S98" s="28"/>
      <c r="T98" s="28"/>
      <c r="U98" s="28"/>
      <c r="V98" s="28"/>
      <c r="W98" s="35"/>
      <c r="X98" s="32"/>
    </row>
    <row r="99" spans="1:24" ht="15.75" customHeight="1" x14ac:dyDescent="0.3">
      <c r="A99" s="3"/>
      <c r="B99" s="3"/>
      <c r="C99" s="28"/>
      <c r="D99" s="28"/>
      <c r="E99" s="28"/>
      <c r="F99" s="28"/>
      <c r="G99" s="158"/>
      <c r="H99" s="28"/>
      <c r="I99" s="28"/>
      <c r="J99" s="28"/>
      <c r="K99" s="28"/>
      <c r="L99" s="28"/>
      <c r="M99" s="28"/>
      <c r="N99" s="28"/>
      <c r="O99" s="28"/>
      <c r="P99" s="28"/>
      <c r="Q99" s="28"/>
      <c r="R99" s="28"/>
      <c r="S99" s="28"/>
      <c r="T99" s="28"/>
      <c r="U99" s="28"/>
      <c r="V99" s="28"/>
      <c r="W99" s="35"/>
      <c r="X99" s="32"/>
    </row>
    <row r="100" spans="1:24" ht="15.75" customHeight="1" x14ac:dyDescent="0.3">
      <c r="A100" s="3"/>
      <c r="B100" s="3"/>
      <c r="C100" s="28"/>
      <c r="D100" s="28"/>
      <c r="E100" s="28"/>
      <c r="F100" s="28"/>
      <c r="G100" s="158"/>
      <c r="H100" s="28"/>
      <c r="I100" s="28"/>
      <c r="J100" s="28"/>
      <c r="K100" s="28"/>
      <c r="L100" s="28"/>
      <c r="M100" s="28"/>
      <c r="N100" s="28"/>
      <c r="O100" s="28"/>
      <c r="P100" s="28"/>
      <c r="Q100" s="28"/>
      <c r="R100" s="28"/>
      <c r="S100" s="28"/>
      <c r="T100" s="28"/>
      <c r="U100" s="28"/>
      <c r="V100" s="28"/>
      <c r="W100" s="35"/>
      <c r="X100" s="32"/>
    </row>
    <row r="101" spans="1:24" ht="15.75" customHeight="1" x14ac:dyDescent="0.3">
      <c r="A101" s="3"/>
      <c r="B101" s="3"/>
      <c r="C101" s="28"/>
      <c r="D101" s="28"/>
      <c r="E101" s="28"/>
      <c r="F101" s="28"/>
      <c r="G101" s="158"/>
      <c r="H101" s="28"/>
      <c r="I101" s="28"/>
      <c r="J101" s="28"/>
      <c r="K101" s="28"/>
      <c r="L101" s="28"/>
      <c r="M101" s="28"/>
      <c r="N101" s="28"/>
      <c r="O101" s="28"/>
      <c r="P101" s="28"/>
      <c r="Q101" s="28"/>
      <c r="R101" s="28"/>
      <c r="S101" s="28"/>
      <c r="T101" s="28"/>
      <c r="U101" s="28"/>
      <c r="V101" s="28"/>
      <c r="W101" s="35"/>
      <c r="X101" s="32"/>
    </row>
    <row r="102" spans="1:24" ht="15.75" customHeight="1" x14ac:dyDescent="0.3">
      <c r="A102" s="3"/>
      <c r="B102" s="3"/>
      <c r="C102" s="28"/>
      <c r="D102" s="28"/>
      <c r="E102" s="28"/>
      <c r="F102" s="28"/>
      <c r="G102" s="158"/>
      <c r="H102" s="28"/>
      <c r="I102" s="28"/>
      <c r="J102" s="28"/>
      <c r="K102" s="28"/>
      <c r="L102" s="28"/>
      <c r="M102" s="28"/>
      <c r="N102" s="28"/>
      <c r="O102" s="28"/>
      <c r="P102" s="28"/>
      <c r="Q102" s="28"/>
      <c r="R102" s="28"/>
      <c r="S102" s="28"/>
      <c r="T102" s="28"/>
      <c r="U102" s="28"/>
      <c r="V102" s="28"/>
      <c r="W102" s="35"/>
      <c r="X102" s="32"/>
    </row>
    <row r="103" spans="1:24" ht="15.75" customHeight="1" x14ac:dyDescent="0.3">
      <c r="A103" s="3"/>
      <c r="B103" s="3"/>
      <c r="C103" s="28"/>
      <c r="D103" s="28"/>
      <c r="E103" s="28"/>
      <c r="F103" s="28"/>
      <c r="G103" s="158"/>
      <c r="H103" s="28"/>
      <c r="I103" s="28"/>
      <c r="J103" s="28"/>
      <c r="K103" s="28"/>
      <c r="L103" s="28"/>
      <c r="M103" s="28"/>
      <c r="N103" s="28"/>
      <c r="O103" s="28"/>
      <c r="P103" s="28"/>
      <c r="Q103" s="28"/>
      <c r="R103" s="28"/>
      <c r="S103" s="28"/>
      <c r="T103" s="28"/>
      <c r="U103" s="28"/>
      <c r="V103" s="28"/>
      <c r="W103" s="35"/>
      <c r="X103" s="32"/>
    </row>
    <row r="104" spans="1:24" ht="15.75" customHeight="1" x14ac:dyDescent="0.3">
      <c r="A104" s="3"/>
      <c r="B104" s="3"/>
      <c r="C104" s="28"/>
      <c r="D104" s="28"/>
      <c r="E104" s="28"/>
      <c r="F104" s="28"/>
      <c r="G104" s="158"/>
      <c r="H104" s="28"/>
      <c r="I104" s="28"/>
      <c r="J104" s="28"/>
      <c r="K104" s="28"/>
      <c r="L104" s="28"/>
      <c r="M104" s="28"/>
      <c r="N104" s="28"/>
      <c r="O104" s="28"/>
      <c r="P104" s="28"/>
      <c r="Q104" s="28"/>
      <c r="R104" s="28"/>
      <c r="S104" s="28"/>
      <c r="T104" s="28"/>
      <c r="U104" s="28"/>
      <c r="V104" s="28"/>
      <c r="W104" s="35"/>
      <c r="X104" s="32"/>
    </row>
    <row r="105" spans="1:24" ht="15.75" customHeight="1" x14ac:dyDescent="0.3">
      <c r="A105" s="3"/>
      <c r="B105" s="3"/>
      <c r="C105" s="28"/>
      <c r="D105" s="28"/>
      <c r="E105" s="28"/>
      <c r="F105" s="28"/>
      <c r="G105" s="158"/>
      <c r="H105" s="28"/>
      <c r="I105" s="28"/>
      <c r="J105" s="28"/>
      <c r="K105" s="28"/>
      <c r="L105" s="28"/>
      <c r="M105" s="28"/>
      <c r="N105" s="28"/>
      <c r="O105" s="28"/>
      <c r="P105" s="28"/>
      <c r="Q105" s="28"/>
      <c r="R105" s="28"/>
      <c r="S105" s="28"/>
      <c r="T105" s="28"/>
      <c r="U105" s="28"/>
      <c r="V105" s="28"/>
      <c r="W105" s="35"/>
      <c r="X105" s="32"/>
    </row>
    <row r="106" spans="1:24" ht="15.75" customHeight="1" x14ac:dyDescent="0.3">
      <c r="A106" s="3"/>
      <c r="B106" s="3"/>
      <c r="C106" s="28"/>
      <c r="D106" s="28"/>
      <c r="E106" s="28"/>
      <c r="F106" s="28"/>
      <c r="G106" s="158"/>
      <c r="H106" s="28"/>
      <c r="I106" s="28"/>
      <c r="J106" s="28"/>
      <c r="K106" s="28"/>
      <c r="L106" s="28"/>
      <c r="M106" s="28"/>
      <c r="N106" s="28"/>
      <c r="O106" s="28"/>
      <c r="P106" s="28"/>
      <c r="Q106" s="28"/>
      <c r="R106" s="28"/>
      <c r="S106" s="28"/>
      <c r="T106" s="28"/>
      <c r="U106" s="28"/>
      <c r="V106" s="28"/>
      <c r="W106" s="35"/>
      <c r="X106" s="32"/>
    </row>
    <row r="107" spans="1:24" ht="15.75" customHeight="1" x14ac:dyDescent="0.3">
      <c r="A107" s="3"/>
      <c r="B107" s="3"/>
      <c r="C107" s="28"/>
      <c r="D107" s="28"/>
      <c r="E107" s="28"/>
      <c r="F107" s="28"/>
      <c r="G107" s="158"/>
      <c r="H107" s="28"/>
      <c r="I107" s="28"/>
      <c r="J107" s="28"/>
      <c r="K107" s="28"/>
      <c r="L107" s="28"/>
      <c r="M107" s="28"/>
      <c r="N107" s="28"/>
      <c r="O107" s="28"/>
      <c r="P107" s="28"/>
      <c r="Q107" s="28"/>
      <c r="R107" s="28"/>
      <c r="S107" s="28"/>
      <c r="T107" s="28"/>
      <c r="U107" s="28"/>
      <c r="V107" s="28"/>
      <c r="W107" s="35"/>
      <c r="X107" s="32"/>
    </row>
    <row r="108" spans="1:24" ht="15.75" customHeight="1" x14ac:dyDescent="0.3">
      <c r="A108" s="3"/>
      <c r="B108" s="3"/>
      <c r="C108" s="28"/>
      <c r="D108" s="28"/>
      <c r="E108" s="28"/>
      <c r="F108" s="28"/>
      <c r="G108" s="158"/>
      <c r="H108" s="28"/>
      <c r="I108" s="28"/>
      <c r="J108" s="28"/>
      <c r="K108" s="28"/>
      <c r="L108" s="28"/>
      <c r="M108" s="28"/>
      <c r="N108" s="28"/>
      <c r="O108" s="28"/>
      <c r="P108" s="28"/>
      <c r="Q108" s="28"/>
      <c r="R108" s="28"/>
      <c r="S108" s="28"/>
      <c r="T108" s="28"/>
      <c r="U108" s="28"/>
      <c r="V108" s="28"/>
      <c r="W108" s="35"/>
      <c r="X108" s="32"/>
    </row>
    <row r="109" spans="1:24" ht="15.75" customHeight="1" x14ac:dyDescent="0.3">
      <c r="A109" s="3"/>
      <c r="B109" s="3"/>
      <c r="C109" s="28"/>
      <c r="D109" s="28"/>
      <c r="E109" s="28"/>
      <c r="F109" s="28"/>
      <c r="G109" s="158"/>
      <c r="H109" s="28"/>
      <c r="I109" s="28"/>
      <c r="J109" s="28"/>
      <c r="K109" s="28"/>
      <c r="L109" s="28"/>
      <c r="M109" s="28"/>
      <c r="N109" s="28"/>
      <c r="O109" s="28"/>
      <c r="P109" s="28"/>
      <c r="Q109" s="28"/>
      <c r="R109" s="28"/>
      <c r="S109" s="28"/>
      <c r="T109" s="28"/>
      <c r="U109" s="28"/>
      <c r="V109" s="28"/>
      <c r="W109" s="35"/>
      <c r="X109" s="32"/>
    </row>
    <row r="110" spans="1:24" ht="15.75" customHeight="1" x14ac:dyDescent="0.3">
      <c r="A110" s="3"/>
      <c r="B110" s="3"/>
      <c r="C110" s="28"/>
      <c r="D110" s="28"/>
      <c r="E110" s="28"/>
      <c r="F110" s="28"/>
      <c r="G110" s="158"/>
      <c r="H110" s="28"/>
      <c r="I110" s="28"/>
      <c r="J110" s="28"/>
      <c r="K110" s="28"/>
      <c r="L110" s="28"/>
      <c r="M110" s="28"/>
      <c r="N110" s="28"/>
      <c r="O110" s="28"/>
      <c r="P110" s="28"/>
      <c r="Q110" s="28"/>
      <c r="R110" s="28"/>
      <c r="S110" s="28"/>
      <c r="T110" s="28"/>
      <c r="U110" s="28"/>
      <c r="V110" s="28"/>
      <c r="W110" s="35"/>
      <c r="X110" s="32"/>
    </row>
    <row r="111" spans="1:24" ht="15.75" customHeight="1" x14ac:dyDescent="0.3">
      <c r="A111" s="3"/>
      <c r="B111" s="3"/>
      <c r="C111" s="28"/>
      <c r="D111" s="28"/>
      <c r="E111" s="28"/>
      <c r="F111" s="28"/>
      <c r="G111" s="158"/>
      <c r="H111" s="28"/>
      <c r="I111" s="28"/>
      <c r="J111" s="28"/>
      <c r="K111" s="28"/>
      <c r="L111" s="28"/>
      <c r="M111" s="28"/>
      <c r="N111" s="28"/>
      <c r="O111" s="28"/>
      <c r="P111" s="28"/>
      <c r="Q111" s="28"/>
      <c r="R111" s="28"/>
      <c r="S111" s="28"/>
      <c r="T111" s="28"/>
      <c r="U111" s="28"/>
      <c r="V111" s="28"/>
      <c r="W111" s="35"/>
      <c r="X111" s="32"/>
    </row>
    <row r="112" spans="1:24" ht="15.75" customHeight="1" x14ac:dyDescent="0.3">
      <c r="A112" s="3"/>
      <c r="B112" s="3"/>
      <c r="C112" s="28"/>
      <c r="D112" s="28"/>
      <c r="E112" s="28"/>
      <c r="F112" s="28"/>
      <c r="G112" s="158"/>
      <c r="H112" s="28"/>
      <c r="I112" s="28"/>
      <c r="J112" s="28"/>
      <c r="K112" s="28"/>
      <c r="L112" s="28"/>
      <c r="M112" s="28"/>
      <c r="N112" s="28"/>
      <c r="O112" s="28"/>
      <c r="P112" s="28"/>
      <c r="Q112" s="28"/>
      <c r="R112" s="28"/>
      <c r="S112" s="28"/>
      <c r="T112" s="28"/>
      <c r="U112" s="28"/>
      <c r="V112" s="28"/>
      <c r="W112" s="35"/>
      <c r="X112" s="32"/>
    </row>
    <row r="113" spans="1:24" ht="15.75" customHeight="1" x14ac:dyDescent="0.3">
      <c r="A113" s="3"/>
      <c r="B113" s="3"/>
      <c r="C113" s="28"/>
      <c r="D113" s="28"/>
      <c r="E113" s="28"/>
      <c r="F113" s="28"/>
      <c r="G113" s="158"/>
      <c r="H113" s="28"/>
      <c r="I113" s="28"/>
      <c r="J113" s="28"/>
      <c r="K113" s="28"/>
      <c r="L113" s="28"/>
      <c r="M113" s="28"/>
      <c r="N113" s="28"/>
      <c r="O113" s="28"/>
      <c r="P113" s="28"/>
      <c r="Q113" s="28"/>
      <c r="R113" s="28"/>
      <c r="S113" s="28"/>
      <c r="T113" s="28"/>
      <c r="U113" s="28"/>
      <c r="V113" s="28"/>
      <c r="W113" s="35"/>
      <c r="X113" s="32"/>
    </row>
    <row r="114" spans="1:24" ht="15.75" customHeight="1" x14ac:dyDescent="0.3">
      <c r="A114" s="3"/>
      <c r="B114" s="3"/>
      <c r="C114" s="28"/>
      <c r="D114" s="28"/>
      <c r="E114" s="28"/>
      <c r="F114" s="28"/>
      <c r="G114" s="158"/>
      <c r="H114" s="28"/>
      <c r="I114" s="28"/>
      <c r="J114" s="28"/>
      <c r="K114" s="28"/>
      <c r="L114" s="28"/>
      <c r="M114" s="28"/>
      <c r="N114" s="28"/>
      <c r="O114" s="28"/>
      <c r="P114" s="28"/>
      <c r="Q114" s="28"/>
      <c r="R114" s="28"/>
      <c r="S114" s="28"/>
      <c r="T114" s="28"/>
      <c r="U114" s="28"/>
      <c r="V114" s="28"/>
      <c r="W114" s="35"/>
      <c r="X114" s="32"/>
    </row>
    <row r="115" spans="1:24" ht="15.75" customHeight="1" x14ac:dyDescent="0.3">
      <c r="A115" s="3"/>
      <c r="B115" s="3"/>
      <c r="C115" s="28"/>
      <c r="D115" s="28"/>
      <c r="E115" s="28"/>
      <c r="F115" s="28"/>
      <c r="G115" s="158"/>
      <c r="H115" s="28"/>
      <c r="I115" s="28"/>
      <c r="J115" s="28"/>
      <c r="K115" s="28"/>
      <c r="L115" s="28"/>
      <c r="M115" s="28"/>
      <c r="N115" s="28"/>
      <c r="O115" s="28"/>
      <c r="P115" s="28"/>
      <c r="Q115" s="28"/>
      <c r="R115" s="28"/>
      <c r="S115" s="28"/>
      <c r="T115" s="28"/>
      <c r="U115" s="28"/>
      <c r="V115" s="28"/>
      <c r="W115" s="35"/>
      <c r="X115" s="32"/>
    </row>
    <row r="116" spans="1:24" ht="15.75" customHeight="1" x14ac:dyDescent="0.3">
      <c r="A116" s="3"/>
      <c r="B116" s="3"/>
      <c r="C116" s="28"/>
      <c r="D116" s="28"/>
      <c r="E116" s="28"/>
      <c r="F116" s="28"/>
      <c r="G116" s="158"/>
      <c r="H116" s="28"/>
      <c r="I116" s="28"/>
      <c r="J116" s="28"/>
      <c r="K116" s="28"/>
      <c r="L116" s="28"/>
      <c r="M116" s="28"/>
      <c r="N116" s="28"/>
      <c r="O116" s="28"/>
      <c r="P116" s="28"/>
      <c r="Q116" s="28"/>
      <c r="R116" s="28"/>
      <c r="S116" s="28"/>
      <c r="T116" s="28"/>
      <c r="U116" s="28"/>
      <c r="V116" s="28"/>
      <c r="W116" s="35"/>
      <c r="X116" s="32"/>
    </row>
    <row r="117" spans="1:24" ht="15.75" customHeight="1" x14ac:dyDescent="0.3">
      <c r="A117" s="3"/>
      <c r="B117" s="3"/>
      <c r="C117" s="28"/>
      <c r="D117" s="28"/>
      <c r="E117" s="28"/>
      <c r="F117" s="28"/>
      <c r="G117" s="158"/>
      <c r="H117" s="28"/>
      <c r="I117" s="28"/>
      <c r="J117" s="28"/>
      <c r="K117" s="28"/>
      <c r="L117" s="28"/>
      <c r="M117" s="28"/>
      <c r="N117" s="28"/>
      <c r="O117" s="28"/>
      <c r="P117" s="28"/>
      <c r="Q117" s="28"/>
      <c r="R117" s="28"/>
      <c r="S117" s="28"/>
      <c r="T117" s="28"/>
      <c r="U117" s="28"/>
      <c r="V117" s="28"/>
      <c r="W117" s="35"/>
      <c r="X117" s="32"/>
    </row>
    <row r="118" spans="1:24" ht="15.75" customHeight="1" x14ac:dyDescent="0.3">
      <c r="A118" s="3"/>
      <c r="B118" s="3"/>
      <c r="C118" s="28"/>
      <c r="D118" s="28"/>
      <c r="E118" s="28"/>
      <c r="F118" s="28"/>
      <c r="G118" s="158"/>
      <c r="H118" s="28"/>
      <c r="I118" s="28"/>
      <c r="J118" s="28"/>
      <c r="K118" s="28"/>
      <c r="L118" s="28"/>
      <c r="M118" s="28"/>
      <c r="N118" s="28"/>
      <c r="O118" s="28"/>
      <c r="P118" s="28"/>
      <c r="Q118" s="28"/>
      <c r="R118" s="28"/>
      <c r="S118" s="28"/>
      <c r="T118" s="28"/>
      <c r="U118" s="28"/>
      <c r="V118" s="28"/>
      <c r="W118" s="35"/>
      <c r="X118" s="32"/>
    </row>
    <row r="119" spans="1:24" ht="15.75" customHeight="1" x14ac:dyDescent="0.3">
      <c r="A119" s="3"/>
      <c r="B119" s="3"/>
      <c r="C119" s="28"/>
      <c r="D119" s="28"/>
      <c r="E119" s="28"/>
      <c r="F119" s="28"/>
      <c r="G119" s="158"/>
      <c r="H119" s="28"/>
      <c r="I119" s="28"/>
      <c r="J119" s="28"/>
      <c r="K119" s="28"/>
      <c r="L119" s="28"/>
      <c r="M119" s="28"/>
      <c r="N119" s="28"/>
      <c r="O119" s="28"/>
      <c r="P119" s="28"/>
      <c r="Q119" s="28"/>
      <c r="R119" s="28"/>
      <c r="S119" s="28"/>
      <c r="T119" s="28"/>
      <c r="U119" s="28"/>
      <c r="V119" s="28"/>
      <c r="W119" s="35"/>
      <c r="X119" s="32"/>
    </row>
    <row r="120" spans="1:24" ht="15.75" customHeight="1" x14ac:dyDescent="0.3">
      <c r="A120" s="3"/>
      <c r="B120" s="3"/>
      <c r="C120" s="28"/>
      <c r="D120" s="28"/>
      <c r="E120" s="28"/>
      <c r="F120" s="28"/>
      <c r="G120" s="158"/>
      <c r="H120" s="28"/>
      <c r="I120" s="28"/>
      <c r="J120" s="28"/>
      <c r="K120" s="28"/>
      <c r="L120" s="28"/>
      <c r="M120" s="28"/>
      <c r="N120" s="28"/>
      <c r="O120" s="28"/>
      <c r="P120" s="28"/>
      <c r="Q120" s="28"/>
      <c r="R120" s="28"/>
      <c r="S120" s="28"/>
      <c r="T120" s="28"/>
      <c r="U120" s="28"/>
      <c r="V120" s="28"/>
      <c r="W120" s="35"/>
      <c r="X120" s="32"/>
    </row>
    <row r="121" spans="1:24" ht="15.75" customHeight="1" x14ac:dyDescent="0.3">
      <c r="A121" s="3"/>
      <c r="B121" s="3"/>
      <c r="C121" s="28"/>
      <c r="D121" s="28"/>
      <c r="E121" s="28"/>
      <c r="F121" s="28"/>
      <c r="G121" s="158"/>
      <c r="H121" s="28"/>
      <c r="I121" s="28"/>
      <c r="J121" s="28"/>
      <c r="K121" s="28"/>
      <c r="L121" s="28"/>
      <c r="M121" s="28"/>
      <c r="N121" s="28"/>
      <c r="O121" s="28"/>
      <c r="P121" s="28"/>
      <c r="Q121" s="28"/>
      <c r="R121" s="28"/>
      <c r="S121" s="28"/>
      <c r="T121" s="28"/>
      <c r="U121" s="28"/>
      <c r="V121" s="28"/>
      <c r="W121" s="35"/>
      <c r="X121" s="32"/>
    </row>
    <row r="122" spans="1:24" ht="15.75" customHeight="1" x14ac:dyDescent="0.3">
      <c r="A122" s="3"/>
      <c r="B122" s="3"/>
      <c r="C122" s="28"/>
      <c r="D122" s="28"/>
      <c r="E122" s="28"/>
      <c r="F122" s="28"/>
      <c r="G122" s="158"/>
      <c r="H122" s="28"/>
      <c r="I122" s="28"/>
      <c r="J122" s="28"/>
      <c r="K122" s="28"/>
      <c r="L122" s="28"/>
      <c r="M122" s="28"/>
      <c r="N122" s="28"/>
      <c r="O122" s="28"/>
      <c r="P122" s="28"/>
      <c r="Q122" s="28"/>
      <c r="R122" s="28"/>
      <c r="S122" s="28"/>
      <c r="T122" s="28"/>
      <c r="U122" s="28"/>
      <c r="V122" s="28"/>
      <c r="W122" s="35"/>
      <c r="X122" s="32"/>
    </row>
    <row r="123" spans="1:24" ht="15.75" customHeight="1" x14ac:dyDescent="0.3">
      <c r="A123" s="3"/>
      <c r="B123" s="3"/>
      <c r="C123" s="28"/>
      <c r="D123" s="28"/>
      <c r="E123" s="28"/>
      <c r="F123" s="28"/>
      <c r="G123" s="158"/>
      <c r="H123" s="28"/>
      <c r="I123" s="28"/>
      <c r="J123" s="28"/>
      <c r="K123" s="28"/>
      <c r="L123" s="28"/>
      <c r="M123" s="28"/>
      <c r="N123" s="28"/>
      <c r="O123" s="28"/>
      <c r="P123" s="28"/>
      <c r="Q123" s="28"/>
      <c r="R123" s="28"/>
      <c r="S123" s="28"/>
      <c r="T123" s="28"/>
      <c r="U123" s="28"/>
      <c r="V123" s="28"/>
      <c r="W123" s="35"/>
      <c r="X123" s="32"/>
    </row>
    <row r="124" spans="1:24" ht="15.75" customHeight="1" x14ac:dyDescent="0.3">
      <c r="A124" s="3"/>
      <c r="B124" s="3"/>
      <c r="C124" s="28"/>
      <c r="D124" s="28"/>
      <c r="E124" s="28"/>
      <c r="F124" s="28"/>
      <c r="G124" s="158"/>
      <c r="H124" s="28"/>
      <c r="I124" s="28"/>
      <c r="J124" s="28"/>
      <c r="K124" s="28"/>
      <c r="L124" s="28"/>
      <c r="M124" s="28"/>
      <c r="N124" s="28"/>
      <c r="O124" s="28"/>
      <c r="P124" s="28"/>
      <c r="Q124" s="28"/>
      <c r="R124" s="28"/>
      <c r="S124" s="28"/>
      <c r="T124" s="28"/>
      <c r="U124" s="28"/>
      <c r="V124" s="28"/>
      <c r="W124" s="35"/>
      <c r="X124" s="32"/>
    </row>
    <row r="125" spans="1:24" ht="15.75" customHeight="1" x14ac:dyDescent="0.3">
      <c r="A125" s="3"/>
      <c r="B125" s="3"/>
      <c r="C125" s="28"/>
      <c r="D125" s="28"/>
      <c r="E125" s="28"/>
      <c r="F125" s="28"/>
      <c r="G125" s="158"/>
      <c r="H125" s="28"/>
      <c r="I125" s="28"/>
      <c r="J125" s="28"/>
      <c r="K125" s="28"/>
      <c r="L125" s="28"/>
      <c r="M125" s="28"/>
      <c r="N125" s="28"/>
      <c r="O125" s="28"/>
      <c r="P125" s="28"/>
      <c r="Q125" s="28"/>
      <c r="R125" s="28"/>
      <c r="S125" s="28"/>
      <c r="T125" s="28"/>
      <c r="U125" s="28"/>
      <c r="V125" s="28"/>
      <c r="W125" s="35"/>
      <c r="X125" s="32"/>
    </row>
    <row r="126" spans="1:24" ht="15.75" customHeight="1" x14ac:dyDescent="0.3">
      <c r="A126" s="3"/>
      <c r="B126" s="3"/>
      <c r="C126" s="28"/>
      <c r="D126" s="28"/>
      <c r="E126" s="28"/>
      <c r="F126" s="28"/>
      <c r="G126" s="158"/>
      <c r="H126" s="28"/>
      <c r="I126" s="28"/>
      <c r="J126" s="28"/>
      <c r="K126" s="28"/>
      <c r="L126" s="28"/>
      <c r="M126" s="28"/>
      <c r="N126" s="28"/>
      <c r="O126" s="28"/>
      <c r="P126" s="28"/>
      <c r="Q126" s="28"/>
      <c r="R126" s="28"/>
      <c r="S126" s="28"/>
      <c r="T126" s="28"/>
      <c r="U126" s="28"/>
      <c r="V126" s="28"/>
      <c r="W126" s="35"/>
      <c r="X126" s="32"/>
    </row>
    <row r="127" spans="1:24" ht="15.75" customHeight="1" x14ac:dyDescent="0.3">
      <c r="A127" s="3"/>
      <c r="B127" s="3"/>
      <c r="C127" s="28"/>
      <c r="D127" s="28"/>
      <c r="E127" s="28"/>
      <c r="F127" s="28"/>
      <c r="G127" s="158"/>
      <c r="H127" s="28"/>
      <c r="I127" s="28"/>
      <c r="J127" s="28"/>
      <c r="K127" s="28"/>
      <c r="L127" s="28"/>
      <c r="M127" s="28"/>
      <c r="N127" s="28"/>
      <c r="O127" s="28"/>
      <c r="P127" s="28"/>
      <c r="Q127" s="28"/>
      <c r="R127" s="28"/>
      <c r="S127" s="28"/>
      <c r="T127" s="28"/>
      <c r="U127" s="28"/>
      <c r="V127" s="28"/>
      <c r="W127" s="35"/>
      <c r="X127" s="32"/>
    </row>
    <row r="128" spans="1:24" ht="15.75" customHeight="1" x14ac:dyDescent="0.3">
      <c r="A128" s="3"/>
      <c r="B128" s="3"/>
      <c r="C128" s="28"/>
      <c r="D128" s="28"/>
      <c r="E128" s="28"/>
      <c r="F128" s="28"/>
      <c r="G128" s="158"/>
      <c r="H128" s="28"/>
      <c r="I128" s="28"/>
      <c r="J128" s="28"/>
      <c r="K128" s="28"/>
      <c r="L128" s="28"/>
      <c r="M128" s="28"/>
      <c r="N128" s="28"/>
      <c r="O128" s="28"/>
      <c r="P128" s="28"/>
      <c r="Q128" s="28"/>
      <c r="R128" s="28"/>
      <c r="S128" s="28"/>
      <c r="T128" s="28"/>
      <c r="U128" s="28"/>
      <c r="V128" s="28"/>
      <c r="W128" s="35"/>
      <c r="X128" s="32"/>
    </row>
    <row r="129" spans="1:24" ht="15.75" customHeight="1" x14ac:dyDescent="0.3">
      <c r="A129" s="3"/>
      <c r="B129" s="3"/>
      <c r="C129" s="28"/>
      <c r="D129" s="28"/>
      <c r="E129" s="28"/>
      <c r="F129" s="28"/>
      <c r="G129" s="158"/>
      <c r="H129" s="28"/>
      <c r="I129" s="28"/>
      <c r="J129" s="28"/>
      <c r="K129" s="28"/>
      <c r="L129" s="28"/>
      <c r="M129" s="28"/>
      <c r="N129" s="28"/>
      <c r="O129" s="28"/>
      <c r="P129" s="28"/>
      <c r="Q129" s="28"/>
      <c r="R129" s="28"/>
      <c r="S129" s="28"/>
      <c r="T129" s="28"/>
      <c r="U129" s="28"/>
      <c r="V129" s="28"/>
      <c r="W129" s="35"/>
      <c r="X129" s="32"/>
    </row>
    <row r="130" spans="1:24" ht="15.75" customHeight="1" x14ac:dyDescent="0.3">
      <c r="A130" s="3"/>
      <c r="B130" s="3"/>
      <c r="C130" s="28"/>
      <c r="D130" s="28"/>
      <c r="E130" s="28"/>
      <c r="F130" s="28"/>
      <c r="G130" s="158"/>
      <c r="H130" s="28"/>
      <c r="I130" s="28"/>
      <c r="J130" s="28"/>
      <c r="K130" s="28"/>
      <c r="L130" s="28"/>
      <c r="M130" s="28"/>
      <c r="N130" s="28"/>
      <c r="O130" s="28"/>
      <c r="P130" s="28"/>
      <c r="Q130" s="28"/>
      <c r="R130" s="28"/>
      <c r="S130" s="28"/>
      <c r="T130" s="28"/>
      <c r="U130" s="28"/>
      <c r="V130" s="28"/>
      <c r="W130" s="35"/>
      <c r="X130" s="32"/>
    </row>
    <row r="131" spans="1:24" ht="15.75" customHeight="1" x14ac:dyDescent="0.3">
      <c r="A131" s="3"/>
      <c r="B131" s="3"/>
      <c r="C131" s="28"/>
      <c r="D131" s="28"/>
      <c r="E131" s="28"/>
      <c r="F131" s="28"/>
      <c r="G131" s="158"/>
      <c r="H131" s="28"/>
      <c r="I131" s="28"/>
      <c r="J131" s="28"/>
      <c r="K131" s="28"/>
      <c r="L131" s="28"/>
      <c r="M131" s="28"/>
      <c r="N131" s="28"/>
      <c r="O131" s="28"/>
      <c r="P131" s="28"/>
      <c r="Q131" s="28"/>
      <c r="R131" s="28"/>
      <c r="S131" s="28"/>
      <c r="T131" s="28"/>
      <c r="U131" s="28"/>
      <c r="V131" s="28"/>
      <c r="W131" s="35"/>
      <c r="X131" s="32"/>
    </row>
    <row r="132" spans="1:24" ht="15.75" customHeight="1" x14ac:dyDescent="0.3">
      <c r="A132" s="3"/>
      <c r="B132" s="3"/>
      <c r="C132" s="28"/>
      <c r="D132" s="28"/>
      <c r="E132" s="28"/>
      <c r="F132" s="28"/>
      <c r="G132" s="158"/>
      <c r="H132" s="28"/>
      <c r="I132" s="28"/>
      <c r="J132" s="28"/>
      <c r="K132" s="28"/>
      <c r="L132" s="28"/>
      <c r="M132" s="28"/>
      <c r="N132" s="28"/>
      <c r="O132" s="28"/>
      <c r="P132" s="28"/>
      <c r="Q132" s="28"/>
      <c r="R132" s="28"/>
      <c r="S132" s="28"/>
      <c r="T132" s="28"/>
      <c r="U132" s="28"/>
      <c r="V132" s="28"/>
      <c r="W132" s="35"/>
      <c r="X132" s="32"/>
    </row>
    <row r="133" spans="1:24" ht="15.75" customHeight="1" x14ac:dyDescent="0.3">
      <c r="A133" s="3"/>
      <c r="B133" s="3"/>
      <c r="C133" s="28"/>
      <c r="D133" s="28"/>
      <c r="E133" s="28"/>
      <c r="F133" s="28"/>
      <c r="G133" s="158"/>
      <c r="H133" s="28"/>
      <c r="I133" s="28"/>
      <c r="J133" s="28"/>
      <c r="K133" s="28"/>
      <c r="L133" s="28"/>
      <c r="M133" s="28"/>
      <c r="N133" s="28"/>
      <c r="O133" s="28"/>
      <c r="P133" s="28"/>
      <c r="Q133" s="28"/>
      <c r="R133" s="28"/>
      <c r="S133" s="28"/>
      <c r="T133" s="28"/>
      <c r="U133" s="28"/>
      <c r="V133" s="28"/>
      <c r="W133" s="35"/>
      <c r="X133" s="32"/>
    </row>
    <row r="134" spans="1:24" ht="15.75" customHeight="1" x14ac:dyDescent="0.3">
      <c r="A134" s="3"/>
      <c r="B134" s="3"/>
      <c r="C134" s="28"/>
      <c r="D134" s="28"/>
      <c r="E134" s="28"/>
      <c r="F134" s="28"/>
      <c r="G134" s="158"/>
      <c r="H134" s="28"/>
      <c r="I134" s="28"/>
      <c r="J134" s="28"/>
      <c r="K134" s="28"/>
      <c r="L134" s="28"/>
      <c r="M134" s="28"/>
      <c r="N134" s="28"/>
      <c r="O134" s="28"/>
      <c r="P134" s="28"/>
      <c r="Q134" s="28"/>
      <c r="R134" s="28"/>
      <c r="S134" s="28"/>
      <c r="T134" s="28"/>
      <c r="U134" s="28"/>
      <c r="V134" s="28"/>
      <c r="W134" s="35"/>
      <c r="X134" s="32"/>
    </row>
    <row r="135" spans="1:24" ht="15.75" customHeight="1" x14ac:dyDescent="0.3">
      <c r="A135" s="3"/>
      <c r="B135" s="3"/>
      <c r="C135" s="28"/>
      <c r="D135" s="28"/>
      <c r="E135" s="28"/>
      <c r="F135" s="28"/>
      <c r="G135" s="158"/>
      <c r="H135" s="28"/>
      <c r="I135" s="28"/>
      <c r="J135" s="28"/>
      <c r="K135" s="28"/>
      <c r="L135" s="28"/>
      <c r="M135" s="28"/>
      <c r="N135" s="28"/>
      <c r="O135" s="28"/>
      <c r="P135" s="28"/>
      <c r="Q135" s="28"/>
      <c r="R135" s="28"/>
      <c r="S135" s="28"/>
      <c r="T135" s="28"/>
      <c r="U135" s="28"/>
      <c r="V135" s="28"/>
      <c r="W135" s="35"/>
      <c r="X135" s="32"/>
    </row>
    <row r="136" spans="1:24" ht="15.75" customHeight="1" x14ac:dyDescent="0.3">
      <c r="A136" s="3"/>
      <c r="B136" s="3"/>
      <c r="C136" s="28"/>
      <c r="D136" s="28"/>
      <c r="E136" s="28"/>
      <c r="F136" s="28"/>
      <c r="G136" s="158"/>
      <c r="H136" s="28"/>
      <c r="I136" s="28"/>
      <c r="J136" s="28"/>
      <c r="K136" s="28"/>
      <c r="L136" s="28"/>
      <c r="M136" s="28"/>
      <c r="N136" s="28"/>
      <c r="O136" s="28"/>
      <c r="P136" s="28"/>
      <c r="Q136" s="28"/>
      <c r="R136" s="28"/>
      <c r="S136" s="28"/>
      <c r="T136" s="28"/>
      <c r="U136" s="28"/>
      <c r="V136" s="28"/>
      <c r="W136" s="35"/>
      <c r="X136" s="32"/>
    </row>
    <row r="137" spans="1:24" ht="15.75" customHeight="1" x14ac:dyDescent="0.3">
      <c r="A137" s="3"/>
      <c r="B137" s="3"/>
      <c r="C137" s="28"/>
      <c r="D137" s="28"/>
      <c r="E137" s="28"/>
      <c r="F137" s="28"/>
      <c r="G137" s="158"/>
      <c r="H137" s="28"/>
      <c r="I137" s="28"/>
      <c r="J137" s="28"/>
      <c r="K137" s="28"/>
      <c r="L137" s="28"/>
      <c r="M137" s="28"/>
      <c r="N137" s="28"/>
      <c r="O137" s="28"/>
      <c r="P137" s="28"/>
      <c r="Q137" s="28"/>
      <c r="R137" s="28"/>
      <c r="S137" s="28"/>
      <c r="T137" s="28"/>
      <c r="U137" s="28"/>
      <c r="V137" s="28"/>
      <c r="W137" s="35"/>
      <c r="X137" s="32"/>
    </row>
    <row r="138" spans="1:24" ht="15.75" customHeight="1" x14ac:dyDescent="0.3">
      <c r="A138" s="3"/>
      <c r="B138" s="3"/>
      <c r="C138" s="28"/>
      <c r="D138" s="28"/>
      <c r="E138" s="28"/>
      <c r="F138" s="28"/>
      <c r="G138" s="158"/>
      <c r="H138" s="28"/>
      <c r="I138" s="28"/>
      <c r="J138" s="28"/>
      <c r="K138" s="28"/>
      <c r="L138" s="28"/>
      <c r="M138" s="28"/>
      <c r="N138" s="28"/>
      <c r="O138" s="28"/>
      <c r="P138" s="28"/>
      <c r="Q138" s="28"/>
      <c r="R138" s="28"/>
      <c r="S138" s="28"/>
      <c r="T138" s="28"/>
      <c r="U138" s="28"/>
      <c r="V138" s="28"/>
      <c r="W138" s="35"/>
      <c r="X138" s="32"/>
    </row>
    <row r="139" spans="1:24" ht="15.75" customHeight="1" x14ac:dyDescent="0.3">
      <c r="A139" s="3"/>
      <c r="B139" s="3"/>
      <c r="C139" s="28"/>
      <c r="D139" s="28"/>
      <c r="E139" s="28"/>
      <c r="F139" s="28"/>
      <c r="G139" s="158"/>
      <c r="H139" s="28"/>
      <c r="I139" s="28"/>
      <c r="J139" s="28"/>
      <c r="K139" s="28"/>
      <c r="L139" s="28"/>
      <c r="M139" s="28"/>
      <c r="N139" s="28"/>
      <c r="O139" s="28"/>
      <c r="P139" s="28"/>
      <c r="Q139" s="28"/>
      <c r="R139" s="28"/>
      <c r="S139" s="28"/>
      <c r="T139" s="28"/>
      <c r="U139" s="28"/>
      <c r="V139" s="28"/>
      <c r="W139" s="35"/>
      <c r="X139" s="32"/>
    </row>
    <row r="140" spans="1:24" ht="15.75" customHeight="1" x14ac:dyDescent="0.3">
      <c r="A140" s="3"/>
      <c r="B140" s="3"/>
      <c r="C140" s="28"/>
      <c r="D140" s="28"/>
      <c r="E140" s="28"/>
      <c r="F140" s="28"/>
      <c r="G140" s="158"/>
      <c r="H140" s="28"/>
      <c r="I140" s="28"/>
      <c r="J140" s="28"/>
      <c r="K140" s="28"/>
      <c r="L140" s="28"/>
      <c r="M140" s="28"/>
      <c r="N140" s="28"/>
      <c r="O140" s="28"/>
      <c r="P140" s="28"/>
      <c r="Q140" s="28"/>
      <c r="R140" s="28"/>
      <c r="S140" s="28"/>
      <c r="T140" s="28"/>
      <c r="U140" s="28"/>
      <c r="V140" s="28"/>
      <c r="W140" s="35"/>
      <c r="X140" s="32"/>
    </row>
    <row r="141" spans="1:24" ht="15.75" customHeight="1" x14ac:dyDescent="0.3">
      <c r="A141" s="3"/>
      <c r="B141" s="3"/>
      <c r="C141" s="28"/>
      <c r="D141" s="28"/>
      <c r="E141" s="28"/>
      <c r="F141" s="28"/>
      <c r="G141" s="158"/>
      <c r="H141" s="28"/>
      <c r="I141" s="28"/>
      <c r="J141" s="28"/>
      <c r="K141" s="28"/>
      <c r="L141" s="28"/>
      <c r="M141" s="28"/>
      <c r="N141" s="28"/>
      <c r="O141" s="28"/>
      <c r="P141" s="28"/>
      <c r="Q141" s="28"/>
      <c r="R141" s="28"/>
      <c r="S141" s="28"/>
      <c r="T141" s="28"/>
      <c r="U141" s="28"/>
      <c r="V141" s="28"/>
      <c r="W141" s="35"/>
      <c r="X141" s="32"/>
    </row>
    <row r="142" spans="1:24" ht="15.75" customHeight="1" x14ac:dyDescent="0.3">
      <c r="A142" s="3"/>
      <c r="B142" s="3"/>
      <c r="C142" s="28"/>
      <c r="D142" s="28"/>
      <c r="E142" s="28"/>
      <c r="F142" s="28"/>
      <c r="G142" s="158"/>
      <c r="H142" s="28"/>
      <c r="I142" s="28"/>
      <c r="J142" s="28"/>
      <c r="K142" s="28"/>
      <c r="L142" s="28"/>
      <c r="M142" s="28"/>
      <c r="N142" s="28"/>
      <c r="O142" s="28"/>
      <c r="P142" s="28"/>
      <c r="Q142" s="28"/>
      <c r="R142" s="28"/>
      <c r="S142" s="28"/>
      <c r="T142" s="28"/>
      <c r="U142" s="28"/>
      <c r="V142" s="28"/>
      <c r="W142" s="35"/>
      <c r="X142" s="32"/>
    </row>
    <row r="143" spans="1:24" ht="15.75" customHeight="1" x14ac:dyDescent="0.3">
      <c r="A143" s="3"/>
      <c r="B143" s="3"/>
      <c r="C143" s="28"/>
      <c r="D143" s="28"/>
      <c r="E143" s="28"/>
      <c r="F143" s="28"/>
      <c r="G143" s="158"/>
      <c r="H143" s="28"/>
      <c r="I143" s="28"/>
      <c r="J143" s="28"/>
      <c r="K143" s="28"/>
      <c r="L143" s="28"/>
      <c r="M143" s="28"/>
      <c r="N143" s="28"/>
      <c r="O143" s="28"/>
      <c r="P143" s="28"/>
      <c r="Q143" s="28"/>
      <c r="R143" s="28"/>
      <c r="S143" s="28"/>
      <c r="T143" s="28"/>
      <c r="U143" s="28"/>
      <c r="V143" s="28"/>
      <c r="W143" s="35"/>
      <c r="X143" s="32"/>
    </row>
    <row r="144" spans="1:24" ht="15.75" customHeight="1" x14ac:dyDescent="0.3">
      <c r="A144" s="3"/>
      <c r="B144" s="3"/>
      <c r="C144" s="28"/>
      <c r="D144" s="28"/>
      <c r="E144" s="28"/>
      <c r="F144" s="28"/>
      <c r="G144" s="158"/>
      <c r="H144" s="28"/>
      <c r="I144" s="28"/>
      <c r="J144" s="28"/>
      <c r="K144" s="28"/>
      <c r="L144" s="28"/>
      <c r="M144" s="28"/>
      <c r="N144" s="28"/>
      <c r="O144" s="28"/>
      <c r="P144" s="28"/>
      <c r="Q144" s="28"/>
      <c r="R144" s="28"/>
      <c r="S144" s="28"/>
      <c r="T144" s="28"/>
      <c r="U144" s="28"/>
      <c r="V144" s="28"/>
      <c r="W144" s="35"/>
      <c r="X144" s="32"/>
    </row>
    <row r="145" spans="1:24" ht="15.75" customHeight="1" x14ac:dyDescent="0.3">
      <c r="A145" s="3"/>
      <c r="B145" s="3"/>
      <c r="C145" s="28"/>
      <c r="D145" s="28"/>
      <c r="E145" s="28"/>
      <c r="F145" s="28"/>
      <c r="G145" s="158"/>
      <c r="H145" s="28"/>
      <c r="I145" s="28"/>
      <c r="J145" s="28"/>
      <c r="K145" s="28"/>
      <c r="L145" s="28"/>
      <c r="M145" s="28"/>
      <c r="N145" s="28"/>
      <c r="O145" s="28"/>
      <c r="P145" s="28"/>
      <c r="Q145" s="28"/>
      <c r="R145" s="28"/>
      <c r="S145" s="28"/>
      <c r="T145" s="28"/>
      <c r="U145" s="28"/>
      <c r="V145" s="28"/>
      <c r="W145" s="35"/>
      <c r="X145" s="32"/>
    </row>
    <row r="146" spans="1:24" ht="15.75" customHeight="1" x14ac:dyDescent="0.3">
      <c r="A146" s="3"/>
      <c r="B146" s="3"/>
      <c r="C146" s="28"/>
      <c r="D146" s="28"/>
      <c r="E146" s="28"/>
      <c r="F146" s="28"/>
      <c r="G146" s="158"/>
      <c r="H146" s="28"/>
      <c r="I146" s="28"/>
      <c r="J146" s="28"/>
      <c r="K146" s="28"/>
      <c r="L146" s="28"/>
      <c r="M146" s="28"/>
      <c r="N146" s="28"/>
      <c r="O146" s="28"/>
      <c r="P146" s="28"/>
      <c r="Q146" s="28"/>
      <c r="R146" s="28"/>
      <c r="S146" s="28"/>
      <c r="T146" s="28"/>
      <c r="U146" s="28"/>
      <c r="V146" s="28"/>
      <c r="W146" s="35"/>
      <c r="X146" s="32"/>
    </row>
    <row r="147" spans="1:24" ht="15.75" customHeight="1" x14ac:dyDescent="0.3">
      <c r="A147" s="3"/>
      <c r="B147" s="3"/>
      <c r="C147" s="28"/>
      <c r="D147" s="28"/>
      <c r="E147" s="28"/>
      <c r="F147" s="28"/>
      <c r="G147" s="158"/>
      <c r="H147" s="28"/>
      <c r="I147" s="28"/>
      <c r="J147" s="28"/>
      <c r="K147" s="28"/>
      <c r="L147" s="28"/>
      <c r="M147" s="28"/>
      <c r="N147" s="28"/>
      <c r="O147" s="28"/>
      <c r="P147" s="28"/>
      <c r="Q147" s="28"/>
      <c r="R147" s="28"/>
      <c r="S147" s="28"/>
      <c r="T147" s="28"/>
      <c r="U147" s="28"/>
      <c r="V147" s="28"/>
      <c r="W147" s="35"/>
      <c r="X147" s="32"/>
    </row>
    <row r="148" spans="1:24" ht="15.75" customHeight="1" x14ac:dyDescent="0.3">
      <c r="A148" s="3"/>
      <c r="B148" s="3"/>
      <c r="C148" s="28"/>
      <c r="D148" s="28"/>
      <c r="E148" s="28"/>
      <c r="F148" s="28"/>
      <c r="G148" s="158"/>
      <c r="H148" s="28"/>
      <c r="I148" s="28"/>
      <c r="J148" s="28"/>
      <c r="K148" s="28"/>
      <c r="L148" s="28"/>
      <c r="M148" s="28"/>
      <c r="N148" s="28"/>
      <c r="O148" s="28"/>
      <c r="P148" s="28"/>
      <c r="Q148" s="28"/>
      <c r="R148" s="28"/>
      <c r="S148" s="28"/>
      <c r="T148" s="28"/>
      <c r="U148" s="28"/>
      <c r="V148" s="28"/>
      <c r="W148" s="35"/>
      <c r="X148" s="32"/>
    </row>
    <row r="149" spans="1:24" ht="15.75" customHeight="1" x14ac:dyDescent="0.3">
      <c r="A149" s="3"/>
      <c r="B149" s="3"/>
      <c r="C149" s="28"/>
      <c r="D149" s="28"/>
      <c r="E149" s="28"/>
      <c r="F149" s="28"/>
      <c r="G149" s="158"/>
      <c r="H149" s="28"/>
      <c r="I149" s="28"/>
      <c r="J149" s="28"/>
      <c r="K149" s="28"/>
      <c r="L149" s="28"/>
      <c r="M149" s="28"/>
      <c r="N149" s="28"/>
      <c r="O149" s="28"/>
      <c r="P149" s="28"/>
      <c r="Q149" s="28"/>
      <c r="R149" s="28"/>
      <c r="S149" s="28"/>
      <c r="T149" s="28"/>
      <c r="U149" s="28"/>
      <c r="V149" s="28"/>
      <c r="W149" s="35"/>
      <c r="X149" s="32"/>
    </row>
    <row r="150" spans="1:24" ht="15.75" customHeight="1" x14ac:dyDescent="0.3">
      <c r="A150" s="3"/>
      <c r="B150" s="3"/>
      <c r="C150" s="28"/>
      <c r="D150" s="28"/>
      <c r="E150" s="28"/>
      <c r="F150" s="28"/>
      <c r="G150" s="158"/>
      <c r="H150" s="28"/>
      <c r="I150" s="28"/>
      <c r="J150" s="28"/>
      <c r="K150" s="28"/>
      <c r="L150" s="28"/>
      <c r="M150" s="28"/>
      <c r="N150" s="28"/>
      <c r="O150" s="28"/>
      <c r="P150" s="28"/>
      <c r="Q150" s="28"/>
      <c r="R150" s="28"/>
      <c r="S150" s="28"/>
      <c r="T150" s="28"/>
      <c r="U150" s="28"/>
      <c r="V150" s="28"/>
      <c r="W150" s="35"/>
      <c r="X150" s="32"/>
    </row>
    <row r="151" spans="1:24" ht="15.75" customHeight="1" x14ac:dyDescent="0.3">
      <c r="A151" s="3"/>
      <c r="B151" s="3"/>
      <c r="C151" s="28"/>
      <c r="D151" s="28"/>
      <c r="E151" s="28"/>
      <c r="F151" s="28"/>
      <c r="G151" s="158"/>
      <c r="H151" s="28"/>
      <c r="I151" s="28"/>
      <c r="J151" s="28"/>
      <c r="K151" s="28"/>
      <c r="L151" s="28"/>
      <c r="M151" s="28"/>
      <c r="N151" s="28"/>
      <c r="O151" s="28"/>
      <c r="P151" s="28"/>
      <c r="Q151" s="28"/>
      <c r="R151" s="28"/>
      <c r="S151" s="28"/>
      <c r="T151" s="28"/>
      <c r="U151" s="28"/>
      <c r="V151" s="28"/>
      <c r="W151" s="35"/>
      <c r="X151" s="32"/>
    </row>
    <row r="152" spans="1:24" ht="15.75" customHeight="1" x14ac:dyDescent="0.3">
      <c r="A152" s="3"/>
      <c r="B152" s="3"/>
      <c r="C152" s="28"/>
      <c r="D152" s="28"/>
      <c r="E152" s="28"/>
      <c r="F152" s="28"/>
      <c r="G152" s="158"/>
      <c r="H152" s="28"/>
      <c r="I152" s="28"/>
      <c r="J152" s="28"/>
      <c r="K152" s="28"/>
      <c r="L152" s="28"/>
      <c r="M152" s="28"/>
      <c r="N152" s="28"/>
      <c r="O152" s="28"/>
      <c r="P152" s="28"/>
      <c r="Q152" s="28"/>
      <c r="R152" s="28"/>
      <c r="S152" s="28"/>
      <c r="T152" s="28"/>
      <c r="U152" s="28"/>
      <c r="V152" s="28"/>
      <c r="W152" s="35"/>
      <c r="X152" s="32"/>
    </row>
    <row r="153" spans="1:24" ht="15.75" customHeight="1" x14ac:dyDescent="0.3">
      <c r="A153" s="3"/>
      <c r="B153" s="3"/>
      <c r="C153" s="28"/>
      <c r="D153" s="28"/>
      <c r="E153" s="28"/>
      <c r="F153" s="28"/>
      <c r="G153" s="158"/>
      <c r="H153" s="28"/>
      <c r="I153" s="28"/>
      <c r="J153" s="28"/>
      <c r="K153" s="28"/>
      <c r="L153" s="28"/>
      <c r="M153" s="28"/>
      <c r="N153" s="28"/>
      <c r="O153" s="28"/>
      <c r="P153" s="28"/>
      <c r="Q153" s="28"/>
      <c r="R153" s="28"/>
      <c r="S153" s="28"/>
      <c r="T153" s="28"/>
      <c r="U153" s="28"/>
      <c r="V153" s="28"/>
      <c r="W153" s="35"/>
      <c r="X153" s="32"/>
    </row>
    <row r="154" spans="1:24" ht="15.75" customHeight="1" x14ac:dyDescent="0.3">
      <c r="A154" s="3"/>
      <c r="B154" s="3"/>
      <c r="C154" s="28"/>
      <c r="D154" s="28"/>
      <c r="E154" s="28"/>
      <c r="F154" s="28"/>
      <c r="G154" s="158"/>
      <c r="H154" s="28"/>
      <c r="I154" s="28"/>
      <c r="J154" s="28"/>
      <c r="K154" s="28"/>
      <c r="L154" s="28"/>
      <c r="M154" s="28"/>
      <c r="N154" s="28"/>
      <c r="O154" s="28"/>
      <c r="P154" s="28"/>
      <c r="Q154" s="28"/>
      <c r="R154" s="28"/>
      <c r="S154" s="28"/>
      <c r="T154" s="28"/>
      <c r="U154" s="28"/>
      <c r="V154" s="28"/>
      <c r="W154" s="35"/>
      <c r="X154" s="32"/>
    </row>
    <row r="155" spans="1:24" ht="15.75" customHeight="1" x14ac:dyDescent="0.3">
      <c r="A155" s="3"/>
      <c r="B155" s="3"/>
      <c r="C155" s="28"/>
      <c r="D155" s="28"/>
      <c r="E155" s="28"/>
      <c r="F155" s="28"/>
      <c r="G155" s="158"/>
      <c r="H155" s="28"/>
      <c r="I155" s="28"/>
      <c r="J155" s="28"/>
      <c r="K155" s="28"/>
      <c r="L155" s="28"/>
      <c r="M155" s="28"/>
      <c r="N155" s="28"/>
      <c r="O155" s="28"/>
      <c r="P155" s="28"/>
      <c r="Q155" s="28"/>
      <c r="R155" s="28"/>
      <c r="S155" s="28"/>
      <c r="T155" s="28"/>
      <c r="U155" s="28"/>
      <c r="V155" s="28"/>
      <c r="W155" s="35"/>
      <c r="X155" s="32"/>
    </row>
    <row r="156" spans="1:24" ht="15.75" customHeight="1" x14ac:dyDescent="0.3">
      <c r="A156" s="3"/>
      <c r="B156" s="3"/>
      <c r="C156" s="28"/>
      <c r="D156" s="28"/>
      <c r="E156" s="28"/>
      <c r="F156" s="28"/>
      <c r="G156" s="158"/>
      <c r="H156" s="28"/>
      <c r="I156" s="28"/>
      <c r="J156" s="28"/>
      <c r="K156" s="28"/>
      <c r="L156" s="28"/>
      <c r="M156" s="28"/>
      <c r="N156" s="28"/>
      <c r="O156" s="28"/>
      <c r="P156" s="28"/>
      <c r="Q156" s="28"/>
      <c r="R156" s="28"/>
      <c r="S156" s="28"/>
      <c r="T156" s="28"/>
      <c r="U156" s="28"/>
      <c r="V156" s="28"/>
      <c r="W156" s="35"/>
      <c r="X156" s="32"/>
    </row>
    <row r="157" spans="1:24" ht="15.75" customHeight="1" x14ac:dyDescent="0.3">
      <c r="A157" s="3"/>
      <c r="B157" s="3"/>
      <c r="C157" s="28"/>
      <c r="D157" s="28"/>
      <c r="E157" s="28"/>
      <c r="F157" s="28"/>
      <c r="G157" s="158"/>
      <c r="H157" s="28"/>
      <c r="I157" s="28"/>
      <c r="J157" s="28"/>
      <c r="K157" s="28"/>
      <c r="L157" s="28"/>
      <c r="M157" s="28"/>
      <c r="N157" s="28"/>
      <c r="O157" s="28"/>
      <c r="P157" s="28"/>
      <c r="Q157" s="28"/>
      <c r="R157" s="28"/>
      <c r="S157" s="28"/>
      <c r="T157" s="28"/>
      <c r="U157" s="28"/>
      <c r="V157" s="28"/>
      <c r="W157" s="35"/>
      <c r="X157" s="32"/>
    </row>
    <row r="158" spans="1:24" ht="15.75" customHeight="1" x14ac:dyDescent="0.3">
      <c r="A158" s="3"/>
      <c r="B158" s="3"/>
      <c r="C158" s="28"/>
      <c r="D158" s="28"/>
      <c r="E158" s="28"/>
      <c r="F158" s="28"/>
      <c r="G158" s="158"/>
      <c r="H158" s="28"/>
      <c r="I158" s="28"/>
      <c r="J158" s="28"/>
      <c r="K158" s="28"/>
      <c r="L158" s="28"/>
      <c r="M158" s="28"/>
      <c r="N158" s="28"/>
      <c r="O158" s="28"/>
      <c r="P158" s="28"/>
      <c r="Q158" s="28"/>
      <c r="R158" s="28"/>
      <c r="S158" s="28"/>
      <c r="T158" s="28"/>
      <c r="U158" s="28"/>
      <c r="V158" s="28"/>
      <c r="W158" s="35"/>
      <c r="X158" s="32"/>
    </row>
    <row r="159" spans="1:24" ht="15.75" customHeight="1" x14ac:dyDescent="0.3">
      <c r="A159" s="3"/>
      <c r="B159" s="3"/>
      <c r="C159" s="28"/>
      <c r="D159" s="28"/>
      <c r="E159" s="28"/>
      <c r="F159" s="28"/>
      <c r="G159" s="158"/>
      <c r="H159" s="28"/>
      <c r="I159" s="28"/>
      <c r="J159" s="28"/>
      <c r="K159" s="28"/>
      <c r="L159" s="28"/>
      <c r="M159" s="28"/>
      <c r="N159" s="28"/>
      <c r="O159" s="28"/>
      <c r="P159" s="28"/>
      <c r="Q159" s="28"/>
      <c r="R159" s="28"/>
      <c r="S159" s="28"/>
      <c r="T159" s="28"/>
      <c r="U159" s="28"/>
      <c r="V159" s="28"/>
      <c r="W159" s="35"/>
      <c r="X159" s="32"/>
    </row>
    <row r="160" spans="1:24" ht="15.75" customHeight="1" x14ac:dyDescent="0.3">
      <c r="A160" s="3"/>
      <c r="B160" s="3"/>
      <c r="C160" s="28"/>
      <c r="D160" s="28"/>
      <c r="E160" s="28"/>
      <c r="F160" s="28"/>
      <c r="G160" s="158"/>
      <c r="H160" s="28"/>
      <c r="I160" s="28"/>
      <c r="J160" s="28"/>
      <c r="K160" s="28"/>
      <c r="L160" s="28"/>
      <c r="M160" s="28"/>
      <c r="N160" s="28"/>
      <c r="O160" s="28"/>
      <c r="P160" s="28"/>
      <c r="Q160" s="28"/>
      <c r="R160" s="28"/>
      <c r="S160" s="28"/>
      <c r="T160" s="28"/>
      <c r="U160" s="28"/>
      <c r="V160" s="28"/>
      <c r="W160" s="35"/>
      <c r="X160" s="32"/>
    </row>
    <row r="161" spans="1:24" ht="15.75" customHeight="1" x14ac:dyDescent="0.3">
      <c r="A161" s="3"/>
      <c r="B161" s="3"/>
      <c r="C161" s="28"/>
      <c r="D161" s="28"/>
      <c r="E161" s="28"/>
      <c r="F161" s="28"/>
      <c r="G161" s="158"/>
      <c r="H161" s="28"/>
      <c r="I161" s="28"/>
      <c r="J161" s="28"/>
      <c r="K161" s="28"/>
      <c r="L161" s="28"/>
      <c r="M161" s="28"/>
      <c r="N161" s="28"/>
      <c r="O161" s="28"/>
      <c r="P161" s="28"/>
      <c r="Q161" s="28"/>
      <c r="R161" s="28"/>
      <c r="S161" s="28"/>
      <c r="T161" s="28"/>
      <c r="U161" s="28"/>
      <c r="V161" s="28"/>
      <c r="W161" s="35"/>
      <c r="X161" s="32"/>
    </row>
    <row r="162" spans="1:24" ht="15.75" customHeight="1" x14ac:dyDescent="0.3">
      <c r="A162" s="3"/>
      <c r="B162" s="3"/>
      <c r="C162" s="28"/>
      <c r="D162" s="28"/>
      <c r="E162" s="28"/>
      <c r="F162" s="28"/>
      <c r="G162" s="158"/>
      <c r="H162" s="28"/>
      <c r="I162" s="28"/>
      <c r="J162" s="28"/>
      <c r="K162" s="28"/>
      <c r="L162" s="28"/>
      <c r="M162" s="28"/>
      <c r="N162" s="28"/>
      <c r="O162" s="28"/>
      <c r="P162" s="28"/>
      <c r="Q162" s="28"/>
      <c r="R162" s="28"/>
      <c r="S162" s="28"/>
      <c r="T162" s="28"/>
      <c r="U162" s="28"/>
      <c r="V162" s="28"/>
      <c r="W162" s="35"/>
      <c r="X162" s="32"/>
    </row>
    <row r="163" spans="1:24" ht="15.75" customHeight="1" x14ac:dyDescent="0.3">
      <c r="A163" s="3"/>
      <c r="B163" s="3"/>
      <c r="C163" s="28"/>
      <c r="D163" s="28"/>
      <c r="E163" s="28"/>
      <c r="F163" s="28"/>
      <c r="G163" s="158"/>
      <c r="H163" s="28"/>
      <c r="I163" s="28"/>
      <c r="J163" s="28"/>
      <c r="K163" s="28"/>
      <c r="L163" s="28"/>
      <c r="M163" s="28"/>
      <c r="N163" s="28"/>
      <c r="O163" s="28"/>
      <c r="P163" s="28"/>
      <c r="Q163" s="28"/>
      <c r="R163" s="28"/>
      <c r="S163" s="28"/>
      <c r="T163" s="28"/>
      <c r="U163" s="28"/>
      <c r="V163" s="28"/>
      <c r="W163" s="35"/>
      <c r="X163" s="32"/>
    </row>
    <row r="164" spans="1:24" ht="15.75" customHeight="1" x14ac:dyDescent="0.3">
      <c r="A164" s="3"/>
      <c r="B164" s="3"/>
      <c r="C164" s="28"/>
      <c r="D164" s="28"/>
      <c r="E164" s="28"/>
      <c r="F164" s="28"/>
      <c r="G164" s="158"/>
      <c r="H164" s="28"/>
      <c r="I164" s="28"/>
      <c r="J164" s="28"/>
      <c r="K164" s="28"/>
      <c r="L164" s="28"/>
      <c r="M164" s="28"/>
      <c r="N164" s="28"/>
      <c r="O164" s="28"/>
      <c r="P164" s="28"/>
      <c r="Q164" s="28"/>
      <c r="R164" s="28"/>
      <c r="S164" s="28"/>
      <c r="T164" s="28"/>
      <c r="U164" s="28"/>
      <c r="V164" s="28"/>
      <c r="W164" s="35"/>
      <c r="X164" s="32"/>
    </row>
    <row r="165" spans="1:24" ht="15.75" customHeight="1" x14ac:dyDescent="0.3">
      <c r="A165" s="3"/>
      <c r="B165" s="3"/>
      <c r="C165" s="28"/>
      <c r="D165" s="28"/>
      <c r="E165" s="28"/>
      <c r="F165" s="28"/>
      <c r="G165" s="158"/>
      <c r="H165" s="28"/>
      <c r="I165" s="28"/>
      <c r="J165" s="28"/>
      <c r="K165" s="28"/>
      <c r="L165" s="28"/>
      <c r="M165" s="28"/>
      <c r="N165" s="28"/>
      <c r="O165" s="28"/>
      <c r="P165" s="28"/>
      <c r="Q165" s="28"/>
      <c r="R165" s="28"/>
      <c r="S165" s="28"/>
      <c r="T165" s="28"/>
      <c r="U165" s="28"/>
      <c r="V165" s="28"/>
      <c r="W165" s="35"/>
      <c r="X165" s="32"/>
    </row>
    <row r="166" spans="1:24" ht="15.75" customHeight="1" x14ac:dyDescent="0.3">
      <c r="A166" s="3"/>
      <c r="B166" s="3"/>
      <c r="C166" s="28"/>
      <c r="D166" s="28"/>
      <c r="E166" s="28"/>
      <c r="F166" s="28"/>
      <c r="G166" s="158"/>
      <c r="H166" s="28"/>
      <c r="I166" s="28"/>
      <c r="J166" s="28"/>
      <c r="K166" s="28"/>
      <c r="L166" s="28"/>
      <c r="M166" s="28"/>
      <c r="N166" s="28"/>
      <c r="O166" s="28"/>
      <c r="P166" s="28"/>
      <c r="Q166" s="28"/>
      <c r="R166" s="28"/>
      <c r="S166" s="28"/>
      <c r="T166" s="28"/>
      <c r="U166" s="28"/>
      <c r="V166" s="28"/>
      <c r="W166" s="35"/>
      <c r="X166" s="32"/>
    </row>
    <row r="167" spans="1:24" ht="15.75" customHeight="1" x14ac:dyDescent="0.3">
      <c r="A167" s="3"/>
      <c r="B167" s="3"/>
      <c r="C167" s="28"/>
      <c r="D167" s="28"/>
      <c r="E167" s="28"/>
      <c r="F167" s="28"/>
      <c r="G167" s="158"/>
      <c r="H167" s="28"/>
      <c r="I167" s="28"/>
      <c r="J167" s="28"/>
      <c r="K167" s="28"/>
      <c r="L167" s="28"/>
      <c r="M167" s="28"/>
      <c r="N167" s="28"/>
      <c r="O167" s="28"/>
      <c r="P167" s="28"/>
      <c r="Q167" s="28"/>
      <c r="R167" s="28"/>
      <c r="S167" s="28"/>
      <c r="T167" s="28"/>
      <c r="U167" s="28"/>
      <c r="V167" s="28"/>
      <c r="W167" s="35"/>
      <c r="X167" s="32"/>
    </row>
    <row r="168" spans="1:24" ht="15.75" customHeight="1" x14ac:dyDescent="0.3">
      <c r="A168" s="3"/>
      <c r="B168" s="3"/>
      <c r="C168" s="28"/>
      <c r="D168" s="28"/>
      <c r="E168" s="28"/>
      <c r="F168" s="28"/>
      <c r="G168" s="158"/>
      <c r="H168" s="28"/>
      <c r="I168" s="28"/>
      <c r="J168" s="28"/>
      <c r="K168" s="28"/>
      <c r="L168" s="28"/>
      <c r="M168" s="28"/>
      <c r="N168" s="28"/>
      <c r="O168" s="28"/>
      <c r="P168" s="28"/>
      <c r="Q168" s="28"/>
      <c r="R168" s="28"/>
      <c r="S168" s="28"/>
      <c r="T168" s="28"/>
      <c r="U168" s="28"/>
      <c r="V168" s="28"/>
      <c r="W168" s="35"/>
      <c r="X168" s="32"/>
    </row>
    <row r="169" spans="1:24" ht="15.75" customHeight="1" x14ac:dyDescent="0.3">
      <c r="A169" s="3"/>
      <c r="B169" s="3"/>
      <c r="C169" s="28"/>
      <c r="D169" s="28"/>
      <c r="E169" s="28"/>
      <c r="F169" s="28"/>
      <c r="G169" s="158"/>
      <c r="H169" s="28"/>
      <c r="I169" s="28"/>
      <c r="J169" s="28"/>
      <c r="K169" s="28"/>
      <c r="L169" s="28"/>
      <c r="M169" s="28"/>
      <c r="N169" s="28"/>
      <c r="O169" s="28"/>
      <c r="P169" s="28"/>
      <c r="Q169" s="28"/>
      <c r="R169" s="28"/>
      <c r="S169" s="28"/>
      <c r="T169" s="28"/>
      <c r="U169" s="28"/>
      <c r="V169" s="28"/>
      <c r="W169" s="35"/>
      <c r="X169" s="32"/>
    </row>
    <row r="170" spans="1:24" ht="15.75" customHeight="1" x14ac:dyDescent="0.3">
      <c r="A170" s="3"/>
      <c r="B170" s="3"/>
      <c r="C170" s="28"/>
      <c r="D170" s="28"/>
      <c r="E170" s="28"/>
      <c r="F170" s="28"/>
      <c r="G170" s="158"/>
      <c r="H170" s="28"/>
      <c r="I170" s="28"/>
      <c r="J170" s="28"/>
      <c r="K170" s="28"/>
      <c r="L170" s="28"/>
      <c r="M170" s="28"/>
      <c r="N170" s="28"/>
      <c r="O170" s="28"/>
      <c r="P170" s="28"/>
      <c r="Q170" s="28"/>
      <c r="R170" s="28"/>
      <c r="S170" s="28"/>
      <c r="T170" s="28"/>
      <c r="U170" s="28"/>
      <c r="V170" s="28"/>
      <c r="W170" s="35"/>
      <c r="X170" s="32"/>
    </row>
    <row r="171" spans="1:24" ht="15.75" customHeight="1" x14ac:dyDescent="0.3">
      <c r="A171" s="3"/>
      <c r="B171" s="3"/>
      <c r="C171" s="28"/>
      <c r="D171" s="28"/>
      <c r="E171" s="28"/>
      <c r="F171" s="28"/>
      <c r="G171" s="158"/>
      <c r="H171" s="28"/>
      <c r="I171" s="28"/>
      <c r="J171" s="28"/>
      <c r="K171" s="28"/>
      <c r="L171" s="28"/>
      <c r="M171" s="28"/>
      <c r="N171" s="28"/>
      <c r="O171" s="28"/>
      <c r="P171" s="28"/>
      <c r="Q171" s="28"/>
      <c r="R171" s="28"/>
      <c r="S171" s="28"/>
      <c r="T171" s="28"/>
      <c r="U171" s="28"/>
      <c r="V171" s="28"/>
      <c r="W171" s="35"/>
      <c r="X171" s="32"/>
    </row>
    <row r="172" spans="1:24" ht="15.75" customHeight="1" x14ac:dyDescent="0.3">
      <c r="A172" s="3"/>
      <c r="B172" s="3"/>
      <c r="C172" s="28"/>
      <c r="D172" s="28"/>
      <c r="E172" s="28"/>
      <c r="F172" s="28"/>
      <c r="G172" s="158"/>
      <c r="H172" s="28"/>
      <c r="I172" s="28"/>
      <c r="J172" s="28"/>
      <c r="K172" s="28"/>
      <c r="L172" s="28"/>
      <c r="M172" s="28"/>
      <c r="N172" s="28"/>
      <c r="O172" s="28"/>
      <c r="P172" s="28"/>
      <c r="Q172" s="28"/>
      <c r="R172" s="28"/>
      <c r="S172" s="28"/>
      <c r="T172" s="28"/>
      <c r="U172" s="28"/>
      <c r="V172" s="28"/>
      <c r="W172" s="35"/>
      <c r="X172" s="32"/>
    </row>
    <row r="173" spans="1:24" ht="15.75" customHeight="1" x14ac:dyDescent="0.3">
      <c r="A173" s="3"/>
      <c r="B173" s="3"/>
      <c r="C173" s="28"/>
      <c r="D173" s="28"/>
      <c r="E173" s="28"/>
      <c r="F173" s="28"/>
      <c r="G173" s="158"/>
      <c r="H173" s="28"/>
      <c r="I173" s="28"/>
      <c r="J173" s="28"/>
      <c r="K173" s="28"/>
      <c r="L173" s="28"/>
      <c r="M173" s="28"/>
      <c r="N173" s="28"/>
      <c r="O173" s="28"/>
      <c r="P173" s="28"/>
      <c r="Q173" s="28"/>
      <c r="R173" s="28"/>
      <c r="S173" s="28"/>
      <c r="T173" s="28"/>
      <c r="U173" s="28"/>
      <c r="V173" s="28"/>
      <c r="W173" s="35"/>
      <c r="X173" s="32"/>
    </row>
    <row r="174" spans="1:24" ht="15.75" customHeight="1" x14ac:dyDescent="0.3">
      <c r="A174" s="3"/>
      <c r="B174" s="3"/>
      <c r="C174" s="28"/>
      <c r="D174" s="28"/>
      <c r="E174" s="28"/>
      <c r="F174" s="28"/>
      <c r="G174" s="158"/>
      <c r="H174" s="28"/>
      <c r="I174" s="28"/>
      <c r="J174" s="28"/>
      <c r="K174" s="28"/>
      <c r="L174" s="28"/>
      <c r="M174" s="28"/>
      <c r="N174" s="28"/>
      <c r="O174" s="28"/>
      <c r="P174" s="28"/>
      <c r="Q174" s="28"/>
      <c r="R174" s="28"/>
      <c r="S174" s="28"/>
      <c r="T174" s="28"/>
      <c r="U174" s="28"/>
      <c r="V174" s="28"/>
      <c r="W174" s="35"/>
      <c r="X174" s="32"/>
    </row>
    <row r="175" spans="1:24" ht="15.75" customHeight="1" x14ac:dyDescent="0.3">
      <c r="A175" s="3"/>
      <c r="B175" s="3"/>
      <c r="C175" s="28"/>
      <c r="D175" s="28"/>
      <c r="E175" s="28"/>
      <c r="F175" s="28"/>
      <c r="G175" s="158"/>
      <c r="H175" s="28"/>
      <c r="I175" s="28"/>
      <c r="J175" s="28"/>
      <c r="K175" s="28"/>
      <c r="L175" s="28"/>
      <c r="M175" s="28"/>
      <c r="N175" s="28"/>
      <c r="O175" s="28"/>
      <c r="P175" s="28"/>
      <c r="Q175" s="28"/>
      <c r="R175" s="28"/>
      <c r="S175" s="28"/>
      <c r="T175" s="28"/>
      <c r="U175" s="28"/>
      <c r="V175" s="28"/>
      <c r="W175" s="35"/>
      <c r="X175" s="32"/>
    </row>
    <row r="176" spans="1:24" ht="15.75" customHeight="1" x14ac:dyDescent="0.3">
      <c r="A176" s="3"/>
      <c r="B176" s="3"/>
      <c r="C176" s="28"/>
      <c r="D176" s="28"/>
      <c r="E176" s="28"/>
      <c r="F176" s="28"/>
      <c r="G176" s="158"/>
      <c r="H176" s="28"/>
      <c r="I176" s="28"/>
      <c r="J176" s="28"/>
      <c r="K176" s="28"/>
      <c r="L176" s="28"/>
      <c r="M176" s="28"/>
      <c r="N176" s="28"/>
      <c r="O176" s="28"/>
      <c r="P176" s="28"/>
      <c r="Q176" s="28"/>
      <c r="R176" s="28"/>
      <c r="S176" s="28"/>
      <c r="T176" s="28"/>
      <c r="U176" s="28"/>
      <c r="V176" s="28"/>
      <c r="W176" s="35"/>
      <c r="X176" s="32"/>
    </row>
    <row r="177" spans="1:24" ht="15.75" customHeight="1" x14ac:dyDescent="0.3">
      <c r="A177" s="3"/>
      <c r="B177" s="3"/>
      <c r="C177" s="28"/>
      <c r="D177" s="28"/>
      <c r="E177" s="28"/>
      <c r="F177" s="28"/>
      <c r="G177" s="158"/>
      <c r="H177" s="28"/>
      <c r="I177" s="28"/>
      <c r="J177" s="28"/>
      <c r="K177" s="28"/>
      <c r="L177" s="28"/>
      <c r="M177" s="28"/>
      <c r="N177" s="28"/>
      <c r="O177" s="28"/>
      <c r="P177" s="28"/>
      <c r="Q177" s="28"/>
      <c r="R177" s="28"/>
      <c r="S177" s="28"/>
      <c r="T177" s="28"/>
      <c r="U177" s="28"/>
      <c r="V177" s="28"/>
      <c r="W177" s="35"/>
      <c r="X177" s="32"/>
    </row>
    <row r="178" spans="1:24" ht="15.75" customHeight="1" x14ac:dyDescent="0.3">
      <c r="A178" s="3"/>
      <c r="B178" s="3"/>
      <c r="C178" s="28"/>
      <c r="D178" s="28"/>
      <c r="E178" s="28"/>
      <c r="F178" s="28"/>
      <c r="G178" s="158"/>
      <c r="H178" s="28"/>
      <c r="I178" s="28"/>
      <c r="J178" s="28"/>
      <c r="K178" s="28"/>
      <c r="L178" s="28"/>
      <c r="M178" s="28"/>
      <c r="N178" s="28"/>
      <c r="O178" s="28"/>
      <c r="P178" s="28"/>
      <c r="Q178" s="28"/>
      <c r="R178" s="28"/>
      <c r="S178" s="28"/>
      <c r="T178" s="28"/>
      <c r="U178" s="28"/>
      <c r="V178" s="28"/>
      <c r="W178" s="35"/>
      <c r="X178" s="32"/>
    </row>
    <row r="179" spans="1:24" ht="15.75" customHeight="1" x14ac:dyDescent="0.3">
      <c r="A179" s="3"/>
      <c r="B179" s="3"/>
      <c r="C179" s="28"/>
      <c r="D179" s="28"/>
      <c r="E179" s="28"/>
      <c r="F179" s="28"/>
      <c r="G179" s="158"/>
      <c r="H179" s="28"/>
      <c r="I179" s="28"/>
      <c r="J179" s="28"/>
      <c r="K179" s="28"/>
      <c r="L179" s="28"/>
      <c r="M179" s="28"/>
      <c r="N179" s="28"/>
      <c r="O179" s="28"/>
      <c r="P179" s="28"/>
      <c r="Q179" s="28"/>
      <c r="R179" s="28"/>
      <c r="S179" s="28"/>
      <c r="T179" s="28"/>
      <c r="U179" s="28"/>
      <c r="V179" s="28"/>
      <c r="W179" s="35"/>
      <c r="X179" s="32"/>
    </row>
    <row r="180" spans="1:24" ht="15.75" customHeight="1" x14ac:dyDescent="0.3">
      <c r="A180" s="3"/>
      <c r="B180" s="3"/>
      <c r="C180" s="28"/>
      <c r="D180" s="28"/>
      <c r="E180" s="28"/>
      <c r="F180" s="28"/>
      <c r="G180" s="158"/>
      <c r="H180" s="28"/>
      <c r="I180" s="28"/>
      <c r="J180" s="28"/>
      <c r="K180" s="28"/>
      <c r="L180" s="28"/>
      <c r="M180" s="28"/>
      <c r="N180" s="28"/>
      <c r="O180" s="28"/>
      <c r="P180" s="28"/>
      <c r="Q180" s="28"/>
      <c r="R180" s="28"/>
      <c r="S180" s="28"/>
      <c r="T180" s="28"/>
      <c r="U180" s="28"/>
      <c r="V180" s="28"/>
      <c r="W180" s="35"/>
      <c r="X180" s="32"/>
    </row>
    <row r="181" spans="1:24" ht="15.75" customHeight="1" x14ac:dyDescent="0.3">
      <c r="A181" s="3"/>
      <c r="B181" s="3"/>
      <c r="C181" s="28"/>
      <c r="D181" s="28"/>
      <c r="E181" s="28"/>
      <c r="F181" s="28"/>
      <c r="G181" s="158"/>
      <c r="H181" s="28"/>
      <c r="I181" s="28"/>
      <c r="J181" s="28"/>
      <c r="K181" s="28"/>
      <c r="L181" s="28"/>
      <c r="M181" s="28"/>
      <c r="N181" s="28"/>
      <c r="O181" s="28"/>
      <c r="P181" s="28"/>
      <c r="Q181" s="28"/>
      <c r="R181" s="28"/>
      <c r="S181" s="28"/>
      <c r="T181" s="28"/>
      <c r="U181" s="28"/>
      <c r="V181" s="28"/>
      <c r="W181" s="35"/>
      <c r="X181" s="32"/>
    </row>
    <row r="182" spans="1:24" ht="15.75" customHeight="1" x14ac:dyDescent="0.3">
      <c r="A182" s="3"/>
      <c r="B182" s="3"/>
      <c r="C182" s="28"/>
      <c r="D182" s="28"/>
      <c r="E182" s="28"/>
      <c r="F182" s="28"/>
      <c r="G182" s="158"/>
      <c r="H182" s="28"/>
      <c r="I182" s="28"/>
      <c r="J182" s="28"/>
      <c r="K182" s="28"/>
      <c r="L182" s="28"/>
      <c r="M182" s="28"/>
      <c r="N182" s="28"/>
      <c r="O182" s="28"/>
      <c r="P182" s="28"/>
      <c r="Q182" s="28"/>
      <c r="R182" s="28"/>
      <c r="S182" s="28"/>
      <c r="T182" s="28"/>
      <c r="U182" s="28"/>
      <c r="V182" s="28"/>
      <c r="W182" s="35"/>
      <c r="X182" s="32"/>
    </row>
    <row r="183" spans="1:24" ht="15.75" customHeight="1" x14ac:dyDescent="0.3">
      <c r="A183" s="3"/>
      <c r="B183" s="3"/>
      <c r="C183" s="28"/>
      <c r="D183" s="28"/>
      <c r="E183" s="28"/>
      <c r="F183" s="28"/>
      <c r="G183" s="158"/>
      <c r="H183" s="28"/>
      <c r="I183" s="28"/>
      <c r="J183" s="28"/>
      <c r="K183" s="28"/>
      <c r="L183" s="28"/>
      <c r="M183" s="28"/>
      <c r="N183" s="28"/>
      <c r="O183" s="28"/>
      <c r="P183" s="28"/>
      <c r="Q183" s="28"/>
      <c r="R183" s="28"/>
      <c r="S183" s="28"/>
      <c r="T183" s="28"/>
      <c r="U183" s="28"/>
      <c r="V183" s="28"/>
      <c r="W183" s="35"/>
      <c r="X183" s="32"/>
    </row>
    <row r="184" spans="1:24" ht="15.75" customHeight="1" x14ac:dyDescent="0.3">
      <c r="A184" s="3"/>
      <c r="B184" s="3"/>
      <c r="C184" s="28"/>
      <c r="D184" s="28"/>
      <c r="E184" s="28"/>
      <c r="F184" s="28"/>
      <c r="G184" s="158"/>
      <c r="H184" s="28"/>
      <c r="I184" s="28"/>
      <c r="J184" s="28"/>
      <c r="K184" s="28"/>
      <c r="L184" s="28"/>
      <c r="M184" s="28"/>
      <c r="N184" s="28"/>
      <c r="O184" s="28"/>
      <c r="P184" s="28"/>
      <c r="Q184" s="28"/>
      <c r="R184" s="28"/>
      <c r="S184" s="28"/>
      <c r="T184" s="28"/>
      <c r="U184" s="28"/>
      <c r="V184" s="28"/>
      <c r="W184" s="35"/>
      <c r="X184" s="32"/>
    </row>
    <row r="185" spans="1:24" ht="15.75" customHeight="1" x14ac:dyDescent="0.3">
      <c r="A185" s="3"/>
      <c r="B185" s="3"/>
      <c r="C185" s="28"/>
      <c r="D185" s="28"/>
      <c r="E185" s="28"/>
      <c r="F185" s="28"/>
      <c r="G185" s="158"/>
      <c r="H185" s="28"/>
      <c r="I185" s="28"/>
      <c r="J185" s="28"/>
      <c r="K185" s="28"/>
      <c r="L185" s="28"/>
      <c r="M185" s="28"/>
      <c r="N185" s="28"/>
      <c r="O185" s="28"/>
      <c r="P185" s="28"/>
      <c r="Q185" s="28"/>
      <c r="R185" s="28"/>
      <c r="S185" s="28"/>
      <c r="T185" s="28"/>
      <c r="U185" s="28"/>
      <c r="V185" s="28"/>
      <c r="W185" s="35"/>
      <c r="X185" s="32"/>
    </row>
    <row r="186" spans="1:24" ht="15.75" customHeight="1" x14ac:dyDescent="0.3">
      <c r="A186" s="3"/>
      <c r="B186" s="3"/>
      <c r="C186" s="28"/>
      <c r="D186" s="28"/>
      <c r="E186" s="28"/>
      <c r="F186" s="28"/>
      <c r="G186" s="158"/>
      <c r="H186" s="28"/>
      <c r="I186" s="28"/>
      <c r="J186" s="28"/>
      <c r="K186" s="28"/>
      <c r="L186" s="28"/>
      <c r="M186" s="28"/>
      <c r="N186" s="28"/>
      <c r="O186" s="28"/>
      <c r="P186" s="28"/>
      <c r="Q186" s="28"/>
      <c r="R186" s="28"/>
      <c r="S186" s="28"/>
      <c r="T186" s="28"/>
      <c r="U186" s="28"/>
      <c r="V186" s="28"/>
      <c r="W186" s="35"/>
      <c r="X186" s="32"/>
    </row>
    <row r="187" spans="1:24" ht="15.75" customHeight="1" x14ac:dyDescent="0.3">
      <c r="A187" s="3"/>
      <c r="B187" s="3"/>
      <c r="C187" s="28"/>
      <c r="D187" s="28"/>
      <c r="E187" s="28"/>
      <c r="F187" s="28"/>
      <c r="G187" s="158"/>
      <c r="H187" s="28"/>
      <c r="I187" s="28"/>
      <c r="J187" s="28"/>
      <c r="K187" s="28"/>
      <c r="L187" s="28"/>
      <c r="M187" s="28"/>
      <c r="N187" s="28"/>
      <c r="O187" s="28"/>
      <c r="P187" s="28"/>
      <c r="Q187" s="28"/>
      <c r="R187" s="28"/>
      <c r="S187" s="28"/>
      <c r="T187" s="28"/>
      <c r="U187" s="28"/>
      <c r="V187" s="28"/>
      <c r="W187" s="35"/>
      <c r="X187" s="32"/>
    </row>
    <row r="188" spans="1:24" ht="15.75" customHeight="1" x14ac:dyDescent="0.3">
      <c r="A188" s="3"/>
      <c r="B188" s="3"/>
      <c r="C188" s="28"/>
      <c r="D188" s="28"/>
      <c r="E188" s="28"/>
      <c r="F188" s="28"/>
      <c r="G188" s="158"/>
      <c r="H188" s="28"/>
      <c r="I188" s="28"/>
      <c r="J188" s="28"/>
      <c r="K188" s="28"/>
      <c r="L188" s="28"/>
      <c r="M188" s="28"/>
      <c r="N188" s="28"/>
      <c r="O188" s="28"/>
      <c r="P188" s="28"/>
      <c r="Q188" s="28"/>
      <c r="R188" s="28"/>
      <c r="S188" s="28"/>
      <c r="T188" s="28"/>
      <c r="U188" s="28"/>
      <c r="V188" s="28"/>
      <c r="W188" s="35"/>
      <c r="X188" s="32"/>
    </row>
    <row r="189" spans="1:24" ht="15.75" customHeight="1" x14ac:dyDescent="0.3">
      <c r="A189" s="3"/>
      <c r="B189" s="3"/>
      <c r="C189" s="28"/>
      <c r="D189" s="28"/>
      <c r="E189" s="28"/>
      <c r="F189" s="28"/>
      <c r="G189" s="158"/>
      <c r="H189" s="28"/>
      <c r="I189" s="28"/>
      <c r="J189" s="28"/>
      <c r="K189" s="28"/>
      <c r="L189" s="28"/>
      <c r="M189" s="28"/>
      <c r="N189" s="28"/>
      <c r="O189" s="28"/>
      <c r="P189" s="28"/>
      <c r="Q189" s="28"/>
      <c r="R189" s="28"/>
      <c r="S189" s="28"/>
      <c r="T189" s="28"/>
      <c r="U189" s="28"/>
      <c r="V189" s="28"/>
      <c r="W189" s="35"/>
      <c r="X189" s="32"/>
    </row>
    <row r="190" spans="1:24" ht="15.75" customHeight="1" x14ac:dyDescent="0.3">
      <c r="A190" s="3"/>
      <c r="B190" s="3"/>
      <c r="C190" s="28"/>
      <c r="D190" s="28"/>
      <c r="E190" s="28"/>
      <c r="F190" s="28"/>
      <c r="G190" s="158"/>
      <c r="H190" s="28"/>
      <c r="I190" s="28"/>
      <c r="J190" s="28"/>
      <c r="K190" s="28"/>
      <c r="L190" s="28"/>
      <c r="M190" s="28"/>
      <c r="N190" s="28"/>
      <c r="O190" s="28"/>
      <c r="P190" s="28"/>
      <c r="Q190" s="28"/>
      <c r="R190" s="28"/>
      <c r="S190" s="28"/>
      <c r="T190" s="28"/>
      <c r="U190" s="28"/>
      <c r="V190" s="28"/>
      <c r="W190" s="35"/>
      <c r="X190" s="32"/>
    </row>
    <row r="191" spans="1:24" ht="15.75" customHeight="1" x14ac:dyDescent="0.3">
      <c r="A191" s="3"/>
      <c r="B191" s="3"/>
      <c r="C191" s="28"/>
      <c r="D191" s="28"/>
      <c r="E191" s="28"/>
      <c r="F191" s="28"/>
      <c r="G191" s="158"/>
      <c r="H191" s="28"/>
      <c r="I191" s="28"/>
      <c r="J191" s="28"/>
      <c r="K191" s="28"/>
      <c r="L191" s="28"/>
      <c r="M191" s="28"/>
      <c r="N191" s="28"/>
      <c r="O191" s="28"/>
      <c r="P191" s="28"/>
      <c r="Q191" s="28"/>
      <c r="R191" s="28"/>
      <c r="S191" s="28"/>
      <c r="T191" s="28"/>
      <c r="U191" s="28"/>
      <c r="V191" s="28"/>
      <c r="W191" s="35"/>
      <c r="X191" s="32"/>
    </row>
    <row r="192" spans="1:24" ht="15.75" customHeight="1" x14ac:dyDescent="0.3">
      <c r="A192" s="3"/>
      <c r="B192" s="3"/>
      <c r="C192" s="28"/>
      <c r="D192" s="28"/>
      <c r="E192" s="28"/>
      <c r="F192" s="28"/>
      <c r="G192" s="158"/>
      <c r="H192" s="28"/>
      <c r="I192" s="28"/>
      <c r="J192" s="28"/>
      <c r="K192" s="28"/>
      <c r="L192" s="28"/>
      <c r="M192" s="28"/>
      <c r="N192" s="28"/>
      <c r="O192" s="28"/>
      <c r="P192" s="28"/>
      <c r="Q192" s="28"/>
      <c r="R192" s="28"/>
      <c r="S192" s="28"/>
      <c r="T192" s="28"/>
      <c r="U192" s="28"/>
      <c r="V192" s="28"/>
      <c r="W192" s="35"/>
      <c r="X192" s="32"/>
    </row>
    <row r="193" spans="1:24" ht="15.75" customHeight="1" x14ac:dyDescent="0.3">
      <c r="A193" s="3"/>
      <c r="B193" s="3"/>
      <c r="C193" s="28"/>
      <c r="D193" s="28"/>
      <c r="E193" s="28"/>
      <c r="F193" s="28"/>
      <c r="G193" s="158"/>
      <c r="H193" s="28"/>
      <c r="I193" s="28"/>
      <c r="J193" s="28"/>
      <c r="K193" s="28"/>
      <c r="L193" s="28"/>
      <c r="M193" s="28"/>
      <c r="N193" s="28"/>
      <c r="O193" s="28"/>
      <c r="P193" s="28"/>
      <c r="Q193" s="28"/>
      <c r="R193" s="28"/>
      <c r="S193" s="28"/>
      <c r="T193" s="28"/>
      <c r="U193" s="28"/>
      <c r="V193" s="28"/>
      <c r="W193" s="35"/>
      <c r="X193" s="32"/>
    </row>
    <row r="194" spans="1:24" ht="15.75" customHeight="1" x14ac:dyDescent="0.3">
      <c r="A194" s="3"/>
      <c r="B194" s="3"/>
      <c r="C194" s="28"/>
      <c r="D194" s="28"/>
      <c r="E194" s="28"/>
      <c r="F194" s="28"/>
      <c r="G194" s="158"/>
      <c r="H194" s="28"/>
      <c r="I194" s="28"/>
      <c r="J194" s="28"/>
      <c r="K194" s="28"/>
      <c r="L194" s="28"/>
      <c r="M194" s="28"/>
      <c r="N194" s="28"/>
      <c r="O194" s="28"/>
      <c r="P194" s="28"/>
      <c r="Q194" s="28"/>
      <c r="R194" s="28"/>
      <c r="S194" s="28"/>
      <c r="T194" s="28"/>
      <c r="U194" s="28"/>
      <c r="V194" s="28"/>
      <c r="W194" s="35"/>
      <c r="X194" s="32"/>
    </row>
    <row r="195" spans="1:24" ht="15.75" customHeight="1" x14ac:dyDescent="0.3">
      <c r="A195" s="3"/>
      <c r="B195" s="3"/>
      <c r="C195" s="28"/>
      <c r="D195" s="28"/>
      <c r="E195" s="28"/>
      <c r="F195" s="28"/>
      <c r="G195" s="158"/>
      <c r="H195" s="28"/>
      <c r="I195" s="28"/>
      <c r="J195" s="28"/>
      <c r="K195" s="28"/>
      <c r="L195" s="28"/>
      <c r="M195" s="28"/>
      <c r="N195" s="28"/>
      <c r="O195" s="28"/>
      <c r="P195" s="28"/>
      <c r="Q195" s="28"/>
      <c r="R195" s="28"/>
      <c r="S195" s="28"/>
      <c r="T195" s="28"/>
      <c r="U195" s="28"/>
      <c r="V195" s="28"/>
      <c r="W195" s="35"/>
      <c r="X195" s="32"/>
    </row>
    <row r="196" spans="1:24" ht="15.75" customHeight="1" x14ac:dyDescent="0.3">
      <c r="A196" s="3"/>
      <c r="B196" s="3"/>
      <c r="C196" s="28"/>
      <c r="D196" s="28"/>
      <c r="E196" s="28"/>
      <c r="F196" s="28"/>
      <c r="G196" s="158"/>
      <c r="H196" s="28"/>
      <c r="I196" s="28"/>
      <c r="J196" s="28"/>
      <c r="K196" s="28"/>
      <c r="L196" s="28"/>
      <c r="M196" s="28"/>
      <c r="N196" s="28"/>
      <c r="O196" s="28"/>
      <c r="P196" s="28"/>
      <c r="Q196" s="28"/>
      <c r="R196" s="28"/>
      <c r="S196" s="28"/>
      <c r="T196" s="28"/>
      <c r="U196" s="28"/>
      <c r="V196" s="28"/>
      <c r="W196" s="35"/>
      <c r="X196" s="32"/>
    </row>
    <row r="197" spans="1:24" ht="15.75" customHeight="1" x14ac:dyDescent="0.3">
      <c r="A197" s="3"/>
      <c r="B197" s="3"/>
      <c r="C197" s="28"/>
      <c r="D197" s="28"/>
      <c r="E197" s="28"/>
      <c r="F197" s="28"/>
      <c r="G197" s="158"/>
      <c r="H197" s="28"/>
      <c r="I197" s="28"/>
      <c r="J197" s="28"/>
      <c r="K197" s="28"/>
      <c r="L197" s="28"/>
      <c r="M197" s="28"/>
      <c r="N197" s="28"/>
      <c r="O197" s="28"/>
      <c r="P197" s="28"/>
      <c r="Q197" s="28"/>
      <c r="R197" s="28"/>
      <c r="S197" s="28"/>
      <c r="T197" s="28"/>
      <c r="U197" s="28"/>
      <c r="V197" s="28"/>
      <c r="W197" s="35"/>
      <c r="X197" s="32"/>
    </row>
    <row r="198" spans="1:24" ht="15.75" customHeight="1" x14ac:dyDescent="0.3">
      <c r="A198" s="3"/>
      <c r="B198" s="3"/>
      <c r="C198" s="28"/>
      <c r="D198" s="28"/>
      <c r="E198" s="28"/>
      <c r="F198" s="28"/>
      <c r="G198" s="158"/>
      <c r="H198" s="28"/>
      <c r="I198" s="28"/>
      <c r="J198" s="28"/>
      <c r="K198" s="28"/>
      <c r="L198" s="28"/>
      <c r="M198" s="28"/>
      <c r="N198" s="28"/>
      <c r="O198" s="28"/>
      <c r="P198" s="28"/>
      <c r="Q198" s="28"/>
      <c r="R198" s="28"/>
      <c r="S198" s="28"/>
      <c r="T198" s="28"/>
      <c r="U198" s="28"/>
      <c r="V198" s="28"/>
      <c r="W198" s="35"/>
      <c r="X198" s="32"/>
    </row>
    <row r="199" spans="1:24" ht="15.75" customHeight="1" x14ac:dyDescent="0.3">
      <c r="A199" s="3"/>
      <c r="B199" s="3"/>
      <c r="C199" s="28"/>
      <c r="D199" s="28"/>
      <c r="E199" s="28"/>
      <c r="F199" s="28"/>
      <c r="G199" s="158"/>
      <c r="H199" s="28"/>
      <c r="I199" s="28"/>
      <c r="J199" s="28"/>
      <c r="K199" s="28"/>
      <c r="L199" s="28"/>
      <c r="M199" s="28"/>
      <c r="N199" s="28"/>
      <c r="O199" s="28"/>
      <c r="P199" s="28"/>
      <c r="Q199" s="28"/>
      <c r="R199" s="28"/>
      <c r="S199" s="28"/>
      <c r="T199" s="28"/>
      <c r="U199" s="28"/>
      <c r="V199" s="28"/>
      <c r="W199" s="35"/>
      <c r="X199" s="32"/>
    </row>
    <row r="200" spans="1:24" ht="15.75" customHeight="1" x14ac:dyDescent="0.3">
      <c r="A200" s="3"/>
      <c r="B200" s="3"/>
      <c r="C200" s="28"/>
      <c r="D200" s="28"/>
      <c r="E200" s="28"/>
      <c r="F200" s="28"/>
      <c r="G200" s="158"/>
      <c r="H200" s="28"/>
      <c r="I200" s="28"/>
      <c r="J200" s="28"/>
      <c r="K200" s="28"/>
      <c r="L200" s="28"/>
      <c r="M200" s="28"/>
      <c r="N200" s="28"/>
      <c r="O200" s="28"/>
      <c r="P200" s="28"/>
      <c r="Q200" s="28"/>
      <c r="R200" s="28"/>
      <c r="S200" s="28"/>
      <c r="T200" s="28"/>
      <c r="U200" s="28"/>
      <c r="V200" s="28"/>
      <c r="W200" s="35"/>
      <c r="X200" s="32"/>
    </row>
    <row r="201" spans="1:24" ht="15.75" customHeight="1" x14ac:dyDescent="0.3">
      <c r="A201" s="3"/>
      <c r="B201" s="3"/>
      <c r="C201" s="28"/>
      <c r="D201" s="28"/>
      <c r="E201" s="28"/>
      <c r="F201" s="28"/>
      <c r="G201" s="158"/>
      <c r="H201" s="28"/>
      <c r="I201" s="28"/>
      <c r="J201" s="28"/>
      <c r="K201" s="28"/>
      <c r="L201" s="28"/>
      <c r="M201" s="28"/>
      <c r="N201" s="28"/>
      <c r="O201" s="28"/>
      <c r="P201" s="28"/>
      <c r="Q201" s="28"/>
      <c r="R201" s="28"/>
      <c r="S201" s="28"/>
      <c r="T201" s="28"/>
      <c r="U201" s="28"/>
      <c r="V201" s="28"/>
      <c r="W201" s="35"/>
      <c r="X201" s="32"/>
    </row>
    <row r="202" spans="1:24" ht="15.75" customHeight="1" x14ac:dyDescent="0.3">
      <c r="A202" s="3"/>
      <c r="B202" s="3"/>
      <c r="C202" s="28"/>
      <c r="D202" s="28"/>
      <c r="E202" s="28"/>
      <c r="F202" s="28"/>
      <c r="G202" s="158"/>
      <c r="H202" s="28"/>
      <c r="I202" s="28"/>
      <c r="J202" s="28"/>
      <c r="K202" s="28"/>
      <c r="L202" s="28"/>
      <c r="M202" s="28"/>
      <c r="N202" s="28"/>
      <c r="O202" s="28"/>
      <c r="P202" s="28"/>
      <c r="Q202" s="28"/>
      <c r="R202" s="28"/>
      <c r="S202" s="28"/>
      <c r="T202" s="28"/>
      <c r="U202" s="28"/>
      <c r="V202" s="28"/>
      <c r="W202" s="35"/>
      <c r="X202" s="32"/>
    </row>
    <row r="203" spans="1:24" ht="15.75" customHeight="1" x14ac:dyDescent="0.3">
      <c r="A203" s="3"/>
      <c r="B203" s="3"/>
      <c r="C203" s="28"/>
      <c r="D203" s="28"/>
      <c r="E203" s="28"/>
      <c r="F203" s="28"/>
      <c r="G203" s="158"/>
      <c r="H203" s="28"/>
      <c r="I203" s="28"/>
      <c r="J203" s="28"/>
      <c r="K203" s="28"/>
      <c r="L203" s="28"/>
      <c r="M203" s="28"/>
      <c r="N203" s="28"/>
      <c r="O203" s="28"/>
      <c r="P203" s="28"/>
      <c r="Q203" s="28"/>
      <c r="R203" s="28"/>
      <c r="S203" s="28"/>
      <c r="T203" s="28"/>
      <c r="U203" s="28"/>
      <c r="V203" s="28"/>
      <c r="W203" s="35"/>
      <c r="X203" s="32"/>
    </row>
    <row r="204" spans="1:24" ht="15.75" customHeight="1" x14ac:dyDescent="0.3">
      <c r="A204" s="3"/>
      <c r="B204" s="3"/>
      <c r="C204" s="28"/>
      <c r="D204" s="28"/>
      <c r="E204" s="28"/>
      <c r="F204" s="28"/>
      <c r="G204" s="158"/>
      <c r="H204" s="28"/>
      <c r="I204" s="28"/>
      <c r="J204" s="28"/>
      <c r="K204" s="28"/>
      <c r="L204" s="28"/>
      <c r="M204" s="28"/>
      <c r="N204" s="28"/>
      <c r="O204" s="28"/>
      <c r="P204" s="28"/>
      <c r="Q204" s="28"/>
      <c r="R204" s="28"/>
      <c r="S204" s="28"/>
      <c r="T204" s="28"/>
      <c r="U204" s="28"/>
      <c r="V204" s="28"/>
      <c r="W204" s="35"/>
      <c r="X204" s="32"/>
    </row>
    <row r="205" spans="1:24" ht="15.75" customHeight="1" x14ac:dyDescent="0.3">
      <c r="A205" s="3"/>
      <c r="B205" s="3"/>
      <c r="C205" s="28"/>
      <c r="D205" s="28"/>
      <c r="E205" s="28"/>
      <c r="F205" s="28"/>
      <c r="G205" s="158"/>
      <c r="H205" s="28"/>
      <c r="I205" s="28"/>
      <c r="J205" s="28"/>
      <c r="K205" s="28"/>
      <c r="L205" s="28"/>
      <c r="M205" s="28"/>
      <c r="N205" s="28"/>
      <c r="O205" s="28"/>
      <c r="P205" s="28"/>
      <c r="Q205" s="28"/>
      <c r="R205" s="28"/>
      <c r="S205" s="28"/>
      <c r="T205" s="28"/>
      <c r="U205" s="28"/>
      <c r="V205" s="28"/>
      <c r="W205" s="35"/>
      <c r="X205" s="32"/>
    </row>
    <row r="206" spans="1:24" ht="15.75" customHeight="1" x14ac:dyDescent="0.3">
      <c r="A206" s="3"/>
      <c r="B206" s="3"/>
      <c r="C206" s="28"/>
      <c r="D206" s="28"/>
      <c r="E206" s="28"/>
      <c r="F206" s="28"/>
      <c r="G206" s="158"/>
      <c r="H206" s="28"/>
      <c r="I206" s="28"/>
      <c r="J206" s="28"/>
      <c r="K206" s="28"/>
      <c r="L206" s="28"/>
      <c r="M206" s="28"/>
      <c r="N206" s="28"/>
      <c r="O206" s="28"/>
      <c r="P206" s="28"/>
      <c r="Q206" s="28"/>
      <c r="R206" s="28"/>
      <c r="S206" s="28"/>
      <c r="T206" s="28"/>
      <c r="U206" s="28"/>
      <c r="V206" s="28"/>
      <c r="W206" s="35"/>
      <c r="X206" s="32"/>
    </row>
    <row r="207" spans="1:24" ht="15.75" customHeight="1" x14ac:dyDescent="0.3">
      <c r="A207" s="3"/>
      <c r="B207" s="3"/>
      <c r="C207" s="28"/>
      <c r="D207" s="28"/>
      <c r="E207" s="28"/>
      <c r="F207" s="28"/>
      <c r="G207" s="158"/>
      <c r="H207" s="28"/>
      <c r="I207" s="28"/>
      <c r="J207" s="28"/>
      <c r="K207" s="28"/>
      <c r="L207" s="28"/>
      <c r="M207" s="28"/>
      <c r="N207" s="28"/>
      <c r="O207" s="28"/>
      <c r="P207" s="28"/>
      <c r="Q207" s="28"/>
      <c r="R207" s="28"/>
      <c r="S207" s="28"/>
      <c r="T207" s="28"/>
      <c r="U207" s="28"/>
      <c r="V207" s="28"/>
      <c r="W207" s="35"/>
      <c r="X207" s="32"/>
    </row>
    <row r="208" spans="1:24" ht="15.75" customHeight="1" x14ac:dyDescent="0.3">
      <c r="A208" s="3"/>
      <c r="B208" s="3"/>
      <c r="C208" s="28"/>
      <c r="D208" s="28"/>
      <c r="E208" s="28"/>
      <c r="F208" s="28"/>
      <c r="G208" s="158"/>
      <c r="H208" s="28"/>
      <c r="I208" s="28"/>
      <c r="J208" s="28"/>
      <c r="K208" s="28"/>
      <c r="L208" s="28"/>
      <c r="M208" s="28"/>
      <c r="N208" s="28"/>
      <c r="O208" s="28"/>
      <c r="P208" s="28"/>
      <c r="Q208" s="28"/>
      <c r="R208" s="28"/>
      <c r="S208" s="28"/>
      <c r="T208" s="28"/>
      <c r="U208" s="28"/>
      <c r="V208" s="28"/>
      <c r="W208" s="35"/>
      <c r="X208" s="32"/>
    </row>
    <row r="209" spans="1:24" ht="15.75" customHeight="1" x14ac:dyDescent="0.3">
      <c r="A209" s="3"/>
      <c r="B209" s="3"/>
      <c r="C209" s="28"/>
      <c r="D209" s="28"/>
      <c r="E209" s="28"/>
      <c r="F209" s="28"/>
      <c r="G209" s="158"/>
      <c r="H209" s="28"/>
      <c r="I209" s="28"/>
      <c r="J209" s="28"/>
      <c r="K209" s="28"/>
      <c r="L209" s="28"/>
      <c r="M209" s="28"/>
      <c r="N209" s="28"/>
      <c r="O209" s="28"/>
      <c r="P209" s="28"/>
      <c r="Q209" s="28"/>
      <c r="R209" s="28"/>
      <c r="S209" s="28"/>
      <c r="T209" s="28"/>
      <c r="U209" s="28"/>
      <c r="V209" s="28"/>
      <c r="W209" s="35"/>
      <c r="X209" s="32"/>
    </row>
    <row r="210" spans="1:24" ht="15.75" customHeight="1" x14ac:dyDescent="0.3">
      <c r="A210" s="3"/>
      <c r="B210" s="3"/>
      <c r="C210" s="28"/>
      <c r="D210" s="28"/>
      <c r="E210" s="28"/>
      <c r="F210" s="28"/>
      <c r="G210" s="158"/>
      <c r="H210" s="28"/>
      <c r="I210" s="28"/>
      <c r="J210" s="28"/>
      <c r="K210" s="28"/>
      <c r="L210" s="28"/>
      <c r="M210" s="28"/>
      <c r="N210" s="28"/>
      <c r="O210" s="28"/>
      <c r="P210" s="28"/>
      <c r="Q210" s="28"/>
      <c r="R210" s="28"/>
      <c r="S210" s="28"/>
      <c r="T210" s="28"/>
      <c r="U210" s="28"/>
      <c r="V210" s="28"/>
      <c r="W210" s="35"/>
      <c r="X210" s="32"/>
    </row>
    <row r="211" spans="1:24" ht="15.75" customHeight="1" x14ac:dyDescent="0.3">
      <c r="A211" s="3"/>
      <c r="B211" s="3"/>
      <c r="C211" s="28"/>
      <c r="D211" s="28"/>
      <c r="E211" s="28"/>
      <c r="F211" s="28"/>
      <c r="G211" s="158"/>
      <c r="H211" s="28"/>
      <c r="I211" s="28"/>
      <c r="J211" s="28"/>
      <c r="K211" s="28"/>
      <c r="L211" s="28"/>
      <c r="M211" s="28"/>
      <c r="N211" s="28"/>
      <c r="O211" s="28"/>
      <c r="P211" s="28"/>
      <c r="Q211" s="28"/>
      <c r="R211" s="28"/>
      <c r="S211" s="28"/>
      <c r="T211" s="28"/>
      <c r="U211" s="28"/>
      <c r="V211" s="28"/>
      <c r="W211" s="35"/>
      <c r="X211" s="32"/>
    </row>
    <row r="212" spans="1:24" ht="15.75" customHeight="1" x14ac:dyDescent="0.3">
      <c r="A212" s="3"/>
      <c r="B212" s="3"/>
      <c r="C212" s="28"/>
      <c r="D212" s="28"/>
      <c r="E212" s="28"/>
      <c r="F212" s="28"/>
      <c r="G212" s="158"/>
      <c r="H212" s="28"/>
      <c r="I212" s="28"/>
      <c r="J212" s="28"/>
      <c r="K212" s="28"/>
      <c r="L212" s="28"/>
      <c r="M212" s="28"/>
      <c r="N212" s="28"/>
      <c r="O212" s="28"/>
      <c r="P212" s="28"/>
      <c r="Q212" s="28"/>
      <c r="R212" s="28"/>
      <c r="S212" s="28"/>
      <c r="T212" s="28"/>
      <c r="U212" s="28"/>
      <c r="V212" s="28"/>
      <c r="W212" s="35"/>
      <c r="X212" s="32"/>
    </row>
    <row r="213" spans="1:24" ht="15.75" customHeight="1" x14ac:dyDescent="0.3">
      <c r="A213" s="3"/>
      <c r="B213" s="3"/>
      <c r="C213" s="28"/>
      <c r="D213" s="28"/>
      <c r="E213" s="28"/>
      <c r="F213" s="28"/>
      <c r="G213" s="158"/>
      <c r="H213" s="28"/>
      <c r="I213" s="28"/>
      <c r="J213" s="28"/>
      <c r="K213" s="28"/>
      <c r="L213" s="28"/>
      <c r="M213" s="28"/>
      <c r="N213" s="28"/>
      <c r="O213" s="28"/>
      <c r="P213" s="28"/>
      <c r="Q213" s="28"/>
      <c r="R213" s="28"/>
      <c r="S213" s="28"/>
      <c r="T213" s="28"/>
      <c r="U213" s="28"/>
      <c r="V213" s="28"/>
      <c r="W213" s="35"/>
      <c r="X213" s="32"/>
    </row>
    <row r="214" spans="1:24" ht="15.75" customHeight="1" x14ac:dyDescent="0.3">
      <c r="A214" s="3"/>
      <c r="B214" s="3"/>
      <c r="C214" s="28"/>
      <c r="D214" s="28"/>
      <c r="E214" s="28"/>
      <c r="F214" s="28"/>
      <c r="G214" s="158"/>
      <c r="H214" s="28"/>
      <c r="I214" s="28"/>
      <c r="J214" s="28"/>
      <c r="K214" s="28"/>
      <c r="L214" s="28"/>
      <c r="M214" s="28"/>
      <c r="N214" s="28"/>
      <c r="O214" s="28"/>
      <c r="P214" s="28"/>
      <c r="Q214" s="28"/>
      <c r="R214" s="28"/>
      <c r="S214" s="28"/>
      <c r="T214" s="28"/>
      <c r="U214" s="28"/>
      <c r="V214" s="28"/>
      <c r="W214" s="35"/>
      <c r="X214" s="32"/>
    </row>
    <row r="215" spans="1:24" ht="15.75" customHeight="1" x14ac:dyDescent="0.3">
      <c r="A215" s="3"/>
      <c r="B215" s="3"/>
      <c r="C215" s="28"/>
      <c r="D215" s="28"/>
      <c r="E215" s="28"/>
      <c r="F215" s="28"/>
      <c r="G215" s="158"/>
      <c r="H215" s="28"/>
      <c r="I215" s="28"/>
      <c r="J215" s="28"/>
      <c r="K215" s="28"/>
      <c r="L215" s="28"/>
      <c r="M215" s="28"/>
      <c r="N215" s="28"/>
      <c r="O215" s="28"/>
      <c r="P215" s="28"/>
      <c r="Q215" s="28"/>
      <c r="R215" s="28"/>
      <c r="S215" s="28"/>
      <c r="T215" s="28"/>
      <c r="U215" s="28"/>
      <c r="V215" s="28"/>
      <c r="W215" s="35"/>
      <c r="X215" s="32"/>
    </row>
    <row r="216" spans="1:24" ht="15.75" customHeight="1" x14ac:dyDescent="0.3">
      <c r="A216" s="3"/>
      <c r="B216" s="3"/>
      <c r="C216" s="28"/>
      <c r="D216" s="28"/>
      <c r="E216" s="28"/>
      <c r="F216" s="28"/>
      <c r="G216" s="158"/>
      <c r="H216" s="28"/>
      <c r="I216" s="28"/>
      <c r="J216" s="28"/>
      <c r="K216" s="28"/>
      <c r="L216" s="28"/>
      <c r="M216" s="28"/>
      <c r="N216" s="28"/>
      <c r="O216" s="28"/>
      <c r="P216" s="28"/>
      <c r="Q216" s="28"/>
      <c r="R216" s="28"/>
      <c r="S216" s="28"/>
      <c r="T216" s="28"/>
      <c r="U216" s="28"/>
      <c r="V216" s="28"/>
      <c r="W216" s="35"/>
      <c r="X216" s="32"/>
    </row>
    <row r="217" spans="1:24" ht="15.75" customHeight="1" x14ac:dyDescent="0.3">
      <c r="A217" s="3"/>
      <c r="B217" s="3"/>
      <c r="C217" s="28"/>
      <c r="D217" s="28"/>
      <c r="E217" s="28"/>
      <c r="F217" s="28"/>
      <c r="G217" s="158"/>
      <c r="H217" s="28"/>
      <c r="I217" s="28"/>
      <c r="J217" s="28"/>
      <c r="K217" s="28"/>
      <c r="L217" s="28"/>
      <c r="M217" s="28"/>
      <c r="N217" s="28"/>
      <c r="O217" s="28"/>
      <c r="P217" s="28"/>
      <c r="Q217" s="28"/>
      <c r="R217" s="28"/>
      <c r="S217" s="28"/>
      <c r="T217" s="28"/>
      <c r="U217" s="28"/>
      <c r="V217" s="28"/>
      <c r="W217" s="35"/>
      <c r="X217" s="32"/>
    </row>
    <row r="218" spans="1:24" ht="15.75" customHeight="1" x14ac:dyDescent="0.3">
      <c r="A218" s="3"/>
      <c r="B218" s="3"/>
      <c r="C218" s="28"/>
      <c r="D218" s="28"/>
      <c r="E218" s="28"/>
      <c r="F218" s="28"/>
      <c r="G218" s="158"/>
      <c r="H218" s="28"/>
      <c r="I218" s="28"/>
      <c r="J218" s="28"/>
      <c r="K218" s="28"/>
      <c r="L218" s="28"/>
      <c r="M218" s="28"/>
      <c r="N218" s="28"/>
      <c r="O218" s="28"/>
      <c r="P218" s="28"/>
      <c r="Q218" s="28"/>
      <c r="R218" s="28"/>
      <c r="S218" s="28"/>
      <c r="T218" s="28"/>
      <c r="U218" s="28"/>
      <c r="V218" s="28"/>
      <c r="W218" s="35"/>
      <c r="X218" s="32"/>
    </row>
    <row r="219" spans="1:24" ht="15.75" customHeight="1" x14ac:dyDescent="0.3">
      <c r="A219" s="3"/>
      <c r="B219" s="3"/>
      <c r="C219" s="28"/>
      <c r="D219" s="28"/>
      <c r="E219" s="28"/>
      <c r="F219" s="28"/>
      <c r="G219" s="158"/>
      <c r="H219" s="28"/>
      <c r="I219" s="28"/>
      <c r="J219" s="28"/>
      <c r="K219" s="28"/>
      <c r="L219" s="28"/>
      <c r="M219" s="28"/>
      <c r="N219" s="28"/>
      <c r="O219" s="28"/>
      <c r="P219" s="28"/>
      <c r="Q219" s="28"/>
      <c r="R219" s="28"/>
      <c r="S219" s="28"/>
      <c r="T219" s="28"/>
      <c r="U219" s="28"/>
      <c r="V219" s="28"/>
      <c r="W219" s="35"/>
      <c r="X219" s="32"/>
    </row>
    <row r="220" spans="1:24" ht="15.75" customHeight="1" x14ac:dyDescent="0.3">
      <c r="A220" s="3"/>
      <c r="B220" s="3"/>
      <c r="C220" s="28"/>
      <c r="D220" s="28"/>
      <c r="E220" s="28"/>
      <c r="F220" s="28"/>
      <c r="G220" s="158"/>
      <c r="H220" s="28"/>
      <c r="I220" s="28"/>
      <c r="J220" s="28"/>
      <c r="K220" s="28"/>
      <c r="L220" s="28"/>
      <c r="M220" s="28"/>
      <c r="N220" s="28"/>
      <c r="O220" s="28"/>
      <c r="P220" s="28"/>
      <c r="Q220" s="28"/>
      <c r="R220" s="28"/>
      <c r="S220" s="28"/>
      <c r="T220" s="28"/>
      <c r="U220" s="28"/>
      <c r="V220" s="28"/>
      <c r="W220" s="35"/>
      <c r="X220" s="32"/>
    </row>
    <row r="221" spans="1:24" ht="15.75" customHeight="1" x14ac:dyDescent="0.3">
      <c r="A221" s="3"/>
      <c r="B221" s="3"/>
      <c r="C221" s="28"/>
      <c r="D221" s="28"/>
      <c r="E221" s="28"/>
      <c r="F221" s="28"/>
      <c r="G221" s="158"/>
      <c r="H221" s="28"/>
      <c r="I221" s="28"/>
      <c r="J221" s="28"/>
      <c r="K221" s="28"/>
      <c r="L221" s="28"/>
      <c r="M221" s="28"/>
      <c r="N221" s="28"/>
      <c r="O221" s="28"/>
      <c r="P221" s="28"/>
      <c r="Q221" s="28"/>
      <c r="R221" s="28"/>
      <c r="S221" s="28"/>
      <c r="T221" s="28"/>
      <c r="U221" s="28"/>
      <c r="V221" s="28"/>
      <c r="W221" s="35"/>
      <c r="X221" s="32"/>
    </row>
    <row r="222" spans="1:24" ht="15.75" customHeight="1" x14ac:dyDescent="0.3">
      <c r="A222" s="3"/>
      <c r="B222" s="3"/>
      <c r="C222" s="28"/>
      <c r="D222" s="28"/>
      <c r="E222" s="28"/>
      <c r="F222" s="28"/>
      <c r="G222" s="158"/>
      <c r="H222" s="28"/>
      <c r="I222" s="28"/>
      <c r="J222" s="28"/>
      <c r="K222" s="28"/>
      <c r="L222" s="28"/>
      <c r="M222" s="28"/>
      <c r="N222" s="28"/>
      <c r="O222" s="28"/>
      <c r="P222" s="28"/>
      <c r="Q222" s="28"/>
      <c r="R222" s="28"/>
      <c r="S222" s="28"/>
      <c r="T222" s="28"/>
      <c r="U222" s="28"/>
      <c r="V222" s="28"/>
      <c r="W222" s="35"/>
      <c r="X222" s="32"/>
    </row>
    <row r="223" spans="1:24" ht="15.75" customHeight="1" x14ac:dyDescent="0.3">
      <c r="A223" s="3"/>
      <c r="B223" s="3"/>
      <c r="C223" s="28"/>
      <c r="D223" s="28"/>
      <c r="E223" s="28"/>
      <c r="F223" s="28"/>
      <c r="G223" s="158"/>
      <c r="H223" s="28"/>
      <c r="I223" s="28"/>
      <c r="J223" s="28"/>
      <c r="K223" s="28"/>
      <c r="L223" s="28"/>
      <c r="M223" s="28"/>
      <c r="N223" s="28"/>
      <c r="O223" s="28"/>
      <c r="P223" s="28"/>
      <c r="Q223" s="28"/>
      <c r="R223" s="28"/>
      <c r="S223" s="28"/>
      <c r="T223" s="28"/>
      <c r="U223" s="28"/>
      <c r="V223" s="28"/>
      <c r="W223" s="35"/>
      <c r="X223" s="32"/>
    </row>
    <row r="224" spans="1:24" ht="15.75" customHeight="1" x14ac:dyDescent="0.3">
      <c r="A224" s="3"/>
      <c r="B224" s="3"/>
      <c r="C224" s="28"/>
      <c r="D224" s="28"/>
      <c r="E224" s="28"/>
      <c r="F224" s="28"/>
      <c r="G224" s="158"/>
      <c r="H224" s="28"/>
      <c r="I224" s="28"/>
      <c r="J224" s="28"/>
      <c r="K224" s="28"/>
      <c r="L224" s="28"/>
      <c r="M224" s="28"/>
      <c r="N224" s="28"/>
      <c r="O224" s="28"/>
      <c r="P224" s="28"/>
      <c r="Q224" s="28"/>
      <c r="R224" s="28"/>
      <c r="S224" s="28"/>
      <c r="T224" s="28"/>
      <c r="U224" s="28"/>
      <c r="V224" s="28"/>
      <c r="W224" s="35"/>
      <c r="X224" s="32"/>
    </row>
    <row r="225" spans="1:24" ht="15.75" customHeight="1" x14ac:dyDescent="0.3">
      <c r="A225" s="3"/>
      <c r="B225" s="3"/>
      <c r="C225" s="28"/>
      <c r="D225" s="28"/>
      <c r="E225" s="28"/>
      <c r="F225" s="28"/>
      <c r="G225" s="158"/>
      <c r="H225" s="28"/>
      <c r="I225" s="28"/>
      <c r="J225" s="28"/>
      <c r="K225" s="28"/>
      <c r="L225" s="28"/>
      <c r="M225" s="28"/>
      <c r="N225" s="28"/>
      <c r="O225" s="28"/>
      <c r="P225" s="28"/>
      <c r="Q225" s="28"/>
      <c r="R225" s="28"/>
      <c r="S225" s="28"/>
      <c r="T225" s="28"/>
      <c r="U225" s="28"/>
      <c r="V225" s="28"/>
      <c r="W225" s="35"/>
      <c r="X225" s="32"/>
    </row>
    <row r="226" spans="1:24" ht="15.75" customHeight="1" x14ac:dyDescent="0.3">
      <c r="G226" s="159"/>
    </row>
    <row r="227" spans="1:24" ht="15.75" customHeight="1" x14ac:dyDescent="0.3">
      <c r="G227" s="159"/>
    </row>
    <row r="228" spans="1:24" ht="15.75" customHeight="1" x14ac:dyDescent="0.3">
      <c r="G228" s="159"/>
    </row>
    <row r="229" spans="1:24" ht="15.75" customHeight="1" x14ac:dyDescent="0.3">
      <c r="G229" s="159"/>
    </row>
    <row r="230" spans="1:24" ht="15.75" customHeight="1" x14ac:dyDescent="0.3">
      <c r="G230" s="159"/>
    </row>
    <row r="231" spans="1:24" ht="15.75" customHeight="1" x14ac:dyDescent="0.3">
      <c r="G231" s="159"/>
    </row>
    <row r="232" spans="1:24" ht="15.75" customHeight="1" x14ac:dyDescent="0.3">
      <c r="G232" s="159"/>
    </row>
    <row r="233" spans="1:24" ht="15.75" customHeight="1" x14ac:dyDescent="0.3">
      <c r="G233" s="159"/>
    </row>
    <row r="234" spans="1:24" ht="15.75" customHeight="1" x14ac:dyDescent="0.3">
      <c r="G234" s="159"/>
    </row>
    <row r="235" spans="1:24" ht="15.75" customHeight="1" x14ac:dyDescent="0.3">
      <c r="G235" s="159"/>
    </row>
    <row r="236" spans="1:24" ht="15.75" customHeight="1" x14ac:dyDescent="0.3">
      <c r="G236" s="159"/>
    </row>
    <row r="237" spans="1:24" ht="15.75" customHeight="1" x14ac:dyDescent="0.3">
      <c r="G237" s="159"/>
    </row>
    <row r="238" spans="1:24" ht="15.75" customHeight="1" x14ac:dyDescent="0.3">
      <c r="G238" s="159"/>
    </row>
    <row r="239" spans="1:24" ht="15.75" customHeight="1" x14ac:dyDescent="0.3">
      <c r="G239" s="159"/>
    </row>
    <row r="240" spans="1:24" ht="15.75" customHeight="1" x14ac:dyDescent="0.3">
      <c r="G240" s="159"/>
    </row>
    <row r="241" spans="7:7" ht="15.75" customHeight="1" x14ac:dyDescent="0.3">
      <c r="G241" s="159"/>
    </row>
    <row r="242" spans="7:7" ht="15.75" customHeight="1" x14ac:dyDescent="0.3">
      <c r="G242" s="159"/>
    </row>
    <row r="243" spans="7:7" ht="15.75" customHeight="1" x14ac:dyDescent="0.3">
      <c r="G243" s="159"/>
    </row>
    <row r="244" spans="7:7" ht="15.75" customHeight="1" x14ac:dyDescent="0.3">
      <c r="G244" s="159"/>
    </row>
    <row r="245" spans="7:7" ht="15.75" customHeight="1" x14ac:dyDescent="0.3">
      <c r="G245" s="159"/>
    </row>
    <row r="246" spans="7:7" ht="15.75" customHeight="1" x14ac:dyDescent="0.3">
      <c r="G246" s="159"/>
    </row>
    <row r="247" spans="7:7" ht="15.75" customHeight="1" x14ac:dyDescent="0.3">
      <c r="G247" s="159"/>
    </row>
    <row r="248" spans="7:7" ht="15.75" customHeight="1" x14ac:dyDescent="0.3">
      <c r="G248" s="159"/>
    </row>
    <row r="249" spans="7:7" ht="15.75" customHeight="1" x14ac:dyDescent="0.3">
      <c r="G249" s="159"/>
    </row>
    <row r="250" spans="7:7" ht="15.75" customHeight="1" x14ac:dyDescent="0.3">
      <c r="G250" s="159"/>
    </row>
    <row r="251" spans="7:7" ht="15.75" customHeight="1" x14ac:dyDescent="0.3">
      <c r="G251" s="159"/>
    </row>
    <row r="252" spans="7:7" ht="15.75" customHeight="1" x14ac:dyDescent="0.3">
      <c r="G252" s="159"/>
    </row>
    <row r="253" spans="7:7" ht="15.75" customHeight="1" x14ac:dyDescent="0.3">
      <c r="G253" s="159"/>
    </row>
    <row r="254" spans="7:7" ht="15.75" customHeight="1" x14ac:dyDescent="0.3">
      <c r="G254" s="159"/>
    </row>
    <row r="255" spans="7:7" ht="15.75" customHeight="1" x14ac:dyDescent="0.3">
      <c r="G255" s="159"/>
    </row>
    <row r="256" spans="7:7" ht="15.75" customHeight="1" x14ac:dyDescent="0.3">
      <c r="G256" s="159"/>
    </row>
    <row r="257" spans="7:7" ht="15.75" customHeight="1" x14ac:dyDescent="0.3">
      <c r="G257" s="159"/>
    </row>
    <row r="258" spans="7:7" ht="15.75" customHeight="1" x14ac:dyDescent="0.3">
      <c r="G258" s="159"/>
    </row>
    <row r="259" spans="7:7" ht="15.75" customHeight="1" x14ac:dyDescent="0.3">
      <c r="G259" s="159"/>
    </row>
    <row r="260" spans="7:7" ht="15.75" customHeight="1" x14ac:dyDescent="0.3">
      <c r="G260" s="159"/>
    </row>
    <row r="261" spans="7:7" ht="15.75" customHeight="1" x14ac:dyDescent="0.3">
      <c r="G261" s="159"/>
    </row>
    <row r="262" spans="7:7" ht="15.75" customHeight="1" x14ac:dyDescent="0.3">
      <c r="G262" s="159"/>
    </row>
    <row r="263" spans="7:7" ht="15.75" customHeight="1" x14ac:dyDescent="0.3">
      <c r="G263" s="159"/>
    </row>
    <row r="264" spans="7:7" ht="15.75" customHeight="1" x14ac:dyDescent="0.3">
      <c r="G264" s="159"/>
    </row>
    <row r="265" spans="7:7" ht="15.75" customHeight="1" x14ac:dyDescent="0.3">
      <c r="G265" s="159"/>
    </row>
    <row r="266" spans="7:7" ht="15.75" customHeight="1" x14ac:dyDescent="0.3">
      <c r="G266" s="159"/>
    </row>
    <row r="267" spans="7:7" ht="15.75" customHeight="1" x14ac:dyDescent="0.3">
      <c r="G267" s="159"/>
    </row>
    <row r="268" spans="7:7" ht="15.75" customHeight="1" x14ac:dyDescent="0.3">
      <c r="G268" s="159"/>
    </row>
    <row r="269" spans="7:7" ht="15.75" customHeight="1" x14ac:dyDescent="0.3">
      <c r="G269" s="159"/>
    </row>
    <row r="270" spans="7:7" ht="15.75" customHeight="1" x14ac:dyDescent="0.3">
      <c r="G270" s="159"/>
    </row>
    <row r="271" spans="7:7" ht="15.75" customHeight="1" x14ac:dyDescent="0.3">
      <c r="G271" s="159"/>
    </row>
    <row r="272" spans="7:7" ht="15.75" customHeight="1" x14ac:dyDescent="0.3">
      <c r="G272" s="159"/>
    </row>
    <row r="273" spans="7:7" ht="15.75" customHeight="1" x14ac:dyDescent="0.3">
      <c r="G273" s="159"/>
    </row>
    <row r="274" spans="7:7" ht="15.75" customHeight="1" x14ac:dyDescent="0.3">
      <c r="G274" s="159"/>
    </row>
    <row r="275" spans="7:7" ht="15.75" customHeight="1" x14ac:dyDescent="0.3">
      <c r="G275" s="159"/>
    </row>
    <row r="276" spans="7:7" ht="15.75" customHeight="1" x14ac:dyDescent="0.3">
      <c r="G276" s="159"/>
    </row>
    <row r="277" spans="7:7" ht="15.75" customHeight="1" x14ac:dyDescent="0.3">
      <c r="G277" s="159"/>
    </row>
    <row r="278" spans="7:7" ht="15.75" customHeight="1" x14ac:dyDescent="0.3">
      <c r="G278" s="159"/>
    </row>
    <row r="279" spans="7:7" ht="15.75" customHeight="1" x14ac:dyDescent="0.3">
      <c r="G279" s="159"/>
    </row>
    <row r="280" spans="7:7" ht="15.75" customHeight="1" x14ac:dyDescent="0.3">
      <c r="G280" s="159"/>
    </row>
    <row r="281" spans="7:7" ht="15.75" customHeight="1" x14ac:dyDescent="0.3">
      <c r="G281" s="159"/>
    </row>
    <row r="282" spans="7:7" ht="15.75" customHeight="1" x14ac:dyDescent="0.3">
      <c r="G282" s="159"/>
    </row>
    <row r="283" spans="7:7" ht="15.75" customHeight="1" x14ac:dyDescent="0.3">
      <c r="G283" s="159"/>
    </row>
    <row r="284" spans="7:7" ht="15.75" customHeight="1" x14ac:dyDescent="0.3">
      <c r="G284" s="159"/>
    </row>
    <row r="285" spans="7:7" ht="15.75" customHeight="1" x14ac:dyDescent="0.3">
      <c r="G285" s="159"/>
    </row>
    <row r="286" spans="7:7" ht="15.75" customHeight="1" x14ac:dyDescent="0.3">
      <c r="G286" s="159"/>
    </row>
    <row r="287" spans="7:7" ht="15.75" customHeight="1" x14ac:dyDescent="0.3">
      <c r="G287" s="159"/>
    </row>
    <row r="288" spans="7:7" ht="15.75" customHeight="1" x14ac:dyDescent="0.3">
      <c r="G288" s="159"/>
    </row>
    <row r="289" spans="7:7" ht="15.75" customHeight="1" x14ac:dyDescent="0.3">
      <c r="G289" s="159"/>
    </row>
    <row r="290" spans="7:7" ht="15.75" customHeight="1" x14ac:dyDescent="0.3">
      <c r="G290" s="159"/>
    </row>
    <row r="291" spans="7:7" ht="15.75" customHeight="1" x14ac:dyDescent="0.3">
      <c r="G291" s="159"/>
    </row>
    <row r="292" spans="7:7" ht="15.75" customHeight="1" x14ac:dyDescent="0.3">
      <c r="G292" s="159"/>
    </row>
    <row r="293" spans="7:7" ht="15.75" customHeight="1" x14ac:dyDescent="0.3">
      <c r="G293" s="159"/>
    </row>
    <row r="294" spans="7:7" ht="15.75" customHeight="1" x14ac:dyDescent="0.3">
      <c r="G294" s="159"/>
    </row>
    <row r="295" spans="7:7" ht="15.75" customHeight="1" x14ac:dyDescent="0.3">
      <c r="G295" s="159"/>
    </row>
    <row r="296" spans="7:7" ht="15.75" customHeight="1" x14ac:dyDescent="0.3">
      <c r="G296" s="159"/>
    </row>
    <row r="297" spans="7:7" ht="15.75" customHeight="1" x14ac:dyDescent="0.3">
      <c r="G297" s="159"/>
    </row>
    <row r="298" spans="7:7" ht="15.75" customHeight="1" x14ac:dyDescent="0.3">
      <c r="G298" s="159"/>
    </row>
    <row r="299" spans="7:7" ht="15.75" customHeight="1" x14ac:dyDescent="0.3">
      <c r="G299" s="159"/>
    </row>
    <row r="300" spans="7:7" ht="15.75" customHeight="1" x14ac:dyDescent="0.3">
      <c r="G300" s="159"/>
    </row>
    <row r="301" spans="7:7" ht="15.75" customHeight="1" x14ac:dyDescent="0.3">
      <c r="G301" s="159"/>
    </row>
    <row r="302" spans="7:7" ht="15.75" customHeight="1" x14ac:dyDescent="0.3">
      <c r="G302" s="159"/>
    </row>
    <row r="303" spans="7:7" ht="15.75" customHeight="1" x14ac:dyDescent="0.3">
      <c r="G303" s="159"/>
    </row>
    <row r="304" spans="7:7" ht="15.75" customHeight="1" x14ac:dyDescent="0.3">
      <c r="G304" s="159"/>
    </row>
    <row r="305" spans="7:7" ht="15.75" customHeight="1" x14ac:dyDescent="0.3">
      <c r="G305" s="159"/>
    </row>
    <row r="306" spans="7:7" ht="15.75" customHeight="1" x14ac:dyDescent="0.3">
      <c r="G306" s="159"/>
    </row>
    <row r="307" spans="7:7" ht="15.75" customHeight="1" x14ac:dyDescent="0.3">
      <c r="G307" s="159"/>
    </row>
    <row r="308" spans="7:7" ht="15.75" customHeight="1" x14ac:dyDescent="0.3">
      <c r="G308" s="159"/>
    </row>
    <row r="309" spans="7:7" ht="15.75" customHeight="1" x14ac:dyDescent="0.3">
      <c r="G309" s="159"/>
    </row>
    <row r="310" spans="7:7" ht="15.75" customHeight="1" x14ac:dyDescent="0.3">
      <c r="G310" s="159"/>
    </row>
    <row r="311" spans="7:7" ht="15.75" customHeight="1" x14ac:dyDescent="0.3">
      <c r="G311" s="159"/>
    </row>
    <row r="312" spans="7:7" ht="15.75" customHeight="1" x14ac:dyDescent="0.3">
      <c r="G312" s="159"/>
    </row>
    <row r="313" spans="7:7" ht="15.75" customHeight="1" x14ac:dyDescent="0.3">
      <c r="G313" s="159"/>
    </row>
    <row r="314" spans="7:7" ht="15.75" customHeight="1" x14ac:dyDescent="0.3">
      <c r="G314" s="159"/>
    </row>
    <row r="315" spans="7:7" ht="15.75" customHeight="1" x14ac:dyDescent="0.3">
      <c r="G315" s="159"/>
    </row>
    <row r="316" spans="7:7" ht="15.75" customHeight="1" x14ac:dyDescent="0.3">
      <c r="G316" s="159"/>
    </row>
    <row r="317" spans="7:7" ht="15.75" customHeight="1" x14ac:dyDescent="0.3">
      <c r="G317" s="159"/>
    </row>
    <row r="318" spans="7:7" ht="15.75" customHeight="1" x14ac:dyDescent="0.3">
      <c r="G318" s="159"/>
    </row>
    <row r="319" spans="7:7" ht="15.75" customHeight="1" x14ac:dyDescent="0.3">
      <c r="G319" s="159"/>
    </row>
    <row r="320" spans="7:7" ht="15.75" customHeight="1" x14ac:dyDescent="0.3">
      <c r="G320" s="159"/>
    </row>
    <row r="321" spans="7:7" ht="15.75" customHeight="1" x14ac:dyDescent="0.3">
      <c r="G321" s="159"/>
    </row>
    <row r="322" spans="7:7" ht="15.75" customHeight="1" x14ac:dyDescent="0.3">
      <c r="G322" s="159"/>
    </row>
    <row r="323" spans="7:7" ht="15.75" customHeight="1" x14ac:dyDescent="0.3">
      <c r="G323" s="159"/>
    </row>
    <row r="324" spans="7:7" ht="15.75" customHeight="1" x14ac:dyDescent="0.3">
      <c r="G324" s="159"/>
    </row>
    <row r="325" spans="7:7" ht="15.75" customHeight="1" x14ac:dyDescent="0.3">
      <c r="G325" s="159"/>
    </row>
    <row r="326" spans="7:7" ht="15.75" customHeight="1" x14ac:dyDescent="0.3">
      <c r="G326" s="159"/>
    </row>
    <row r="327" spans="7:7" ht="15.75" customHeight="1" x14ac:dyDescent="0.3">
      <c r="G327" s="159"/>
    </row>
    <row r="328" spans="7:7" ht="15.75" customHeight="1" x14ac:dyDescent="0.3">
      <c r="G328" s="159"/>
    </row>
    <row r="329" spans="7:7" ht="15.75" customHeight="1" x14ac:dyDescent="0.3">
      <c r="G329" s="159"/>
    </row>
    <row r="330" spans="7:7" ht="15.75" customHeight="1" x14ac:dyDescent="0.3">
      <c r="G330" s="159"/>
    </row>
    <row r="331" spans="7:7" ht="15.75" customHeight="1" x14ac:dyDescent="0.3">
      <c r="G331" s="159"/>
    </row>
    <row r="332" spans="7:7" ht="15.75" customHeight="1" x14ac:dyDescent="0.3">
      <c r="G332" s="159"/>
    </row>
    <row r="333" spans="7:7" ht="15.75" customHeight="1" x14ac:dyDescent="0.3">
      <c r="G333" s="159"/>
    </row>
    <row r="334" spans="7:7" ht="15.75" customHeight="1" x14ac:dyDescent="0.3">
      <c r="G334" s="159"/>
    </row>
    <row r="335" spans="7:7" ht="15.75" customHeight="1" x14ac:dyDescent="0.3">
      <c r="G335" s="159"/>
    </row>
    <row r="336" spans="7:7" ht="15.75" customHeight="1" x14ac:dyDescent="0.3">
      <c r="G336" s="159"/>
    </row>
    <row r="337" spans="7:7" ht="15.75" customHeight="1" x14ac:dyDescent="0.3">
      <c r="G337" s="159"/>
    </row>
    <row r="338" spans="7:7" ht="15.75" customHeight="1" x14ac:dyDescent="0.3">
      <c r="G338" s="159"/>
    </row>
    <row r="339" spans="7:7" ht="15.75" customHeight="1" x14ac:dyDescent="0.3">
      <c r="G339" s="159"/>
    </row>
    <row r="340" spans="7:7" ht="15.75" customHeight="1" x14ac:dyDescent="0.3">
      <c r="G340" s="159"/>
    </row>
    <row r="341" spans="7:7" ht="15.75" customHeight="1" x14ac:dyDescent="0.3">
      <c r="G341" s="159"/>
    </row>
    <row r="342" spans="7:7" ht="15.75" customHeight="1" x14ac:dyDescent="0.3">
      <c r="G342" s="159"/>
    </row>
    <row r="343" spans="7:7" ht="15.75" customHeight="1" x14ac:dyDescent="0.3">
      <c r="G343" s="159"/>
    </row>
    <row r="344" spans="7:7" ht="15.75" customHeight="1" x14ac:dyDescent="0.3">
      <c r="G344" s="159"/>
    </row>
    <row r="345" spans="7:7" ht="15.75" customHeight="1" x14ac:dyDescent="0.3">
      <c r="G345" s="159"/>
    </row>
    <row r="346" spans="7:7" ht="15.75" customHeight="1" x14ac:dyDescent="0.3">
      <c r="G346" s="159"/>
    </row>
    <row r="347" spans="7:7" ht="15.75" customHeight="1" x14ac:dyDescent="0.3">
      <c r="G347" s="159"/>
    </row>
    <row r="348" spans="7:7" ht="15.75" customHeight="1" x14ac:dyDescent="0.3">
      <c r="G348" s="159"/>
    </row>
    <row r="349" spans="7:7" ht="15.75" customHeight="1" x14ac:dyDescent="0.3">
      <c r="G349" s="159"/>
    </row>
    <row r="350" spans="7:7" ht="15.75" customHeight="1" x14ac:dyDescent="0.3">
      <c r="G350" s="159"/>
    </row>
    <row r="351" spans="7:7" ht="15.75" customHeight="1" x14ac:dyDescent="0.3">
      <c r="G351" s="159"/>
    </row>
    <row r="352" spans="7:7" ht="15.75" customHeight="1" x14ac:dyDescent="0.3">
      <c r="G352" s="159"/>
    </row>
    <row r="353" spans="7:7" ht="15.75" customHeight="1" x14ac:dyDescent="0.3">
      <c r="G353" s="159"/>
    </row>
    <row r="354" spans="7:7" ht="15.75" customHeight="1" x14ac:dyDescent="0.3">
      <c r="G354" s="159"/>
    </row>
    <row r="355" spans="7:7" ht="15.75" customHeight="1" x14ac:dyDescent="0.3">
      <c r="G355" s="159"/>
    </row>
    <row r="356" spans="7:7" ht="15.75" customHeight="1" x14ac:dyDescent="0.3">
      <c r="G356" s="159"/>
    </row>
    <row r="357" spans="7:7" ht="15.75" customHeight="1" x14ac:dyDescent="0.3">
      <c r="G357" s="159"/>
    </row>
    <row r="358" spans="7:7" ht="15.75" customHeight="1" x14ac:dyDescent="0.3">
      <c r="G358" s="159"/>
    </row>
    <row r="359" spans="7:7" ht="15.75" customHeight="1" x14ac:dyDescent="0.3">
      <c r="G359" s="159"/>
    </row>
    <row r="360" spans="7:7" ht="15.75" customHeight="1" x14ac:dyDescent="0.3">
      <c r="G360" s="159"/>
    </row>
    <row r="361" spans="7:7" ht="15.75" customHeight="1" x14ac:dyDescent="0.3">
      <c r="G361" s="159"/>
    </row>
    <row r="362" spans="7:7" ht="15.75" customHeight="1" x14ac:dyDescent="0.3">
      <c r="G362" s="159"/>
    </row>
    <row r="363" spans="7:7" ht="15.75" customHeight="1" x14ac:dyDescent="0.3">
      <c r="G363" s="159"/>
    </row>
    <row r="364" spans="7:7" ht="15.75" customHeight="1" x14ac:dyDescent="0.3">
      <c r="G364" s="159"/>
    </row>
    <row r="365" spans="7:7" ht="15.75" customHeight="1" x14ac:dyDescent="0.3">
      <c r="G365" s="159"/>
    </row>
    <row r="366" spans="7:7" ht="15.75" customHeight="1" x14ac:dyDescent="0.3">
      <c r="G366" s="159"/>
    </row>
    <row r="367" spans="7:7" ht="15.75" customHeight="1" x14ac:dyDescent="0.3">
      <c r="G367" s="159"/>
    </row>
    <row r="368" spans="7:7" ht="15.75" customHeight="1" x14ac:dyDescent="0.3">
      <c r="G368" s="159"/>
    </row>
    <row r="369" spans="7:7" ht="15.75" customHeight="1" x14ac:dyDescent="0.3">
      <c r="G369" s="159"/>
    </row>
    <row r="370" spans="7:7" ht="15.75" customHeight="1" x14ac:dyDescent="0.3">
      <c r="G370" s="159"/>
    </row>
    <row r="371" spans="7:7" ht="15.75" customHeight="1" x14ac:dyDescent="0.3">
      <c r="G371" s="159"/>
    </row>
    <row r="372" spans="7:7" ht="15.75" customHeight="1" x14ac:dyDescent="0.3">
      <c r="G372" s="159"/>
    </row>
    <row r="373" spans="7:7" ht="15.75" customHeight="1" x14ac:dyDescent="0.3">
      <c r="G373" s="159"/>
    </row>
    <row r="374" spans="7:7" ht="15.75" customHeight="1" x14ac:dyDescent="0.3">
      <c r="G374" s="159"/>
    </row>
    <row r="375" spans="7:7" ht="15.75" customHeight="1" x14ac:dyDescent="0.3">
      <c r="G375" s="159"/>
    </row>
    <row r="376" spans="7:7" ht="15.75" customHeight="1" x14ac:dyDescent="0.3">
      <c r="G376" s="159"/>
    </row>
    <row r="377" spans="7:7" ht="15.75" customHeight="1" x14ac:dyDescent="0.3">
      <c r="G377" s="159"/>
    </row>
    <row r="378" spans="7:7" ht="15.75" customHeight="1" x14ac:dyDescent="0.3">
      <c r="G378" s="159"/>
    </row>
    <row r="379" spans="7:7" ht="15.75" customHeight="1" x14ac:dyDescent="0.3">
      <c r="G379" s="159"/>
    </row>
    <row r="380" spans="7:7" ht="15.75" customHeight="1" x14ac:dyDescent="0.3">
      <c r="G380" s="159"/>
    </row>
    <row r="381" spans="7:7" ht="15.75" customHeight="1" x14ac:dyDescent="0.3">
      <c r="G381" s="159"/>
    </row>
    <row r="382" spans="7:7" ht="15.75" customHeight="1" x14ac:dyDescent="0.3">
      <c r="G382" s="159"/>
    </row>
    <row r="383" spans="7:7" ht="15.75" customHeight="1" x14ac:dyDescent="0.3">
      <c r="G383" s="159"/>
    </row>
    <row r="384" spans="7:7" ht="15.75" customHeight="1" x14ac:dyDescent="0.3">
      <c r="G384" s="159"/>
    </row>
    <row r="385" spans="7:7" ht="15.75" customHeight="1" x14ac:dyDescent="0.3">
      <c r="G385" s="159"/>
    </row>
    <row r="386" spans="7:7" ht="15.75" customHeight="1" x14ac:dyDescent="0.3">
      <c r="G386" s="159"/>
    </row>
    <row r="387" spans="7:7" ht="15.75" customHeight="1" x14ac:dyDescent="0.3">
      <c r="G387" s="159"/>
    </row>
    <row r="388" spans="7:7" ht="15.75" customHeight="1" x14ac:dyDescent="0.3">
      <c r="G388" s="159"/>
    </row>
    <row r="389" spans="7:7" ht="15.75" customHeight="1" x14ac:dyDescent="0.3">
      <c r="G389" s="159"/>
    </row>
    <row r="390" spans="7:7" ht="15.75" customHeight="1" x14ac:dyDescent="0.3">
      <c r="G390" s="159"/>
    </row>
    <row r="391" spans="7:7" ht="15.75" customHeight="1" x14ac:dyDescent="0.3">
      <c r="G391" s="159"/>
    </row>
    <row r="392" spans="7:7" ht="15.75" customHeight="1" x14ac:dyDescent="0.3">
      <c r="G392" s="159"/>
    </row>
    <row r="393" spans="7:7" ht="15.75" customHeight="1" x14ac:dyDescent="0.3">
      <c r="G393" s="159"/>
    </row>
    <row r="394" spans="7:7" ht="15.75" customHeight="1" x14ac:dyDescent="0.3">
      <c r="G394" s="159"/>
    </row>
    <row r="395" spans="7:7" ht="15.75" customHeight="1" x14ac:dyDescent="0.3">
      <c r="G395" s="159"/>
    </row>
    <row r="396" spans="7:7" ht="15.75" customHeight="1" x14ac:dyDescent="0.3">
      <c r="G396" s="159"/>
    </row>
    <row r="397" spans="7:7" ht="15.75" customHeight="1" x14ac:dyDescent="0.3">
      <c r="G397" s="159"/>
    </row>
    <row r="398" spans="7:7" ht="15.75" customHeight="1" x14ac:dyDescent="0.3">
      <c r="G398" s="159"/>
    </row>
    <row r="399" spans="7:7" ht="15.75" customHeight="1" x14ac:dyDescent="0.3">
      <c r="G399" s="159"/>
    </row>
    <row r="400" spans="7:7" ht="15.75" customHeight="1" x14ac:dyDescent="0.3">
      <c r="G400" s="159"/>
    </row>
    <row r="401" spans="7:7" ht="15.75" customHeight="1" x14ac:dyDescent="0.3">
      <c r="G401" s="159"/>
    </row>
    <row r="402" spans="7:7" ht="15.75" customHeight="1" x14ac:dyDescent="0.3">
      <c r="G402" s="159"/>
    </row>
    <row r="403" spans="7:7" ht="15.75" customHeight="1" x14ac:dyDescent="0.3">
      <c r="G403" s="159"/>
    </row>
    <row r="404" spans="7:7" ht="15.75" customHeight="1" x14ac:dyDescent="0.3">
      <c r="G404" s="159"/>
    </row>
    <row r="405" spans="7:7" ht="15.75" customHeight="1" x14ac:dyDescent="0.3">
      <c r="G405" s="159"/>
    </row>
    <row r="406" spans="7:7" ht="15.75" customHeight="1" x14ac:dyDescent="0.3">
      <c r="G406" s="159"/>
    </row>
    <row r="407" spans="7:7" ht="15.75" customHeight="1" x14ac:dyDescent="0.3">
      <c r="G407" s="159"/>
    </row>
    <row r="408" spans="7:7" ht="15.75" customHeight="1" x14ac:dyDescent="0.3">
      <c r="G408" s="159"/>
    </row>
    <row r="409" spans="7:7" ht="15.75" customHeight="1" x14ac:dyDescent="0.3">
      <c r="G409" s="159"/>
    </row>
    <row r="410" spans="7:7" ht="15.75" customHeight="1" x14ac:dyDescent="0.3">
      <c r="G410" s="159"/>
    </row>
    <row r="411" spans="7:7" ht="15.75" customHeight="1" x14ac:dyDescent="0.3">
      <c r="G411" s="159"/>
    </row>
    <row r="412" spans="7:7" ht="15.75" customHeight="1" x14ac:dyDescent="0.3">
      <c r="G412" s="159"/>
    </row>
    <row r="413" spans="7:7" ht="15.75" customHeight="1" x14ac:dyDescent="0.3">
      <c r="G413" s="159"/>
    </row>
    <row r="414" spans="7:7" ht="15.75" customHeight="1" x14ac:dyDescent="0.3">
      <c r="G414" s="159"/>
    </row>
    <row r="415" spans="7:7" ht="15.75" customHeight="1" x14ac:dyDescent="0.3">
      <c r="G415" s="159"/>
    </row>
    <row r="416" spans="7:7" ht="15.75" customHeight="1" x14ac:dyDescent="0.3">
      <c r="G416" s="159"/>
    </row>
    <row r="417" spans="7:7" ht="15.75" customHeight="1" x14ac:dyDescent="0.3">
      <c r="G417" s="159"/>
    </row>
    <row r="418" spans="7:7" ht="15.75" customHeight="1" x14ac:dyDescent="0.3">
      <c r="G418" s="159"/>
    </row>
    <row r="419" spans="7:7" ht="15.75" customHeight="1" x14ac:dyDescent="0.3">
      <c r="G419" s="159"/>
    </row>
    <row r="420" spans="7:7" ht="15.75" customHeight="1" x14ac:dyDescent="0.3">
      <c r="G420" s="159"/>
    </row>
    <row r="421" spans="7:7" ht="15.75" customHeight="1" x14ac:dyDescent="0.3">
      <c r="G421" s="159"/>
    </row>
    <row r="422" spans="7:7" ht="15.75" customHeight="1" x14ac:dyDescent="0.3">
      <c r="G422" s="159"/>
    </row>
    <row r="423" spans="7:7" ht="15.75" customHeight="1" x14ac:dyDescent="0.3">
      <c r="G423" s="159"/>
    </row>
    <row r="424" spans="7:7" ht="15.75" customHeight="1" x14ac:dyDescent="0.3">
      <c r="G424" s="159"/>
    </row>
    <row r="425" spans="7:7" ht="15.75" customHeight="1" x14ac:dyDescent="0.3">
      <c r="G425" s="159"/>
    </row>
    <row r="426" spans="7:7" ht="15.75" customHeight="1" x14ac:dyDescent="0.3">
      <c r="G426" s="159"/>
    </row>
    <row r="427" spans="7:7" ht="15.75" customHeight="1" x14ac:dyDescent="0.3">
      <c r="G427" s="159"/>
    </row>
    <row r="428" spans="7:7" ht="15.75" customHeight="1" x14ac:dyDescent="0.3">
      <c r="G428" s="159"/>
    </row>
    <row r="429" spans="7:7" ht="15.75" customHeight="1" x14ac:dyDescent="0.3">
      <c r="G429" s="159"/>
    </row>
    <row r="430" spans="7:7" ht="15.75" customHeight="1" x14ac:dyDescent="0.3">
      <c r="G430" s="159"/>
    </row>
    <row r="431" spans="7:7" ht="15.75" customHeight="1" x14ac:dyDescent="0.3">
      <c r="G431" s="159"/>
    </row>
    <row r="432" spans="7:7" ht="15.75" customHeight="1" x14ac:dyDescent="0.3">
      <c r="G432" s="159"/>
    </row>
    <row r="433" spans="7:7" ht="15.75" customHeight="1" x14ac:dyDescent="0.3">
      <c r="G433" s="159"/>
    </row>
    <row r="434" spans="7:7" ht="15.75" customHeight="1" x14ac:dyDescent="0.3">
      <c r="G434" s="159"/>
    </row>
    <row r="435" spans="7:7" ht="15.75" customHeight="1" x14ac:dyDescent="0.3">
      <c r="G435" s="159"/>
    </row>
    <row r="436" spans="7:7" ht="15.75" customHeight="1" x14ac:dyDescent="0.3">
      <c r="G436" s="159"/>
    </row>
    <row r="437" spans="7:7" ht="15.75" customHeight="1" x14ac:dyDescent="0.3">
      <c r="G437" s="159"/>
    </row>
    <row r="438" spans="7:7" ht="15.75" customHeight="1" x14ac:dyDescent="0.3">
      <c r="G438" s="159"/>
    </row>
    <row r="439" spans="7:7" ht="15.75" customHeight="1" x14ac:dyDescent="0.3">
      <c r="G439" s="159"/>
    </row>
    <row r="440" spans="7:7" ht="15.75" customHeight="1" x14ac:dyDescent="0.3">
      <c r="G440" s="159"/>
    </row>
    <row r="441" spans="7:7" ht="15.75" customHeight="1" x14ac:dyDescent="0.3">
      <c r="G441" s="159"/>
    </row>
    <row r="442" spans="7:7" ht="15.75" customHeight="1" x14ac:dyDescent="0.3">
      <c r="G442" s="159"/>
    </row>
    <row r="443" spans="7:7" ht="15.75" customHeight="1" x14ac:dyDescent="0.3">
      <c r="G443" s="159"/>
    </row>
    <row r="444" spans="7:7" ht="15.75" customHeight="1" x14ac:dyDescent="0.3">
      <c r="G444" s="159"/>
    </row>
    <row r="445" spans="7:7" ht="15.75" customHeight="1" x14ac:dyDescent="0.3">
      <c r="G445" s="159"/>
    </row>
    <row r="446" spans="7:7" ht="15.75" customHeight="1" x14ac:dyDescent="0.3">
      <c r="G446" s="159"/>
    </row>
    <row r="447" spans="7:7" ht="15.75" customHeight="1" x14ac:dyDescent="0.3">
      <c r="G447" s="159"/>
    </row>
    <row r="448" spans="7:7" ht="15.75" customHeight="1" x14ac:dyDescent="0.3">
      <c r="G448" s="159"/>
    </row>
    <row r="449" spans="7:7" ht="15.75" customHeight="1" x14ac:dyDescent="0.3">
      <c r="G449" s="159"/>
    </row>
    <row r="450" spans="7:7" ht="15.75" customHeight="1" x14ac:dyDescent="0.3">
      <c r="G450" s="159"/>
    </row>
    <row r="451" spans="7:7" ht="15.75" customHeight="1" x14ac:dyDescent="0.3">
      <c r="G451" s="159"/>
    </row>
    <row r="452" spans="7:7" ht="15.75" customHeight="1" x14ac:dyDescent="0.3">
      <c r="G452" s="159"/>
    </row>
    <row r="453" spans="7:7" ht="15.75" customHeight="1" x14ac:dyDescent="0.3">
      <c r="G453" s="159"/>
    </row>
    <row r="454" spans="7:7" ht="15.75" customHeight="1" x14ac:dyDescent="0.3">
      <c r="G454" s="159"/>
    </row>
    <row r="455" spans="7:7" ht="15.75" customHeight="1" x14ac:dyDescent="0.3">
      <c r="G455" s="159"/>
    </row>
    <row r="456" spans="7:7" ht="15.75" customHeight="1" x14ac:dyDescent="0.3">
      <c r="G456" s="159"/>
    </row>
    <row r="457" spans="7:7" ht="15.75" customHeight="1" x14ac:dyDescent="0.3">
      <c r="G457" s="159"/>
    </row>
    <row r="458" spans="7:7" ht="15.75" customHeight="1" x14ac:dyDescent="0.3">
      <c r="G458" s="159"/>
    </row>
    <row r="459" spans="7:7" ht="15.75" customHeight="1" x14ac:dyDescent="0.3">
      <c r="G459" s="159"/>
    </row>
    <row r="460" spans="7:7" ht="15.75" customHeight="1" x14ac:dyDescent="0.3">
      <c r="G460" s="159"/>
    </row>
    <row r="461" spans="7:7" ht="15.75" customHeight="1" x14ac:dyDescent="0.3">
      <c r="G461" s="159"/>
    </row>
    <row r="462" spans="7:7" ht="15.75" customHeight="1" x14ac:dyDescent="0.3">
      <c r="G462" s="159"/>
    </row>
    <row r="463" spans="7:7" ht="15.75" customHeight="1" x14ac:dyDescent="0.3">
      <c r="G463" s="159"/>
    </row>
    <row r="464" spans="7:7" ht="15.75" customHeight="1" x14ac:dyDescent="0.3">
      <c r="G464" s="159"/>
    </row>
    <row r="465" spans="7:7" ht="15.75" customHeight="1" x14ac:dyDescent="0.3">
      <c r="G465" s="159"/>
    </row>
    <row r="466" spans="7:7" ht="15.75" customHeight="1" x14ac:dyDescent="0.3">
      <c r="G466" s="159"/>
    </row>
    <row r="467" spans="7:7" ht="15.75" customHeight="1" x14ac:dyDescent="0.3">
      <c r="G467" s="159"/>
    </row>
    <row r="468" spans="7:7" ht="15.75" customHeight="1" x14ac:dyDescent="0.3">
      <c r="G468" s="159"/>
    </row>
    <row r="469" spans="7:7" ht="15.75" customHeight="1" x14ac:dyDescent="0.3">
      <c r="G469" s="159"/>
    </row>
    <row r="470" spans="7:7" ht="15.75" customHeight="1" x14ac:dyDescent="0.3">
      <c r="G470" s="159"/>
    </row>
    <row r="471" spans="7:7" ht="15.75" customHeight="1" x14ac:dyDescent="0.3">
      <c r="G471" s="159"/>
    </row>
    <row r="472" spans="7:7" ht="15.75" customHeight="1" x14ac:dyDescent="0.3">
      <c r="G472" s="159"/>
    </row>
    <row r="473" spans="7:7" ht="15.75" customHeight="1" x14ac:dyDescent="0.3">
      <c r="G473" s="159"/>
    </row>
    <row r="474" spans="7:7" ht="15.75" customHeight="1" x14ac:dyDescent="0.3">
      <c r="G474" s="159"/>
    </row>
    <row r="475" spans="7:7" ht="15.75" customHeight="1" x14ac:dyDescent="0.3">
      <c r="G475" s="159"/>
    </row>
    <row r="476" spans="7:7" ht="15.75" customHeight="1" x14ac:dyDescent="0.3">
      <c r="G476" s="159"/>
    </row>
    <row r="477" spans="7:7" ht="15.75" customHeight="1" x14ac:dyDescent="0.3">
      <c r="G477" s="159"/>
    </row>
    <row r="478" spans="7:7" ht="15.75" customHeight="1" x14ac:dyDescent="0.3">
      <c r="G478" s="159"/>
    </row>
    <row r="479" spans="7:7" ht="15.75" customHeight="1" x14ac:dyDescent="0.3">
      <c r="G479" s="159"/>
    </row>
    <row r="480" spans="7:7" ht="15.75" customHeight="1" x14ac:dyDescent="0.3">
      <c r="G480" s="159"/>
    </row>
    <row r="481" spans="7:7" ht="15.75" customHeight="1" x14ac:dyDescent="0.3">
      <c r="G481" s="159"/>
    </row>
    <row r="482" spans="7:7" ht="15.75" customHeight="1" x14ac:dyDescent="0.3">
      <c r="G482" s="159"/>
    </row>
    <row r="483" spans="7:7" ht="15.75" customHeight="1" x14ac:dyDescent="0.3">
      <c r="G483" s="159"/>
    </row>
    <row r="484" spans="7:7" ht="15.75" customHeight="1" x14ac:dyDescent="0.3">
      <c r="G484" s="159"/>
    </row>
    <row r="485" spans="7:7" ht="15.75" customHeight="1" x14ac:dyDescent="0.3">
      <c r="G485" s="159"/>
    </row>
    <row r="486" spans="7:7" ht="15.75" customHeight="1" x14ac:dyDescent="0.3">
      <c r="G486" s="159"/>
    </row>
    <row r="487" spans="7:7" ht="15.75" customHeight="1" x14ac:dyDescent="0.3">
      <c r="G487" s="159"/>
    </row>
    <row r="488" spans="7:7" ht="15.75" customHeight="1" x14ac:dyDescent="0.3">
      <c r="G488" s="159"/>
    </row>
    <row r="489" spans="7:7" ht="15.75" customHeight="1" x14ac:dyDescent="0.3">
      <c r="G489" s="159"/>
    </row>
    <row r="490" spans="7:7" ht="15.75" customHeight="1" x14ac:dyDescent="0.3">
      <c r="G490" s="159"/>
    </row>
    <row r="491" spans="7:7" ht="15.75" customHeight="1" x14ac:dyDescent="0.3">
      <c r="G491" s="159"/>
    </row>
    <row r="492" spans="7:7" ht="15.75" customHeight="1" x14ac:dyDescent="0.3">
      <c r="G492" s="159"/>
    </row>
    <row r="493" spans="7:7" ht="15.75" customHeight="1" x14ac:dyDescent="0.3">
      <c r="G493" s="159"/>
    </row>
    <row r="494" spans="7:7" ht="15.75" customHeight="1" x14ac:dyDescent="0.3">
      <c r="G494" s="159"/>
    </row>
    <row r="495" spans="7:7" ht="15.75" customHeight="1" x14ac:dyDescent="0.3">
      <c r="G495" s="159"/>
    </row>
    <row r="496" spans="7:7" ht="15.75" customHeight="1" x14ac:dyDescent="0.3">
      <c r="G496" s="159"/>
    </row>
    <row r="497" spans="7:7" ht="15.75" customHeight="1" x14ac:dyDescent="0.3">
      <c r="G497" s="159"/>
    </row>
    <row r="498" spans="7:7" ht="15.75" customHeight="1" x14ac:dyDescent="0.3">
      <c r="G498" s="159"/>
    </row>
    <row r="499" spans="7:7" ht="15.75" customHeight="1" x14ac:dyDescent="0.3">
      <c r="G499" s="159"/>
    </row>
    <row r="500" spans="7:7" ht="15.75" customHeight="1" x14ac:dyDescent="0.3">
      <c r="G500" s="159"/>
    </row>
    <row r="501" spans="7:7" ht="15.75" customHeight="1" x14ac:dyDescent="0.3">
      <c r="G501" s="159"/>
    </row>
    <row r="502" spans="7:7" ht="15.75" customHeight="1" x14ac:dyDescent="0.3">
      <c r="G502" s="159"/>
    </row>
    <row r="503" spans="7:7" ht="15.75" customHeight="1" x14ac:dyDescent="0.3">
      <c r="G503" s="159"/>
    </row>
    <row r="504" spans="7:7" ht="15.75" customHeight="1" x14ac:dyDescent="0.3">
      <c r="G504" s="159"/>
    </row>
    <row r="505" spans="7:7" ht="15.75" customHeight="1" x14ac:dyDescent="0.3">
      <c r="G505" s="159"/>
    </row>
    <row r="506" spans="7:7" ht="15.75" customHeight="1" x14ac:dyDescent="0.3">
      <c r="G506" s="159"/>
    </row>
    <row r="507" spans="7:7" ht="15.75" customHeight="1" x14ac:dyDescent="0.3">
      <c r="G507" s="159"/>
    </row>
    <row r="508" spans="7:7" ht="15.75" customHeight="1" x14ac:dyDescent="0.3">
      <c r="G508" s="159"/>
    </row>
    <row r="509" spans="7:7" ht="15.75" customHeight="1" x14ac:dyDescent="0.3">
      <c r="G509" s="159"/>
    </row>
    <row r="510" spans="7:7" ht="15.75" customHeight="1" x14ac:dyDescent="0.3">
      <c r="G510" s="159"/>
    </row>
    <row r="511" spans="7:7" ht="15.75" customHeight="1" x14ac:dyDescent="0.3">
      <c r="G511" s="159"/>
    </row>
    <row r="512" spans="7:7" ht="15.75" customHeight="1" x14ac:dyDescent="0.3">
      <c r="G512" s="159"/>
    </row>
    <row r="513" spans="7:7" ht="15.75" customHeight="1" x14ac:dyDescent="0.3">
      <c r="G513" s="159"/>
    </row>
    <row r="514" spans="7:7" ht="15.75" customHeight="1" x14ac:dyDescent="0.3">
      <c r="G514" s="159"/>
    </row>
    <row r="515" spans="7:7" ht="15.75" customHeight="1" x14ac:dyDescent="0.3">
      <c r="G515" s="159"/>
    </row>
    <row r="516" spans="7:7" ht="15.75" customHeight="1" x14ac:dyDescent="0.3">
      <c r="G516" s="159"/>
    </row>
    <row r="517" spans="7:7" ht="15.75" customHeight="1" x14ac:dyDescent="0.3">
      <c r="G517" s="159"/>
    </row>
    <row r="518" spans="7:7" ht="15.75" customHeight="1" x14ac:dyDescent="0.3">
      <c r="G518" s="159"/>
    </row>
    <row r="519" spans="7:7" ht="15.75" customHeight="1" x14ac:dyDescent="0.3">
      <c r="G519" s="159"/>
    </row>
    <row r="520" spans="7:7" ht="15.75" customHeight="1" x14ac:dyDescent="0.3">
      <c r="G520" s="159"/>
    </row>
    <row r="521" spans="7:7" ht="15.75" customHeight="1" x14ac:dyDescent="0.3">
      <c r="G521" s="159"/>
    </row>
    <row r="522" spans="7:7" ht="15.75" customHeight="1" x14ac:dyDescent="0.3">
      <c r="G522" s="159"/>
    </row>
    <row r="523" spans="7:7" ht="15.75" customHeight="1" x14ac:dyDescent="0.3">
      <c r="G523" s="159"/>
    </row>
    <row r="524" spans="7:7" ht="15.75" customHeight="1" x14ac:dyDescent="0.3">
      <c r="G524" s="159"/>
    </row>
    <row r="525" spans="7:7" ht="15.75" customHeight="1" x14ac:dyDescent="0.3">
      <c r="G525" s="159"/>
    </row>
    <row r="526" spans="7:7" ht="15.75" customHeight="1" x14ac:dyDescent="0.3">
      <c r="G526" s="159"/>
    </row>
    <row r="527" spans="7:7" ht="15.75" customHeight="1" x14ac:dyDescent="0.3">
      <c r="G527" s="159"/>
    </row>
    <row r="528" spans="7:7" ht="15.75" customHeight="1" x14ac:dyDescent="0.3">
      <c r="G528" s="159"/>
    </row>
    <row r="529" spans="7:7" ht="15.75" customHeight="1" x14ac:dyDescent="0.3">
      <c r="G529" s="159"/>
    </row>
    <row r="530" spans="7:7" ht="15.75" customHeight="1" x14ac:dyDescent="0.3">
      <c r="G530" s="159"/>
    </row>
    <row r="531" spans="7:7" ht="15.75" customHeight="1" x14ac:dyDescent="0.3">
      <c r="G531" s="159"/>
    </row>
    <row r="532" spans="7:7" ht="15.75" customHeight="1" x14ac:dyDescent="0.3">
      <c r="G532" s="159"/>
    </row>
    <row r="533" spans="7:7" ht="15.75" customHeight="1" x14ac:dyDescent="0.3">
      <c r="G533" s="159"/>
    </row>
    <row r="534" spans="7:7" ht="15.75" customHeight="1" x14ac:dyDescent="0.3">
      <c r="G534" s="159"/>
    </row>
    <row r="535" spans="7:7" ht="15.75" customHeight="1" x14ac:dyDescent="0.3">
      <c r="G535" s="159"/>
    </row>
    <row r="536" spans="7:7" ht="15.75" customHeight="1" x14ac:dyDescent="0.3">
      <c r="G536" s="159"/>
    </row>
    <row r="537" spans="7:7" ht="15.75" customHeight="1" x14ac:dyDescent="0.3">
      <c r="G537" s="159"/>
    </row>
    <row r="538" spans="7:7" ht="15.75" customHeight="1" x14ac:dyDescent="0.3">
      <c r="G538" s="159"/>
    </row>
    <row r="539" spans="7:7" ht="15.75" customHeight="1" x14ac:dyDescent="0.3">
      <c r="G539" s="159"/>
    </row>
    <row r="540" spans="7:7" ht="15.75" customHeight="1" x14ac:dyDescent="0.3">
      <c r="G540" s="159"/>
    </row>
    <row r="541" spans="7:7" ht="15.75" customHeight="1" x14ac:dyDescent="0.3">
      <c r="G541" s="159"/>
    </row>
    <row r="542" spans="7:7" ht="15.75" customHeight="1" x14ac:dyDescent="0.3">
      <c r="G542" s="159"/>
    </row>
    <row r="543" spans="7:7" ht="15.75" customHeight="1" x14ac:dyDescent="0.3">
      <c r="G543" s="159"/>
    </row>
    <row r="544" spans="7:7" ht="15.75" customHeight="1" x14ac:dyDescent="0.3">
      <c r="G544" s="159"/>
    </row>
    <row r="545" spans="7:7" ht="15.75" customHeight="1" x14ac:dyDescent="0.3">
      <c r="G545" s="159"/>
    </row>
    <row r="546" spans="7:7" ht="15.75" customHeight="1" x14ac:dyDescent="0.3">
      <c r="G546" s="159"/>
    </row>
    <row r="547" spans="7:7" ht="15.75" customHeight="1" x14ac:dyDescent="0.3">
      <c r="G547" s="159"/>
    </row>
    <row r="548" spans="7:7" ht="15.75" customHeight="1" x14ac:dyDescent="0.3">
      <c r="G548" s="159"/>
    </row>
    <row r="549" spans="7:7" ht="15.75" customHeight="1" x14ac:dyDescent="0.3">
      <c r="G549" s="159"/>
    </row>
    <row r="550" spans="7:7" ht="15.75" customHeight="1" x14ac:dyDescent="0.3">
      <c r="G550" s="159"/>
    </row>
    <row r="551" spans="7:7" ht="15.75" customHeight="1" x14ac:dyDescent="0.3">
      <c r="G551" s="159"/>
    </row>
    <row r="552" spans="7:7" ht="15.75" customHeight="1" x14ac:dyDescent="0.3">
      <c r="G552" s="159"/>
    </row>
    <row r="553" spans="7:7" ht="15.75" customHeight="1" x14ac:dyDescent="0.3">
      <c r="G553" s="159"/>
    </row>
    <row r="554" spans="7:7" ht="15.75" customHeight="1" x14ac:dyDescent="0.3">
      <c r="G554" s="159"/>
    </row>
    <row r="555" spans="7:7" ht="15.75" customHeight="1" x14ac:dyDescent="0.3">
      <c r="G555" s="159"/>
    </row>
    <row r="556" spans="7:7" ht="15.75" customHeight="1" x14ac:dyDescent="0.3">
      <c r="G556" s="159"/>
    </row>
    <row r="557" spans="7:7" ht="15.75" customHeight="1" x14ac:dyDescent="0.3">
      <c r="G557" s="159"/>
    </row>
    <row r="558" spans="7:7" ht="15.75" customHeight="1" x14ac:dyDescent="0.3">
      <c r="G558" s="159"/>
    </row>
    <row r="559" spans="7:7" ht="15.75" customHeight="1" x14ac:dyDescent="0.3">
      <c r="G559" s="159"/>
    </row>
    <row r="560" spans="7:7" ht="15.75" customHeight="1" x14ac:dyDescent="0.3">
      <c r="G560" s="159"/>
    </row>
    <row r="561" spans="7:7" ht="15.75" customHeight="1" x14ac:dyDescent="0.3">
      <c r="G561" s="159"/>
    </row>
    <row r="562" spans="7:7" ht="15.75" customHeight="1" x14ac:dyDescent="0.3">
      <c r="G562" s="159"/>
    </row>
    <row r="563" spans="7:7" ht="15.75" customHeight="1" x14ac:dyDescent="0.3">
      <c r="G563" s="159"/>
    </row>
    <row r="564" spans="7:7" ht="15.75" customHeight="1" x14ac:dyDescent="0.3">
      <c r="G564" s="159"/>
    </row>
    <row r="565" spans="7:7" ht="15.75" customHeight="1" x14ac:dyDescent="0.3">
      <c r="G565" s="159"/>
    </row>
    <row r="566" spans="7:7" ht="15.75" customHeight="1" x14ac:dyDescent="0.3">
      <c r="G566" s="159"/>
    </row>
    <row r="567" spans="7:7" ht="15.75" customHeight="1" x14ac:dyDescent="0.3">
      <c r="G567" s="159"/>
    </row>
    <row r="568" spans="7:7" ht="15.75" customHeight="1" x14ac:dyDescent="0.3">
      <c r="G568" s="159"/>
    </row>
    <row r="569" spans="7:7" ht="15.75" customHeight="1" x14ac:dyDescent="0.3">
      <c r="G569" s="159"/>
    </row>
    <row r="570" spans="7:7" ht="15.75" customHeight="1" x14ac:dyDescent="0.3">
      <c r="G570" s="159"/>
    </row>
    <row r="571" spans="7:7" ht="15.75" customHeight="1" x14ac:dyDescent="0.3">
      <c r="G571" s="159"/>
    </row>
    <row r="572" spans="7:7" ht="15.75" customHeight="1" x14ac:dyDescent="0.3">
      <c r="G572" s="159"/>
    </row>
    <row r="573" spans="7:7" ht="15.75" customHeight="1" x14ac:dyDescent="0.3">
      <c r="G573" s="159"/>
    </row>
    <row r="574" spans="7:7" ht="15.75" customHeight="1" x14ac:dyDescent="0.3">
      <c r="G574" s="159"/>
    </row>
    <row r="575" spans="7:7" ht="15.75" customHeight="1" x14ac:dyDescent="0.3">
      <c r="G575" s="159"/>
    </row>
    <row r="576" spans="7:7" ht="15.75" customHeight="1" x14ac:dyDescent="0.3">
      <c r="G576" s="159"/>
    </row>
    <row r="577" spans="7:7" ht="15.75" customHeight="1" x14ac:dyDescent="0.3">
      <c r="G577" s="159"/>
    </row>
    <row r="578" spans="7:7" ht="15.75" customHeight="1" x14ac:dyDescent="0.3">
      <c r="G578" s="159"/>
    </row>
    <row r="579" spans="7:7" ht="15.75" customHeight="1" x14ac:dyDescent="0.3">
      <c r="G579" s="159"/>
    </row>
    <row r="580" spans="7:7" ht="15.75" customHeight="1" x14ac:dyDescent="0.3">
      <c r="G580" s="159"/>
    </row>
    <row r="581" spans="7:7" ht="15.75" customHeight="1" x14ac:dyDescent="0.3">
      <c r="G581" s="159"/>
    </row>
    <row r="582" spans="7:7" ht="15.75" customHeight="1" x14ac:dyDescent="0.3">
      <c r="G582" s="159"/>
    </row>
    <row r="583" spans="7:7" ht="15.75" customHeight="1" x14ac:dyDescent="0.3">
      <c r="G583" s="159"/>
    </row>
    <row r="584" spans="7:7" ht="15.75" customHeight="1" x14ac:dyDescent="0.3">
      <c r="G584" s="159"/>
    </row>
    <row r="585" spans="7:7" ht="15.75" customHeight="1" x14ac:dyDescent="0.3">
      <c r="G585" s="159"/>
    </row>
    <row r="586" spans="7:7" ht="15.75" customHeight="1" x14ac:dyDescent="0.3">
      <c r="G586" s="159"/>
    </row>
    <row r="587" spans="7:7" ht="15.75" customHeight="1" x14ac:dyDescent="0.3">
      <c r="G587" s="159"/>
    </row>
    <row r="588" spans="7:7" ht="15.75" customHeight="1" x14ac:dyDescent="0.3">
      <c r="G588" s="159"/>
    </row>
    <row r="589" spans="7:7" ht="15.75" customHeight="1" x14ac:dyDescent="0.3">
      <c r="G589" s="159"/>
    </row>
    <row r="590" spans="7:7" ht="15.75" customHeight="1" x14ac:dyDescent="0.3">
      <c r="G590" s="159"/>
    </row>
    <row r="591" spans="7:7" ht="15.75" customHeight="1" x14ac:dyDescent="0.3">
      <c r="G591" s="159"/>
    </row>
    <row r="592" spans="7:7" ht="15.75" customHeight="1" x14ac:dyDescent="0.3">
      <c r="G592" s="159"/>
    </row>
    <row r="593" spans="7:7" ht="15.75" customHeight="1" x14ac:dyDescent="0.3">
      <c r="G593" s="159"/>
    </row>
    <row r="594" spans="7:7" ht="15.75" customHeight="1" x14ac:dyDescent="0.3">
      <c r="G594" s="159"/>
    </row>
    <row r="595" spans="7:7" ht="15.75" customHeight="1" x14ac:dyDescent="0.3">
      <c r="G595" s="159"/>
    </row>
    <row r="596" spans="7:7" ht="15.75" customHeight="1" x14ac:dyDescent="0.3">
      <c r="G596" s="159"/>
    </row>
    <row r="597" spans="7:7" ht="15.75" customHeight="1" x14ac:dyDescent="0.3">
      <c r="G597" s="159"/>
    </row>
    <row r="598" spans="7:7" ht="15.75" customHeight="1" x14ac:dyDescent="0.3">
      <c r="G598" s="159"/>
    </row>
    <row r="599" spans="7:7" ht="15.75" customHeight="1" x14ac:dyDescent="0.3">
      <c r="G599" s="159"/>
    </row>
    <row r="600" spans="7:7" ht="15.75" customHeight="1" x14ac:dyDescent="0.3">
      <c r="G600" s="159"/>
    </row>
    <row r="601" spans="7:7" ht="15.75" customHeight="1" x14ac:dyDescent="0.3">
      <c r="G601" s="159"/>
    </row>
    <row r="602" spans="7:7" ht="15.75" customHeight="1" x14ac:dyDescent="0.3">
      <c r="G602" s="159"/>
    </row>
    <row r="603" spans="7:7" ht="15.75" customHeight="1" x14ac:dyDescent="0.3">
      <c r="G603" s="159"/>
    </row>
    <row r="604" spans="7:7" ht="15.75" customHeight="1" x14ac:dyDescent="0.3">
      <c r="G604" s="159"/>
    </row>
    <row r="605" spans="7:7" ht="15.75" customHeight="1" x14ac:dyDescent="0.3">
      <c r="G605" s="159"/>
    </row>
    <row r="606" spans="7:7" ht="15.75" customHeight="1" x14ac:dyDescent="0.3">
      <c r="G606" s="159"/>
    </row>
    <row r="607" spans="7:7" ht="15.75" customHeight="1" x14ac:dyDescent="0.3">
      <c r="G607" s="159"/>
    </row>
    <row r="608" spans="7:7" ht="15.75" customHeight="1" x14ac:dyDescent="0.3">
      <c r="G608" s="159"/>
    </row>
    <row r="609" spans="7:7" ht="15.75" customHeight="1" x14ac:dyDescent="0.3">
      <c r="G609" s="159"/>
    </row>
    <row r="610" spans="7:7" ht="15.75" customHeight="1" x14ac:dyDescent="0.3">
      <c r="G610" s="159"/>
    </row>
    <row r="611" spans="7:7" ht="15.75" customHeight="1" x14ac:dyDescent="0.3">
      <c r="G611" s="159"/>
    </row>
    <row r="612" spans="7:7" ht="15.75" customHeight="1" x14ac:dyDescent="0.3">
      <c r="G612" s="159"/>
    </row>
    <row r="613" spans="7:7" ht="15.75" customHeight="1" x14ac:dyDescent="0.3">
      <c r="G613" s="159"/>
    </row>
    <row r="614" spans="7:7" ht="15.75" customHeight="1" x14ac:dyDescent="0.3">
      <c r="G614" s="159"/>
    </row>
    <row r="615" spans="7:7" ht="15.75" customHeight="1" x14ac:dyDescent="0.3">
      <c r="G615" s="159"/>
    </row>
    <row r="616" spans="7:7" ht="15.75" customHeight="1" x14ac:dyDescent="0.3">
      <c r="G616" s="159"/>
    </row>
    <row r="617" spans="7:7" ht="15.75" customHeight="1" x14ac:dyDescent="0.3">
      <c r="G617" s="159"/>
    </row>
    <row r="618" spans="7:7" ht="15.75" customHeight="1" x14ac:dyDescent="0.3">
      <c r="G618" s="159"/>
    </row>
    <row r="619" spans="7:7" ht="15.75" customHeight="1" x14ac:dyDescent="0.3">
      <c r="G619" s="159"/>
    </row>
    <row r="620" spans="7:7" ht="15.75" customHeight="1" x14ac:dyDescent="0.3">
      <c r="G620" s="159"/>
    </row>
    <row r="621" spans="7:7" ht="15.75" customHeight="1" x14ac:dyDescent="0.3">
      <c r="G621" s="159"/>
    </row>
    <row r="622" spans="7:7" ht="15.75" customHeight="1" x14ac:dyDescent="0.3">
      <c r="G622" s="159"/>
    </row>
    <row r="623" spans="7:7" ht="15.75" customHeight="1" x14ac:dyDescent="0.3">
      <c r="G623" s="159"/>
    </row>
    <row r="624" spans="7:7" ht="15.75" customHeight="1" x14ac:dyDescent="0.3">
      <c r="G624" s="159"/>
    </row>
    <row r="625" spans="7:7" ht="15.75" customHeight="1" x14ac:dyDescent="0.3">
      <c r="G625" s="159"/>
    </row>
    <row r="626" spans="7:7" ht="15.75" customHeight="1" x14ac:dyDescent="0.3">
      <c r="G626" s="159"/>
    </row>
    <row r="627" spans="7:7" ht="15.75" customHeight="1" x14ac:dyDescent="0.3">
      <c r="G627" s="159"/>
    </row>
    <row r="628" spans="7:7" ht="15.75" customHeight="1" x14ac:dyDescent="0.3">
      <c r="G628" s="159"/>
    </row>
    <row r="629" spans="7:7" ht="15.75" customHeight="1" x14ac:dyDescent="0.3">
      <c r="G629" s="159"/>
    </row>
    <row r="630" spans="7:7" ht="15.75" customHeight="1" x14ac:dyDescent="0.3">
      <c r="G630" s="159"/>
    </row>
    <row r="631" spans="7:7" ht="15.75" customHeight="1" x14ac:dyDescent="0.3">
      <c r="G631" s="159"/>
    </row>
    <row r="632" spans="7:7" ht="15.75" customHeight="1" x14ac:dyDescent="0.3">
      <c r="G632" s="159"/>
    </row>
    <row r="633" spans="7:7" ht="15.75" customHeight="1" x14ac:dyDescent="0.3">
      <c r="G633" s="159"/>
    </row>
    <row r="634" spans="7:7" ht="15.75" customHeight="1" x14ac:dyDescent="0.3">
      <c r="G634" s="159"/>
    </row>
    <row r="635" spans="7:7" ht="15.75" customHeight="1" x14ac:dyDescent="0.3">
      <c r="G635" s="159"/>
    </row>
    <row r="636" spans="7:7" ht="15.75" customHeight="1" x14ac:dyDescent="0.3">
      <c r="G636" s="159"/>
    </row>
    <row r="637" spans="7:7" ht="15.75" customHeight="1" x14ac:dyDescent="0.3">
      <c r="G637" s="159"/>
    </row>
    <row r="638" spans="7:7" ht="15.75" customHeight="1" x14ac:dyDescent="0.3">
      <c r="G638" s="159"/>
    </row>
    <row r="639" spans="7:7" ht="15.75" customHeight="1" x14ac:dyDescent="0.3">
      <c r="G639" s="159"/>
    </row>
    <row r="640" spans="7:7" ht="15.75" customHeight="1" x14ac:dyDescent="0.3">
      <c r="G640" s="159"/>
    </row>
    <row r="641" spans="7:7" ht="15.75" customHeight="1" x14ac:dyDescent="0.3">
      <c r="G641" s="159"/>
    </row>
    <row r="642" spans="7:7" ht="15.75" customHeight="1" x14ac:dyDescent="0.3">
      <c r="G642" s="159"/>
    </row>
    <row r="643" spans="7:7" ht="15.75" customHeight="1" x14ac:dyDescent="0.3">
      <c r="G643" s="159"/>
    </row>
    <row r="644" spans="7:7" ht="15.75" customHeight="1" x14ac:dyDescent="0.3">
      <c r="G644" s="159"/>
    </row>
    <row r="645" spans="7:7" ht="15.75" customHeight="1" x14ac:dyDescent="0.3">
      <c r="G645" s="159"/>
    </row>
    <row r="646" spans="7:7" ht="15.75" customHeight="1" x14ac:dyDescent="0.3">
      <c r="G646" s="159"/>
    </row>
    <row r="647" spans="7:7" ht="15.75" customHeight="1" x14ac:dyDescent="0.3">
      <c r="G647" s="159"/>
    </row>
    <row r="648" spans="7:7" ht="15.75" customHeight="1" x14ac:dyDescent="0.3">
      <c r="G648" s="159"/>
    </row>
    <row r="649" spans="7:7" ht="15.75" customHeight="1" x14ac:dyDescent="0.3">
      <c r="G649" s="159"/>
    </row>
    <row r="650" spans="7:7" ht="15.75" customHeight="1" x14ac:dyDescent="0.3">
      <c r="G650" s="159"/>
    </row>
    <row r="651" spans="7:7" ht="15.75" customHeight="1" x14ac:dyDescent="0.3">
      <c r="G651" s="159"/>
    </row>
    <row r="652" spans="7:7" ht="15.75" customHeight="1" x14ac:dyDescent="0.3">
      <c r="G652" s="159"/>
    </row>
    <row r="653" spans="7:7" ht="15.75" customHeight="1" x14ac:dyDescent="0.3">
      <c r="G653" s="159"/>
    </row>
    <row r="654" spans="7:7" ht="15.75" customHeight="1" x14ac:dyDescent="0.3">
      <c r="G654" s="159"/>
    </row>
    <row r="655" spans="7:7" ht="15.75" customHeight="1" x14ac:dyDescent="0.3">
      <c r="G655" s="159"/>
    </row>
    <row r="656" spans="7:7" ht="15.75" customHeight="1" x14ac:dyDescent="0.3">
      <c r="G656" s="159"/>
    </row>
    <row r="657" spans="7:7" ht="15.75" customHeight="1" x14ac:dyDescent="0.3">
      <c r="G657" s="159"/>
    </row>
    <row r="658" spans="7:7" ht="15.75" customHeight="1" x14ac:dyDescent="0.3">
      <c r="G658" s="159"/>
    </row>
    <row r="659" spans="7:7" ht="15.75" customHeight="1" x14ac:dyDescent="0.3">
      <c r="G659" s="159"/>
    </row>
    <row r="660" spans="7:7" ht="15.75" customHeight="1" x14ac:dyDescent="0.3">
      <c r="G660" s="159"/>
    </row>
    <row r="661" spans="7:7" ht="15.75" customHeight="1" x14ac:dyDescent="0.3">
      <c r="G661" s="159"/>
    </row>
    <row r="662" spans="7:7" ht="15.75" customHeight="1" x14ac:dyDescent="0.3">
      <c r="G662" s="159"/>
    </row>
    <row r="663" spans="7:7" ht="15.75" customHeight="1" x14ac:dyDescent="0.3">
      <c r="G663" s="159"/>
    </row>
    <row r="664" spans="7:7" ht="15.75" customHeight="1" x14ac:dyDescent="0.3">
      <c r="G664" s="159"/>
    </row>
    <row r="665" spans="7:7" ht="15.75" customHeight="1" x14ac:dyDescent="0.3">
      <c r="G665" s="159"/>
    </row>
    <row r="666" spans="7:7" ht="15.75" customHeight="1" x14ac:dyDescent="0.3">
      <c r="G666" s="159"/>
    </row>
    <row r="667" spans="7:7" ht="15.75" customHeight="1" x14ac:dyDescent="0.3">
      <c r="G667" s="159"/>
    </row>
    <row r="668" spans="7:7" ht="15.75" customHeight="1" x14ac:dyDescent="0.3">
      <c r="G668" s="159"/>
    </row>
    <row r="669" spans="7:7" ht="15.75" customHeight="1" x14ac:dyDescent="0.3">
      <c r="G669" s="159"/>
    </row>
    <row r="670" spans="7:7" ht="15.75" customHeight="1" x14ac:dyDescent="0.3">
      <c r="G670" s="159"/>
    </row>
    <row r="671" spans="7:7" ht="15.75" customHeight="1" x14ac:dyDescent="0.3">
      <c r="G671" s="159"/>
    </row>
    <row r="672" spans="7:7" ht="15.75" customHeight="1" x14ac:dyDescent="0.3">
      <c r="G672" s="159"/>
    </row>
    <row r="673" spans="7:7" ht="15.75" customHeight="1" x14ac:dyDescent="0.3">
      <c r="G673" s="159"/>
    </row>
    <row r="674" spans="7:7" ht="15.75" customHeight="1" x14ac:dyDescent="0.3">
      <c r="G674" s="159"/>
    </row>
    <row r="675" spans="7:7" ht="15.75" customHeight="1" x14ac:dyDescent="0.3">
      <c r="G675" s="159"/>
    </row>
    <row r="676" spans="7:7" ht="15.75" customHeight="1" x14ac:dyDescent="0.3">
      <c r="G676" s="159"/>
    </row>
    <row r="677" spans="7:7" ht="15.75" customHeight="1" x14ac:dyDescent="0.3">
      <c r="G677" s="159"/>
    </row>
    <row r="678" spans="7:7" ht="15.75" customHeight="1" x14ac:dyDescent="0.3">
      <c r="G678" s="159"/>
    </row>
    <row r="679" spans="7:7" ht="15.75" customHeight="1" x14ac:dyDescent="0.3">
      <c r="G679" s="159"/>
    </row>
    <row r="680" spans="7:7" ht="15.75" customHeight="1" x14ac:dyDescent="0.3">
      <c r="G680" s="159"/>
    </row>
    <row r="681" spans="7:7" ht="15.75" customHeight="1" x14ac:dyDescent="0.3">
      <c r="G681" s="159"/>
    </row>
    <row r="682" spans="7:7" ht="15.75" customHeight="1" x14ac:dyDescent="0.3">
      <c r="G682" s="159"/>
    </row>
    <row r="683" spans="7:7" ht="15.75" customHeight="1" x14ac:dyDescent="0.3">
      <c r="G683" s="159"/>
    </row>
    <row r="684" spans="7:7" ht="15.75" customHeight="1" x14ac:dyDescent="0.3">
      <c r="G684" s="159"/>
    </row>
    <row r="685" spans="7:7" ht="15.75" customHeight="1" x14ac:dyDescent="0.3">
      <c r="G685" s="159"/>
    </row>
    <row r="686" spans="7:7" ht="15.75" customHeight="1" x14ac:dyDescent="0.3">
      <c r="G686" s="159"/>
    </row>
    <row r="687" spans="7:7" ht="15.75" customHeight="1" x14ac:dyDescent="0.3">
      <c r="G687" s="159"/>
    </row>
    <row r="688" spans="7:7" ht="15.75" customHeight="1" x14ac:dyDescent="0.3">
      <c r="G688" s="159"/>
    </row>
    <row r="689" spans="7:7" ht="15.75" customHeight="1" x14ac:dyDescent="0.3">
      <c r="G689" s="159"/>
    </row>
    <row r="690" spans="7:7" ht="15.75" customHeight="1" x14ac:dyDescent="0.3">
      <c r="G690" s="159"/>
    </row>
    <row r="691" spans="7:7" ht="15.75" customHeight="1" x14ac:dyDescent="0.3">
      <c r="G691" s="159"/>
    </row>
    <row r="692" spans="7:7" ht="15.75" customHeight="1" x14ac:dyDescent="0.3">
      <c r="G692" s="159"/>
    </row>
    <row r="693" spans="7:7" ht="15.75" customHeight="1" x14ac:dyDescent="0.3">
      <c r="G693" s="159"/>
    </row>
    <row r="694" spans="7:7" ht="15.75" customHeight="1" x14ac:dyDescent="0.3">
      <c r="G694" s="159"/>
    </row>
    <row r="695" spans="7:7" ht="15.75" customHeight="1" x14ac:dyDescent="0.3">
      <c r="G695" s="159"/>
    </row>
    <row r="696" spans="7:7" ht="15.75" customHeight="1" x14ac:dyDescent="0.3">
      <c r="G696" s="159"/>
    </row>
    <row r="697" spans="7:7" ht="15.75" customHeight="1" x14ac:dyDescent="0.3">
      <c r="G697" s="159"/>
    </row>
    <row r="698" spans="7:7" ht="15.75" customHeight="1" x14ac:dyDescent="0.3">
      <c r="G698" s="159"/>
    </row>
    <row r="699" spans="7:7" ht="15.75" customHeight="1" x14ac:dyDescent="0.3">
      <c r="G699" s="159"/>
    </row>
    <row r="700" spans="7:7" ht="15.75" customHeight="1" x14ac:dyDescent="0.3">
      <c r="G700" s="159"/>
    </row>
    <row r="701" spans="7:7" ht="15.75" customHeight="1" x14ac:dyDescent="0.3">
      <c r="G701" s="159"/>
    </row>
    <row r="702" spans="7:7" ht="15.75" customHeight="1" x14ac:dyDescent="0.3">
      <c r="G702" s="159"/>
    </row>
    <row r="703" spans="7:7" ht="15.75" customHeight="1" x14ac:dyDescent="0.3">
      <c r="G703" s="159"/>
    </row>
    <row r="704" spans="7:7" ht="15.75" customHeight="1" x14ac:dyDescent="0.3">
      <c r="G704" s="159"/>
    </row>
    <row r="705" spans="7:7" ht="15.75" customHeight="1" x14ac:dyDescent="0.3">
      <c r="G705" s="159"/>
    </row>
    <row r="706" spans="7:7" ht="15.75" customHeight="1" x14ac:dyDescent="0.3">
      <c r="G706" s="159"/>
    </row>
    <row r="707" spans="7:7" ht="15.75" customHeight="1" x14ac:dyDescent="0.3">
      <c r="G707" s="159"/>
    </row>
    <row r="708" spans="7:7" ht="15.75" customHeight="1" x14ac:dyDescent="0.3">
      <c r="G708" s="159"/>
    </row>
    <row r="709" spans="7:7" ht="15.75" customHeight="1" x14ac:dyDescent="0.3">
      <c r="G709" s="159"/>
    </row>
    <row r="710" spans="7:7" ht="15.75" customHeight="1" x14ac:dyDescent="0.3">
      <c r="G710" s="159"/>
    </row>
    <row r="711" spans="7:7" ht="15.75" customHeight="1" x14ac:dyDescent="0.3">
      <c r="G711" s="159"/>
    </row>
    <row r="712" spans="7:7" ht="15.75" customHeight="1" x14ac:dyDescent="0.3">
      <c r="G712" s="159"/>
    </row>
    <row r="713" spans="7:7" ht="15.75" customHeight="1" x14ac:dyDescent="0.3">
      <c r="G713" s="159"/>
    </row>
    <row r="714" spans="7:7" ht="15.75" customHeight="1" x14ac:dyDescent="0.3">
      <c r="G714" s="159"/>
    </row>
    <row r="715" spans="7:7" ht="15.75" customHeight="1" x14ac:dyDescent="0.3">
      <c r="G715" s="159"/>
    </row>
    <row r="716" spans="7:7" ht="15.75" customHeight="1" x14ac:dyDescent="0.3">
      <c r="G716" s="159"/>
    </row>
    <row r="717" spans="7:7" ht="15.75" customHeight="1" x14ac:dyDescent="0.3">
      <c r="G717" s="159"/>
    </row>
    <row r="718" spans="7:7" ht="15.75" customHeight="1" x14ac:dyDescent="0.3">
      <c r="G718" s="159"/>
    </row>
    <row r="719" spans="7:7" ht="15.75" customHeight="1" x14ac:dyDescent="0.3">
      <c r="G719" s="159"/>
    </row>
    <row r="720" spans="7:7" ht="15.75" customHeight="1" x14ac:dyDescent="0.3">
      <c r="G720" s="159"/>
    </row>
    <row r="721" spans="7:7" ht="15.75" customHeight="1" x14ac:dyDescent="0.3">
      <c r="G721" s="159"/>
    </row>
    <row r="722" spans="7:7" ht="15.75" customHeight="1" x14ac:dyDescent="0.3">
      <c r="G722" s="159"/>
    </row>
    <row r="723" spans="7:7" ht="15.75" customHeight="1" x14ac:dyDescent="0.3">
      <c r="G723" s="159"/>
    </row>
    <row r="724" spans="7:7" ht="15.75" customHeight="1" x14ac:dyDescent="0.3">
      <c r="G724" s="159"/>
    </row>
    <row r="725" spans="7:7" ht="15.75" customHeight="1" x14ac:dyDescent="0.3">
      <c r="G725" s="159"/>
    </row>
    <row r="726" spans="7:7" ht="15.75" customHeight="1" x14ac:dyDescent="0.3">
      <c r="G726" s="159"/>
    </row>
    <row r="727" spans="7:7" ht="15.75" customHeight="1" x14ac:dyDescent="0.3">
      <c r="G727" s="159"/>
    </row>
    <row r="728" spans="7:7" ht="15.75" customHeight="1" x14ac:dyDescent="0.3">
      <c r="G728" s="159"/>
    </row>
    <row r="729" spans="7:7" ht="15.75" customHeight="1" x14ac:dyDescent="0.3">
      <c r="G729" s="159"/>
    </row>
    <row r="730" spans="7:7" ht="15.75" customHeight="1" x14ac:dyDescent="0.3">
      <c r="G730" s="159"/>
    </row>
    <row r="731" spans="7:7" ht="15.75" customHeight="1" x14ac:dyDescent="0.3">
      <c r="G731" s="159"/>
    </row>
    <row r="732" spans="7:7" ht="15.75" customHeight="1" x14ac:dyDescent="0.3">
      <c r="G732" s="159"/>
    </row>
    <row r="733" spans="7:7" ht="15.75" customHeight="1" x14ac:dyDescent="0.3">
      <c r="G733" s="159"/>
    </row>
    <row r="734" spans="7:7" ht="15.75" customHeight="1" x14ac:dyDescent="0.3">
      <c r="G734" s="159"/>
    </row>
    <row r="735" spans="7:7" ht="15.75" customHeight="1" x14ac:dyDescent="0.3">
      <c r="G735" s="159"/>
    </row>
    <row r="736" spans="7:7" ht="15.75" customHeight="1" x14ac:dyDescent="0.3">
      <c r="G736" s="159"/>
    </row>
    <row r="737" spans="7:7" ht="15.75" customHeight="1" x14ac:dyDescent="0.3">
      <c r="G737" s="159"/>
    </row>
    <row r="738" spans="7:7" ht="15.75" customHeight="1" x14ac:dyDescent="0.3">
      <c r="G738" s="159"/>
    </row>
    <row r="739" spans="7:7" ht="15.75" customHeight="1" x14ac:dyDescent="0.3">
      <c r="G739" s="159"/>
    </row>
    <row r="740" spans="7:7" ht="15.75" customHeight="1" x14ac:dyDescent="0.3">
      <c r="G740" s="159"/>
    </row>
    <row r="741" spans="7:7" ht="15.75" customHeight="1" x14ac:dyDescent="0.3">
      <c r="G741" s="159"/>
    </row>
    <row r="742" spans="7:7" ht="15.75" customHeight="1" x14ac:dyDescent="0.3">
      <c r="G742" s="159"/>
    </row>
    <row r="743" spans="7:7" ht="15.75" customHeight="1" x14ac:dyDescent="0.3">
      <c r="G743" s="159"/>
    </row>
    <row r="744" spans="7:7" ht="15.75" customHeight="1" x14ac:dyDescent="0.3">
      <c r="G744" s="159"/>
    </row>
    <row r="745" spans="7:7" ht="15.75" customHeight="1" x14ac:dyDescent="0.3">
      <c r="G745" s="159"/>
    </row>
    <row r="746" spans="7:7" ht="15.75" customHeight="1" x14ac:dyDescent="0.3">
      <c r="G746" s="159"/>
    </row>
    <row r="747" spans="7:7" ht="15.75" customHeight="1" x14ac:dyDescent="0.3">
      <c r="G747" s="159"/>
    </row>
    <row r="748" spans="7:7" ht="15.75" customHeight="1" x14ac:dyDescent="0.3">
      <c r="G748" s="159"/>
    </row>
    <row r="749" spans="7:7" ht="15.75" customHeight="1" x14ac:dyDescent="0.3">
      <c r="G749" s="159"/>
    </row>
    <row r="750" spans="7:7" ht="15.75" customHeight="1" x14ac:dyDescent="0.3">
      <c r="G750" s="159"/>
    </row>
    <row r="751" spans="7:7" ht="15.75" customHeight="1" x14ac:dyDescent="0.3">
      <c r="G751" s="159"/>
    </row>
    <row r="752" spans="7:7" ht="15.75" customHeight="1" x14ac:dyDescent="0.3">
      <c r="G752" s="159"/>
    </row>
    <row r="753" spans="7:7" ht="15.75" customHeight="1" x14ac:dyDescent="0.3">
      <c r="G753" s="159"/>
    </row>
    <row r="754" spans="7:7" ht="15.75" customHeight="1" x14ac:dyDescent="0.3">
      <c r="G754" s="159"/>
    </row>
    <row r="755" spans="7:7" ht="15.75" customHeight="1" x14ac:dyDescent="0.3">
      <c r="G755" s="159"/>
    </row>
    <row r="756" spans="7:7" ht="15.75" customHeight="1" x14ac:dyDescent="0.3">
      <c r="G756" s="159"/>
    </row>
    <row r="757" spans="7:7" ht="15.75" customHeight="1" x14ac:dyDescent="0.3">
      <c r="G757" s="159"/>
    </row>
    <row r="758" spans="7:7" ht="15.75" customHeight="1" x14ac:dyDescent="0.3">
      <c r="G758" s="159"/>
    </row>
    <row r="759" spans="7:7" ht="15.75" customHeight="1" x14ac:dyDescent="0.3">
      <c r="G759" s="159"/>
    </row>
    <row r="760" spans="7:7" ht="15.75" customHeight="1" x14ac:dyDescent="0.3">
      <c r="G760" s="159"/>
    </row>
    <row r="761" spans="7:7" ht="15.75" customHeight="1" x14ac:dyDescent="0.3">
      <c r="G761" s="159"/>
    </row>
    <row r="762" spans="7:7" ht="15.75" customHeight="1" x14ac:dyDescent="0.3">
      <c r="G762" s="159"/>
    </row>
    <row r="763" spans="7:7" ht="15.75" customHeight="1" x14ac:dyDescent="0.3">
      <c r="G763" s="159"/>
    </row>
    <row r="764" spans="7:7" ht="15.75" customHeight="1" x14ac:dyDescent="0.3">
      <c r="G764" s="159"/>
    </row>
    <row r="765" spans="7:7" ht="15.75" customHeight="1" x14ac:dyDescent="0.3">
      <c r="G765" s="159"/>
    </row>
    <row r="766" spans="7:7" ht="15.75" customHeight="1" x14ac:dyDescent="0.3">
      <c r="G766" s="159"/>
    </row>
    <row r="767" spans="7:7" ht="15.75" customHeight="1" x14ac:dyDescent="0.3">
      <c r="G767" s="159"/>
    </row>
    <row r="768" spans="7:7" ht="15.75" customHeight="1" x14ac:dyDescent="0.3">
      <c r="G768" s="159"/>
    </row>
    <row r="769" spans="7:7" ht="15.75" customHeight="1" x14ac:dyDescent="0.3">
      <c r="G769" s="159"/>
    </row>
    <row r="770" spans="7:7" ht="15.75" customHeight="1" x14ac:dyDescent="0.3">
      <c r="G770" s="159"/>
    </row>
    <row r="771" spans="7:7" ht="15.75" customHeight="1" x14ac:dyDescent="0.3">
      <c r="G771" s="159"/>
    </row>
    <row r="772" spans="7:7" ht="15.75" customHeight="1" x14ac:dyDescent="0.3">
      <c r="G772" s="159"/>
    </row>
    <row r="773" spans="7:7" ht="15.75" customHeight="1" x14ac:dyDescent="0.3">
      <c r="G773" s="159"/>
    </row>
    <row r="774" spans="7:7" ht="15.75" customHeight="1" x14ac:dyDescent="0.3">
      <c r="G774" s="159"/>
    </row>
    <row r="775" spans="7:7" ht="15.75" customHeight="1" x14ac:dyDescent="0.3">
      <c r="G775" s="159"/>
    </row>
    <row r="776" spans="7:7" ht="15.75" customHeight="1" x14ac:dyDescent="0.3">
      <c r="G776" s="159"/>
    </row>
    <row r="777" spans="7:7" ht="15.75" customHeight="1" x14ac:dyDescent="0.3">
      <c r="G777" s="159"/>
    </row>
    <row r="778" spans="7:7" ht="15.75" customHeight="1" x14ac:dyDescent="0.3">
      <c r="G778" s="159"/>
    </row>
    <row r="779" spans="7:7" ht="15.75" customHeight="1" x14ac:dyDescent="0.3">
      <c r="G779" s="159"/>
    </row>
    <row r="780" spans="7:7" ht="15.75" customHeight="1" x14ac:dyDescent="0.3">
      <c r="G780" s="159"/>
    </row>
    <row r="781" spans="7:7" ht="15.75" customHeight="1" x14ac:dyDescent="0.3">
      <c r="G781" s="159"/>
    </row>
    <row r="782" spans="7:7" ht="15.75" customHeight="1" x14ac:dyDescent="0.3">
      <c r="G782" s="159"/>
    </row>
    <row r="783" spans="7:7" ht="15.75" customHeight="1" x14ac:dyDescent="0.3">
      <c r="G783" s="159"/>
    </row>
    <row r="784" spans="7:7" ht="15.75" customHeight="1" x14ac:dyDescent="0.3">
      <c r="G784" s="159"/>
    </row>
    <row r="785" spans="7:7" ht="15.75" customHeight="1" x14ac:dyDescent="0.3">
      <c r="G785" s="159"/>
    </row>
    <row r="786" spans="7:7" ht="15.75" customHeight="1" x14ac:dyDescent="0.3">
      <c r="G786" s="159"/>
    </row>
    <row r="787" spans="7:7" ht="15.75" customHeight="1" x14ac:dyDescent="0.3">
      <c r="G787" s="159"/>
    </row>
    <row r="788" spans="7:7" ht="15.75" customHeight="1" x14ac:dyDescent="0.3">
      <c r="G788" s="159"/>
    </row>
    <row r="789" spans="7:7" ht="15.75" customHeight="1" x14ac:dyDescent="0.3">
      <c r="G789" s="159"/>
    </row>
    <row r="790" spans="7:7" ht="15.75" customHeight="1" x14ac:dyDescent="0.3">
      <c r="G790" s="159"/>
    </row>
    <row r="791" spans="7:7" ht="15.75" customHeight="1" x14ac:dyDescent="0.3">
      <c r="G791" s="159"/>
    </row>
    <row r="792" spans="7:7" ht="15.75" customHeight="1" x14ac:dyDescent="0.3">
      <c r="G792" s="159"/>
    </row>
    <row r="793" spans="7:7" ht="15.75" customHeight="1" x14ac:dyDescent="0.3">
      <c r="G793" s="159"/>
    </row>
    <row r="794" spans="7:7" ht="15.75" customHeight="1" x14ac:dyDescent="0.3">
      <c r="G794" s="159"/>
    </row>
    <row r="795" spans="7:7" ht="15.75" customHeight="1" x14ac:dyDescent="0.3">
      <c r="G795" s="159"/>
    </row>
    <row r="796" spans="7:7" ht="15.75" customHeight="1" x14ac:dyDescent="0.3">
      <c r="G796" s="159"/>
    </row>
    <row r="797" spans="7:7" ht="15.75" customHeight="1" x14ac:dyDescent="0.3">
      <c r="G797" s="159"/>
    </row>
    <row r="798" spans="7:7" ht="15.75" customHeight="1" x14ac:dyDescent="0.3">
      <c r="G798" s="159"/>
    </row>
    <row r="799" spans="7:7" ht="15.75" customHeight="1" x14ac:dyDescent="0.3">
      <c r="G799" s="159"/>
    </row>
    <row r="800" spans="7:7" ht="15.75" customHeight="1" x14ac:dyDescent="0.3">
      <c r="G800" s="159"/>
    </row>
    <row r="801" spans="7:7" ht="15.75" customHeight="1" x14ac:dyDescent="0.3">
      <c r="G801" s="159"/>
    </row>
    <row r="802" spans="7:7" ht="15.75" customHeight="1" x14ac:dyDescent="0.3">
      <c r="G802" s="159"/>
    </row>
    <row r="803" spans="7:7" ht="15.75" customHeight="1" x14ac:dyDescent="0.3">
      <c r="G803" s="159"/>
    </row>
    <row r="804" spans="7:7" ht="15.75" customHeight="1" x14ac:dyDescent="0.3">
      <c r="G804" s="159"/>
    </row>
    <row r="805" spans="7:7" ht="15.75" customHeight="1" x14ac:dyDescent="0.3">
      <c r="G805" s="159"/>
    </row>
    <row r="806" spans="7:7" ht="15.75" customHeight="1" x14ac:dyDescent="0.3">
      <c r="G806" s="159"/>
    </row>
    <row r="807" spans="7:7" ht="15.75" customHeight="1" x14ac:dyDescent="0.3">
      <c r="G807" s="159"/>
    </row>
    <row r="808" spans="7:7" ht="15.75" customHeight="1" x14ac:dyDescent="0.3">
      <c r="G808" s="159"/>
    </row>
    <row r="809" spans="7:7" ht="15.75" customHeight="1" x14ac:dyDescent="0.3">
      <c r="G809" s="159"/>
    </row>
    <row r="810" spans="7:7" ht="15.75" customHeight="1" x14ac:dyDescent="0.3">
      <c r="G810" s="159"/>
    </row>
    <row r="811" spans="7:7" ht="15.75" customHeight="1" x14ac:dyDescent="0.3">
      <c r="G811" s="159"/>
    </row>
    <row r="812" spans="7:7" ht="15.75" customHeight="1" x14ac:dyDescent="0.3">
      <c r="G812" s="159"/>
    </row>
    <row r="813" spans="7:7" ht="15.75" customHeight="1" x14ac:dyDescent="0.3">
      <c r="G813" s="159"/>
    </row>
    <row r="814" spans="7:7" ht="15.75" customHeight="1" x14ac:dyDescent="0.3">
      <c r="G814" s="159"/>
    </row>
    <row r="815" spans="7:7" ht="15.75" customHeight="1" x14ac:dyDescent="0.3">
      <c r="G815" s="159"/>
    </row>
    <row r="816" spans="7:7" ht="15.75" customHeight="1" x14ac:dyDescent="0.3">
      <c r="G816" s="159"/>
    </row>
    <row r="817" spans="7:7" ht="15.75" customHeight="1" x14ac:dyDescent="0.3">
      <c r="G817" s="159"/>
    </row>
    <row r="818" spans="7:7" ht="15.75" customHeight="1" x14ac:dyDescent="0.3">
      <c r="G818" s="159"/>
    </row>
    <row r="819" spans="7:7" ht="15.75" customHeight="1" x14ac:dyDescent="0.3">
      <c r="G819" s="159"/>
    </row>
    <row r="820" spans="7:7" ht="15.75" customHeight="1" x14ac:dyDescent="0.3">
      <c r="G820" s="159"/>
    </row>
    <row r="821" spans="7:7" ht="15.75" customHeight="1" x14ac:dyDescent="0.3">
      <c r="G821" s="159"/>
    </row>
    <row r="822" spans="7:7" ht="15.75" customHeight="1" x14ac:dyDescent="0.3">
      <c r="G822" s="159"/>
    </row>
    <row r="823" spans="7:7" ht="15.75" customHeight="1" x14ac:dyDescent="0.3">
      <c r="G823" s="159"/>
    </row>
    <row r="824" spans="7:7" ht="15.75" customHeight="1" x14ac:dyDescent="0.3">
      <c r="G824" s="159"/>
    </row>
    <row r="825" spans="7:7" ht="15.75" customHeight="1" x14ac:dyDescent="0.3">
      <c r="G825" s="159"/>
    </row>
    <row r="826" spans="7:7" ht="15.75" customHeight="1" x14ac:dyDescent="0.3">
      <c r="G826" s="159"/>
    </row>
    <row r="827" spans="7:7" ht="15.75" customHeight="1" x14ac:dyDescent="0.3">
      <c r="G827" s="159"/>
    </row>
    <row r="828" spans="7:7" ht="15.75" customHeight="1" x14ac:dyDescent="0.3">
      <c r="G828" s="159"/>
    </row>
    <row r="829" spans="7:7" ht="15.75" customHeight="1" x14ac:dyDescent="0.3">
      <c r="G829" s="159"/>
    </row>
    <row r="830" spans="7:7" ht="15.75" customHeight="1" x14ac:dyDescent="0.3">
      <c r="G830" s="159"/>
    </row>
  </sheetData>
  <autoFilter ref="C5:F25" xr:uid="{00000000-0009-0000-0000-00001E000000}"/>
  <mergeCells count="4">
    <mergeCell ref="B2:B3"/>
    <mergeCell ref="B4:B5"/>
    <mergeCell ref="H4:H5"/>
    <mergeCell ref="I4:I5"/>
  </mergeCells>
  <conditionalFormatting sqref="W6">
    <cfRule type="cellIs" dxfId="5" priority="1" operator="equal">
      <formula>"Diferente"</formula>
    </cfRule>
    <cfRule type="cellIs" dxfId="4" priority="2" operator="equal">
      <formula>"OK"</formula>
    </cfRule>
  </conditionalFormatting>
  <dataValidations count="1">
    <dataValidation type="list" allowBlank="1" showErrorMessage="1" sqref="D9 D13 D19 D21 D23 D11 D16:D17 D25" xr:uid="{00000000-0002-0000-1E00-000002000000}">
      <formula1>"OK,Parcial,Pendente"</formula1>
    </dataValidation>
  </dataValidations>
  <pageMargins left="0.25" right="0.25" top="0.75" bottom="0.75" header="0.3" footer="0.3"/>
  <pageSetup paperSize="9" orientation="landscape" r:id="rId1"/>
  <extLst>
    <ext xmlns:x14="http://schemas.microsoft.com/office/spreadsheetml/2009/9/main" uri="{CCE6A557-97BC-4b89-ADB6-D9C93CAAB3DF}">
      <x14:dataValidations xmlns:xm="http://schemas.microsoft.com/office/excel/2006/main" count="2">
        <x14:dataValidation type="list" allowBlank="1" showErrorMessage="1" xr:uid="{00000000-0002-0000-1E00-000001000000}">
          <x14:formula1>
            <xm:f>Caixa!$B$5:$B$8</xm:f>
          </x14:formula1>
          <xm:sqref>H9 H13 H19 H21 H23 H11 H16:H17 H25</xm:sqref>
        </x14:dataValidation>
        <x14:dataValidation type="list" allowBlank="1" showErrorMessage="1" xr:uid="{00000000-0002-0000-1E00-000000000000}">
          <x14:formula1>
            <xm:f>'Plano de contas DG'!$C$5:$C$38</xm:f>
          </x14:formula1>
          <xm:sqref>I6:I25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sheetPr>
  <dimension ref="A1:Y736"/>
  <sheetViews>
    <sheetView showGridLines="0" workbookViewId="0">
      <pane xSplit="2" ySplit="5" topLeftCell="C76" activePane="bottomRight" state="frozen"/>
      <selection pane="topRight" activeCell="C1" sqref="C1"/>
      <selection pane="bottomLeft" activeCell="A6" sqref="A6"/>
      <selection pane="bottomRight" activeCell="F36" sqref="F36"/>
    </sheetView>
  </sheetViews>
  <sheetFormatPr defaultColWidth="14.44140625" defaultRowHeight="15" customHeight="1" outlineLevelRow="1" x14ac:dyDescent="0.3"/>
  <cols>
    <col min="1" max="1" width="0.44140625" customWidth="1"/>
    <col min="2" max="2" width="34.33203125" style="178" customWidth="1"/>
    <col min="3" max="3" width="9.109375" bestFit="1" customWidth="1"/>
    <col min="4" max="4" width="10.109375" hidden="1" customWidth="1"/>
    <col min="5" max="5" width="14.109375" hidden="1" customWidth="1"/>
    <col min="6" max="6" width="14.109375" customWidth="1"/>
    <col min="7" max="7" width="34.44140625" style="178" customWidth="1"/>
    <col min="8" max="8" width="11.88671875" bestFit="1" customWidth="1"/>
    <col min="9" max="9" width="51.21875" style="178" customWidth="1"/>
    <col min="10" max="10" width="20.6640625" hidden="1" customWidth="1"/>
    <col min="11" max="18" width="14.109375" customWidth="1"/>
    <col min="19" max="19" width="34" customWidth="1"/>
    <col min="20" max="20" width="2.5546875" customWidth="1"/>
    <col min="21" max="21" width="12.6640625" customWidth="1"/>
    <col min="22" max="25" width="8.6640625" customWidth="1"/>
  </cols>
  <sheetData>
    <row r="1" spans="1:25" ht="14.25" customHeight="1" x14ac:dyDescent="0.3">
      <c r="A1" s="29"/>
      <c r="B1" s="181"/>
      <c r="C1" s="30"/>
      <c r="D1" s="30"/>
      <c r="E1" s="30"/>
      <c r="F1" s="30"/>
      <c r="G1" s="72"/>
      <c r="H1" s="72"/>
      <c r="I1" s="72"/>
      <c r="J1" s="72"/>
      <c r="K1" s="30"/>
      <c r="L1" s="30"/>
      <c r="M1" s="30"/>
      <c r="N1" s="30"/>
      <c r="O1" s="30"/>
      <c r="P1" s="30"/>
      <c r="Q1" s="30"/>
      <c r="R1" s="30"/>
      <c r="S1" s="30"/>
      <c r="T1" s="29"/>
      <c r="U1" s="29"/>
      <c r="V1" s="29"/>
      <c r="W1" s="29"/>
      <c r="X1" s="29"/>
      <c r="Y1" s="29"/>
    </row>
    <row r="2" spans="1:25" ht="14.25" customHeight="1" x14ac:dyDescent="0.3">
      <c r="A2" s="3"/>
      <c r="B2" s="266" t="s">
        <v>270</v>
      </c>
      <c r="C2" s="232"/>
      <c r="D2" s="206"/>
      <c r="E2" s="206"/>
      <c r="F2" s="207"/>
      <c r="G2" s="74"/>
      <c r="H2" s="73"/>
      <c r="I2" s="74"/>
      <c r="J2" s="73"/>
      <c r="K2" s="28"/>
      <c r="L2" s="28"/>
      <c r="M2" s="28"/>
      <c r="N2" s="28"/>
      <c r="O2" s="28"/>
      <c r="P2" s="28"/>
      <c r="Q2" s="28"/>
      <c r="R2" s="28"/>
      <c r="S2" s="28"/>
      <c r="T2" s="3"/>
    </row>
    <row r="3" spans="1:25" ht="14.25" customHeight="1" x14ac:dyDescent="0.3">
      <c r="A3" s="3"/>
      <c r="B3" s="267"/>
      <c r="C3" s="233"/>
      <c r="D3" s="234"/>
      <c r="E3" s="234"/>
      <c r="F3" s="235"/>
      <c r="G3" s="74"/>
      <c r="H3" s="73"/>
      <c r="I3" s="74"/>
      <c r="J3" s="73"/>
      <c r="K3" s="28"/>
      <c r="L3" s="28"/>
      <c r="M3" s="28"/>
      <c r="N3" s="28"/>
      <c r="O3" s="28"/>
      <c r="P3" s="28"/>
      <c r="Q3" s="28"/>
      <c r="R3" s="28"/>
      <c r="S3" s="28"/>
      <c r="T3" s="3"/>
    </row>
    <row r="4" spans="1:25" ht="14.25" customHeight="1" x14ac:dyDescent="0.3">
      <c r="A4" s="3"/>
      <c r="B4" s="268" t="s">
        <v>74</v>
      </c>
      <c r="C4" s="39" t="s">
        <v>44</v>
      </c>
      <c r="D4" s="39" t="s">
        <v>44</v>
      </c>
      <c r="E4" s="18">
        <v>0</v>
      </c>
      <c r="F4" s="18">
        <v>25264.17</v>
      </c>
      <c r="G4" s="179" t="s">
        <v>44</v>
      </c>
      <c r="H4" s="230" t="s">
        <v>1</v>
      </c>
      <c r="I4" s="236" t="s">
        <v>271</v>
      </c>
      <c r="J4" s="230" t="s">
        <v>75</v>
      </c>
      <c r="K4" s="28"/>
      <c r="L4" s="28"/>
      <c r="M4" s="28"/>
      <c r="N4" s="28"/>
      <c r="O4" s="28"/>
      <c r="P4" s="28"/>
      <c r="Q4" s="28"/>
      <c r="R4" s="28"/>
      <c r="S4" s="28"/>
      <c r="T4" s="3"/>
      <c r="V4" s="3"/>
      <c r="W4" s="3"/>
      <c r="X4" s="3"/>
      <c r="Y4" s="3"/>
    </row>
    <row r="5" spans="1:25" ht="14.25" customHeight="1" x14ac:dyDescent="0.3">
      <c r="A5" s="3"/>
      <c r="B5" s="269"/>
      <c r="C5" s="43" t="s">
        <v>76</v>
      </c>
      <c r="D5" s="43" t="s">
        <v>77</v>
      </c>
      <c r="E5" s="44" t="s">
        <v>78</v>
      </c>
      <c r="F5" s="44" t="s">
        <v>272</v>
      </c>
      <c r="G5" s="180" t="s">
        <v>80</v>
      </c>
      <c r="H5" s="221"/>
      <c r="I5" s="269"/>
      <c r="J5" s="221"/>
      <c r="K5" s="28"/>
      <c r="L5" s="28"/>
      <c r="M5" s="28"/>
      <c r="N5" s="28"/>
      <c r="O5" s="28"/>
      <c r="P5" s="28"/>
      <c r="Q5" s="28"/>
      <c r="R5" s="28"/>
      <c r="S5" s="28"/>
      <c r="T5" s="3"/>
      <c r="U5" s="3"/>
      <c r="V5" s="3"/>
      <c r="W5" s="3"/>
      <c r="X5" s="3"/>
      <c r="Y5" s="3"/>
    </row>
    <row r="6" spans="1:25" ht="20.399999999999999" x14ac:dyDescent="0.3">
      <c r="A6" s="3"/>
      <c r="B6" s="182" t="s">
        <v>273</v>
      </c>
      <c r="C6" s="76" t="s">
        <v>44</v>
      </c>
      <c r="D6" s="76" t="s">
        <v>44</v>
      </c>
      <c r="E6" s="77">
        <v>0</v>
      </c>
      <c r="F6" s="77">
        <v>4325.6900000000005</v>
      </c>
      <c r="G6" s="79"/>
      <c r="H6" s="78"/>
      <c r="I6" s="79"/>
      <c r="J6" s="78"/>
      <c r="K6" s="28"/>
      <c r="L6" s="28"/>
      <c r="M6" s="28"/>
      <c r="N6" s="28"/>
      <c r="O6" s="28"/>
      <c r="P6" s="28"/>
      <c r="Q6" s="28"/>
      <c r="R6" s="28"/>
      <c r="S6" s="28"/>
      <c r="T6" s="3"/>
      <c r="V6" s="3"/>
      <c r="W6" s="3"/>
      <c r="X6" s="3"/>
      <c r="Y6" s="3"/>
    </row>
    <row r="7" spans="1:25" ht="28.8" hidden="1" outlineLevel="1" x14ac:dyDescent="0.3">
      <c r="A7" s="3"/>
      <c r="B7" s="146" t="s">
        <v>274</v>
      </c>
      <c r="C7" s="53">
        <v>1</v>
      </c>
      <c r="D7" s="53" t="s">
        <v>95</v>
      </c>
      <c r="E7" s="11">
        <v>0</v>
      </c>
      <c r="F7" s="11">
        <v>757.34</v>
      </c>
      <c r="G7" s="80"/>
      <c r="H7" s="56" t="s">
        <v>37</v>
      </c>
      <c r="I7" s="176" t="s">
        <v>2621</v>
      </c>
      <c r="J7" s="56"/>
      <c r="K7" s="28"/>
      <c r="L7" s="28"/>
      <c r="M7" s="28"/>
      <c r="N7" s="28"/>
      <c r="O7" s="28"/>
      <c r="P7" s="28"/>
      <c r="Q7" s="28"/>
      <c r="R7" s="28"/>
      <c r="S7" s="28"/>
      <c r="T7" s="3"/>
      <c r="V7" s="3"/>
      <c r="W7" s="3"/>
      <c r="X7" s="3"/>
      <c r="Y7" s="3"/>
    </row>
    <row r="8" spans="1:25" ht="28.8" hidden="1" outlineLevel="1" x14ac:dyDescent="0.3">
      <c r="A8" s="3"/>
      <c r="B8" s="146" t="s">
        <v>2103</v>
      </c>
      <c r="C8" s="53">
        <v>16</v>
      </c>
      <c r="D8" s="53" t="s">
        <v>95</v>
      </c>
      <c r="E8" s="11">
        <v>0</v>
      </c>
      <c r="F8" s="11">
        <v>368.68</v>
      </c>
      <c r="G8" s="80" t="s">
        <v>2216</v>
      </c>
      <c r="H8" s="56" t="s">
        <v>37</v>
      </c>
      <c r="I8" s="176" t="s">
        <v>2620</v>
      </c>
      <c r="J8" s="56"/>
      <c r="K8" s="28"/>
      <c r="L8" s="28"/>
      <c r="M8" s="28"/>
      <c r="N8" s="28"/>
      <c r="O8" s="28"/>
      <c r="P8" s="28"/>
      <c r="Q8" s="28"/>
      <c r="R8" s="28"/>
      <c r="S8" s="28"/>
      <c r="T8" s="3"/>
      <c r="V8" s="3"/>
      <c r="W8" s="3"/>
      <c r="X8" s="3"/>
      <c r="Y8" s="3"/>
    </row>
    <row r="9" spans="1:25" ht="28.8" hidden="1" outlineLevel="1" x14ac:dyDescent="0.3">
      <c r="A9" s="3"/>
      <c r="B9" s="146" t="s">
        <v>282</v>
      </c>
      <c r="C9" s="53">
        <v>16</v>
      </c>
      <c r="D9" s="53" t="s">
        <v>95</v>
      </c>
      <c r="E9" s="11">
        <v>0</v>
      </c>
      <c r="F9" s="11">
        <v>306.18</v>
      </c>
      <c r="G9" s="80"/>
      <c r="H9" s="56" t="s">
        <v>37</v>
      </c>
      <c r="I9" s="176" t="s">
        <v>2604</v>
      </c>
      <c r="J9" s="56"/>
      <c r="K9" s="28"/>
      <c r="L9" s="28"/>
      <c r="M9" s="28"/>
      <c r="N9" s="28"/>
      <c r="O9" s="28"/>
      <c r="P9" s="28"/>
      <c r="Q9" s="28"/>
      <c r="R9" s="28"/>
      <c r="S9" s="28"/>
      <c r="T9" s="3"/>
      <c r="V9" s="3"/>
      <c r="W9" s="3"/>
      <c r="X9" s="3"/>
      <c r="Y9" s="3"/>
    </row>
    <row r="10" spans="1:25" ht="28.8" hidden="1" outlineLevel="1" x14ac:dyDescent="0.3">
      <c r="A10" s="3"/>
      <c r="B10" s="146" t="s">
        <v>282</v>
      </c>
      <c r="C10" s="53">
        <v>16</v>
      </c>
      <c r="D10" s="53" t="s">
        <v>95</v>
      </c>
      <c r="E10" s="11">
        <v>0</v>
      </c>
      <c r="F10" s="11">
        <v>104.09</v>
      </c>
      <c r="G10" s="80"/>
      <c r="H10" s="56" t="s">
        <v>37</v>
      </c>
      <c r="I10" s="176" t="s">
        <v>2603</v>
      </c>
      <c r="J10" s="80"/>
      <c r="K10" s="28"/>
      <c r="L10" s="28"/>
      <c r="M10" s="28"/>
      <c r="N10" s="28"/>
      <c r="O10" s="28"/>
      <c r="P10" s="28"/>
      <c r="Q10" s="28"/>
      <c r="R10" s="28"/>
      <c r="S10" s="28"/>
      <c r="T10" s="3"/>
      <c r="V10" s="3"/>
      <c r="W10" s="3"/>
      <c r="X10" s="3"/>
      <c r="Y10" s="3"/>
    </row>
    <row r="11" spans="1:25" ht="28.8" hidden="1" outlineLevel="1" x14ac:dyDescent="0.3">
      <c r="A11" s="3"/>
      <c r="B11" s="146" t="s">
        <v>282</v>
      </c>
      <c r="C11" s="53">
        <v>16</v>
      </c>
      <c r="D11" s="53" t="s">
        <v>95</v>
      </c>
      <c r="E11" s="11">
        <v>0</v>
      </c>
      <c r="F11" s="11">
        <v>306.18</v>
      </c>
      <c r="G11" s="80" t="s">
        <v>2217</v>
      </c>
      <c r="H11" s="56" t="s">
        <v>37</v>
      </c>
      <c r="I11" s="176" t="s">
        <v>2602</v>
      </c>
      <c r="J11" s="80"/>
      <c r="K11" s="28"/>
      <c r="L11" s="28"/>
      <c r="M11" s="28"/>
      <c r="N11" s="28"/>
      <c r="O11" s="28"/>
      <c r="P11" s="28"/>
      <c r="Q11" s="28"/>
      <c r="R11" s="28"/>
      <c r="S11" s="28"/>
      <c r="T11" s="3"/>
      <c r="V11" s="3"/>
      <c r="W11" s="3"/>
      <c r="X11" s="3"/>
      <c r="Y11" s="3"/>
    </row>
    <row r="12" spans="1:25" ht="28.8" hidden="1" outlineLevel="1" x14ac:dyDescent="0.3">
      <c r="A12" s="3"/>
      <c r="B12" s="146" t="s">
        <v>282</v>
      </c>
      <c r="C12" s="53">
        <v>16</v>
      </c>
      <c r="D12" s="53" t="s">
        <v>95</v>
      </c>
      <c r="E12" s="11">
        <v>0</v>
      </c>
      <c r="F12" s="11">
        <v>34.69</v>
      </c>
      <c r="G12" s="80" t="s">
        <v>2217</v>
      </c>
      <c r="H12" s="56" t="s">
        <v>37</v>
      </c>
      <c r="I12" s="176" t="s">
        <v>2605</v>
      </c>
      <c r="J12" s="80"/>
      <c r="K12" s="28"/>
      <c r="L12" s="28"/>
      <c r="M12" s="28"/>
      <c r="N12" s="28"/>
      <c r="O12" s="28"/>
      <c r="P12" s="28"/>
      <c r="Q12" s="28"/>
      <c r="R12" s="28"/>
      <c r="S12" s="28"/>
      <c r="T12" s="3"/>
      <c r="V12" s="3"/>
      <c r="W12" s="3"/>
      <c r="X12" s="3"/>
      <c r="Y12" s="3"/>
    </row>
    <row r="13" spans="1:25" ht="28.8" hidden="1" outlineLevel="1" x14ac:dyDescent="0.3">
      <c r="A13" s="3"/>
      <c r="B13" s="146" t="s">
        <v>282</v>
      </c>
      <c r="C13" s="53">
        <v>17</v>
      </c>
      <c r="D13" s="53" t="s">
        <v>95</v>
      </c>
      <c r="E13" s="11">
        <v>0</v>
      </c>
      <c r="F13" s="11">
        <v>45.38</v>
      </c>
      <c r="G13" s="80"/>
      <c r="H13" s="56" t="s">
        <v>37</v>
      </c>
      <c r="I13" s="176" t="s">
        <v>2606</v>
      </c>
      <c r="J13" s="80"/>
      <c r="K13" s="28"/>
      <c r="L13" s="28"/>
      <c r="M13" s="28"/>
      <c r="N13" s="28"/>
      <c r="O13" s="28"/>
      <c r="P13" s="28"/>
      <c r="Q13" s="28"/>
      <c r="R13" s="28"/>
      <c r="S13" s="28"/>
      <c r="T13" s="3"/>
      <c r="V13" s="3"/>
      <c r="W13" s="3"/>
      <c r="X13" s="3"/>
      <c r="Y13" s="3"/>
    </row>
    <row r="14" spans="1:25" ht="28.8" hidden="1" outlineLevel="1" x14ac:dyDescent="0.3">
      <c r="A14" s="3"/>
      <c r="B14" s="146" t="s">
        <v>66</v>
      </c>
      <c r="C14" s="53">
        <v>24</v>
      </c>
      <c r="D14" s="53" t="s">
        <v>95</v>
      </c>
      <c r="E14" s="11">
        <v>0</v>
      </c>
      <c r="F14" s="11">
        <v>700</v>
      </c>
      <c r="G14" s="80" t="s">
        <v>2218</v>
      </c>
      <c r="H14" s="56" t="s">
        <v>37</v>
      </c>
      <c r="I14" s="176" t="s">
        <v>2610</v>
      </c>
      <c r="J14" s="80"/>
      <c r="K14" s="28"/>
      <c r="L14" s="28"/>
      <c r="M14" s="28"/>
      <c r="N14" s="28"/>
      <c r="O14" s="28"/>
      <c r="P14" s="28"/>
      <c r="Q14" s="28"/>
      <c r="R14" s="28"/>
      <c r="S14" s="28"/>
      <c r="T14" s="3"/>
      <c r="V14" s="3"/>
      <c r="W14" s="3"/>
      <c r="X14" s="3"/>
      <c r="Y14" s="3"/>
    </row>
    <row r="15" spans="1:25" ht="28.8" hidden="1" outlineLevel="1" x14ac:dyDescent="0.3">
      <c r="A15" s="3"/>
      <c r="B15" s="146" t="s">
        <v>66</v>
      </c>
      <c r="C15" s="53">
        <v>26</v>
      </c>
      <c r="D15" s="53" t="s">
        <v>95</v>
      </c>
      <c r="E15" s="11">
        <v>0</v>
      </c>
      <c r="F15" s="11">
        <v>1703.15</v>
      </c>
      <c r="G15" s="80" t="s">
        <v>2219</v>
      </c>
      <c r="H15" s="56" t="s">
        <v>37</v>
      </c>
      <c r="I15" s="176" t="s">
        <v>2609</v>
      </c>
      <c r="J15" s="56"/>
      <c r="K15" s="28"/>
      <c r="L15" s="28"/>
      <c r="M15" s="28"/>
      <c r="N15" s="28"/>
      <c r="O15" s="28"/>
      <c r="P15" s="28"/>
      <c r="Q15" s="28"/>
      <c r="R15" s="28"/>
      <c r="S15" s="28"/>
      <c r="T15" s="3"/>
      <c r="V15" s="3"/>
      <c r="W15" s="3"/>
      <c r="X15" s="3"/>
      <c r="Y15" s="3"/>
    </row>
    <row r="16" spans="1:25" ht="20.399999999999999" collapsed="1" x14ac:dyDescent="0.3">
      <c r="A16" s="3"/>
      <c r="B16" s="182" t="s">
        <v>288</v>
      </c>
      <c r="C16" s="76" t="s">
        <v>44</v>
      </c>
      <c r="D16" s="76" t="s">
        <v>44</v>
      </c>
      <c r="E16" s="77">
        <v>0</v>
      </c>
      <c r="F16" s="77">
        <v>8455.7099999999991</v>
      </c>
      <c r="G16" s="79"/>
      <c r="H16" s="78"/>
      <c r="I16" s="79"/>
      <c r="J16" s="78"/>
      <c r="K16" s="28"/>
      <c r="L16" s="28"/>
      <c r="M16" s="28"/>
      <c r="N16" s="28"/>
      <c r="O16" s="28"/>
      <c r="P16" s="28"/>
      <c r="Q16" s="28"/>
      <c r="R16" s="28"/>
      <c r="S16" s="28"/>
      <c r="T16" s="3"/>
    </row>
    <row r="17" spans="1:25" ht="14.4" hidden="1" outlineLevel="1" x14ac:dyDescent="0.3">
      <c r="A17" s="3"/>
      <c r="B17" s="146" t="s">
        <v>562</v>
      </c>
      <c r="C17" s="53">
        <v>17</v>
      </c>
      <c r="D17" s="53" t="s">
        <v>95</v>
      </c>
      <c r="E17" s="11">
        <v>0</v>
      </c>
      <c r="F17" s="11">
        <v>1466.76</v>
      </c>
      <c r="G17" s="237" t="s">
        <v>2220</v>
      </c>
      <c r="H17" s="56" t="s">
        <v>37</v>
      </c>
      <c r="I17" s="270" t="s">
        <v>2601</v>
      </c>
      <c r="J17" s="56"/>
      <c r="K17" s="28"/>
      <c r="L17" s="28"/>
      <c r="M17" s="28"/>
      <c r="N17" s="28"/>
      <c r="O17" s="28"/>
      <c r="P17" s="28"/>
      <c r="Q17" s="28"/>
      <c r="R17" s="28"/>
      <c r="S17" s="28"/>
      <c r="T17" s="3"/>
    </row>
    <row r="18" spans="1:25" ht="14.4" hidden="1" outlineLevel="1" x14ac:dyDescent="0.3">
      <c r="A18" s="3"/>
      <c r="B18" s="146" t="s">
        <v>564</v>
      </c>
      <c r="C18" s="53">
        <v>17</v>
      </c>
      <c r="D18" s="53" t="s">
        <v>95</v>
      </c>
      <c r="E18" s="11">
        <v>0</v>
      </c>
      <c r="F18" s="11">
        <v>835.38</v>
      </c>
      <c r="G18" s="271"/>
      <c r="H18" s="56" t="s">
        <v>37</v>
      </c>
      <c r="I18" s="271"/>
      <c r="J18" s="56"/>
      <c r="K18" s="28"/>
      <c r="L18" s="28"/>
      <c r="M18" s="28"/>
      <c r="N18" s="28"/>
      <c r="O18" s="28"/>
      <c r="P18" s="28"/>
      <c r="Q18" s="28"/>
      <c r="R18" s="28"/>
      <c r="S18" s="28"/>
      <c r="T18" s="3"/>
    </row>
    <row r="19" spans="1:25" ht="14.4" hidden="1" outlineLevel="1" x14ac:dyDescent="0.3">
      <c r="A19" s="3"/>
      <c r="B19" s="146" t="s">
        <v>565</v>
      </c>
      <c r="C19" s="53">
        <v>17</v>
      </c>
      <c r="D19" s="53" t="s">
        <v>95</v>
      </c>
      <c r="E19" s="11">
        <v>0</v>
      </c>
      <c r="F19" s="11">
        <v>102</v>
      </c>
      <c r="G19" s="271"/>
      <c r="H19" s="56" t="s">
        <v>37</v>
      </c>
      <c r="I19" s="271"/>
      <c r="J19" s="56"/>
      <c r="K19" s="28"/>
      <c r="L19" s="28"/>
      <c r="M19" s="28"/>
      <c r="N19" s="28"/>
      <c r="O19" s="28"/>
      <c r="P19" s="28"/>
      <c r="Q19" s="28"/>
      <c r="R19" s="28"/>
      <c r="S19" s="28"/>
      <c r="T19" s="3"/>
    </row>
    <row r="20" spans="1:25" ht="14.4" hidden="1" outlineLevel="1" x14ac:dyDescent="0.3">
      <c r="A20" s="3"/>
      <c r="B20" s="146" t="s">
        <v>566</v>
      </c>
      <c r="C20" s="53">
        <v>17</v>
      </c>
      <c r="D20" s="53" t="s">
        <v>95</v>
      </c>
      <c r="E20" s="11">
        <v>0</v>
      </c>
      <c r="F20" s="11">
        <v>102</v>
      </c>
      <c r="G20" s="271"/>
      <c r="H20" s="56" t="s">
        <v>37</v>
      </c>
      <c r="I20" s="271"/>
      <c r="J20" s="56"/>
      <c r="K20" s="28"/>
      <c r="L20" s="28"/>
      <c r="M20" s="28"/>
      <c r="N20" s="28"/>
      <c r="O20" s="28"/>
      <c r="P20" s="28"/>
      <c r="Q20" s="28"/>
      <c r="R20" s="28"/>
      <c r="S20" s="28"/>
      <c r="T20" s="3"/>
    </row>
    <row r="21" spans="1:25" ht="14.4" hidden="1" outlineLevel="1" x14ac:dyDescent="0.3">
      <c r="A21" s="3"/>
      <c r="B21" s="146" t="s">
        <v>567</v>
      </c>
      <c r="C21" s="53">
        <v>17</v>
      </c>
      <c r="D21" s="53" t="s">
        <v>95</v>
      </c>
      <c r="E21" s="11">
        <v>0</v>
      </c>
      <c r="F21" s="11">
        <v>408</v>
      </c>
      <c r="G21" s="272"/>
      <c r="H21" s="56" t="s">
        <v>37</v>
      </c>
      <c r="I21" s="272"/>
      <c r="J21" s="56"/>
      <c r="K21" s="28"/>
      <c r="L21" s="28"/>
      <c r="M21" s="28"/>
      <c r="N21" s="28"/>
      <c r="O21" s="28"/>
      <c r="P21" s="28"/>
      <c r="Q21" s="28"/>
      <c r="R21" s="28"/>
      <c r="S21" s="28"/>
      <c r="T21" s="3"/>
    </row>
    <row r="22" spans="1:25" ht="14.4" hidden="1" outlineLevel="1" x14ac:dyDescent="0.3">
      <c r="A22" s="3"/>
      <c r="B22" s="146" t="s">
        <v>568</v>
      </c>
      <c r="C22" s="53">
        <v>16</v>
      </c>
      <c r="D22" s="53" t="s">
        <v>95</v>
      </c>
      <c r="E22" s="11">
        <v>0</v>
      </c>
      <c r="F22" s="11">
        <v>163.19999999999999</v>
      </c>
      <c r="G22" s="237" t="s">
        <v>2221</v>
      </c>
      <c r="H22" s="56" t="s">
        <v>37</v>
      </c>
      <c r="I22" s="270" t="s">
        <v>2600</v>
      </c>
      <c r="J22" s="56"/>
      <c r="K22" s="28"/>
      <c r="L22" s="28"/>
      <c r="M22" s="28"/>
      <c r="N22" s="28"/>
      <c r="O22" s="28"/>
      <c r="P22" s="28"/>
      <c r="Q22" s="28"/>
      <c r="R22" s="28"/>
      <c r="S22" s="28"/>
      <c r="T22" s="3"/>
      <c r="U22" s="14"/>
    </row>
    <row r="23" spans="1:25" ht="14.4" hidden="1" outlineLevel="1" x14ac:dyDescent="0.3">
      <c r="A23" s="3"/>
      <c r="B23" s="146" t="s">
        <v>571</v>
      </c>
      <c r="C23" s="53">
        <v>16</v>
      </c>
      <c r="D23" s="53" t="s">
        <v>95</v>
      </c>
      <c r="E23" s="11">
        <v>0</v>
      </c>
      <c r="F23" s="11">
        <v>489.6</v>
      </c>
      <c r="G23" s="271"/>
      <c r="H23" s="56" t="s">
        <v>37</v>
      </c>
      <c r="I23" s="271"/>
      <c r="J23" s="56"/>
      <c r="K23" s="28"/>
      <c r="L23" s="28"/>
      <c r="M23" s="28"/>
      <c r="N23" s="28"/>
      <c r="O23" s="28"/>
      <c r="P23" s="28"/>
      <c r="Q23" s="28"/>
      <c r="R23" s="28"/>
      <c r="S23" s="28"/>
      <c r="T23" s="3"/>
      <c r="U23" s="14"/>
    </row>
    <row r="24" spans="1:25" ht="14.4" hidden="1" outlineLevel="1" x14ac:dyDescent="0.3">
      <c r="A24" s="3"/>
      <c r="B24" s="146" t="s">
        <v>572</v>
      </c>
      <c r="C24" s="53">
        <v>16</v>
      </c>
      <c r="D24" s="53" t="s">
        <v>95</v>
      </c>
      <c r="E24" s="11">
        <v>0</v>
      </c>
      <c r="F24" s="11">
        <v>540.6</v>
      </c>
      <c r="G24" s="271"/>
      <c r="H24" s="56" t="s">
        <v>37</v>
      </c>
      <c r="I24" s="271"/>
      <c r="J24" s="56"/>
      <c r="K24" s="28"/>
      <c r="L24" s="28"/>
      <c r="M24" s="28"/>
      <c r="N24" s="28"/>
      <c r="O24" s="28"/>
      <c r="P24" s="28"/>
      <c r="Q24" s="28"/>
      <c r="R24" s="28"/>
      <c r="S24" s="28"/>
      <c r="T24" s="3"/>
      <c r="U24" s="14"/>
    </row>
    <row r="25" spans="1:25" ht="14.4" hidden="1" outlineLevel="1" x14ac:dyDescent="0.3">
      <c r="A25" s="3"/>
      <c r="B25" s="146" t="s">
        <v>573</v>
      </c>
      <c r="C25" s="53">
        <v>16</v>
      </c>
      <c r="D25" s="53" t="s">
        <v>95</v>
      </c>
      <c r="E25" s="11">
        <v>0</v>
      </c>
      <c r="F25" s="11">
        <v>30.6</v>
      </c>
      <c r="G25" s="271"/>
      <c r="H25" s="56" t="s">
        <v>37</v>
      </c>
      <c r="I25" s="271"/>
      <c r="J25" s="56"/>
      <c r="K25" s="28"/>
      <c r="L25" s="28"/>
      <c r="M25" s="28"/>
      <c r="N25" s="28"/>
      <c r="O25" s="28"/>
      <c r="P25" s="28"/>
      <c r="Q25" s="28"/>
      <c r="R25" s="28"/>
      <c r="S25" s="28"/>
      <c r="T25" s="3"/>
      <c r="U25" s="14"/>
    </row>
    <row r="26" spans="1:25" ht="28.8" hidden="1" outlineLevel="1" x14ac:dyDescent="0.3">
      <c r="A26" s="3"/>
      <c r="B26" s="146" t="s">
        <v>293</v>
      </c>
      <c r="C26" s="53">
        <v>23</v>
      </c>
      <c r="D26" s="53" t="s">
        <v>95</v>
      </c>
      <c r="E26" s="11">
        <v>0</v>
      </c>
      <c r="F26" s="11">
        <v>114</v>
      </c>
      <c r="G26" s="80"/>
      <c r="H26" s="56" t="s">
        <v>37</v>
      </c>
      <c r="I26" s="176" t="s">
        <v>2599</v>
      </c>
      <c r="J26" s="56"/>
      <c r="K26" s="28"/>
      <c r="L26" s="28"/>
      <c r="M26" s="28"/>
      <c r="N26" s="28"/>
      <c r="O26" s="28"/>
      <c r="P26" s="28"/>
      <c r="Q26" s="28"/>
      <c r="R26" s="28"/>
      <c r="S26" s="28"/>
      <c r="T26" s="3"/>
      <c r="U26" s="14"/>
    </row>
    <row r="27" spans="1:25" ht="28.8" hidden="1" outlineLevel="1" x14ac:dyDescent="0.3">
      <c r="A27" s="3"/>
      <c r="B27" s="146" t="s">
        <v>295</v>
      </c>
      <c r="C27" s="53">
        <v>9</v>
      </c>
      <c r="D27" s="53" t="s">
        <v>95</v>
      </c>
      <c r="E27" s="11">
        <v>0</v>
      </c>
      <c r="F27" s="11">
        <v>4203.57</v>
      </c>
      <c r="G27" s="80" t="s">
        <v>2222</v>
      </c>
      <c r="H27" s="56" t="s">
        <v>37</v>
      </c>
      <c r="I27" s="176" t="s">
        <v>2611</v>
      </c>
      <c r="J27" s="56"/>
      <c r="K27" s="28"/>
      <c r="L27" s="28"/>
      <c r="M27" s="28"/>
      <c r="N27" s="28"/>
      <c r="O27" s="28"/>
      <c r="P27" s="28"/>
      <c r="Q27" s="28"/>
      <c r="R27" s="28"/>
      <c r="S27" s="28"/>
      <c r="T27" s="3"/>
    </row>
    <row r="28" spans="1:25" ht="20.399999999999999" collapsed="1" x14ac:dyDescent="0.3">
      <c r="A28" s="3"/>
      <c r="B28" s="182" t="s">
        <v>301</v>
      </c>
      <c r="C28" s="76" t="s">
        <v>44</v>
      </c>
      <c r="D28" s="76" t="s">
        <v>44</v>
      </c>
      <c r="E28" s="77">
        <v>0</v>
      </c>
      <c r="F28" s="77">
        <v>0.05</v>
      </c>
      <c r="G28" s="79"/>
      <c r="H28" s="78"/>
      <c r="I28" s="79"/>
      <c r="J28" s="78"/>
      <c r="K28" s="28"/>
      <c r="L28" s="28"/>
      <c r="M28" s="28"/>
      <c r="N28" s="28"/>
      <c r="O28" s="28"/>
      <c r="P28" s="28"/>
      <c r="Q28" s="28"/>
      <c r="R28" s="28"/>
      <c r="S28" s="28"/>
      <c r="T28" s="3"/>
      <c r="V28" s="3"/>
      <c r="W28" s="3"/>
      <c r="X28" s="3"/>
      <c r="Y28" s="3"/>
    </row>
    <row r="29" spans="1:25" ht="28.8" hidden="1" outlineLevel="1" x14ac:dyDescent="0.3">
      <c r="A29" s="3"/>
      <c r="B29" s="146" t="s">
        <v>584</v>
      </c>
      <c r="C29" s="53">
        <v>17</v>
      </c>
      <c r="D29" s="53" t="s">
        <v>95</v>
      </c>
      <c r="E29" s="11">
        <v>0</v>
      </c>
      <c r="F29" s="11">
        <v>0.05</v>
      </c>
      <c r="G29" s="60"/>
      <c r="H29" s="56" t="s">
        <v>38</v>
      </c>
      <c r="I29" s="176" t="s">
        <v>2615</v>
      </c>
      <c r="J29" s="56"/>
      <c r="K29" s="28"/>
      <c r="L29" s="28"/>
      <c r="M29" s="28"/>
      <c r="N29" s="28"/>
      <c r="O29" s="28"/>
      <c r="P29" s="28"/>
      <c r="Q29" s="28"/>
      <c r="R29" s="28"/>
      <c r="S29" s="28"/>
      <c r="T29" s="3"/>
      <c r="V29" s="3"/>
      <c r="W29" s="3"/>
      <c r="X29" s="3"/>
      <c r="Y29" s="3"/>
    </row>
    <row r="30" spans="1:25" ht="20.399999999999999" collapsed="1" x14ac:dyDescent="0.3">
      <c r="A30" s="3"/>
      <c r="B30" s="182" t="s">
        <v>307</v>
      </c>
      <c r="C30" s="76" t="s">
        <v>44</v>
      </c>
      <c r="D30" s="76" t="s">
        <v>44</v>
      </c>
      <c r="E30" s="77">
        <v>0</v>
      </c>
      <c r="F30" s="77">
        <v>2868.16</v>
      </c>
      <c r="G30" s="79"/>
      <c r="H30" s="78"/>
      <c r="I30" s="79"/>
      <c r="J30" s="78"/>
      <c r="K30" s="28"/>
      <c r="L30" s="28"/>
      <c r="M30" s="28"/>
      <c r="N30" s="28"/>
      <c r="O30" s="28"/>
      <c r="P30" s="28"/>
      <c r="Q30" s="28"/>
      <c r="R30" s="28"/>
      <c r="S30" s="28"/>
      <c r="T30" s="3"/>
      <c r="V30" s="3"/>
      <c r="W30" s="3"/>
      <c r="X30" s="3"/>
      <c r="Y30" s="3"/>
    </row>
    <row r="31" spans="1:25" ht="28.8" hidden="1" outlineLevel="1" x14ac:dyDescent="0.3">
      <c r="A31" s="3"/>
      <c r="B31" s="146" t="s">
        <v>308</v>
      </c>
      <c r="C31" s="53">
        <v>22</v>
      </c>
      <c r="D31" s="53" t="s">
        <v>95</v>
      </c>
      <c r="E31" s="11">
        <v>0</v>
      </c>
      <c r="F31" s="11">
        <v>1183.82</v>
      </c>
      <c r="G31" s="80"/>
      <c r="H31" s="56" t="s">
        <v>37</v>
      </c>
      <c r="I31" s="176" t="s">
        <v>2598</v>
      </c>
      <c r="J31" s="56"/>
      <c r="K31" s="28"/>
      <c r="L31" s="28"/>
      <c r="M31" s="28"/>
      <c r="N31" s="28"/>
      <c r="O31" s="28"/>
      <c r="P31" s="28"/>
      <c r="Q31" s="28"/>
      <c r="R31" s="28"/>
      <c r="S31" s="28"/>
      <c r="T31" s="3"/>
      <c r="V31" s="3"/>
      <c r="W31" s="3"/>
      <c r="X31" s="3"/>
      <c r="Y31" s="3"/>
    </row>
    <row r="32" spans="1:25" ht="28.8" hidden="1" outlineLevel="1" x14ac:dyDescent="0.3">
      <c r="A32" s="3"/>
      <c r="B32" s="146" t="s">
        <v>590</v>
      </c>
      <c r="C32" s="53">
        <v>21</v>
      </c>
      <c r="D32" s="53" t="s">
        <v>95</v>
      </c>
      <c r="E32" s="11">
        <v>0</v>
      </c>
      <c r="F32" s="11">
        <v>650</v>
      </c>
      <c r="G32" s="80"/>
      <c r="H32" s="56" t="s">
        <v>37</v>
      </c>
      <c r="I32" s="176" t="s">
        <v>2619</v>
      </c>
      <c r="J32" s="56"/>
      <c r="K32" s="28"/>
      <c r="L32" s="28"/>
      <c r="M32" s="28"/>
      <c r="N32" s="28"/>
      <c r="O32" s="28"/>
      <c r="P32" s="28"/>
      <c r="Q32" s="28"/>
      <c r="R32" s="28"/>
      <c r="S32" s="28"/>
      <c r="T32" s="3"/>
      <c r="V32" s="3"/>
      <c r="W32" s="3"/>
      <c r="X32" s="3"/>
      <c r="Y32" s="3"/>
    </row>
    <row r="33" spans="1:25" ht="28.8" hidden="1" outlineLevel="1" x14ac:dyDescent="0.3">
      <c r="A33" s="3"/>
      <c r="B33" s="146" t="s">
        <v>315</v>
      </c>
      <c r="C33" s="53">
        <v>16</v>
      </c>
      <c r="D33" s="53" t="s">
        <v>95</v>
      </c>
      <c r="E33" s="11">
        <v>0</v>
      </c>
      <c r="F33" s="11">
        <v>84.9</v>
      </c>
      <c r="G33" s="80"/>
      <c r="H33" s="56" t="s">
        <v>37</v>
      </c>
      <c r="I33" s="176" t="s">
        <v>2578</v>
      </c>
      <c r="J33" s="56"/>
      <c r="K33" s="28"/>
      <c r="L33" s="28"/>
      <c r="M33" s="28"/>
      <c r="N33" s="28"/>
      <c r="O33" s="28"/>
      <c r="P33" s="28"/>
      <c r="Q33" s="28"/>
      <c r="R33" s="28"/>
      <c r="S33" s="28"/>
      <c r="T33" s="3"/>
      <c r="V33" s="3"/>
      <c r="W33" s="3"/>
      <c r="X33" s="3"/>
      <c r="Y33" s="3"/>
    </row>
    <row r="34" spans="1:25" ht="28.8" hidden="1" outlineLevel="1" x14ac:dyDescent="0.3">
      <c r="A34" s="3"/>
      <c r="B34" s="146" t="s">
        <v>1194</v>
      </c>
      <c r="C34" s="53">
        <v>9</v>
      </c>
      <c r="D34" s="53" t="s">
        <v>95</v>
      </c>
      <c r="E34" s="11">
        <v>0</v>
      </c>
      <c r="F34" s="11">
        <v>264.02</v>
      </c>
      <c r="G34" s="80" t="s">
        <v>759</v>
      </c>
      <c r="H34" s="56" t="s">
        <v>37</v>
      </c>
      <c r="I34" s="176" t="s">
        <v>2612</v>
      </c>
      <c r="J34" s="56"/>
      <c r="K34" s="28"/>
      <c r="L34" s="28"/>
      <c r="M34" s="28"/>
      <c r="N34" s="28"/>
      <c r="O34" s="28"/>
      <c r="P34" s="28"/>
      <c r="Q34" s="28"/>
      <c r="R34" s="28"/>
      <c r="S34" s="28"/>
      <c r="T34" s="3"/>
      <c r="V34" s="3"/>
      <c r="W34" s="3"/>
      <c r="X34" s="3"/>
      <c r="Y34" s="3"/>
    </row>
    <row r="35" spans="1:25" ht="28.8" hidden="1" outlineLevel="1" x14ac:dyDescent="0.3">
      <c r="A35" s="3"/>
      <c r="B35" s="146" t="s">
        <v>1799</v>
      </c>
      <c r="C35" s="53">
        <v>9</v>
      </c>
      <c r="D35" s="53" t="s">
        <v>95</v>
      </c>
      <c r="E35" s="11">
        <v>0</v>
      </c>
      <c r="F35" s="11">
        <v>365.42</v>
      </c>
      <c r="G35" s="80" t="s">
        <v>1593</v>
      </c>
      <c r="H35" s="56" t="s">
        <v>37</v>
      </c>
      <c r="I35" s="176" t="s">
        <v>2618</v>
      </c>
      <c r="J35" s="56"/>
      <c r="K35" s="28"/>
      <c r="L35" s="28"/>
      <c r="M35" s="28"/>
      <c r="N35" s="28"/>
      <c r="O35" s="28"/>
      <c r="P35" s="28"/>
      <c r="Q35" s="28"/>
      <c r="R35" s="28"/>
      <c r="S35" s="28"/>
      <c r="T35" s="3"/>
      <c r="V35" s="3"/>
      <c r="W35" s="3"/>
      <c r="X35" s="3"/>
      <c r="Y35" s="3"/>
    </row>
    <row r="36" spans="1:25" ht="28.8" hidden="1" outlineLevel="1" x14ac:dyDescent="0.3">
      <c r="A36" s="3"/>
      <c r="B36" s="146" t="s">
        <v>2223</v>
      </c>
      <c r="C36" s="53">
        <v>9</v>
      </c>
      <c r="D36" s="53" t="s">
        <v>95</v>
      </c>
      <c r="E36" s="11">
        <v>0</v>
      </c>
      <c r="F36" s="11">
        <v>320</v>
      </c>
      <c r="G36" s="80"/>
      <c r="H36" s="56" t="s">
        <v>37</v>
      </c>
      <c r="I36" s="176" t="s">
        <v>2579</v>
      </c>
      <c r="J36" s="56"/>
      <c r="K36" s="28"/>
      <c r="L36" s="28"/>
      <c r="M36" s="28"/>
      <c r="N36" s="28"/>
      <c r="O36" s="28"/>
      <c r="P36" s="28"/>
      <c r="Q36" s="28"/>
      <c r="R36" s="28"/>
      <c r="S36" s="28"/>
      <c r="T36" s="3"/>
      <c r="V36" s="3"/>
      <c r="W36" s="3"/>
      <c r="X36" s="3"/>
      <c r="Y36" s="3"/>
    </row>
    <row r="37" spans="1:25" ht="20.399999999999999" collapsed="1" x14ac:dyDescent="0.3">
      <c r="A37" s="3"/>
      <c r="B37" s="182" t="s">
        <v>330</v>
      </c>
      <c r="C37" s="76" t="s">
        <v>44</v>
      </c>
      <c r="D37" s="76" t="s">
        <v>44</v>
      </c>
      <c r="E37" s="77">
        <v>0</v>
      </c>
      <c r="F37" s="77">
        <v>1598.73</v>
      </c>
      <c r="G37" s="79"/>
      <c r="H37" s="78"/>
      <c r="I37" s="79"/>
      <c r="J37" s="78"/>
      <c r="K37" s="28"/>
      <c r="L37" s="28"/>
      <c r="M37" s="28"/>
      <c r="N37" s="28"/>
      <c r="O37" s="28"/>
      <c r="P37" s="28"/>
      <c r="Q37" s="28"/>
      <c r="R37" s="28"/>
      <c r="S37" s="28"/>
      <c r="T37" s="3"/>
    </row>
    <row r="38" spans="1:25" ht="28.8" hidden="1" outlineLevel="1" x14ac:dyDescent="0.3">
      <c r="A38" s="3"/>
      <c r="B38" s="183" t="s">
        <v>331</v>
      </c>
      <c r="C38" s="71">
        <v>9</v>
      </c>
      <c r="D38" s="53" t="s">
        <v>95</v>
      </c>
      <c r="E38" s="11">
        <v>0</v>
      </c>
      <c r="F38" s="11">
        <v>179.9</v>
      </c>
      <c r="G38" s="80"/>
      <c r="H38" s="56" t="s">
        <v>37</v>
      </c>
      <c r="I38" s="176" t="s">
        <v>2587</v>
      </c>
      <c r="J38" s="80"/>
      <c r="K38" s="28"/>
      <c r="L38" s="28"/>
      <c r="M38" s="28"/>
      <c r="N38" s="28"/>
      <c r="O38" s="28"/>
      <c r="P38" s="28"/>
      <c r="Q38" s="28"/>
      <c r="R38" s="28"/>
      <c r="S38" s="28"/>
      <c r="T38" s="3"/>
      <c r="U38" s="14"/>
    </row>
    <row r="39" spans="1:25" ht="28.8" hidden="1" outlineLevel="1" x14ac:dyDescent="0.3">
      <c r="A39" s="3"/>
      <c r="B39" s="146" t="s">
        <v>1200</v>
      </c>
      <c r="C39" s="71">
        <v>9</v>
      </c>
      <c r="D39" s="53" t="s">
        <v>95</v>
      </c>
      <c r="E39" s="11">
        <v>0</v>
      </c>
      <c r="F39" s="11">
        <v>60</v>
      </c>
      <c r="G39" s="80" t="s">
        <v>606</v>
      </c>
      <c r="H39" s="56" t="s">
        <v>37</v>
      </c>
      <c r="I39" s="176" t="s">
        <v>2616</v>
      </c>
      <c r="J39" s="80"/>
      <c r="K39" s="28"/>
      <c r="L39" s="28"/>
      <c r="M39" s="28"/>
      <c r="N39" s="28"/>
      <c r="O39" s="28"/>
      <c r="P39" s="28"/>
      <c r="Q39" s="28"/>
      <c r="R39" s="28"/>
      <c r="S39" s="28"/>
      <c r="T39" s="3"/>
      <c r="U39" s="14"/>
    </row>
    <row r="40" spans="1:25" ht="28.8" hidden="1" outlineLevel="1" x14ac:dyDescent="0.3">
      <c r="A40" s="3"/>
      <c r="B40" s="146" t="s">
        <v>1200</v>
      </c>
      <c r="C40" s="71">
        <v>9</v>
      </c>
      <c r="D40" s="53" t="s">
        <v>95</v>
      </c>
      <c r="E40" s="11">
        <v>0</v>
      </c>
      <c r="F40" s="11">
        <v>172.85</v>
      </c>
      <c r="G40" s="80"/>
      <c r="H40" s="56" t="s">
        <v>37</v>
      </c>
      <c r="I40" s="176" t="s">
        <v>2588</v>
      </c>
      <c r="J40" s="80"/>
      <c r="K40" s="28"/>
      <c r="L40" s="28"/>
      <c r="M40" s="28"/>
      <c r="N40" s="28"/>
      <c r="O40" s="28"/>
      <c r="P40" s="28"/>
      <c r="Q40" s="28"/>
      <c r="R40" s="28"/>
      <c r="S40" s="28"/>
      <c r="T40" s="3"/>
      <c r="U40" s="14"/>
    </row>
    <row r="41" spans="1:25" ht="28.8" hidden="1" outlineLevel="1" x14ac:dyDescent="0.3">
      <c r="A41" s="3"/>
      <c r="B41" s="146" t="s">
        <v>1203</v>
      </c>
      <c r="C41" s="71">
        <v>22</v>
      </c>
      <c r="D41" s="53" t="s">
        <v>95</v>
      </c>
      <c r="E41" s="11">
        <v>0</v>
      </c>
      <c r="F41" s="11">
        <v>148.18</v>
      </c>
      <c r="G41" s="80"/>
      <c r="H41" s="56" t="s">
        <v>37</v>
      </c>
      <c r="I41" s="176" t="s">
        <v>2574</v>
      </c>
      <c r="J41" s="80"/>
      <c r="K41" s="28"/>
      <c r="L41" s="28"/>
      <c r="M41" s="28"/>
      <c r="N41" s="28"/>
      <c r="O41" s="28"/>
      <c r="P41" s="28"/>
      <c r="Q41" s="28"/>
      <c r="R41" s="28"/>
      <c r="S41" s="28"/>
      <c r="T41" s="3"/>
      <c r="U41" s="14"/>
    </row>
    <row r="42" spans="1:25" ht="28.8" hidden="1" outlineLevel="1" x14ac:dyDescent="0.3">
      <c r="A42" s="3"/>
      <c r="B42" s="146" t="s">
        <v>1203</v>
      </c>
      <c r="C42" s="71">
        <v>22</v>
      </c>
      <c r="D42" s="53" t="s">
        <v>95</v>
      </c>
      <c r="E42" s="11">
        <v>0</v>
      </c>
      <c r="F42" s="11">
        <v>141.55000000000001</v>
      </c>
      <c r="G42" s="80"/>
      <c r="H42" s="56" t="s">
        <v>37</v>
      </c>
      <c r="I42" s="176" t="s">
        <v>2573</v>
      </c>
      <c r="J42" s="80"/>
      <c r="K42" s="28"/>
      <c r="L42" s="28"/>
      <c r="M42" s="28"/>
      <c r="N42" s="28"/>
      <c r="O42" s="28"/>
      <c r="P42" s="28"/>
      <c r="Q42" s="28"/>
      <c r="R42" s="28"/>
      <c r="S42" s="28"/>
      <c r="T42" s="3"/>
      <c r="U42" s="14"/>
    </row>
    <row r="43" spans="1:25" ht="28.8" hidden="1" outlineLevel="1" x14ac:dyDescent="0.3">
      <c r="A43" s="3"/>
      <c r="B43" s="146" t="s">
        <v>2224</v>
      </c>
      <c r="C43" s="71">
        <v>22</v>
      </c>
      <c r="D43" s="53" t="s">
        <v>95</v>
      </c>
      <c r="E43" s="11">
        <v>0</v>
      </c>
      <c r="F43" s="11">
        <v>185</v>
      </c>
      <c r="G43" s="80"/>
      <c r="H43" s="56" t="s">
        <v>37</v>
      </c>
      <c r="I43" s="176" t="s">
        <v>2576</v>
      </c>
      <c r="J43" s="80"/>
      <c r="K43" s="28"/>
      <c r="L43" s="28"/>
      <c r="M43" s="28"/>
      <c r="N43" s="28"/>
      <c r="O43" s="28"/>
      <c r="P43" s="28"/>
      <c r="Q43" s="28"/>
      <c r="R43" s="28"/>
      <c r="S43" s="28"/>
      <c r="T43" s="3"/>
      <c r="U43" s="14"/>
    </row>
    <row r="44" spans="1:25" ht="28.8" hidden="1" outlineLevel="1" x14ac:dyDescent="0.3">
      <c r="A44" s="3"/>
      <c r="B44" s="146" t="s">
        <v>1203</v>
      </c>
      <c r="C44" s="71">
        <v>22</v>
      </c>
      <c r="D44" s="53" t="s">
        <v>95</v>
      </c>
      <c r="E44" s="11">
        <v>0</v>
      </c>
      <c r="F44" s="11">
        <v>100</v>
      </c>
      <c r="G44" s="80"/>
      <c r="H44" s="56" t="s">
        <v>37</v>
      </c>
      <c r="I44" s="176" t="s">
        <v>2575</v>
      </c>
      <c r="J44" s="80"/>
      <c r="K44" s="28"/>
      <c r="L44" s="28"/>
      <c r="M44" s="28"/>
      <c r="N44" s="28"/>
      <c r="O44" s="28"/>
      <c r="P44" s="28"/>
      <c r="Q44" s="28"/>
      <c r="R44" s="28"/>
      <c r="S44" s="28"/>
      <c r="T44" s="3"/>
      <c r="U44" s="14"/>
    </row>
    <row r="45" spans="1:25" ht="28.8" hidden="1" outlineLevel="1" x14ac:dyDescent="0.3">
      <c r="A45" s="3"/>
      <c r="B45" s="146" t="s">
        <v>1203</v>
      </c>
      <c r="C45" s="71">
        <v>23</v>
      </c>
      <c r="D45" s="53" t="s">
        <v>95</v>
      </c>
      <c r="E45" s="11">
        <v>0</v>
      </c>
      <c r="F45" s="11">
        <v>30</v>
      </c>
      <c r="G45" s="80" t="s">
        <v>788</v>
      </c>
      <c r="H45" s="56" t="s">
        <v>37</v>
      </c>
      <c r="I45" s="176" t="s">
        <v>2616</v>
      </c>
      <c r="J45" s="80"/>
      <c r="K45" s="28"/>
      <c r="L45" s="28"/>
      <c r="M45" s="28"/>
      <c r="N45" s="28"/>
      <c r="O45" s="28"/>
      <c r="P45" s="28"/>
      <c r="Q45" s="28"/>
      <c r="R45" s="28"/>
      <c r="S45" s="28"/>
      <c r="T45" s="3"/>
      <c r="U45" s="14"/>
    </row>
    <row r="46" spans="1:25" ht="28.8" hidden="1" outlineLevel="1" x14ac:dyDescent="0.3">
      <c r="A46" s="3"/>
      <c r="B46" s="146" t="s">
        <v>331</v>
      </c>
      <c r="C46" s="71">
        <v>9</v>
      </c>
      <c r="D46" s="53" t="s">
        <v>95</v>
      </c>
      <c r="E46" s="11">
        <v>0</v>
      </c>
      <c r="F46" s="11">
        <v>277.25</v>
      </c>
      <c r="G46" s="80"/>
      <c r="H46" s="56" t="s">
        <v>37</v>
      </c>
      <c r="I46" s="176" t="s">
        <v>2589</v>
      </c>
      <c r="J46" s="80"/>
      <c r="K46" s="28"/>
      <c r="L46" s="28"/>
      <c r="M46" s="28"/>
      <c r="N46" s="28"/>
      <c r="O46" s="28"/>
      <c r="P46" s="28"/>
      <c r="Q46" s="28"/>
      <c r="R46" s="28"/>
      <c r="S46" s="28"/>
      <c r="T46" s="3"/>
      <c r="U46" s="14"/>
    </row>
    <row r="47" spans="1:25" ht="28.8" hidden="1" outlineLevel="1" x14ac:dyDescent="0.3">
      <c r="A47" s="3"/>
      <c r="B47" s="146" t="s">
        <v>335</v>
      </c>
      <c r="C47" s="53">
        <v>23</v>
      </c>
      <c r="D47" s="53" t="s">
        <v>95</v>
      </c>
      <c r="E47" s="11">
        <v>0</v>
      </c>
      <c r="F47" s="11">
        <v>184</v>
      </c>
      <c r="G47" s="80"/>
      <c r="H47" s="56" t="s">
        <v>37</v>
      </c>
      <c r="I47" s="176" t="s">
        <v>2594</v>
      </c>
      <c r="J47" s="56"/>
      <c r="K47" s="28"/>
      <c r="L47" s="28"/>
      <c r="M47" s="28"/>
      <c r="N47" s="28"/>
      <c r="O47" s="28"/>
      <c r="P47" s="28"/>
      <c r="Q47" s="28"/>
      <c r="R47" s="28"/>
      <c r="S47" s="28"/>
      <c r="T47" s="3"/>
    </row>
    <row r="48" spans="1:25" ht="28.8" hidden="1" outlineLevel="1" x14ac:dyDescent="0.3">
      <c r="A48" s="3"/>
      <c r="B48" s="146" t="s">
        <v>812</v>
      </c>
      <c r="C48" s="71">
        <v>6</v>
      </c>
      <c r="D48" s="53" t="s">
        <v>95</v>
      </c>
      <c r="E48" s="11">
        <v>0</v>
      </c>
      <c r="F48" s="11">
        <v>120</v>
      </c>
      <c r="G48" s="80"/>
      <c r="H48" s="56" t="s">
        <v>37</v>
      </c>
      <c r="I48" s="176" t="s">
        <v>2586</v>
      </c>
      <c r="J48" s="56"/>
      <c r="K48" s="28"/>
      <c r="L48" s="28"/>
      <c r="M48" s="28"/>
      <c r="N48" s="28"/>
      <c r="O48" s="28"/>
      <c r="P48" s="28"/>
      <c r="Q48" s="28"/>
      <c r="R48" s="28"/>
      <c r="S48" s="28"/>
      <c r="T48" s="3"/>
      <c r="V48" s="3"/>
      <c r="W48" s="3"/>
      <c r="X48" s="3"/>
      <c r="Y48" s="3"/>
    </row>
    <row r="49" spans="1:25" ht="20.399999999999999" collapsed="1" x14ac:dyDescent="0.3">
      <c r="A49" s="3"/>
      <c r="B49" s="182" t="s">
        <v>358</v>
      </c>
      <c r="C49" s="76" t="s">
        <v>44</v>
      </c>
      <c r="D49" s="76" t="s">
        <v>44</v>
      </c>
      <c r="E49" s="77">
        <v>0</v>
      </c>
      <c r="F49" s="77">
        <v>4059.9400000000005</v>
      </c>
      <c r="G49" s="79"/>
      <c r="H49" s="78"/>
      <c r="I49" s="79"/>
      <c r="J49" s="78"/>
      <c r="K49" s="28"/>
      <c r="L49" s="28"/>
      <c r="M49" s="28"/>
      <c r="N49" s="28"/>
      <c r="O49" s="28"/>
      <c r="P49" s="28"/>
      <c r="Q49" s="28"/>
      <c r="R49" s="28"/>
      <c r="S49" s="28"/>
      <c r="T49" s="3"/>
      <c r="V49" s="3"/>
      <c r="W49" s="3"/>
      <c r="X49" s="3"/>
      <c r="Y49" s="3"/>
    </row>
    <row r="50" spans="1:25" hidden="1" outlineLevel="1" x14ac:dyDescent="0.3">
      <c r="A50" s="3"/>
      <c r="B50" s="184" t="s">
        <v>1984</v>
      </c>
      <c r="C50" s="83"/>
      <c r="D50" s="83"/>
      <c r="E50" s="84">
        <v>0</v>
      </c>
      <c r="F50" s="84">
        <v>860.6</v>
      </c>
      <c r="G50" s="86"/>
      <c r="H50" s="85"/>
      <c r="I50" s="86"/>
      <c r="J50" s="85"/>
      <c r="K50" s="28"/>
      <c r="L50" s="28"/>
      <c r="M50" s="28"/>
      <c r="N50" s="28"/>
      <c r="O50" s="28"/>
      <c r="P50" s="28"/>
      <c r="Q50" s="28"/>
      <c r="R50" s="28"/>
      <c r="S50" s="28"/>
      <c r="T50" s="3"/>
      <c r="V50" s="3"/>
      <c r="W50" s="3"/>
      <c r="X50" s="3"/>
      <c r="Y50" s="3"/>
    </row>
    <row r="51" spans="1:25" ht="28.8" hidden="1" outlineLevel="1" x14ac:dyDescent="0.3">
      <c r="A51" s="3"/>
      <c r="B51" s="146" t="s">
        <v>987</v>
      </c>
      <c r="C51" s="53">
        <v>1</v>
      </c>
      <c r="D51" s="53" t="s">
        <v>95</v>
      </c>
      <c r="E51" s="11">
        <v>0</v>
      </c>
      <c r="F51" s="11">
        <v>30</v>
      </c>
      <c r="G51" s="80" t="s">
        <v>606</v>
      </c>
      <c r="H51" s="56" t="s">
        <v>37</v>
      </c>
      <c r="I51" s="176" t="s">
        <v>2616</v>
      </c>
      <c r="J51" s="56"/>
      <c r="K51" s="28"/>
      <c r="L51" s="28"/>
      <c r="M51" s="28"/>
      <c r="N51" s="28"/>
      <c r="O51" s="28"/>
      <c r="P51" s="28"/>
      <c r="Q51" s="28"/>
      <c r="R51" s="28"/>
      <c r="S51" s="28"/>
      <c r="T51" s="3"/>
      <c r="V51" s="3"/>
      <c r="W51" s="3"/>
      <c r="X51" s="3"/>
      <c r="Y51" s="3"/>
    </row>
    <row r="52" spans="1:25" ht="28.8" hidden="1" outlineLevel="1" x14ac:dyDescent="0.3">
      <c r="A52" s="3"/>
      <c r="B52" s="146" t="s">
        <v>987</v>
      </c>
      <c r="C52" s="53">
        <v>2</v>
      </c>
      <c r="D52" s="53" t="s">
        <v>95</v>
      </c>
      <c r="E52" s="11">
        <v>0</v>
      </c>
      <c r="F52" s="11">
        <v>605.6</v>
      </c>
      <c r="G52" s="80"/>
      <c r="H52" s="56" t="s">
        <v>37</v>
      </c>
      <c r="I52" s="176" t="s">
        <v>2595</v>
      </c>
      <c r="J52" s="56"/>
      <c r="K52" s="28"/>
      <c r="L52" s="28"/>
      <c r="M52" s="28"/>
      <c r="N52" s="28"/>
      <c r="O52" s="28"/>
      <c r="P52" s="28"/>
      <c r="Q52" s="28"/>
      <c r="R52" s="28"/>
      <c r="S52" s="28"/>
      <c r="T52" s="3"/>
      <c r="V52" s="3"/>
      <c r="W52" s="3"/>
      <c r="X52" s="3"/>
      <c r="Y52" s="3"/>
    </row>
    <row r="53" spans="1:25" ht="28.8" hidden="1" outlineLevel="1" x14ac:dyDescent="0.3">
      <c r="A53" s="3"/>
      <c r="B53" s="146" t="s">
        <v>987</v>
      </c>
      <c r="C53" s="53">
        <v>2</v>
      </c>
      <c r="D53" s="53" t="s">
        <v>95</v>
      </c>
      <c r="E53" s="11">
        <v>0</v>
      </c>
      <c r="F53" s="11">
        <v>170</v>
      </c>
      <c r="G53" s="80"/>
      <c r="H53" s="56" t="s">
        <v>37</v>
      </c>
      <c r="I53" s="176" t="s">
        <v>2597</v>
      </c>
      <c r="J53" s="56"/>
      <c r="K53" s="28"/>
      <c r="L53" s="28"/>
      <c r="M53" s="28"/>
      <c r="N53" s="28"/>
      <c r="O53" s="28"/>
      <c r="P53" s="28"/>
      <c r="Q53" s="28"/>
      <c r="R53" s="28"/>
      <c r="S53" s="28"/>
      <c r="T53" s="3"/>
      <c r="V53" s="3"/>
      <c r="W53" s="3"/>
      <c r="X53" s="3"/>
      <c r="Y53" s="3"/>
    </row>
    <row r="54" spans="1:25" ht="28.8" hidden="1" outlineLevel="1" x14ac:dyDescent="0.3">
      <c r="A54" s="3"/>
      <c r="B54" s="146" t="s">
        <v>987</v>
      </c>
      <c r="C54" s="53">
        <v>22</v>
      </c>
      <c r="D54" s="53" t="s">
        <v>95</v>
      </c>
      <c r="E54" s="11">
        <v>0</v>
      </c>
      <c r="F54" s="11">
        <v>55</v>
      </c>
      <c r="G54" s="80"/>
      <c r="H54" s="56" t="s">
        <v>37</v>
      </c>
      <c r="I54" s="176" t="s">
        <v>2577</v>
      </c>
      <c r="J54" s="56"/>
      <c r="K54" s="28"/>
      <c r="L54" s="28"/>
      <c r="M54" s="28"/>
      <c r="N54" s="28"/>
      <c r="O54" s="28"/>
      <c r="P54" s="28"/>
      <c r="Q54" s="28"/>
      <c r="R54" s="28"/>
      <c r="S54" s="28"/>
      <c r="T54" s="3"/>
      <c r="V54" s="3"/>
      <c r="W54" s="3"/>
      <c r="X54" s="3"/>
      <c r="Y54" s="3"/>
    </row>
    <row r="55" spans="1:25" hidden="1" outlineLevel="1" x14ac:dyDescent="0.3">
      <c r="A55" s="3"/>
      <c r="B55" s="184" t="s">
        <v>633</v>
      </c>
      <c r="C55" s="83"/>
      <c r="D55" s="83"/>
      <c r="E55" s="84">
        <v>0</v>
      </c>
      <c r="F55" s="84">
        <v>3199.3400000000006</v>
      </c>
      <c r="G55" s="86"/>
      <c r="H55" s="85"/>
      <c r="I55" s="86"/>
      <c r="J55" s="85"/>
      <c r="K55" s="28"/>
      <c r="L55" s="28"/>
      <c r="M55" s="28"/>
      <c r="N55" s="28"/>
      <c r="O55" s="28"/>
      <c r="P55" s="28"/>
      <c r="Q55" s="28"/>
      <c r="R55" s="28"/>
      <c r="S55" s="28"/>
      <c r="T55" s="3"/>
      <c r="V55" s="3"/>
      <c r="W55" s="3"/>
      <c r="X55" s="3"/>
      <c r="Y55" s="3"/>
    </row>
    <row r="56" spans="1:25" ht="28.8" hidden="1" outlineLevel="1" x14ac:dyDescent="0.3">
      <c r="A56" s="3"/>
      <c r="B56" s="146" t="s">
        <v>2225</v>
      </c>
      <c r="C56" s="53">
        <v>2</v>
      </c>
      <c r="D56" s="53" t="s">
        <v>95</v>
      </c>
      <c r="E56" s="11">
        <v>0</v>
      </c>
      <c r="F56" s="11">
        <v>83.12</v>
      </c>
      <c r="G56" s="80"/>
      <c r="H56" s="56" t="s">
        <v>37</v>
      </c>
      <c r="I56" s="176" t="s">
        <v>2596</v>
      </c>
      <c r="J56" s="56"/>
      <c r="K56" s="28"/>
      <c r="L56" s="28"/>
      <c r="M56" s="28"/>
      <c r="N56" s="28"/>
      <c r="O56" s="28"/>
      <c r="P56" s="28"/>
      <c r="Q56" s="28"/>
      <c r="R56" s="28"/>
      <c r="S56" s="28"/>
      <c r="T56" s="3"/>
      <c r="V56" s="3"/>
      <c r="W56" s="3"/>
      <c r="X56" s="3"/>
      <c r="Y56" s="3"/>
    </row>
    <row r="57" spans="1:25" ht="28.8" hidden="1" outlineLevel="1" x14ac:dyDescent="0.3">
      <c r="A57" s="3"/>
      <c r="B57" s="146" t="s">
        <v>2225</v>
      </c>
      <c r="C57" s="53">
        <v>2</v>
      </c>
      <c r="D57" s="53" t="s">
        <v>95</v>
      </c>
      <c r="E57" s="11">
        <v>0</v>
      </c>
      <c r="F57" s="11">
        <v>53.4</v>
      </c>
      <c r="G57" s="80"/>
      <c r="H57" s="56" t="s">
        <v>37</v>
      </c>
      <c r="I57" s="176" t="s">
        <v>2584</v>
      </c>
      <c r="J57" s="56"/>
      <c r="K57" s="28"/>
      <c r="L57" s="28"/>
      <c r="M57" s="28"/>
      <c r="N57" s="28"/>
      <c r="O57" s="28"/>
      <c r="P57" s="28"/>
      <c r="Q57" s="28"/>
      <c r="R57" s="28"/>
      <c r="S57" s="28"/>
      <c r="T57" s="3"/>
      <c r="V57" s="3"/>
      <c r="W57" s="3"/>
      <c r="X57" s="3"/>
      <c r="Y57" s="3"/>
    </row>
    <row r="58" spans="1:25" ht="28.8" hidden="1" outlineLevel="1" x14ac:dyDescent="0.3">
      <c r="A58" s="3"/>
      <c r="B58" s="146" t="s">
        <v>2225</v>
      </c>
      <c r="C58" s="53">
        <v>2</v>
      </c>
      <c r="D58" s="53" t="s">
        <v>95</v>
      </c>
      <c r="E58" s="11">
        <v>0</v>
      </c>
      <c r="F58" s="11">
        <v>229.95</v>
      </c>
      <c r="G58" s="80"/>
      <c r="H58" s="56" t="s">
        <v>37</v>
      </c>
      <c r="I58" s="176" t="s">
        <v>2582</v>
      </c>
      <c r="J58" s="56"/>
      <c r="K58" s="28"/>
      <c r="L58" s="28"/>
      <c r="M58" s="28"/>
      <c r="N58" s="28"/>
      <c r="O58" s="28"/>
      <c r="P58" s="28"/>
      <c r="Q58" s="28"/>
      <c r="R58" s="28"/>
      <c r="S58" s="28"/>
      <c r="T58" s="3"/>
      <c r="V58" s="3"/>
      <c r="W58" s="3"/>
      <c r="X58" s="3"/>
      <c r="Y58" s="3"/>
    </row>
    <row r="59" spans="1:25" ht="28.8" hidden="1" outlineLevel="1" x14ac:dyDescent="0.3">
      <c r="A59" s="3"/>
      <c r="B59" s="146" t="s">
        <v>2225</v>
      </c>
      <c r="C59" s="53">
        <v>2</v>
      </c>
      <c r="D59" s="53" t="s">
        <v>95</v>
      </c>
      <c r="E59" s="11">
        <v>0</v>
      </c>
      <c r="F59" s="11">
        <v>709.19</v>
      </c>
      <c r="G59" s="80"/>
      <c r="H59" s="56" t="s">
        <v>37</v>
      </c>
      <c r="I59" s="176" t="s">
        <v>2581</v>
      </c>
      <c r="J59" s="56"/>
      <c r="K59" s="28"/>
      <c r="L59" s="28"/>
      <c r="M59" s="28"/>
      <c r="N59" s="28"/>
      <c r="O59" s="28"/>
      <c r="P59" s="28"/>
      <c r="Q59" s="28"/>
      <c r="R59" s="28"/>
      <c r="S59" s="28"/>
      <c r="T59" s="3"/>
      <c r="V59" s="3"/>
      <c r="W59" s="3"/>
      <c r="X59" s="3"/>
      <c r="Y59" s="3"/>
    </row>
    <row r="60" spans="1:25" ht="28.8" hidden="1" outlineLevel="1" x14ac:dyDescent="0.3">
      <c r="A60" s="3"/>
      <c r="B60" s="146" t="s">
        <v>2225</v>
      </c>
      <c r="C60" s="53">
        <v>2</v>
      </c>
      <c r="D60" s="53" t="s">
        <v>95</v>
      </c>
      <c r="E60" s="11">
        <v>0</v>
      </c>
      <c r="F60" s="11">
        <v>113.9</v>
      </c>
      <c r="G60" s="80"/>
      <c r="H60" s="56" t="s">
        <v>37</v>
      </c>
      <c r="I60" s="176" t="s">
        <v>2583</v>
      </c>
      <c r="J60" s="56"/>
      <c r="K60" s="28"/>
      <c r="L60" s="28"/>
      <c r="M60" s="28"/>
      <c r="N60" s="28"/>
      <c r="O60" s="28"/>
      <c r="P60" s="28"/>
      <c r="Q60" s="28"/>
      <c r="R60" s="28"/>
      <c r="S60" s="28"/>
      <c r="T60" s="3"/>
      <c r="V60" s="3"/>
      <c r="W60" s="3"/>
      <c r="X60" s="3"/>
      <c r="Y60" s="3"/>
    </row>
    <row r="61" spans="1:25" ht="14.4" hidden="1" outlineLevel="1" x14ac:dyDescent="0.3">
      <c r="A61" s="3"/>
      <c r="B61" s="146" t="s">
        <v>2225</v>
      </c>
      <c r="C61" s="53">
        <v>2</v>
      </c>
      <c r="D61" s="53" t="s">
        <v>95</v>
      </c>
      <c r="E61" s="11">
        <v>0</v>
      </c>
      <c r="F61" s="11">
        <v>44</v>
      </c>
      <c r="G61" s="80"/>
      <c r="H61" s="56" t="s">
        <v>37</v>
      </c>
      <c r="I61" s="175" t="s">
        <v>2608</v>
      </c>
      <c r="J61" s="56"/>
      <c r="K61" s="28"/>
      <c r="L61" s="28"/>
      <c r="M61" s="28"/>
      <c r="N61" s="28"/>
      <c r="O61" s="28"/>
      <c r="P61" s="28"/>
      <c r="Q61" s="28"/>
      <c r="R61" s="28"/>
      <c r="S61" s="28"/>
      <c r="T61" s="3"/>
      <c r="V61" s="3"/>
      <c r="W61" s="3"/>
      <c r="X61" s="3"/>
      <c r="Y61" s="3"/>
    </row>
    <row r="62" spans="1:25" ht="28.8" hidden="1" outlineLevel="1" x14ac:dyDescent="0.3">
      <c r="A62" s="3"/>
      <c r="B62" s="146" t="s">
        <v>2225</v>
      </c>
      <c r="C62" s="53">
        <v>2</v>
      </c>
      <c r="D62" s="53" t="s">
        <v>95</v>
      </c>
      <c r="E62" s="11">
        <v>0</v>
      </c>
      <c r="F62" s="11">
        <v>261.64</v>
      </c>
      <c r="G62" s="80"/>
      <c r="H62" s="56" t="s">
        <v>37</v>
      </c>
      <c r="I62" s="176" t="s">
        <v>2607</v>
      </c>
      <c r="J62" s="56"/>
      <c r="K62" s="28"/>
      <c r="L62" s="28"/>
      <c r="M62" s="28"/>
      <c r="N62" s="28"/>
      <c r="O62" s="28"/>
      <c r="P62" s="28"/>
      <c r="Q62" s="28"/>
      <c r="R62" s="28"/>
      <c r="S62" s="28"/>
      <c r="T62" s="3"/>
      <c r="V62" s="3"/>
      <c r="W62" s="3"/>
      <c r="X62" s="3"/>
      <c r="Y62" s="3"/>
    </row>
    <row r="63" spans="1:25" ht="28.8" hidden="1" outlineLevel="1" x14ac:dyDescent="0.3">
      <c r="A63" s="3"/>
      <c r="B63" s="146" t="s">
        <v>2225</v>
      </c>
      <c r="C63" s="53">
        <v>9</v>
      </c>
      <c r="D63" s="53" t="s">
        <v>95</v>
      </c>
      <c r="E63" s="11">
        <v>0</v>
      </c>
      <c r="F63" s="11">
        <v>97.3</v>
      </c>
      <c r="G63" s="80" t="s">
        <v>684</v>
      </c>
      <c r="H63" s="56" t="s">
        <v>37</v>
      </c>
      <c r="I63" s="176" t="s">
        <v>2585</v>
      </c>
      <c r="J63" s="56"/>
      <c r="K63" s="28"/>
      <c r="L63" s="28"/>
      <c r="M63" s="28"/>
      <c r="N63" s="28"/>
      <c r="O63" s="28"/>
      <c r="P63" s="28"/>
      <c r="Q63" s="28"/>
      <c r="R63" s="28"/>
      <c r="S63" s="28"/>
      <c r="T63" s="3"/>
      <c r="V63" s="3"/>
      <c r="W63" s="3"/>
      <c r="X63" s="3"/>
      <c r="Y63" s="3"/>
    </row>
    <row r="64" spans="1:25" ht="28.8" hidden="1" outlineLevel="1" x14ac:dyDescent="0.3">
      <c r="A64" s="3"/>
      <c r="B64" s="146" t="s">
        <v>2225</v>
      </c>
      <c r="C64" s="53">
        <v>10</v>
      </c>
      <c r="D64" s="53" t="s">
        <v>95</v>
      </c>
      <c r="E64" s="11">
        <v>0</v>
      </c>
      <c r="F64" s="11">
        <v>26</v>
      </c>
      <c r="G64" s="80"/>
      <c r="H64" s="56" t="s">
        <v>37</v>
      </c>
      <c r="I64" s="176" t="s">
        <v>2613</v>
      </c>
      <c r="J64" s="56"/>
      <c r="K64" s="28"/>
      <c r="L64" s="28"/>
      <c r="M64" s="28"/>
      <c r="N64" s="28"/>
      <c r="O64" s="28"/>
      <c r="P64" s="28"/>
      <c r="Q64" s="28"/>
      <c r="R64" s="28"/>
      <c r="S64" s="28"/>
      <c r="T64" s="3"/>
      <c r="V64" s="3"/>
      <c r="W64" s="3"/>
      <c r="X64" s="3"/>
      <c r="Y64" s="3"/>
    </row>
    <row r="65" spans="1:25" ht="28.8" hidden="1" outlineLevel="1" x14ac:dyDescent="0.3">
      <c r="A65" s="3"/>
      <c r="B65" s="146" t="s">
        <v>2226</v>
      </c>
      <c r="C65" s="53">
        <v>17</v>
      </c>
      <c r="D65" s="53" t="s">
        <v>95</v>
      </c>
      <c r="E65" s="11">
        <v>0</v>
      </c>
      <c r="F65" s="11">
        <v>119.6</v>
      </c>
      <c r="G65" s="80" t="s">
        <v>363</v>
      </c>
      <c r="H65" s="56" t="s">
        <v>37</v>
      </c>
      <c r="I65" s="176" t="s">
        <v>2590</v>
      </c>
      <c r="J65" s="56"/>
      <c r="K65" s="28"/>
      <c r="L65" s="28"/>
      <c r="M65" s="28"/>
      <c r="N65" s="28"/>
      <c r="O65" s="28"/>
      <c r="P65" s="28"/>
      <c r="Q65" s="28"/>
      <c r="R65" s="28"/>
      <c r="S65" s="28"/>
      <c r="T65" s="3"/>
      <c r="V65" s="3"/>
      <c r="W65" s="3"/>
      <c r="X65" s="3"/>
      <c r="Y65" s="3"/>
    </row>
    <row r="66" spans="1:25" ht="28.8" hidden="1" outlineLevel="1" x14ac:dyDescent="0.3">
      <c r="A66" s="3"/>
      <c r="B66" s="146" t="s">
        <v>2226</v>
      </c>
      <c r="C66" s="53">
        <v>18</v>
      </c>
      <c r="D66" s="53" t="s">
        <v>95</v>
      </c>
      <c r="E66" s="11">
        <v>0</v>
      </c>
      <c r="F66" s="11">
        <v>250</v>
      </c>
      <c r="G66" s="80" t="s">
        <v>2227</v>
      </c>
      <c r="H66" s="56" t="s">
        <v>37</v>
      </c>
      <c r="I66" s="177" t="s">
        <v>2593</v>
      </c>
      <c r="J66" s="56"/>
      <c r="K66" s="28"/>
      <c r="L66" s="28"/>
      <c r="M66" s="28"/>
      <c r="N66" s="28"/>
      <c r="O66" s="28"/>
      <c r="P66" s="28"/>
      <c r="Q66" s="28"/>
      <c r="R66" s="28"/>
      <c r="S66" s="28"/>
      <c r="T66" s="3"/>
      <c r="V66" s="3"/>
      <c r="W66" s="3"/>
      <c r="X66" s="3"/>
      <c r="Y66" s="3"/>
    </row>
    <row r="67" spans="1:25" ht="28.8" hidden="1" outlineLevel="1" x14ac:dyDescent="0.3">
      <c r="A67" s="3"/>
      <c r="B67" s="146" t="s">
        <v>2226</v>
      </c>
      <c r="C67" s="53">
        <v>18</v>
      </c>
      <c r="D67" s="53" t="s">
        <v>95</v>
      </c>
      <c r="E67" s="11">
        <v>0</v>
      </c>
      <c r="F67" s="11">
        <v>145</v>
      </c>
      <c r="G67" s="80" t="s">
        <v>1612</v>
      </c>
      <c r="H67" s="56" t="s">
        <v>37</v>
      </c>
      <c r="I67" s="176" t="s">
        <v>2591</v>
      </c>
      <c r="J67" s="56"/>
      <c r="K67" s="28"/>
      <c r="L67" s="28"/>
      <c r="M67" s="28"/>
      <c r="N67" s="28"/>
      <c r="O67" s="28"/>
      <c r="P67" s="28"/>
      <c r="Q67" s="28"/>
      <c r="R67" s="28"/>
      <c r="S67" s="28"/>
      <c r="T67" s="3"/>
      <c r="V67" s="3"/>
      <c r="W67" s="3"/>
      <c r="X67" s="3"/>
      <c r="Y67" s="3"/>
    </row>
    <row r="68" spans="1:25" ht="28.8" hidden="1" outlineLevel="1" x14ac:dyDescent="0.3">
      <c r="A68" s="3"/>
      <c r="B68" s="146" t="s">
        <v>2226</v>
      </c>
      <c r="C68" s="53">
        <v>18</v>
      </c>
      <c r="D68" s="53" t="s">
        <v>95</v>
      </c>
      <c r="E68" s="11">
        <v>0</v>
      </c>
      <c r="F68" s="11">
        <v>105.04</v>
      </c>
      <c r="G68" s="80" t="s">
        <v>363</v>
      </c>
      <c r="H68" s="56" t="s">
        <v>37</v>
      </c>
      <c r="I68" s="176" t="s">
        <v>2592</v>
      </c>
      <c r="J68" s="56"/>
      <c r="K68" s="28"/>
      <c r="L68" s="28"/>
      <c r="M68" s="28"/>
      <c r="N68" s="28"/>
      <c r="O68" s="28"/>
      <c r="P68" s="28"/>
      <c r="Q68" s="28"/>
      <c r="R68" s="28"/>
      <c r="S68" s="28"/>
      <c r="T68" s="3"/>
      <c r="V68" s="3"/>
      <c r="W68" s="3"/>
      <c r="X68" s="3"/>
      <c r="Y68" s="3"/>
    </row>
    <row r="69" spans="1:25" ht="28.8" hidden="1" outlineLevel="1" x14ac:dyDescent="0.3">
      <c r="A69" s="3"/>
      <c r="B69" s="146" t="s">
        <v>2226</v>
      </c>
      <c r="C69" s="53">
        <v>22</v>
      </c>
      <c r="D69" s="53" t="s">
        <v>95</v>
      </c>
      <c r="E69" s="11">
        <v>0</v>
      </c>
      <c r="F69" s="11">
        <v>100</v>
      </c>
      <c r="G69" s="80"/>
      <c r="H69" s="56" t="s">
        <v>37</v>
      </c>
      <c r="I69" s="176" t="s">
        <v>2569</v>
      </c>
      <c r="J69" s="56"/>
      <c r="K69" s="28"/>
      <c r="L69" s="28"/>
      <c r="M69" s="28"/>
      <c r="N69" s="28"/>
      <c r="O69" s="28"/>
      <c r="P69" s="28"/>
      <c r="Q69" s="28"/>
      <c r="R69" s="28"/>
      <c r="S69" s="28"/>
      <c r="T69" s="3"/>
      <c r="V69" s="3"/>
      <c r="W69" s="3"/>
      <c r="X69" s="3"/>
      <c r="Y69" s="3"/>
    </row>
    <row r="70" spans="1:25" ht="28.8" hidden="1" outlineLevel="1" x14ac:dyDescent="0.3">
      <c r="A70" s="3"/>
      <c r="B70" s="146" t="s">
        <v>2226</v>
      </c>
      <c r="C70" s="53">
        <v>22</v>
      </c>
      <c r="D70" s="53" t="s">
        <v>95</v>
      </c>
      <c r="E70" s="11">
        <v>0</v>
      </c>
      <c r="F70" s="11">
        <v>100.9</v>
      </c>
      <c r="G70" s="80"/>
      <c r="H70" s="56" t="s">
        <v>37</v>
      </c>
      <c r="I70" s="176" t="s">
        <v>2570</v>
      </c>
      <c r="J70" s="56"/>
      <c r="K70" s="28"/>
      <c r="L70" s="28"/>
      <c r="M70" s="28"/>
      <c r="N70" s="28"/>
      <c r="O70" s="28"/>
      <c r="P70" s="28"/>
      <c r="Q70" s="28"/>
      <c r="R70" s="28"/>
      <c r="S70" s="28"/>
      <c r="T70" s="3"/>
      <c r="V70" s="3"/>
      <c r="W70" s="3"/>
      <c r="X70" s="3"/>
      <c r="Y70" s="3"/>
    </row>
    <row r="71" spans="1:25" ht="28.8" hidden="1" outlineLevel="1" x14ac:dyDescent="0.3">
      <c r="A71" s="3"/>
      <c r="B71" s="146" t="s">
        <v>2226</v>
      </c>
      <c r="C71" s="53">
        <v>22</v>
      </c>
      <c r="D71" s="53" t="s">
        <v>95</v>
      </c>
      <c r="E71" s="11">
        <v>0</v>
      </c>
      <c r="F71" s="11">
        <v>284.04000000000002</v>
      </c>
      <c r="G71" s="80"/>
      <c r="H71" s="56" t="s">
        <v>37</v>
      </c>
      <c r="I71" s="176" t="s">
        <v>2571</v>
      </c>
      <c r="J71" s="56"/>
      <c r="K71" s="28"/>
      <c r="L71" s="28"/>
      <c r="M71" s="28"/>
      <c r="N71" s="28"/>
      <c r="O71" s="28"/>
      <c r="P71" s="28"/>
      <c r="Q71" s="28"/>
      <c r="R71" s="28"/>
      <c r="S71" s="28"/>
      <c r="T71" s="3"/>
      <c r="V71" s="3"/>
      <c r="W71" s="3"/>
      <c r="X71" s="3"/>
      <c r="Y71" s="3"/>
    </row>
    <row r="72" spans="1:25" ht="28.8" hidden="1" outlineLevel="1" x14ac:dyDescent="0.3">
      <c r="A72" s="3"/>
      <c r="B72" s="146" t="s">
        <v>2226</v>
      </c>
      <c r="C72" s="53">
        <v>22</v>
      </c>
      <c r="D72" s="53" t="s">
        <v>95</v>
      </c>
      <c r="E72" s="11">
        <v>0</v>
      </c>
      <c r="F72" s="11">
        <v>295.86</v>
      </c>
      <c r="G72" s="80"/>
      <c r="H72" s="56" t="s">
        <v>37</v>
      </c>
      <c r="I72" s="176" t="s">
        <v>2572</v>
      </c>
      <c r="J72" s="56"/>
      <c r="K72" s="28"/>
      <c r="L72" s="28"/>
      <c r="M72" s="28"/>
      <c r="N72" s="28"/>
      <c r="O72" s="28"/>
      <c r="P72" s="28"/>
      <c r="Q72" s="28"/>
      <c r="R72" s="28"/>
      <c r="S72" s="28"/>
      <c r="T72" s="3"/>
      <c r="V72" s="3"/>
      <c r="W72" s="3"/>
      <c r="X72" s="3"/>
      <c r="Y72" s="3"/>
    </row>
    <row r="73" spans="1:25" ht="28.8" hidden="1" outlineLevel="1" x14ac:dyDescent="0.3">
      <c r="A73" s="3"/>
      <c r="B73" s="146" t="s">
        <v>2228</v>
      </c>
      <c r="C73" s="53">
        <v>31</v>
      </c>
      <c r="D73" s="53" t="s">
        <v>95</v>
      </c>
      <c r="E73" s="11">
        <v>0</v>
      </c>
      <c r="F73" s="11">
        <v>180.4</v>
      </c>
      <c r="G73" s="80"/>
      <c r="H73" s="56" t="s">
        <v>37</v>
      </c>
      <c r="I73" s="176" t="s">
        <v>2580</v>
      </c>
      <c r="J73" s="56"/>
      <c r="K73" s="28"/>
      <c r="L73" s="28"/>
      <c r="M73" s="28"/>
      <c r="N73" s="28"/>
      <c r="O73" s="28"/>
      <c r="P73" s="28"/>
      <c r="Q73" s="28"/>
      <c r="R73" s="28"/>
      <c r="S73" s="28"/>
      <c r="T73" s="3"/>
      <c r="V73" s="3"/>
      <c r="W73" s="3"/>
      <c r="X73" s="3"/>
      <c r="Y73" s="3"/>
    </row>
    <row r="74" spans="1:25" ht="20.399999999999999" collapsed="1" x14ac:dyDescent="0.3">
      <c r="A74" s="3"/>
      <c r="B74" s="182" t="s">
        <v>89</v>
      </c>
      <c r="C74" s="76" t="s">
        <v>44</v>
      </c>
      <c r="D74" s="76" t="s">
        <v>44</v>
      </c>
      <c r="E74" s="77">
        <v>0</v>
      </c>
      <c r="F74" s="77">
        <v>1677.11</v>
      </c>
      <c r="G74" s="79"/>
      <c r="H74" s="78"/>
      <c r="I74" s="79"/>
      <c r="J74" s="78"/>
      <c r="K74" s="28"/>
      <c r="L74" s="28"/>
      <c r="M74" s="28"/>
      <c r="N74" s="28"/>
      <c r="O74" s="28"/>
      <c r="P74" s="28"/>
      <c r="Q74" s="28"/>
      <c r="R74" s="28"/>
      <c r="S74" s="28"/>
      <c r="T74" s="3"/>
      <c r="V74" s="3"/>
      <c r="W74" s="3"/>
      <c r="X74" s="3"/>
      <c r="Y74" s="3"/>
    </row>
    <row r="75" spans="1:25" outlineLevel="1" x14ac:dyDescent="0.3">
      <c r="A75" s="3"/>
      <c r="B75" s="184" t="s">
        <v>644</v>
      </c>
      <c r="C75" s="83"/>
      <c r="D75" s="83"/>
      <c r="E75" s="84">
        <v>0</v>
      </c>
      <c r="F75" s="84">
        <v>1677.11</v>
      </c>
      <c r="G75" s="86"/>
      <c r="H75" s="85"/>
      <c r="I75" s="86"/>
      <c r="J75" s="85"/>
      <c r="K75" s="28"/>
      <c r="L75" s="28"/>
      <c r="M75" s="28"/>
      <c r="N75" s="28"/>
      <c r="O75" s="28"/>
      <c r="P75" s="28"/>
      <c r="Q75" s="28"/>
      <c r="R75" s="28"/>
      <c r="S75" s="28"/>
      <c r="T75" s="3"/>
      <c r="V75" s="3"/>
      <c r="W75" s="3"/>
      <c r="X75" s="3"/>
      <c r="Y75" s="3"/>
    </row>
    <row r="76" spans="1:25" ht="43.2" outlineLevel="1" x14ac:dyDescent="0.3">
      <c r="A76" s="3"/>
      <c r="B76" s="146" t="s">
        <v>2229</v>
      </c>
      <c r="C76" s="53">
        <v>9</v>
      </c>
      <c r="D76" s="53" t="s">
        <v>95</v>
      </c>
      <c r="E76" s="11">
        <v>0</v>
      </c>
      <c r="F76" s="11">
        <v>1677.11</v>
      </c>
      <c r="G76" s="80" t="s">
        <v>2230</v>
      </c>
      <c r="H76" s="56" t="s">
        <v>37</v>
      </c>
      <c r="I76" s="176" t="s">
        <v>1992</v>
      </c>
      <c r="J76" s="56"/>
      <c r="K76" s="28"/>
      <c r="L76" s="28"/>
      <c r="M76" s="28"/>
      <c r="N76" s="28"/>
      <c r="O76" s="28"/>
      <c r="P76" s="28"/>
      <c r="Q76" s="28"/>
      <c r="R76" s="28"/>
      <c r="S76" s="28"/>
      <c r="T76" s="3"/>
      <c r="V76" s="3"/>
      <c r="W76" s="3"/>
      <c r="X76" s="3"/>
      <c r="Y76" s="3"/>
    </row>
    <row r="77" spans="1:25" ht="40.799999999999997" x14ac:dyDescent="0.3">
      <c r="A77" s="3"/>
      <c r="B77" s="182" t="s">
        <v>385</v>
      </c>
      <c r="C77" s="76" t="s">
        <v>44</v>
      </c>
      <c r="D77" s="76" t="s">
        <v>44</v>
      </c>
      <c r="E77" s="77">
        <v>0</v>
      </c>
      <c r="F77" s="77">
        <v>1750</v>
      </c>
      <c r="G77" s="79"/>
      <c r="H77" s="78"/>
      <c r="I77" s="79"/>
      <c r="J77" s="78"/>
      <c r="K77" s="28"/>
      <c r="L77" s="28"/>
      <c r="M77" s="28"/>
      <c r="N77" s="28"/>
      <c r="O77" s="28"/>
      <c r="P77" s="28"/>
      <c r="Q77" s="28"/>
      <c r="R77" s="28"/>
      <c r="S77" s="28"/>
      <c r="T77" s="3"/>
      <c r="V77" s="3"/>
      <c r="W77" s="3"/>
      <c r="X77" s="3"/>
      <c r="Y77" s="3"/>
    </row>
    <row r="78" spans="1:25" ht="14.4" outlineLevel="1" x14ac:dyDescent="0.3">
      <c r="A78" s="3"/>
      <c r="B78" s="146" t="s">
        <v>2231</v>
      </c>
      <c r="C78" s="71">
        <v>3</v>
      </c>
      <c r="D78" s="53" t="s">
        <v>95</v>
      </c>
      <c r="E78" s="11">
        <v>0</v>
      </c>
      <c r="F78" s="11">
        <v>1750</v>
      </c>
      <c r="G78" s="80"/>
      <c r="H78" s="56" t="s">
        <v>37</v>
      </c>
      <c r="I78" s="175" t="s">
        <v>2614</v>
      </c>
      <c r="J78" s="56"/>
      <c r="K78" s="28"/>
      <c r="L78" s="28"/>
      <c r="M78" s="28"/>
      <c r="N78" s="28"/>
      <c r="O78" s="28"/>
      <c r="P78" s="28"/>
      <c r="Q78" s="28"/>
      <c r="R78" s="28"/>
      <c r="S78" s="28"/>
      <c r="T78" s="3"/>
      <c r="V78" s="3"/>
      <c r="W78" s="3"/>
      <c r="X78" s="3"/>
      <c r="Y78" s="3"/>
    </row>
    <row r="79" spans="1:25" ht="20.399999999999999" x14ac:dyDescent="0.3">
      <c r="A79" s="3"/>
      <c r="B79" s="182" t="s">
        <v>395</v>
      </c>
      <c r="C79" s="76" t="s">
        <v>44</v>
      </c>
      <c r="D79" s="76" t="s">
        <v>44</v>
      </c>
      <c r="E79" s="77">
        <v>0</v>
      </c>
      <c r="F79" s="77">
        <v>100</v>
      </c>
      <c r="G79" s="79"/>
      <c r="H79" s="78"/>
      <c r="I79" s="79"/>
      <c r="J79" s="78"/>
      <c r="K79" s="28"/>
      <c r="L79" s="28"/>
      <c r="M79" s="28"/>
      <c r="N79" s="28"/>
      <c r="O79" s="28"/>
      <c r="P79" s="28"/>
      <c r="Q79" s="28"/>
      <c r="R79" s="28"/>
      <c r="S79" s="28"/>
      <c r="T79" s="3"/>
      <c r="V79" s="3"/>
      <c r="W79" s="3"/>
      <c r="X79" s="3"/>
      <c r="Y79" s="3"/>
    </row>
    <row r="80" spans="1:25" ht="28.8" outlineLevel="1" x14ac:dyDescent="0.3">
      <c r="A80" s="3"/>
      <c r="B80" s="146" t="s">
        <v>1837</v>
      </c>
      <c r="C80" s="53">
        <v>11</v>
      </c>
      <c r="D80" s="53" t="s">
        <v>95</v>
      </c>
      <c r="E80" s="11">
        <v>0</v>
      </c>
      <c r="F80" s="11">
        <v>100</v>
      </c>
      <c r="G80" s="80"/>
      <c r="H80" s="56" t="s">
        <v>37</v>
      </c>
      <c r="I80" s="176" t="s">
        <v>2617</v>
      </c>
      <c r="J80" s="56"/>
      <c r="K80" s="28"/>
      <c r="L80" s="28"/>
      <c r="M80" s="28"/>
      <c r="N80" s="28"/>
      <c r="O80" s="28"/>
      <c r="P80" s="28"/>
      <c r="Q80" s="28"/>
      <c r="R80" s="28"/>
      <c r="S80" s="28"/>
      <c r="T80" s="3"/>
      <c r="V80" s="3"/>
      <c r="W80" s="3"/>
      <c r="X80" s="3"/>
      <c r="Y80" s="3"/>
    </row>
    <row r="81" spans="1:25" ht="20.399999999999999" x14ac:dyDescent="0.3">
      <c r="A81" s="3"/>
      <c r="B81" s="182" t="s">
        <v>404</v>
      </c>
      <c r="C81" s="76" t="s">
        <v>44</v>
      </c>
      <c r="D81" s="76" t="s">
        <v>44</v>
      </c>
      <c r="E81" s="77">
        <v>0</v>
      </c>
      <c r="F81" s="77">
        <v>80</v>
      </c>
      <c r="G81" s="79"/>
      <c r="H81" s="78"/>
      <c r="I81" s="79"/>
      <c r="J81" s="78"/>
      <c r="K81" s="28"/>
      <c r="L81" s="28"/>
      <c r="M81" s="28"/>
      <c r="N81" s="28"/>
      <c r="O81" s="28"/>
      <c r="P81" s="28"/>
      <c r="Q81" s="28"/>
      <c r="R81" s="28"/>
      <c r="S81" s="28"/>
      <c r="T81" s="3"/>
      <c r="V81" s="3"/>
      <c r="W81" s="3"/>
      <c r="X81" s="3"/>
      <c r="Y81" s="3"/>
    </row>
    <row r="82" spans="1:25" ht="28.8" outlineLevel="1" x14ac:dyDescent="0.3">
      <c r="A82" s="3"/>
      <c r="B82" s="146" t="s">
        <v>1526</v>
      </c>
      <c r="C82" s="53">
        <v>9</v>
      </c>
      <c r="D82" s="53" t="s">
        <v>95</v>
      </c>
      <c r="E82" s="11">
        <v>0</v>
      </c>
      <c r="F82" s="11">
        <v>80</v>
      </c>
      <c r="G82" s="80" t="s">
        <v>2232</v>
      </c>
      <c r="H82" s="56" t="s">
        <v>37</v>
      </c>
      <c r="I82" s="176" t="s">
        <v>2611</v>
      </c>
      <c r="J82" s="56"/>
      <c r="K82" s="28"/>
      <c r="L82" s="28"/>
      <c r="M82" s="28"/>
      <c r="N82" s="28"/>
      <c r="O82" s="28"/>
      <c r="P82" s="28"/>
      <c r="Q82" s="28"/>
      <c r="R82" s="28"/>
      <c r="S82" s="28"/>
      <c r="T82" s="3"/>
      <c r="V82" s="3"/>
      <c r="W82" s="3"/>
      <c r="X82" s="3"/>
      <c r="Y82" s="3"/>
    </row>
    <row r="83" spans="1:25" ht="20.399999999999999" x14ac:dyDescent="0.3">
      <c r="A83" s="3"/>
      <c r="B83" s="182" t="s">
        <v>409</v>
      </c>
      <c r="C83" s="76" t="s">
        <v>44</v>
      </c>
      <c r="D83" s="76" t="s">
        <v>44</v>
      </c>
      <c r="E83" s="77">
        <v>0</v>
      </c>
      <c r="F83" s="77">
        <v>348.78</v>
      </c>
      <c r="G83" s="79"/>
      <c r="H83" s="78"/>
      <c r="I83" s="79"/>
      <c r="J83" s="78"/>
      <c r="K83" s="28"/>
      <c r="L83" s="28"/>
      <c r="M83" s="28"/>
      <c r="N83" s="28"/>
      <c r="O83" s="28"/>
      <c r="P83" s="28"/>
      <c r="Q83" s="28"/>
      <c r="R83" s="28"/>
      <c r="S83" s="28"/>
      <c r="T83" s="3"/>
      <c r="V83" s="3"/>
      <c r="W83" s="3"/>
      <c r="X83" s="3"/>
      <c r="Y83" s="3"/>
    </row>
    <row r="84" spans="1:25" outlineLevel="1" x14ac:dyDescent="0.3">
      <c r="A84" s="3"/>
      <c r="B84" s="184" t="s">
        <v>1651</v>
      </c>
      <c r="C84" s="83"/>
      <c r="D84" s="83"/>
      <c r="E84" s="84">
        <v>0</v>
      </c>
      <c r="F84" s="84">
        <v>348.78</v>
      </c>
      <c r="G84" s="86"/>
      <c r="H84" s="85"/>
      <c r="I84" s="86"/>
      <c r="J84" s="85"/>
      <c r="K84" s="28"/>
      <c r="L84" s="28"/>
      <c r="M84" s="28"/>
      <c r="N84" s="28"/>
      <c r="O84" s="28"/>
      <c r="P84" s="28"/>
      <c r="Q84" s="28"/>
      <c r="R84" s="28"/>
      <c r="S84" s="28"/>
      <c r="T84" s="3"/>
      <c r="V84" s="3"/>
      <c r="W84" s="3"/>
      <c r="X84" s="3"/>
      <c r="Y84" s="3"/>
    </row>
    <row r="85" spans="1:25" ht="28.8" outlineLevel="1" x14ac:dyDescent="0.3">
      <c r="A85" s="3"/>
      <c r="B85" s="146" t="s">
        <v>2233</v>
      </c>
      <c r="C85" s="53">
        <v>9</v>
      </c>
      <c r="D85" s="53" t="s">
        <v>95</v>
      </c>
      <c r="E85" s="11">
        <v>0</v>
      </c>
      <c r="F85" s="11">
        <v>348.78</v>
      </c>
      <c r="G85" s="80"/>
      <c r="H85" s="56" t="s">
        <v>37</v>
      </c>
      <c r="I85" s="176" t="s">
        <v>2568</v>
      </c>
      <c r="J85" s="56"/>
      <c r="K85" s="28"/>
      <c r="L85" s="28"/>
      <c r="M85" s="28"/>
      <c r="N85" s="28"/>
      <c r="O85" s="28"/>
      <c r="P85" s="28"/>
      <c r="Q85" s="28"/>
      <c r="R85" s="28"/>
      <c r="S85" s="28"/>
      <c r="T85" s="3"/>
      <c r="V85" s="3"/>
      <c r="W85" s="3"/>
      <c r="X85" s="3"/>
      <c r="Y85" s="3"/>
    </row>
    <row r="86" spans="1:25" ht="14.25" customHeight="1" x14ac:dyDescent="0.3">
      <c r="A86" s="3"/>
      <c r="B86" s="185"/>
      <c r="C86" s="28"/>
      <c r="D86" s="28"/>
      <c r="E86" s="28"/>
      <c r="F86" s="28"/>
      <c r="G86" s="90"/>
      <c r="H86" s="89"/>
      <c r="I86" s="90"/>
      <c r="J86" s="89"/>
      <c r="K86" s="28"/>
      <c r="L86" s="28"/>
      <c r="M86" s="28"/>
      <c r="N86" s="28"/>
      <c r="O86" s="28"/>
      <c r="P86" s="28"/>
      <c r="Q86" s="28"/>
      <c r="R86" s="28"/>
      <c r="S86" s="28"/>
      <c r="T86" s="3"/>
    </row>
    <row r="87" spans="1:25" ht="14.25" customHeight="1" x14ac:dyDescent="0.3">
      <c r="A87" s="3"/>
      <c r="B87" s="185"/>
      <c r="C87" s="28"/>
      <c r="D87" s="28"/>
      <c r="E87" s="28"/>
      <c r="F87" s="28"/>
      <c r="G87" s="90"/>
      <c r="H87" s="89"/>
      <c r="I87" s="90"/>
      <c r="J87" s="89"/>
      <c r="K87" s="28"/>
      <c r="L87" s="28"/>
      <c r="M87" s="28"/>
      <c r="N87" s="28"/>
      <c r="O87" s="28"/>
      <c r="P87" s="28"/>
      <c r="Q87" s="28"/>
      <c r="R87" s="28"/>
      <c r="S87" s="28"/>
      <c r="T87" s="3"/>
    </row>
    <row r="88" spans="1:25" ht="14.25" customHeight="1" x14ac:dyDescent="0.3">
      <c r="A88" s="3"/>
      <c r="B88" s="216" t="s">
        <v>2234</v>
      </c>
      <c r="C88" s="217"/>
      <c r="D88" s="217"/>
      <c r="E88" s="217"/>
      <c r="F88" s="217"/>
      <c r="G88" s="217"/>
      <c r="H88" s="217"/>
      <c r="I88" s="194"/>
      <c r="J88" s="89"/>
      <c r="K88" s="28"/>
      <c r="L88" s="28"/>
      <c r="M88" s="28"/>
      <c r="N88" s="28"/>
      <c r="O88" s="28"/>
      <c r="P88" s="28"/>
      <c r="Q88" s="28"/>
      <c r="R88" s="28"/>
      <c r="S88" s="28"/>
      <c r="T88" s="3"/>
    </row>
    <row r="89" spans="1:25" ht="14.25" customHeight="1" x14ac:dyDescent="0.3">
      <c r="A89" s="3"/>
      <c r="B89" s="185"/>
      <c r="C89" s="28"/>
      <c r="D89" s="28"/>
      <c r="E89" s="28"/>
      <c r="F89" s="28"/>
      <c r="G89" s="90"/>
      <c r="H89" s="89"/>
      <c r="I89" s="90"/>
      <c r="J89" s="89"/>
      <c r="K89" s="28"/>
      <c r="L89" s="28"/>
      <c r="M89" s="28"/>
      <c r="N89" s="28"/>
      <c r="O89" s="28"/>
      <c r="P89" s="28"/>
      <c r="Q89" s="28"/>
      <c r="R89" s="28"/>
      <c r="S89" s="28"/>
      <c r="T89" s="3"/>
    </row>
    <row r="90" spans="1:25" ht="14.25" customHeight="1" x14ac:dyDescent="0.3">
      <c r="A90" s="3"/>
      <c r="B90" s="185"/>
      <c r="C90" s="28"/>
      <c r="D90" s="28"/>
      <c r="E90" s="28"/>
      <c r="F90" s="28"/>
      <c r="G90" s="90"/>
      <c r="H90" s="89"/>
      <c r="I90" s="90"/>
      <c r="J90" s="89"/>
      <c r="K90" s="28"/>
      <c r="L90" s="28"/>
      <c r="M90" s="28"/>
      <c r="N90" s="28"/>
      <c r="O90" s="28"/>
      <c r="P90" s="28"/>
      <c r="Q90" s="28"/>
      <c r="R90" s="28"/>
      <c r="S90" s="28"/>
      <c r="T90" s="3"/>
    </row>
    <row r="91" spans="1:25" ht="14.25" customHeight="1" x14ac:dyDescent="0.3">
      <c r="A91" s="3"/>
      <c r="B91" s="185"/>
      <c r="C91" s="28"/>
      <c r="D91" s="28"/>
      <c r="E91" s="28"/>
      <c r="F91" s="28"/>
      <c r="G91" s="90"/>
      <c r="H91" s="89"/>
      <c r="I91" s="90"/>
      <c r="J91" s="89"/>
      <c r="K91" s="28"/>
      <c r="L91" s="28"/>
      <c r="M91" s="28"/>
      <c r="N91" s="28"/>
      <c r="O91" s="28"/>
      <c r="P91" s="28"/>
      <c r="Q91" s="28"/>
      <c r="R91" s="28"/>
      <c r="S91" s="28"/>
      <c r="T91" s="3"/>
    </row>
    <row r="92" spans="1:25" ht="14.25" customHeight="1" x14ac:dyDescent="0.3">
      <c r="A92" s="3"/>
      <c r="B92" s="185"/>
      <c r="C92" s="28"/>
      <c r="D92" s="28"/>
      <c r="E92" s="28"/>
      <c r="F92" s="28"/>
      <c r="G92" s="90"/>
      <c r="H92" s="89"/>
      <c r="I92" s="90"/>
      <c r="J92" s="89"/>
      <c r="K92" s="28"/>
      <c r="L92" s="28"/>
      <c r="M92" s="28"/>
      <c r="N92" s="28"/>
      <c r="O92" s="28"/>
      <c r="P92" s="28"/>
      <c r="Q92" s="28"/>
      <c r="R92" s="28"/>
      <c r="S92" s="28"/>
      <c r="T92" s="3"/>
    </row>
    <row r="93" spans="1:25" ht="14.25" customHeight="1" x14ac:dyDescent="0.3">
      <c r="A93" s="3"/>
      <c r="B93" s="185"/>
      <c r="C93" s="28"/>
      <c r="D93" s="28"/>
      <c r="E93" s="28"/>
      <c r="F93" s="28"/>
      <c r="G93" s="90"/>
      <c r="H93" s="89"/>
      <c r="I93" s="90"/>
      <c r="J93" s="89"/>
      <c r="K93" s="28"/>
      <c r="L93" s="28"/>
      <c r="M93" s="28"/>
      <c r="N93" s="28"/>
      <c r="O93" s="28"/>
      <c r="P93" s="28"/>
      <c r="Q93" s="28"/>
      <c r="R93" s="28"/>
      <c r="S93" s="28"/>
      <c r="T93" s="3"/>
    </row>
    <row r="94" spans="1:25" ht="14.25" customHeight="1" x14ac:dyDescent="0.3">
      <c r="A94" s="3"/>
      <c r="B94" s="185"/>
      <c r="C94" s="28"/>
      <c r="D94" s="28"/>
      <c r="E94" s="28"/>
      <c r="F94" s="28"/>
      <c r="G94" s="90"/>
      <c r="H94" s="89"/>
      <c r="I94" s="90"/>
      <c r="J94" s="89"/>
      <c r="K94" s="28"/>
      <c r="L94" s="28"/>
      <c r="M94" s="28"/>
      <c r="N94" s="28"/>
      <c r="O94" s="28"/>
      <c r="P94" s="28"/>
      <c r="Q94" s="28"/>
      <c r="R94" s="28"/>
      <c r="S94" s="28"/>
      <c r="T94" s="3"/>
    </row>
    <row r="95" spans="1:25" ht="14.25" customHeight="1" x14ac:dyDescent="0.3">
      <c r="A95" s="3"/>
      <c r="B95" s="185"/>
      <c r="C95" s="28"/>
      <c r="D95" s="28"/>
      <c r="E95" s="28"/>
      <c r="F95" s="28"/>
      <c r="G95" s="90"/>
      <c r="H95" s="89"/>
      <c r="I95" s="90"/>
      <c r="J95" s="89"/>
      <c r="K95" s="28"/>
      <c r="L95" s="28"/>
      <c r="M95" s="28"/>
      <c r="N95" s="28"/>
      <c r="O95" s="28"/>
      <c r="P95" s="28"/>
      <c r="Q95" s="28"/>
      <c r="R95" s="28"/>
      <c r="S95" s="28"/>
      <c r="T95" s="3"/>
    </row>
    <row r="96" spans="1:25" ht="14.25" customHeight="1" x14ac:dyDescent="0.3">
      <c r="A96" s="3"/>
      <c r="B96" s="185"/>
      <c r="C96" s="28"/>
      <c r="D96" s="28"/>
      <c r="E96" s="28"/>
      <c r="F96" s="28"/>
      <c r="G96" s="90"/>
      <c r="H96" s="89"/>
      <c r="I96" s="90"/>
      <c r="J96" s="89"/>
      <c r="K96" s="28"/>
      <c r="L96" s="28"/>
      <c r="M96" s="28"/>
      <c r="N96" s="28"/>
      <c r="O96" s="28"/>
      <c r="P96" s="28"/>
      <c r="Q96" s="28"/>
      <c r="R96" s="28"/>
      <c r="S96" s="28"/>
      <c r="T96" s="3"/>
    </row>
    <row r="97" spans="1:20" ht="14.25" customHeight="1" x14ac:dyDescent="0.3">
      <c r="A97" s="3"/>
      <c r="B97" s="185"/>
      <c r="C97" s="28"/>
      <c r="D97" s="28"/>
      <c r="E97" s="28"/>
      <c r="F97" s="28"/>
      <c r="G97" s="90"/>
      <c r="H97" s="89"/>
      <c r="I97" s="90"/>
      <c r="J97" s="89"/>
      <c r="K97" s="28"/>
      <c r="L97" s="28"/>
      <c r="M97" s="28"/>
      <c r="N97" s="28"/>
      <c r="O97" s="28"/>
      <c r="P97" s="28"/>
      <c r="Q97" s="28"/>
      <c r="R97" s="28"/>
      <c r="S97" s="28"/>
      <c r="T97" s="3"/>
    </row>
    <row r="98" spans="1:20" ht="14.25" customHeight="1" x14ac:dyDescent="0.3">
      <c r="A98" s="3"/>
      <c r="B98" s="185"/>
      <c r="C98" s="28"/>
      <c r="D98" s="28"/>
      <c r="E98" s="28"/>
      <c r="F98" s="28"/>
      <c r="G98" s="90"/>
      <c r="H98" s="89"/>
      <c r="I98" s="90"/>
      <c r="J98" s="89"/>
      <c r="K98" s="28"/>
      <c r="L98" s="28"/>
      <c r="M98" s="28"/>
      <c r="N98" s="28"/>
      <c r="O98" s="28"/>
      <c r="P98" s="28"/>
      <c r="Q98" s="28"/>
      <c r="R98" s="28"/>
      <c r="S98" s="28"/>
      <c r="T98" s="3"/>
    </row>
    <row r="99" spans="1:20" ht="14.25" customHeight="1" x14ac:dyDescent="0.3">
      <c r="A99" s="3"/>
      <c r="B99" s="185"/>
      <c r="C99" s="28"/>
      <c r="D99" s="28"/>
      <c r="E99" s="28"/>
      <c r="F99" s="28"/>
      <c r="G99" s="90"/>
      <c r="H99" s="89"/>
      <c r="I99" s="90"/>
      <c r="J99" s="89"/>
      <c r="K99" s="28"/>
      <c r="L99" s="28"/>
      <c r="M99" s="28"/>
      <c r="N99" s="28"/>
      <c r="O99" s="28"/>
      <c r="P99" s="28"/>
      <c r="Q99" s="28"/>
      <c r="R99" s="28"/>
      <c r="S99" s="28"/>
      <c r="T99" s="3"/>
    </row>
    <row r="100" spans="1:20" ht="14.25" customHeight="1" x14ac:dyDescent="0.3">
      <c r="A100" s="3"/>
      <c r="B100" s="185"/>
      <c r="C100" s="28"/>
      <c r="D100" s="28"/>
      <c r="E100" s="28"/>
      <c r="F100" s="28"/>
      <c r="G100" s="90"/>
      <c r="H100" s="89"/>
      <c r="I100" s="90"/>
      <c r="J100" s="89"/>
      <c r="K100" s="28"/>
      <c r="L100" s="28"/>
      <c r="M100" s="28"/>
      <c r="N100" s="28"/>
      <c r="O100" s="28"/>
      <c r="P100" s="28"/>
      <c r="Q100" s="28"/>
      <c r="R100" s="28"/>
      <c r="S100" s="28"/>
      <c r="T100" s="3"/>
    </row>
    <row r="101" spans="1:20" ht="14.25" customHeight="1" x14ac:dyDescent="0.3">
      <c r="A101" s="3"/>
      <c r="B101" s="185"/>
      <c r="C101" s="28"/>
      <c r="D101" s="28"/>
      <c r="E101" s="28"/>
      <c r="F101" s="28"/>
      <c r="G101" s="90"/>
      <c r="H101" s="89"/>
      <c r="I101" s="90"/>
      <c r="J101" s="89"/>
      <c r="K101" s="28"/>
      <c r="L101" s="28"/>
      <c r="M101" s="28"/>
      <c r="N101" s="28"/>
      <c r="O101" s="28"/>
      <c r="P101" s="28"/>
      <c r="Q101" s="28"/>
      <c r="R101" s="28"/>
      <c r="S101" s="28"/>
      <c r="T101" s="3"/>
    </row>
    <row r="102" spans="1:20" ht="14.25" customHeight="1" x14ac:dyDescent="0.3">
      <c r="A102" s="3"/>
      <c r="B102" s="185"/>
      <c r="C102" s="28"/>
      <c r="D102" s="28"/>
      <c r="E102" s="28"/>
      <c r="F102" s="28"/>
      <c r="G102" s="90"/>
      <c r="H102" s="89"/>
      <c r="I102" s="90"/>
      <c r="J102" s="89"/>
      <c r="K102" s="28"/>
      <c r="L102" s="28"/>
      <c r="M102" s="28"/>
      <c r="N102" s="28"/>
      <c r="O102" s="28"/>
      <c r="P102" s="28"/>
      <c r="Q102" s="28"/>
      <c r="R102" s="28"/>
      <c r="S102" s="28"/>
      <c r="T102" s="3"/>
    </row>
    <row r="103" spans="1:20" ht="14.25" customHeight="1" x14ac:dyDescent="0.3">
      <c r="A103" s="3"/>
      <c r="B103" s="185"/>
      <c r="C103" s="28"/>
      <c r="D103" s="28"/>
      <c r="E103" s="28"/>
      <c r="F103" s="28"/>
      <c r="G103" s="90"/>
      <c r="H103" s="89"/>
      <c r="I103" s="90"/>
      <c r="J103" s="89"/>
      <c r="K103" s="28"/>
      <c r="L103" s="28"/>
      <c r="M103" s="28"/>
      <c r="N103" s="28"/>
      <c r="O103" s="28"/>
      <c r="P103" s="28"/>
      <c r="Q103" s="28"/>
      <c r="R103" s="28"/>
      <c r="S103" s="28"/>
      <c r="T103" s="3"/>
    </row>
    <row r="104" spans="1:20" ht="14.25" customHeight="1" x14ac:dyDescent="0.3">
      <c r="A104" s="3"/>
      <c r="B104" s="185"/>
      <c r="C104" s="28"/>
      <c r="D104" s="28"/>
      <c r="E104" s="28"/>
      <c r="F104" s="28"/>
      <c r="G104" s="90"/>
      <c r="H104" s="89"/>
      <c r="I104" s="90"/>
      <c r="J104" s="89"/>
      <c r="K104" s="28"/>
      <c r="L104" s="28"/>
      <c r="M104" s="28"/>
      <c r="N104" s="28"/>
      <c r="O104" s="28"/>
      <c r="P104" s="28"/>
      <c r="Q104" s="28"/>
      <c r="R104" s="28"/>
      <c r="S104" s="28"/>
      <c r="T104" s="3"/>
    </row>
    <row r="105" spans="1:20" ht="14.25" customHeight="1" x14ac:dyDescent="0.3">
      <c r="A105" s="3"/>
      <c r="B105" s="185"/>
      <c r="C105" s="28"/>
      <c r="D105" s="28"/>
      <c r="E105" s="28"/>
      <c r="F105" s="28"/>
      <c r="G105" s="90"/>
      <c r="H105" s="89"/>
      <c r="I105" s="90"/>
      <c r="J105" s="89"/>
      <c r="K105" s="28"/>
      <c r="L105" s="28"/>
      <c r="M105" s="28"/>
      <c r="N105" s="28"/>
      <c r="O105" s="28"/>
      <c r="P105" s="28"/>
      <c r="Q105" s="28"/>
      <c r="R105" s="28"/>
      <c r="S105" s="28"/>
      <c r="T105" s="3"/>
    </row>
    <row r="106" spans="1:20" ht="14.25" customHeight="1" x14ac:dyDescent="0.3">
      <c r="A106" s="3"/>
      <c r="B106" s="185"/>
      <c r="C106" s="28"/>
      <c r="D106" s="28"/>
      <c r="E106" s="28"/>
      <c r="F106" s="28"/>
      <c r="G106" s="90"/>
      <c r="H106" s="89"/>
      <c r="I106" s="90"/>
      <c r="J106" s="89"/>
      <c r="K106" s="28"/>
      <c r="L106" s="28"/>
      <c r="M106" s="28"/>
      <c r="N106" s="28"/>
      <c r="O106" s="28"/>
      <c r="P106" s="28"/>
      <c r="Q106" s="28"/>
      <c r="R106" s="28"/>
      <c r="S106" s="28"/>
      <c r="T106" s="3"/>
    </row>
    <row r="107" spans="1:20" ht="14.25" customHeight="1" x14ac:dyDescent="0.3">
      <c r="A107" s="3"/>
      <c r="B107" s="185"/>
      <c r="C107" s="28"/>
      <c r="D107" s="28"/>
      <c r="E107" s="28"/>
      <c r="F107" s="28"/>
      <c r="G107" s="90"/>
      <c r="H107" s="89"/>
      <c r="I107" s="90"/>
      <c r="J107" s="89"/>
      <c r="K107" s="28"/>
      <c r="L107" s="28"/>
      <c r="M107" s="28"/>
      <c r="N107" s="28"/>
      <c r="O107" s="28"/>
      <c r="P107" s="28"/>
      <c r="Q107" s="28"/>
      <c r="R107" s="28"/>
      <c r="S107" s="28"/>
      <c r="T107" s="3"/>
    </row>
    <row r="108" spans="1:20" ht="14.25" customHeight="1" x14ac:dyDescent="0.3">
      <c r="A108" s="3"/>
      <c r="B108" s="185"/>
      <c r="C108" s="28"/>
      <c r="D108" s="28"/>
      <c r="E108" s="28"/>
      <c r="F108" s="28"/>
      <c r="G108" s="90"/>
      <c r="H108" s="89"/>
      <c r="I108" s="90"/>
      <c r="J108" s="89"/>
      <c r="K108" s="28"/>
      <c r="L108" s="28"/>
      <c r="M108" s="28"/>
      <c r="N108" s="28"/>
      <c r="O108" s="28"/>
      <c r="P108" s="28"/>
      <c r="Q108" s="28"/>
      <c r="R108" s="28"/>
      <c r="S108" s="28"/>
      <c r="T108" s="3"/>
    </row>
    <row r="109" spans="1:20" ht="14.25" customHeight="1" x14ac:dyDescent="0.3">
      <c r="A109" s="3"/>
      <c r="B109" s="185"/>
      <c r="C109" s="28"/>
      <c r="D109" s="28"/>
      <c r="E109" s="28"/>
      <c r="F109" s="28"/>
      <c r="G109" s="90"/>
      <c r="H109" s="89"/>
      <c r="I109" s="90"/>
      <c r="J109" s="89"/>
      <c r="K109" s="28"/>
      <c r="L109" s="28"/>
      <c r="M109" s="28"/>
      <c r="N109" s="28"/>
      <c r="O109" s="28"/>
      <c r="P109" s="28"/>
      <c r="Q109" s="28"/>
      <c r="R109" s="28"/>
      <c r="S109" s="28"/>
      <c r="T109" s="3"/>
    </row>
    <row r="110" spans="1:20" ht="14.25" customHeight="1" x14ac:dyDescent="0.3">
      <c r="A110" s="3"/>
      <c r="B110" s="185"/>
      <c r="C110" s="28"/>
      <c r="D110" s="28"/>
      <c r="E110" s="28"/>
      <c r="F110" s="28"/>
      <c r="G110" s="90"/>
      <c r="H110" s="89"/>
      <c r="I110" s="90"/>
      <c r="J110" s="89"/>
      <c r="K110" s="28"/>
      <c r="L110" s="28"/>
      <c r="M110" s="28"/>
      <c r="N110" s="28"/>
      <c r="O110" s="28"/>
      <c r="P110" s="28"/>
      <c r="Q110" s="28"/>
      <c r="R110" s="28"/>
      <c r="S110" s="28"/>
      <c r="T110" s="3"/>
    </row>
    <row r="111" spans="1:20" ht="14.25" customHeight="1" x14ac:dyDescent="0.3">
      <c r="A111" s="3"/>
      <c r="B111" s="185"/>
      <c r="C111" s="28"/>
      <c r="D111" s="28"/>
      <c r="E111" s="28"/>
      <c r="F111" s="28"/>
      <c r="G111" s="90"/>
      <c r="H111" s="89"/>
      <c r="I111" s="90"/>
      <c r="J111" s="89"/>
      <c r="K111" s="28"/>
      <c r="L111" s="28"/>
      <c r="M111" s="28"/>
      <c r="N111" s="28"/>
      <c r="O111" s="28"/>
      <c r="P111" s="28"/>
      <c r="Q111" s="28"/>
      <c r="R111" s="28"/>
      <c r="S111" s="28"/>
      <c r="T111" s="3"/>
    </row>
    <row r="112" spans="1:20" ht="14.25" customHeight="1" x14ac:dyDescent="0.3">
      <c r="A112" s="3"/>
      <c r="B112" s="185"/>
      <c r="C112" s="28"/>
      <c r="D112" s="28"/>
      <c r="E112" s="28"/>
      <c r="F112" s="28"/>
      <c r="G112" s="90"/>
      <c r="H112" s="89"/>
      <c r="I112" s="90"/>
      <c r="J112" s="89"/>
      <c r="K112" s="28"/>
      <c r="L112" s="28"/>
      <c r="M112" s="28"/>
      <c r="N112" s="28"/>
      <c r="O112" s="28"/>
      <c r="P112" s="28"/>
      <c r="Q112" s="28"/>
      <c r="R112" s="28"/>
      <c r="S112" s="28"/>
      <c r="T112" s="3"/>
    </row>
    <row r="113" spans="1:20" ht="14.25" customHeight="1" x14ac:dyDescent="0.3">
      <c r="A113" s="3"/>
      <c r="B113" s="185"/>
      <c r="C113" s="28"/>
      <c r="D113" s="28"/>
      <c r="E113" s="28"/>
      <c r="F113" s="28"/>
      <c r="G113" s="90"/>
      <c r="H113" s="89"/>
      <c r="I113" s="90"/>
      <c r="J113" s="89"/>
      <c r="K113" s="28"/>
      <c r="L113" s="28"/>
      <c r="M113" s="28"/>
      <c r="N113" s="28"/>
      <c r="O113" s="28"/>
      <c r="P113" s="28"/>
      <c r="Q113" s="28"/>
      <c r="R113" s="28"/>
      <c r="S113" s="28"/>
      <c r="T113" s="3"/>
    </row>
    <row r="114" spans="1:20" ht="14.25" customHeight="1" x14ac:dyDescent="0.3">
      <c r="A114" s="3"/>
      <c r="B114" s="185"/>
      <c r="C114" s="28"/>
      <c r="D114" s="28"/>
      <c r="E114" s="28"/>
      <c r="F114" s="28"/>
      <c r="G114" s="90"/>
      <c r="H114" s="89"/>
      <c r="I114" s="90"/>
      <c r="J114" s="89"/>
      <c r="K114" s="28"/>
      <c r="L114" s="28"/>
      <c r="M114" s="28"/>
      <c r="N114" s="28"/>
      <c r="O114" s="28"/>
      <c r="P114" s="28"/>
      <c r="Q114" s="28"/>
      <c r="R114" s="28"/>
      <c r="S114" s="28"/>
      <c r="T114" s="3"/>
    </row>
    <row r="115" spans="1:20" ht="14.25" customHeight="1" x14ac:dyDescent="0.3">
      <c r="A115" s="3"/>
      <c r="B115" s="185"/>
      <c r="C115" s="28"/>
      <c r="D115" s="28"/>
      <c r="E115" s="28"/>
      <c r="F115" s="28"/>
      <c r="G115" s="90"/>
      <c r="H115" s="89"/>
      <c r="I115" s="90"/>
      <c r="J115" s="89"/>
      <c r="K115" s="28"/>
      <c r="L115" s="28"/>
      <c r="M115" s="28"/>
      <c r="N115" s="28"/>
      <c r="O115" s="28"/>
      <c r="P115" s="28"/>
      <c r="Q115" s="28"/>
      <c r="R115" s="28"/>
      <c r="S115" s="28"/>
      <c r="T115" s="3"/>
    </row>
    <row r="116" spans="1:20" ht="14.25" customHeight="1" x14ac:dyDescent="0.3">
      <c r="A116" s="3"/>
      <c r="B116" s="185"/>
      <c r="C116" s="28"/>
      <c r="D116" s="28"/>
      <c r="E116" s="28"/>
      <c r="F116" s="28"/>
      <c r="G116" s="90"/>
      <c r="H116" s="89"/>
      <c r="I116" s="90"/>
      <c r="J116" s="89"/>
      <c r="K116" s="28"/>
      <c r="L116" s="28"/>
      <c r="M116" s="28"/>
      <c r="N116" s="28"/>
      <c r="O116" s="28"/>
      <c r="P116" s="28"/>
      <c r="Q116" s="28"/>
      <c r="R116" s="28"/>
      <c r="S116" s="28"/>
      <c r="T116" s="3"/>
    </row>
    <row r="117" spans="1:20" ht="14.25" customHeight="1" x14ac:dyDescent="0.3">
      <c r="A117" s="3"/>
      <c r="B117" s="185"/>
      <c r="C117" s="28"/>
      <c r="D117" s="28"/>
      <c r="E117" s="28"/>
      <c r="F117" s="28"/>
      <c r="G117" s="90"/>
      <c r="H117" s="89"/>
      <c r="I117" s="90"/>
      <c r="J117" s="89"/>
      <c r="K117" s="28"/>
      <c r="L117" s="28"/>
      <c r="M117" s="28"/>
      <c r="N117" s="28"/>
      <c r="O117" s="28"/>
      <c r="P117" s="28"/>
      <c r="Q117" s="28"/>
      <c r="R117" s="28"/>
      <c r="S117" s="28"/>
      <c r="T117" s="3"/>
    </row>
    <row r="118" spans="1:20" ht="14.25" customHeight="1" x14ac:dyDescent="0.3">
      <c r="A118" s="3"/>
      <c r="B118" s="185"/>
      <c r="C118" s="28"/>
      <c r="D118" s="28"/>
      <c r="E118" s="28"/>
      <c r="F118" s="28"/>
      <c r="G118" s="90"/>
      <c r="H118" s="89"/>
      <c r="I118" s="90"/>
      <c r="J118" s="89"/>
      <c r="K118" s="28"/>
      <c r="L118" s="28"/>
      <c r="M118" s="28"/>
      <c r="N118" s="28"/>
      <c r="O118" s="28"/>
      <c r="P118" s="28"/>
      <c r="Q118" s="28"/>
      <c r="R118" s="28"/>
      <c r="S118" s="28"/>
      <c r="T118" s="3"/>
    </row>
    <row r="119" spans="1:20" ht="14.25" customHeight="1" x14ac:dyDescent="0.3">
      <c r="A119" s="3"/>
      <c r="B119" s="185"/>
      <c r="C119" s="28"/>
      <c r="D119" s="28"/>
      <c r="E119" s="28"/>
      <c r="F119" s="28"/>
      <c r="G119" s="90"/>
      <c r="H119" s="89"/>
      <c r="I119" s="90"/>
      <c r="J119" s="89"/>
      <c r="K119" s="28"/>
      <c r="L119" s="28"/>
      <c r="M119" s="28"/>
      <c r="N119" s="28"/>
      <c r="O119" s="28"/>
      <c r="P119" s="28"/>
      <c r="Q119" s="28"/>
      <c r="R119" s="28"/>
      <c r="S119" s="28"/>
      <c r="T119" s="3"/>
    </row>
    <row r="120" spans="1:20" ht="14.25" customHeight="1" x14ac:dyDescent="0.3">
      <c r="A120" s="3"/>
      <c r="B120" s="185"/>
      <c r="C120" s="28"/>
      <c r="D120" s="28"/>
      <c r="E120" s="28"/>
      <c r="F120" s="28"/>
      <c r="G120" s="90"/>
      <c r="H120" s="89"/>
      <c r="I120" s="90"/>
      <c r="J120" s="89"/>
      <c r="K120" s="28"/>
      <c r="L120" s="28"/>
      <c r="M120" s="28"/>
      <c r="N120" s="28"/>
      <c r="O120" s="28"/>
      <c r="P120" s="28"/>
      <c r="Q120" s="28"/>
      <c r="R120" s="28"/>
      <c r="S120" s="28"/>
      <c r="T120" s="3"/>
    </row>
    <row r="121" spans="1:20" ht="14.25" customHeight="1" x14ac:dyDescent="0.3">
      <c r="A121" s="3"/>
      <c r="B121" s="185"/>
      <c r="C121" s="28"/>
      <c r="D121" s="28"/>
      <c r="E121" s="28"/>
      <c r="F121" s="28"/>
      <c r="G121" s="90"/>
      <c r="H121" s="89"/>
      <c r="I121" s="90"/>
      <c r="J121" s="89"/>
      <c r="K121" s="28"/>
      <c r="L121" s="28"/>
      <c r="M121" s="28"/>
      <c r="N121" s="28"/>
      <c r="O121" s="28"/>
      <c r="P121" s="28"/>
      <c r="Q121" s="28"/>
      <c r="R121" s="28"/>
      <c r="S121" s="28"/>
      <c r="T121" s="3"/>
    </row>
    <row r="122" spans="1:20" ht="14.25" customHeight="1" x14ac:dyDescent="0.3">
      <c r="A122" s="3"/>
      <c r="B122" s="185"/>
      <c r="C122" s="28"/>
      <c r="D122" s="28"/>
      <c r="E122" s="28"/>
      <c r="F122" s="28"/>
      <c r="G122" s="90"/>
      <c r="H122" s="89"/>
      <c r="I122" s="90"/>
      <c r="J122" s="89"/>
      <c r="K122" s="28"/>
      <c r="L122" s="28"/>
      <c r="M122" s="28"/>
      <c r="N122" s="28"/>
      <c r="O122" s="28"/>
      <c r="P122" s="28"/>
      <c r="Q122" s="28"/>
      <c r="R122" s="28"/>
      <c r="S122" s="28"/>
      <c r="T122" s="3"/>
    </row>
    <row r="123" spans="1:20" ht="14.25" customHeight="1" x14ac:dyDescent="0.3">
      <c r="A123" s="3"/>
      <c r="B123" s="185"/>
      <c r="C123" s="28"/>
      <c r="D123" s="28"/>
      <c r="E123" s="28"/>
      <c r="F123" s="28"/>
      <c r="G123" s="90"/>
      <c r="H123" s="89"/>
      <c r="I123" s="90"/>
      <c r="J123" s="89"/>
      <c r="K123" s="28"/>
      <c r="L123" s="28"/>
      <c r="M123" s="28"/>
      <c r="N123" s="28"/>
      <c r="O123" s="28"/>
      <c r="P123" s="28"/>
      <c r="Q123" s="28"/>
      <c r="R123" s="28"/>
      <c r="S123" s="28"/>
      <c r="T123" s="3"/>
    </row>
    <row r="124" spans="1:20" ht="14.25" customHeight="1" x14ac:dyDescent="0.3">
      <c r="A124" s="3"/>
      <c r="B124" s="185"/>
      <c r="C124" s="28"/>
      <c r="D124" s="28"/>
      <c r="E124" s="28"/>
      <c r="F124" s="28"/>
      <c r="G124" s="90"/>
      <c r="H124" s="89"/>
      <c r="I124" s="90"/>
      <c r="J124" s="89"/>
      <c r="K124" s="28"/>
      <c r="L124" s="28"/>
      <c r="M124" s="28"/>
      <c r="N124" s="28"/>
      <c r="O124" s="28"/>
      <c r="P124" s="28"/>
      <c r="Q124" s="28"/>
      <c r="R124" s="28"/>
      <c r="S124" s="28"/>
      <c r="T124" s="3"/>
    </row>
    <row r="125" spans="1:20" ht="14.25" customHeight="1" x14ac:dyDescent="0.3">
      <c r="A125" s="3"/>
      <c r="B125" s="185"/>
      <c r="C125" s="28"/>
      <c r="D125" s="28"/>
      <c r="E125" s="28"/>
      <c r="F125" s="28"/>
      <c r="G125" s="90"/>
      <c r="H125" s="89"/>
      <c r="I125" s="90"/>
      <c r="J125" s="89"/>
      <c r="K125" s="28"/>
      <c r="L125" s="28"/>
      <c r="M125" s="28"/>
      <c r="N125" s="28"/>
      <c r="O125" s="28"/>
      <c r="P125" s="28"/>
      <c r="Q125" s="28"/>
      <c r="R125" s="28"/>
      <c r="S125" s="28"/>
      <c r="T125" s="3"/>
    </row>
    <row r="126" spans="1:20" ht="14.25" customHeight="1" x14ac:dyDescent="0.3">
      <c r="A126" s="3"/>
      <c r="B126" s="185"/>
      <c r="C126" s="28"/>
      <c r="D126" s="28"/>
      <c r="E126" s="28"/>
      <c r="F126" s="28"/>
      <c r="G126" s="90"/>
      <c r="H126" s="89"/>
      <c r="I126" s="90"/>
      <c r="J126" s="89"/>
      <c r="K126" s="28"/>
      <c r="L126" s="28"/>
      <c r="M126" s="28"/>
      <c r="N126" s="28"/>
      <c r="O126" s="28"/>
      <c r="P126" s="28"/>
      <c r="Q126" s="28"/>
      <c r="R126" s="28"/>
      <c r="S126" s="28"/>
      <c r="T126" s="3"/>
    </row>
    <row r="127" spans="1:20" ht="14.25" customHeight="1" x14ac:dyDescent="0.3">
      <c r="A127" s="3"/>
      <c r="B127" s="185"/>
      <c r="C127" s="28"/>
      <c r="D127" s="28"/>
      <c r="E127" s="28"/>
      <c r="F127" s="28"/>
      <c r="G127" s="90"/>
      <c r="H127" s="89"/>
      <c r="I127" s="90"/>
      <c r="J127" s="89"/>
      <c r="K127" s="28"/>
      <c r="L127" s="28"/>
      <c r="M127" s="28"/>
      <c r="N127" s="28"/>
      <c r="O127" s="28"/>
      <c r="P127" s="28"/>
      <c r="Q127" s="28"/>
      <c r="R127" s="28"/>
      <c r="S127" s="28"/>
      <c r="T127" s="3"/>
    </row>
    <row r="128" spans="1:20" ht="14.25" customHeight="1" x14ac:dyDescent="0.3">
      <c r="A128" s="3"/>
      <c r="B128" s="185"/>
      <c r="C128" s="28"/>
      <c r="D128" s="28"/>
      <c r="E128" s="28"/>
      <c r="F128" s="28"/>
      <c r="G128" s="90"/>
      <c r="H128" s="89"/>
      <c r="I128" s="90"/>
      <c r="J128" s="89"/>
      <c r="K128" s="28"/>
      <c r="L128" s="28"/>
      <c r="M128" s="28"/>
      <c r="N128" s="28"/>
      <c r="O128" s="28"/>
      <c r="P128" s="28"/>
      <c r="Q128" s="28"/>
      <c r="R128" s="28"/>
      <c r="S128" s="28"/>
      <c r="T128" s="3"/>
    </row>
    <row r="129" spans="1:20" ht="14.25" customHeight="1" x14ac:dyDescent="0.3">
      <c r="A129" s="3"/>
      <c r="B129" s="185"/>
      <c r="C129" s="28"/>
      <c r="D129" s="28"/>
      <c r="E129" s="28"/>
      <c r="F129" s="28"/>
      <c r="G129" s="90"/>
      <c r="H129" s="89"/>
      <c r="I129" s="90"/>
      <c r="J129" s="89"/>
      <c r="K129" s="28"/>
      <c r="L129" s="28"/>
      <c r="M129" s="28"/>
      <c r="N129" s="28"/>
      <c r="O129" s="28"/>
      <c r="P129" s="28"/>
      <c r="Q129" s="28"/>
      <c r="R129" s="28"/>
      <c r="S129" s="28"/>
      <c r="T129" s="3"/>
    </row>
    <row r="130" spans="1:20" ht="14.25" customHeight="1" x14ac:dyDescent="0.3">
      <c r="A130" s="3"/>
      <c r="B130" s="185"/>
      <c r="C130" s="28"/>
      <c r="D130" s="28"/>
      <c r="E130" s="28"/>
      <c r="F130" s="28"/>
      <c r="G130" s="90"/>
      <c r="H130" s="89"/>
      <c r="I130" s="90"/>
      <c r="J130" s="89"/>
      <c r="K130" s="28"/>
      <c r="L130" s="28"/>
      <c r="M130" s="28"/>
      <c r="N130" s="28"/>
      <c r="O130" s="28"/>
      <c r="P130" s="28"/>
      <c r="Q130" s="28"/>
      <c r="R130" s="28"/>
      <c r="S130" s="28"/>
      <c r="T130" s="3"/>
    </row>
    <row r="131" spans="1:20" ht="14.25" customHeight="1" x14ac:dyDescent="0.3">
      <c r="A131" s="3"/>
      <c r="B131" s="185"/>
      <c r="C131" s="28"/>
      <c r="D131" s="28"/>
      <c r="E131" s="28"/>
      <c r="F131" s="28"/>
      <c r="G131" s="90"/>
      <c r="H131" s="89"/>
      <c r="I131" s="90"/>
      <c r="J131" s="89"/>
      <c r="K131" s="28"/>
      <c r="L131" s="28"/>
      <c r="M131" s="28"/>
      <c r="N131" s="28"/>
      <c r="O131" s="28"/>
      <c r="P131" s="28"/>
      <c r="Q131" s="28"/>
      <c r="R131" s="28"/>
      <c r="S131" s="28"/>
      <c r="T131" s="3"/>
    </row>
    <row r="132" spans="1:20" ht="14.25" customHeight="1" x14ac:dyDescent="0.3">
      <c r="A132" s="3"/>
      <c r="B132" s="185"/>
      <c r="C132" s="28"/>
      <c r="D132" s="28"/>
      <c r="E132" s="28"/>
      <c r="F132" s="28"/>
      <c r="G132" s="90"/>
      <c r="H132" s="89"/>
      <c r="I132" s="90"/>
      <c r="J132" s="89"/>
      <c r="K132" s="28"/>
      <c r="L132" s="28"/>
      <c r="M132" s="28"/>
      <c r="N132" s="28"/>
      <c r="O132" s="28"/>
      <c r="P132" s="28"/>
      <c r="Q132" s="28"/>
      <c r="R132" s="28"/>
      <c r="S132" s="28"/>
      <c r="T132" s="3"/>
    </row>
    <row r="133" spans="1:20" ht="14.25" customHeight="1" x14ac:dyDescent="0.3">
      <c r="A133" s="3"/>
      <c r="B133" s="185"/>
      <c r="C133" s="28"/>
      <c r="D133" s="28"/>
      <c r="E133" s="28"/>
      <c r="F133" s="28"/>
      <c r="G133" s="90"/>
      <c r="H133" s="89"/>
      <c r="I133" s="90"/>
      <c r="J133" s="89"/>
      <c r="K133" s="28"/>
      <c r="L133" s="28"/>
      <c r="M133" s="28"/>
      <c r="N133" s="28"/>
      <c r="O133" s="28"/>
      <c r="P133" s="28"/>
      <c r="Q133" s="28"/>
      <c r="R133" s="28"/>
      <c r="S133" s="28"/>
      <c r="T133" s="3"/>
    </row>
    <row r="134" spans="1:20" ht="14.25" customHeight="1" x14ac:dyDescent="0.3">
      <c r="A134" s="3"/>
      <c r="B134" s="185"/>
      <c r="C134" s="28"/>
      <c r="D134" s="28"/>
      <c r="E134" s="28"/>
      <c r="F134" s="28"/>
      <c r="G134" s="90"/>
      <c r="H134" s="89"/>
      <c r="I134" s="90"/>
      <c r="J134" s="89"/>
      <c r="K134" s="28"/>
      <c r="L134" s="28"/>
      <c r="M134" s="28"/>
      <c r="N134" s="28"/>
      <c r="O134" s="28"/>
      <c r="P134" s="28"/>
      <c r="Q134" s="28"/>
      <c r="R134" s="28"/>
      <c r="S134" s="28"/>
      <c r="T134" s="3"/>
    </row>
    <row r="135" spans="1:20" ht="14.25" customHeight="1" x14ac:dyDescent="0.3">
      <c r="A135" s="3"/>
      <c r="B135" s="185"/>
      <c r="C135" s="28"/>
      <c r="D135" s="28"/>
      <c r="E135" s="28"/>
      <c r="F135" s="28"/>
      <c r="G135" s="90"/>
      <c r="H135" s="89"/>
      <c r="I135" s="90"/>
      <c r="J135" s="89"/>
      <c r="K135" s="28"/>
      <c r="L135" s="28"/>
      <c r="M135" s="28"/>
      <c r="N135" s="28"/>
      <c r="O135" s="28"/>
      <c r="P135" s="28"/>
      <c r="Q135" s="28"/>
      <c r="R135" s="28"/>
      <c r="S135" s="28"/>
      <c r="T135" s="3"/>
    </row>
    <row r="136" spans="1:20" ht="14.25" customHeight="1" x14ac:dyDescent="0.3">
      <c r="A136" s="3"/>
      <c r="B136" s="185"/>
      <c r="C136" s="28"/>
      <c r="D136" s="28"/>
      <c r="E136" s="28"/>
      <c r="F136" s="28"/>
      <c r="G136" s="90"/>
      <c r="H136" s="89"/>
      <c r="I136" s="90"/>
      <c r="J136" s="89"/>
      <c r="K136" s="28"/>
      <c r="L136" s="28"/>
      <c r="M136" s="28"/>
      <c r="N136" s="28"/>
      <c r="O136" s="28"/>
      <c r="P136" s="28"/>
      <c r="Q136" s="28"/>
      <c r="R136" s="28"/>
      <c r="S136" s="28"/>
      <c r="T136" s="3"/>
    </row>
    <row r="137" spans="1:20" ht="14.25" customHeight="1" x14ac:dyDescent="0.3">
      <c r="A137" s="3"/>
      <c r="B137" s="185"/>
      <c r="C137" s="28"/>
      <c r="D137" s="28"/>
      <c r="E137" s="28"/>
      <c r="F137" s="28"/>
      <c r="G137" s="90"/>
      <c r="H137" s="89"/>
      <c r="I137" s="90"/>
      <c r="J137" s="89"/>
      <c r="K137" s="28"/>
      <c r="L137" s="28"/>
      <c r="M137" s="28"/>
      <c r="N137" s="28"/>
      <c r="O137" s="28"/>
      <c r="P137" s="28"/>
      <c r="Q137" s="28"/>
      <c r="R137" s="28"/>
      <c r="S137" s="28"/>
      <c r="T137" s="3"/>
    </row>
    <row r="138" spans="1:20" ht="14.25" customHeight="1" x14ac:dyDescent="0.3">
      <c r="A138" s="3"/>
      <c r="B138" s="185"/>
      <c r="C138" s="28"/>
      <c r="D138" s="28"/>
      <c r="E138" s="28"/>
      <c r="F138" s="28"/>
      <c r="G138" s="90"/>
      <c r="H138" s="89"/>
      <c r="I138" s="90"/>
      <c r="J138" s="89"/>
      <c r="K138" s="28"/>
      <c r="L138" s="28"/>
      <c r="M138" s="28"/>
      <c r="N138" s="28"/>
      <c r="O138" s="28"/>
      <c r="P138" s="28"/>
      <c r="Q138" s="28"/>
      <c r="R138" s="28"/>
      <c r="S138" s="28"/>
      <c r="T138" s="3"/>
    </row>
    <row r="139" spans="1:20" ht="14.25" customHeight="1" x14ac:dyDescent="0.3">
      <c r="A139" s="3"/>
      <c r="B139" s="185"/>
      <c r="C139" s="28"/>
      <c r="D139" s="28"/>
      <c r="E139" s="28"/>
      <c r="F139" s="28"/>
      <c r="G139" s="90"/>
      <c r="H139" s="89"/>
      <c r="I139" s="90"/>
      <c r="J139" s="89"/>
      <c r="K139" s="28"/>
      <c r="L139" s="28"/>
      <c r="M139" s="28"/>
      <c r="N139" s="28"/>
      <c r="O139" s="28"/>
      <c r="P139" s="28"/>
      <c r="Q139" s="28"/>
      <c r="R139" s="28"/>
      <c r="S139" s="28"/>
      <c r="T139" s="3"/>
    </row>
    <row r="140" spans="1:20" ht="14.25" customHeight="1" x14ac:dyDescent="0.3">
      <c r="A140" s="3"/>
      <c r="B140" s="185"/>
      <c r="C140" s="28"/>
      <c r="D140" s="28"/>
      <c r="E140" s="28"/>
      <c r="F140" s="28"/>
      <c r="G140" s="90"/>
      <c r="H140" s="89"/>
      <c r="I140" s="90"/>
      <c r="J140" s="89"/>
      <c r="K140" s="28"/>
      <c r="L140" s="28"/>
      <c r="M140" s="28"/>
      <c r="N140" s="28"/>
      <c r="O140" s="28"/>
      <c r="P140" s="28"/>
      <c r="Q140" s="28"/>
      <c r="R140" s="28"/>
      <c r="S140" s="28"/>
      <c r="T140" s="3"/>
    </row>
    <row r="141" spans="1:20" ht="14.25" customHeight="1" x14ac:dyDescent="0.3">
      <c r="A141" s="3"/>
      <c r="B141" s="185"/>
      <c r="C141" s="28"/>
      <c r="D141" s="28"/>
      <c r="E141" s="28"/>
      <c r="F141" s="28"/>
      <c r="G141" s="90"/>
      <c r="H141" s="89"/>
      <c r="I141" s="90"/>
      <c r="J141" s="89"/>
      <c r="K141" s="28"/>
      <c r="L141" s="28"/>
      <c r="M141" s="28"/>
      <c r="N141" s="28"/>
      <c r="O141" s="28"/>
      <c r="P141" s="28"/>
      <c r="Q141" s="28"/>
      <c r="R141" s="28"/>
      <c r="S141" s="28"/>
      <c r="T141" s="3"/>
    </row>
    <row r="142" spans="1:20" ht="14.25" customHeight="1" x14ac:dyDescent="0.3">
      <c r="A142" s="3"/>
      <c r="B142" s="185"/>
      <c r="C142" s="28"/>
      <c r="D142" s="28"/>
      <c r="E142" s="28"/>
      <c r="F142" s="28"/>
      <c r="G142" s="90"/>
      <c r="H142" s="89"/>
      <c r="I142" s="90"/>
      <c r="J142" s="89"/>
      <c r="K142" s="28"/>
      <c r="L142" s="28"/>
      <c r="M142" s="28"/>
      <c r="N142" s="28"/>
      <c r="O142" s="28"/>
      <c r="P142" s="28"/>
      <c r="Q142" s="28"/>
      <c r="R142" s="28"/>
      <c r="S142" s="28"/>
      <c r="T142" s="3"/>
    </row>
    <row r="143" spans="1:20" ht="14.25" customHeight="1" x14ac:dyDescent="0.3">
      <c r="A143" s="3"/>
      <c r="B143" s="185"/>
      <c r="C143" s="28"/>
      <c r="D143" s="28"/>
      <c r="E143" s="28"/>
      <c r="F143" s="28"/>
      <c r="G143" s="90"/>
      <c r="H143" s="89"/>
      <c r="I143" s="90"/>
      <c r="J143" s="89"/>
      <c r="K143" s="28"/>
      <c r="L143" s="28"/>
      <c r="M143" s="28"/>
      <c r="N143" s="28"/>
      <c r="O143" s="28"/>
      <c r="P143" s="28"/>
      <c r="Q143" s="28"/>
      <c r="R143" s="28"/>
      <c r="S143" s="28"/>
      <c r="T143" s="3"/>
    </row>
    <row r="144" spans="1:20" ht="14.25" customHeight="1" x14ac:dyDescent="0.3">
      <c r="A144" s="3"/>
      <c r="B144" s="185"/>
      <c r="C144" s="28"/>
      <c r="D144" s="28"/>
      <c r="E144" s="28"/>
      <c r="F144" s="28"/>
      <c r="G144" s="90"/>
      <c r="H144" s="89"/>
      <c r="I144" s="90"/>
      <c r="J144" s="89"/>
      <c r="K144" s="28"/>
      <c r="L144" s="28"/>
      <c r="M144" s="28"/>
      <c r="N144" s="28"/>
      <c r="O144" s="28"/>
      <c r="P144" s="28"/>
      <c r="Q144" s="28"/>
      <c r="R144" s="28"/>
      <c r="S144" s="28"/>
      <c r="T144" s="3"/>
    </row>
    <row r="145" spans="1:20" ht="14.25" customHeight="1" x14ac:dyDescent="0.3">
      <c r="A145" s="3"/>
      <c r="B145" s="185"/>
      <c r="C145" s="28"/>
      <c r="D145" s="28"/>
      <c r="E145" s="28"/>
      <c r="F145" s="28"/>
      <c r="G145" s="90"/>
      <c r="H145" s="89"/>
      <c r="I145" s="90"/>
      <c r="J145" s="89"/>
      <c r="K145" s="28"/>
      <c r="L145" s="28"/>
      <c r="M145" s="28"/>
      <c r="N145" s="28"/>
      <c r="O145" s="28"/>
      <c r="P145" s="28"/>
      <c r="Q145" s="28"/>
      <c r="R145" s="28"/>
      <c r="S145" s="28"/>
      <c r="T145" s="3"/>
    </row>
    <row r="146" spans="1:20" ht="14.25" customHeight="1" x14ac:dyDescent="0.3">
      <c r="A146" s="3"/>
      <c r="B146" s="185"/>
      <c r="C146" s="28"/>
      <c r="D146" s="28"/>
      <c r="E146" s="28"/>
      <c r="F146" s="28"/>
      <c r="G146" s="90"/>
      <c r="H146" s="89"/>
      <c r="I146" s="90"/>
      <c r="J146" s="89"/>
      <c r="K146" s="28"/>
      <c r="L146" s="28"/>
      <c r="M146" s="28"/>
      <c r="N146" s="28"/>
      <c r="O146" s="28"/>
      <c r="P146" s="28"/>
      <c r="Q146" s="28"/>
      <c r="R146" s="28"/>
      <c r="S146" s="28"/>
      <c r="T146" s="3"/>
    </row>
    <row r="147" spans="1:20" ht="14.25" customHeight="1" x14ac:dyDescent="0.3">
      <c r="A147" s="3"/>
      <c r="B147" s="185"/>
      <c r="C147" s="28"/>
      <c r="D147" s="28"/>
      <c r="E147" s="28"/>
      <c r="F147" s="28"/>
      <c r="G147" s="90"/>
      <c r="H147" s="89"/>
      <c r="I147" s="90"/>
      <c r="J147" s="89"/>
      <c r="K147" s="28"/>
      <c r="L147" s="28"/>
      <c r="M147" s="28"/>
      <c r="N147" s="28"/>
      <c r="O147" s="28"/>
      <c r="P147" s="28"/>
      <c r="Q147" s="28"/>
      <c r="R147" s="28"/>
      <c r="S147" s="28"/>
      <c r="T147" s="3"/>
    </row>
    <row r="148" spans="1:20" ht="14.25" customHeight="1" x14ac:dyDescent="0.3">
      <c r="A148" s="3"/>
      <c r="B148" s="185"/>
      <c r="C148" s="28"/>
      <c r="D148" s="28"/>
      <c r="E148" s="28"/>
      <c r="F148" s="28"/>
      <c r="G148" s="90"/>
      <c r="H148" s="89"/>
      <c r="I148" s="90"/>
      <c r="J148" s="89"/>
      <c r="K148" s="28"/>
      <c r="L148" s="28"/>
      <c r="M148" s="28"/>
      <c r="N148" s="28"/>
      <c r="O148" s="28"/>
      <c r="P148" s="28"/>
      <c r="Q148" s="28"/>
      <c r="R148" s="28"/>
      <c r="S148" s="28"/>
      <c r="T148" s="3"/>
    </row>
    <row r="149" spans="1:20" ht="14.25" customHeight="1" x14ac:dyDescent="0.3">
      <c r="A149" s="3"/>
      <c r="B149" s="185"/>
      <c r="C149" s="28"/>
      <c r="D149" s="28"/>
      <c r="E149" s="28"/>
      <c r="F149" s="28"/>
      <c r="G149" s="90"/>
      <c r="H149" s="89"/>
      <c r="I149" s="90"/>
      <c r="J149" s="89"/>
      <c r="K149" s="28"/>
      <c r="L149" s="28"/>
      <c r="M149" s="28"/>
      <c r="N149" s="28"/>
      <c r="O149" s="28"/>
      <c r="P149" s="28"/>
      <c r="Q149" s="28"/>
      <c r="R149" s="28"/>
      <c r="S149" s="28"/>
      <c r="T149" s="3"/>
    </row>
    <row r="150" spans="1:20" ht="14.25" customHeight="1" x14ac:dyDescent="0.3">
      <c r="A150" s="3"/>
      <c r="B150" s="185"/>
      <c r="C150" s="28"/>
      <c r="D150" s="28"/>
      <c r="E150" s="28"/>
      <c r="F150" s="28"/>
      <c r="G150" s="90"/>
      <c r="H150" s="89"/>
      <c r="I150" s="90"/>
      <c r="J150" s="89"/>
      <c r="K150" s="28"/>
      <c r="L150" s="28"/>
      <c r="M150" s="28"/>
      <c r="N150" s="28"/>
      <c r="O150" s="28"/>
      <c r="P150" s="28"/>
      <c r="Q150" s="28"/>
      <c r="R150" s="28"/>
      <c r="S150" s="28"/>
      <c r="T150" s="3"/>
    </row>
    <row r="151" spans="1:20" ht="14.25" customHeight="1" x14ac:dyDescent="0.3">
      <c r="A151" s="3"/>
      <c r="B151" s="185"/>
      <c r="C151" s="28"/>
      <c r="D151" s="28"/>
      <c r="E151" s="28"/>
      <c r="F151" s="28"/>
      <c r="G151" s="90"/>
      <c r="H151" s="89"/>
      <c r="I151" s="90"/>
      <c r="J151" s="89"/>
      <c r="K151" s="28"/>
      <c r="L151" s="28"/>
      <c r="M151" s="28"/>
      <c r="N151" s="28"/>
      <c r="O151" s="28"/>
      <c r="P151" s="28"/>
      <c r="Q151" s="28"/>
      <c r="R151" s="28"/>
      <c r="S151" s="28"/>
      <c r="T151" s="3"/>
    </row>
    <row r="152" spans="1:20" ht="14.25" customHeight="1" x14ac:dyDescent="0.3">
      <c r="A152" s="3"/>
      <c r="B152" s="185"/>
      <c r="C152" s="28"/>
      <c r="D152" s="28"/>
      <c r="E152" s="28"/>
      <c r="F152" s="28"/>
      <c r="G152" s="90"/>
      <c r="H152" s="89"/>
      <c r="I152" s="90"/>
      <c r="J152" s="89"/>
      <c r="K152" s="28"/>
      <c r="L152" s="28"/>
      <c r="M152" s="28"/>
      <c r="N152" s="28"/>
      <c r="O152" s="28"/>
      <c r="P152" s="28"/>
      <c r="Q152" s="28"/>
      <c r="R152" s="28"/>
      <c r="S152" s="28"/>
      <c r="T152" s="3"/>
    </row>
    <row r="153" spans="1:20" ht="14.25" customHeight="1" x14ac:dyDescent="0.3">
      <c r="A153" s="3"/>
      <c r="B153" s="185"/>
      <c r="C153" s="28"/>
      <c r="D153" s="28"/>
      <c r="E153" s="28"/>
      <c r="F153" s="28"/>
      <c r="G153" s="90"/>
      <c r="H153" s="89"/>
      <c r="I153" s="90"/>
      <c r="J153" s="89"/>
      <c r="K153" s="28"/>
      <c r="L153" s="28"/>
      <c r="M153" s="28"/>
      <c r="N153" s="28"/>
      <c r="O153" s="28"/>
      <c r="P153" s="28"/>
      <c r="Q153" s="28"/>
      <c r="R153" s="28"/>
      <c r="S153" s="28"/>
      <c r="T153" s="3"/>
    </row>
    <row r="154" spans="1:20" ht="14.25" customHeight="1" x14ac:dyDescent="0.3">
      <c r="A154" s="3"/>
      <c r="B154" s="185"/>
      <c r="C154" s="28"/>
      <c r="D154" s="28"/>
      <c r="E154" s="28"/>
      <c r="F154" s="28"/>
      <c r="G154" s="90"/>
      <c r="H154" s="89"/>
      <c r="I154" s="90"/>
      <c r="J154" s="89"/>
      <c r="K154" s="28"/>
      <c r="L154" s="28"/>
      <c r="M154" s="28"/>
      <c r="N154" s="28"/>
      <c r="O154" s="28"/>
      <c r="P154" s="28"/>
      <c r="Q154" s="28"/>
      <c r="R154" s="28"/>
      <c r="S154" s="28"/>
      <c r="T154" s="3"/>
    </row>
    <row r="155" spans="1:20" ht="14.25" customHeight="1" x14ac:dyDescent="0.3">
      <c r="A155" s="3"/>
      <c r="B155" s="185"/>
      <c r="C155" s="28"/>
      <c r="D155" s="28"/>
      <c r="E155" s="28"/>
      <c r="F155" s="28"/>
      <c r="G155" s="90"/>
      <c r="H155" s="89"/>
      <c r="I155" s="90"/>
      <c r="J155" s="89"/>
      <c r="K155" s="28"/>
      <c r="L155" s="28"/>
      <c r="M155" s="28"/>
      <c r="N155" s="28"/>
      <c r="O155" s="28"/>
      <c r="P155" s="28"/>
      <c r="Q155" s="28"/>
      <c r="R155" s="28"/>
      <c r="S155" s="28"/>
      <c r="T155" s="3"/>
    </row>
    <row r="156" spans="1:20" ht="14.25" customHeight="1" x14ac:dyDescent="0.3">
      <c r="A156" s="3"/>
      <c r="B156" s="185"/>
      <c r="C156" s="28"/>
      <c r="D156" s="28"/>
      <c r="E156" s="28"/>
      <c r="F156" s="28"/>
      <c r="G156" s="90"/>
      <c r="H156" s="89"/>
      <c r="I156" s="90"/>
      <c r="J156" s="89"/>
      <c r="K156" s="28"/>
      <c r="L156" s="28"/>
      <c r="M156" s="28"/>
      <c r="N156" s="28"/>
      <c r="O156" s="28"/>
      <c r="P156" s="28"/>
      <c r="Q156" s="28"/>
      <c r="R156" s="28"/>
      <c r="S156" s="28"/>
      <c r="T156" s="3"/>
    </row>
    <row r="157" spans="1:20" ht="14.25" customHeight="1" x14ac:dyDescent="0.3">
      <c r="A157" s="3"/>
      <c r="B157" s="185"/>
      <c r="C157" s="28"/>
      <c r="D157" s="28"/>
      <c r="E157" s="28"/>
      <c r="F157" s="28"/>
      <c r="G157" s="90"/>
      <c r="H157" s="89"/>
      <c r="I157" s="90"/>
      <c r="J157" s="89"/>
      <c r="K157" s="28"/>
      <c r="L157" s="28"/>
      <c r="M157" s="28"/>
      <c r="N157" s="28"/>
      <c r="O157" s="28"/>
      <c r="P157" s="28"/>
      <c r="Q157" s="28"/>
      <c r="R157" s="28"/>
      <c r="S157" s="28"/>
      <c r="T157" s="3"/>
    </row>
    <row r="158" spans="1:20" ht="14.25" customHeight="1" x14ac:dyDescent="0.3">
      <c r="A158" s="3"/>
      <c r="B158" s="185"/>
      <c r="C158" s="28"/>
      <c r="D158" s="28"/>
      <c r="E158" s="28"/>
      <c r="F158" s="28"/>
      <c r="G158" s="90"/>
      <c r="H158" s="89"/>
      <c r="I158" s="90"/>
      <c r="J158" s="89"/>
      <c r="K158" s="28"/>
      <c r="L158" s="28"/>
      <c r="M158" s="28"/>
      <c r="N158" s="28"/>
      <c r="O158" s="28"/>
      <c r="P158" s="28"/>
      <c r="Q158" s="28"/>
      <c r="R158" s="28"/>
      <c r="S158" s="28"/>
      <c r="T158" s="3"/>
    </row>
    <row r="159" spans="1:20" ht="14.25" customHeight="1" x14ac:dyDescent="0.3">
      <c r="A159" s="3"/>
      <c r="B159" s="185"/>
      <c r="C159" s="28"/>
      <c r="D159" s="28"/>
      <c r="E159" s="28"/>
      <c r="F159" s="28"/>
      <c r="G159" s="90"/>
      <c r="H159" s="89"/>
      <c r="I159" s="90"/>
      <c r="J159" s="89"/>
      <c r="K159" s="28"/>
      <c r="L159" s="28"/>
      <c r="M159" s="28"/>
      <c r="N159" s="28"/>
      <c r="O159" s="28"/>
      <c r="P159" s="28"/>
      <c r="Q159" s="28"/>
      <c r="R159" s="28"/>
      <c r="S159" s="28"/>
      <c r="T159" s="3"/>
    </row>
    <row r="160" spans="1:20" ht="14.25" customHeight="1" x14ac:dyDescent="0.3">
      <c r="A160" s="3"/>
      <c r="B160" s="185"/>
      <c r="C160" s="28"/>
      <c r="D160" s="28"/>
      <c r="E160" s="28"/>
      <c r="F160" s="28"/>
      <c r="G160" s="90"/>
      <c r="H160" s="89"/>
      <c r="I160" s="90"/>
      <c r="J160" s="89"/>
      <c r="K160" s="28"/>
      <c r="L160" s="28"/>
      <c r="M160" s="28"/>
      <c r="N160" s="28"/>
      <c r="O160" s="28"/>
      <c r="P160" s="28"/>
      <c r="Q160" s="28"/>
      <c r="R160" s="28"/>
      <c r="S160" s="28"/>
      <c r="T160" s="3"/>
    </row>
    <row r="161" spans="1:20" ht="14.25" customHeight="1" x14ac:dyDescent="0.3">
      <c r="A161" s="3"/>
      <c r="B161" s="185"/>
      <c r="C161" s="28"/>
      <c r="D161" s="28"/>
      <c r="E161" s="28"/>
      <c r="F161" s="28"/>
      <c r="G161" s="90"/>
      <c r="H161" s="89"/>
      <c r="I161" s="90"/>
      <c r="J161" s="89"/>
      <c r="K161" s="28"/>
      <c r="L161" s="28"/>
      <c r="M161" s="28"/>
      <c r="N161" s="28"/>
      <c r="O161" s="28"/>
      <c r="P161" s="28"/>
      <c r="Q161" s="28"/>
      <c r="R161" s="28"/>
      <c r="S161" s="28"/>
      <c r="T161" s="3"/>
    </row>
    <row r="162" spans="1:20" ht="14.25" customHeight="1" x14ac:dyDescent="0.3">
      <c r="A162" s="3"/>
      <c r="B162" s="185"/>
      <c r="C162" s="28"/>
      <c r="D162" s="28"/>
      <c r="E162" s="28"/>
      <c r="F162" s="28"/>
      <c r="G162" s="90"/>
      <c r="H162" s="89"/>
      <c r="I162" s="90"/>
      <c r="J162" s="89"/>
      <c r="K162" s="28"/>
      <c r="L162" s="28"/>
      <c r="M162" s="28"/>
      <c r="N162" s="28"/>
      <c r="O162" s="28"/>
      <c r="P162" s="28"/>
      <c r="Q162" s="28"/>
      <c r="R162" s="28"/>
      <c r="S162" s="28"/>
      <c r="T162" s="3"/>
    </row>
    <row r="163" spans="1:20" ht="14.25" customHeight="1" x14ac:dyDescent="0.3">
      <c r="A163" s="3"/>
      <c r="B163" s="185"/>
      <c r="C163" s="28"/>
      <c r="D163" s="28"/>
      <c r="E163" s="28"/>
      <c r="F163" s="28"/>
      <c r="G163" s="90"/>
      <c r="H163" s="89"/>
      <c r="I163" s="90"/>
      <c r="J163" s="89"/>
      <c r="K163" s="28"/>
      <c r="L163" s="28"/>
      <c r="M163" s="28"/>
      <c r="N163" s="28"/>
      <c r="O163" s="28"/>
      <c r="P163" s="28"/>
      <c r="Q163" s="28"/>
      <c r="R163" s="28"/>
      <c r="S163" s="28"/>
      <c r="T163" s="3"/>
    </row>
    <row r="164" spans="1:20" ht="14.25" customHeight="1" x14ac:dyDescent="0.3">
      <c r="A164" s="3"/>
      <c r="B164" s="185"/>
      <c r="C164" s="28"/>
      <c r="D164" s="28"/>
      <c r="E164" s="28"/>
      <c r="F164" s="28"/>
      <c r="G164" s="90"/>
      <c r="H164" s="89"/>
      <c r="I164" s="90"/>
      <c r="J164" s="89"/>
      <c r="K164" s="28"/>
      <c r="L164" s="28"/>
      <c r="M164" s="28"/>
      <c r="N164" s="28"/>
      <c r="O164" s="28"/>
      <c r="P164" s="28"/>
      <c r="Q164" s="28"/>
      <c r="R164" s="28"/>
      <c r="S164" s="28"/>
      <c r="T164" s="3"/>
    </row>
    <row r="165" spans="1:20" ht="14.25" customHeight="1" x14ac:dyDescent="0.3">
      <c r="A165" s="3"/>
      <c r="B165" s="185"/>
      <c r="C165" s="28"/>
      <c r="D165" s="28"/>
      <c r="E165" s="28"/>
      <c r="F165" s="28"/>
      <c r="G165" s="90"/>
      <c r="H165" s="89"/>
      <c r="I165" s="90"/>
      <c r="J165" s="89"/>
      <c r="K165" s="28"/>
      <c r="L165" s="28"/>
      <c r="M165" s="28"/>
      <c r="N165" s="28"/>
      <c r="O165" s="28"/>
      <c r="P165" s="28"/>
      <c r="Q165" s="28"/>
      <c r="R165" s="28"/>
      <c r="S165" s="28"/>
      <c r="T165" s="3"/>
    </row>
    <row r="166" spans="1:20" ht="14.25" customHeight="1" x14ac:dyDescent="0.3">
      <c r="A166" s="3"/>
      <c r="B166" s="185"/>
      <c r="C166" s="28"/>
      <c r="D166" s="28"/>
      <c r="E166" s="28"/>
      <c r="F166" s="28"/>
      <c r="G166" s="90"/>
      <c r="H166" s="89"/>
      <c r="I166" s="90"/>
      <c r="J166" s="89"/>
      <c r="K166" s="28"/>
      <c r="L166" s="28"/>
      <c r="M166" s="28"/>
      <c r="N166" s="28"/>
      <c r="O166" s="28"/>
      <c r="P166" s="28"/>
      <c r="Q166" s="28"/>
      <c r="R166" s="28"/>
      <c r="S166" s="28"/>
      <c r="T166" s="3"/>
    </row>
    <row r="167" spans="1:20" ht="14.25" customHeight="1" x14ac:dyDescent="0.3">
      <c r="A167" s="3"/>
      <c r="B167" s="185"/>
      <c r="C167" s="28"/>
      <c r="D167" s="28"/>
      <c r="E167" s="28"/>
      <c r="F167" s="28"/>
      <c r="G167" s="90"/>
      <c r="H167" s="89"/>
      <c r="I167" s="90"/>
      <c r="J167" s="89"/>
      <c r="K167" s="28"/>
      <c r="L167" s="28"/>
      <c r="M167" s="28"/>
      <c r="N167" s="28"/>
      <c r="O167" s="28"/>
      <c r="P167" s="28"/>
      <c r="Q167" s="28"/>
      <c r="R167" s="28"/>
      <c r="S167" s="28"/>
      <c r="T167" s="3"/>
    </row>
    <row r="168" spans="1:20" ht="14.25" customHeight="1" x14ac:dyDescent="0.3">
      <c r="A168" s="3"/>
      <c r="B168" s="185"/>
      <c r="C168" s="28"/>
      <c r="D168" s="28"/>
      <c r="E168" s="28"/>
      <c r="F168" s="28"/>
      <c r="G168" s="90"/>
      <c r="H168" s="89"/>
      <c r="I168" s="90"/>
      <c r="J168" s="89"/>
      <c r="K168" s="28"/>
      <c r="L168" s="28"/>
      <c r="M168" s="28"/>
      <c r="N168" s="28"/>
      <c r="O168" s="28"/>
      <c r="P168" s="28"/>
      <c r="Q168" s="28"/>
      <c r="R168" s="28"/>
      <c r="S168" s="28"/>
      <c r="T168" s="3"/>
    </row>
    <row r="169" spans="1:20" ht="14.25" customHeight="1" x14ac:dyDescent="0.3">
      <c r="A169" s="3"/>
      <c r="B169" s="185"/>
      <c r="C169" s="28"/>
      <c r="D169" s="28"/>
      <c r="E169" s="28"/>
      <c r="F169" s="28"/>
      <c r="G169" s="90"/>
      <c r="H169" s="89"/>
      <c r="I169" s="90"/>
      <c r="J169" s="89"/>
      <c r="K169" s="28"/>
      <c r="L169" s="28"/>
      <c r="M169" s="28"/>
      <c r="N169" s="28"/>
      <c r="O169" s="28"/>
      <c r="P169" s="28"/>
      <c r="Q169" s="28"/>
      <c r="R169" s="28"/>
      <c r="S169" s="28"/>
      <c r="T169" s="3"/>
    </row>
    <row r="170" spans="1:20" ht="14.25" customHeight="1" x14ac:dyDescent="0.3">
      <c r="A170" s="3"/>
      <c r="B170" s="185"/>
      <c r="C170" s="28"/>
      <c r="D170" s="28"/>
      <c r="E170" s="28"/>
      <c r="F170" s="28"/>
      <c r="G170" s="90"/>
      <c r="H170" s="89"/>
      <c r="I170" s="90"/>
      <c r="J170" s="89"/>
      <c r="K170" s="28"/>
      <c r="L170" s="28"/>
      <c r="M170" s="28"/>
      <c r="N170" s="28"/>
      <c r="O170" s="28"/>
      <c r="P170" s="28"/>
      <c r="Q170" s="28"/>
      <c r="R170" s="28"/>
      <c r="S170" s="28"/>
      <c r="T170" s="3"/>
    </row>
    <row r="171" spans="1:20" ht="14.25" customHeight="1" x14ac:dyDescent="0.3">
      <c r="A171" s="3"/>
      <c r="B171" s="185"/>
      <c r="C171" s="28"/>
      <c r="D171" s="28"/>
      <c r="E171" s="28"/>
      <c r="F171" s="28"/>
      <c r="G171" s="90"/>
      <c r="H171" s="89"/>
      <c r="I171" s="90"/>
      <c r="J171" s="89"/>
      <c r="K171" s="28"/>
      <c r="L171" s="28"/>
      <c r="M171" s="28"/>
      <c r="N171" s="28"/>
      <c r="O171" s="28"/>
      <c r="P171" s="28"/>
      <c r="Q171" s="28"/>
      <c r="R171" s="28"/>
      <c r="S171" s="28"/>
      <c r="T171" s="3"/>
    </row>
    <row r="172" spans="1:20" ht="14.25" customHeight="1" x14ac:dyDescent="0.3">
      <c r="A172" s="3"/>
      <c r="B172" s="185"/>
      <c r="C172" s="28"/>
      <c r="D172" s="28"/>
      <c r="E172" s="28"/>
      <c r="F172" s="28"/>
      <c r="G172" s="90"/>
      <c r="H172" s="89"/>
      <c r="I172" s="90"/>
      <c r="J172" s="89"/>
      <c r="K172" s="28"/>
      <c r="L172" s="28"/>
      <c r="M172" s="28"/>
      <c r="N172" s="28"/>
      <c r="O172" s="28"/>
      <c r="P172" s="28"/>
      <c r="Q172" s="28"/>
      <c r="R172" s="28"/>
      <c r="S172" s="28"/>
      <c r="T172" s="3"/>
    </row>
    <row r="173" spans="1:20" ht="14.25" customHeight="1" x14ac:dyDescent="0.3">
      <c r="A173" s="3"/>
      <c r="B173" s="185"/>
      <c r="C173" s="28"/>
      <c r="D173" s="28"/>
      <c r="E173" s="28"/>
      <c r="F173" s="28"/>
      <c r="G173" s="90"/>
      <c r="H173" s="89"/>
      <c r="I173" s="90"/>
      <c r="J173" s="89"/>
      <c r="K173" s="28"/>
      <c r="L173" s="28"/>
      <c r="M173" s="28"/>
      <c r="N173" s="28"/>
      <c r="O173" s="28"/>
      <c r="P173" s="28"/>
      <c r="Q173" s="28"/>
      <c r="R173" s="28"/>
      <c r="S173" s="28"/>
      <c r="T173" s="3"/>
    </row>
    <row r="174" spans="1:20" ht="14.25" customHeight="1" x14ac:dyDescent="0.3">
      <c r="A174" s="3"/>
      <c r="B174" s="185"/>
      <c r="C174" s="28"/>
      <c r="D174" s="28"/>
      <c r="E174" s="28"/>
      <c r="F174" s="28"/>
      <c r="G174" s="90"/>
      <c r="H174" s="89"/>
      <c r="I174" s="90"/>
      <c r="J174" s="89"/>
      <c r="K174" s="28"/>
      <c r="L174" s="28"/>
      <c r="M174" s="28"/>
      <c r="N174" s="28"/>
      <c r="O174" s="28"/>
      <c r="P174" s="28"/>
      <c r="Q174" s="28"/>
      <c r="R174" s="28"/>
      <c r="S174" s="28"/>
      <c r="T174" s="3"/>
    </row>
    <row r="175" spans="1:20" ht="14.25" customHeight="1" x14ac:dyDescent="0.3">
      <c r="A175" s="3"/>
      <c r="B175" s="185"/>
      <c r="C175" s="28"/>
      <c r="D175" s="28"/>
      <c r="E175" s="28"/>
      <c r="F175" s="28"/>
      <c r="G175" s="90"/>
      <c r="H175" s="89"/>
      <c r="I175" s="90"/>
      <c r="J175" s="89"/>
      <c r="K175" s="28"/>
      <c r="L175" s="28"/>
      <c r="M175" s="28"/>
      <c r="N175" s="28"/>
      <c r="O175" s="28"/>
      <c r="P175" s="28"/>
      <c r="Q175" s="28"/>
      <c r="R175" s="28"/>
      <c r="S175" s="28"/>
      <c r="T175" s="3"/>
    </row>
    <row r="176" spans="1:20" ht="14.25" customHeight="1" x14ac:dyDescent="0.3">
      <c r="A176" s="3"/>
      <c r="B176" s="185"/>
      <c r="C176" s="28"/>
      <c r="D176" s="28"/>
      <c r="E176" s="28"/>
      <c r="F176" s="28"/>
      <c r="G176" s="90"/>
      <c r="H176" s="89"/>
      <c r="I176" s="90"/>
      <c r="J176" s="89"/>
      <c r="K176" s="28"/>
      <c r="L176" s="28"/>
      <c r="M176" s="28"/>
      <c r="N176" s="28"/>
      <c r="O176" s="28"/>
      <c r="P176" s="28"/>
      <c r="Q176" s="28"/>
      <c r="R176" s="28"/>
      <c r="S176" s="28"/>
      <c r="T176" s="3"/>
    </row>
    <row r="177" spans="1:20" ht="14.25" customHeight="1" x14ac:dyDescent="0.3">
      <c r="A177" s="3"/>
      <c r="B177" s="185"/>
      <c r="C177" s="28"/>
      <c r="D177" s="28"/>
      <c r="E177" s="28"/>
      <c r="F177" s="28"/>
      <c r="G177" s="90"/>
      <c r="H177" s="89"/>
      <c r="I177" s="90"/>
      <c r="J177" s="89"/>
      <c r="K177" s="28"/>
      <c r="L177" s="28"/>
      <c r="M177" s="28"/>
      <c r="N177" s="28"/>
      <c r="O177" s="28"/>
      <c r="P177" s="28"/>
      <c r="Q177" s="28"/>
      <c r="R177" s="28"/>
      <c r="S177" s="28"/>
      <c r="T177" s="3"/>
    </row>
    <row r="178" spans="1:20" ht="14.25" customHeight="1" x14ac:dyDescent="0.3">
      <c r="A178" s="3"/>
      <c r="B178" s="185"/>
      <c r="C178" s="28"/>
      <c r="D178" s="28"/>
      <c r="E178" s="28"/>
      <c r="F178" s="28"/>
      <c r="G178" s="90"/>
      <c r="H178" s="89"/>
      <c r="I178" s="90"/>
      <c r="J178" s="89"/>
      <c r="K178" s="28"/>
      <c r="L178" s="28"/>
      <c r="M178" s="28"/>
      <c r="N178" s="28"/>
      <c r="O178" s="28"/>
      <c r="P178" s="28"/>
      <c r="Q178" s="28"/>
      <c r="R178" s="28"/>
      <c r="S178" s="28"/>
      <c r="T178" s="3"/>
    </row>
    <row r="179" spans="1:20" ht="14.25" customHeight="1" x14ac:dyDescent="0.3">
      <c r="A179" s="3"/>
      <c r="B179" s="185"/>
      <c r="C179" s="28"/>
      <c r="D179" s="28"/>
      <c r="E179" s="28"/>
      <c r="F179" s="28"/>
      <c r="G179" s="90"/>
      <c r="H179" s="89"/>
      <c r="I179" s="90"/>
      <c r="J179" s="89"/>
      <c r="K179" s="28"/>
      <c r="L179" s="28"/>
      <c r="M179" s="28"/>
      <c r="N179" s="28"/>
      <c r="O179" s="28"/>
      <c r="P179" s="28"/>
      <c r="Q179" s="28"/>
      <c r="R179" s="28"/>
      <c r="S179" s="28"/>
      <c r="T179" s="3"/>
    </row>
    <row r="180" spans="1:20" ht="14.25" customHeight="1" x14ac:dyDescent="0.3">
      <c r="A180" s="3"/>
      <c r="B180" s="185"/>
      <c r="C180" s="28"/>
      <c r="D180" s="28"/>
      <c r="E180" s="28"/>
      <c r="F180" s="28"/>
      <c r="G180" s="90"/>
      <c r="H180" s="89"/>
      <c r="I180" s="90"/>
      <c r="J180" s="89"/>
      <c r="K180" s="28"/>
      <c r="L180" s="28"/>
      <c r="M180" s="28"/>
      <c r="N180" s="28"/>
      <c r="O180" s="28"/>
      <c r="P180" s="28"/>
      <c r="Q180" s="28"/>
      <c r="R180" s="28"/>
      <c r="S180" s="28"/>
      <c r="T180" s="3"/>
    </row>
    <row r="181" spans="1:20" ht="14.25" customHeight="1" x14ac:dyDescent="0.3">
      <c r="A181" s="3"/>
      <c r="B181" s="185"/>
      <c r="C181" s="28"/>
      <c r="D181" s="28"/>
      <c r="E181" s="28"/>
      <c r="F181" s="28"/>
      <c r="G181" s="90"/>
      <c r="H181" s="89"/>
      <c r="I181" s="90"/>
      <c r="J181" s="89"/>
      <c r="K181" s="28"/>
      <c r="L181" s="28"/>
      <c r="M181" s="28"/>
      <c r="N181" s="28"/>
      <c r="O181" s="28"/>
      <c r="P181" s="28"/>
      <c r="Q181" s="28"/>
      <c r="R181" s="28"/>
      <c r="S181" s="28"/>
      <c r="T181" s="3"/>
    </row>
    <row r="182" spans="1:20" ht="14.25" customHeight="1" x14ac:dyDescent="0.3">
      <c r="A182" s="3"/>
      <c r="B182" s="185"/>
      <c r="C182" s="28"/>
      <c r="D182" s="28"/>
      <c r="E182" s="28"/>
      <c r="F182" s="28"/>
      <c r="G182" s="90"/>
      <c r="H182" s="89"/>
      <c r="I182" s="90"/>
      <c r="J182" s="89"/>
      <c r="K182" s="28"/>
      <c r="L182" s="28"/>
      <c r="M182" s="28"/>
      <c r="N182" s="28"/>
      <c r="O182" s="28"/>
      <c r="P182" s="28"/>
      <c r="Q182" s="28"/>
      <c r="R182" s="28"/>
      <c r="S182" s="28"/>
      <c r="T182" s="3"/>
    </row>
    <row r="183" spans="1:20" ht="14.25" customHeight="1" x14ac:dyDescent="0.3">
      <c r="A183" s="3"/>
      <c r="B183" s="185"/>
      <c r="C183" s="28"/>
      <c r="D183" s="28"/>
      <c r="E183" s="28"/>
      <c r="F183" s="28"/>
      <c r="G183" s="90"/>
      <c r="H183" s="89"/>
      <c r="I183" s="90"/>
      <c r="J183" s="89"/>
      <c r="K183" s="28"/>
      <c r="L183" s="28"/>
      <c r="M183" s="28"/>
      <c r="N183" s="28"/>
      <c r="O183" s="28"/>
      <c r="P183" s="28"/>
      <c r="Q183" s="28"/>
      <c r="R183" s="28"/>
      <c r="S183" s="28"/>
      <c r="T183" s="3"/>
    </row>
    <row r="184" spans="1:20" ht="14.25" customHeight="1" x14ac:dyDescent="0.3">
      <c r="A184" s="3"/>
      <c r="B184" s="185"/>
      <c r="C184" s="28"/>
      <c r="D184" s="28"/>
      <c r="E184" s="28"/>
      <c r="F184" s="28"/>
      <c r="G184" s="90"/>
      <c r="H184" s="89"/>
      <c r="I184" s="90"/>
      <c r="J184" s="89"/>
      <c r="K184" s="28"/>
      <c r="L184" s="28"/>
      <c r="M184" s="28"/>
      <c r="N184" s="28"/>
      <c r="O184" s="28"/>
      <c r="P184" s="28"/>
      <c r="Q184" s="28"/>
      <c r="R184" s="28"/>
      <c r="S184" s="28"/>
      <c r="T184" s="3"/>
    </row>
    <row r="185" spans="1:20" ht="14.25" customHeight="1" x14ac:dyDescent="0.3">
      <c r="A185" s="3"/>
      <c r="B185" s="185"/>
      <c r="C185" s="28"/>
      <c r="D185" s="28"/>
      <c r="E185" s="28"/>
      <c r="F185" s="28"/>
      <c r="G185" s="90"/>
      <c r="H185" s="89"/>
      <c r="I185" s="90"/>
      <c r="J185" s="89"/>
      <c r="K185" s="28"/>
      <c r="L185" s="28"/>
      <c r="M185" s="28"/>
      <c r="N185" s="28"/>
      <c r="O185" s="28"/>
      <c r="P185" s="28"/>
      <c r="Q185" s="28"/>
      <c r="R185" s="28"/>
      <c r="S185" s="28"/>
      <c r="T185" s="3"/>
    </row>
    <row r="186" spans="1:20" ht="14.25" customHeight="1" x14ac:dyDescent="0.3">
      <c r="A186" s="3"/>
      <c r="B186" s="185"/>
      <c r="C186" s="28"/>
      <c r="D186" s="28"/>
      <c r="E186" s="28"/>
      <c r="F186" s="28"/>
      <c r="G186" s="90"/>
      <c r="H186" s="89"/>
      <c r="I186" s="90"/>
      <c r="J186" s="89"/>
      <c r="K186" s="28"/>
      <c r="L186" s="28"/>
      <c r="M186" s="28"/>
      <c r="N186" s="28"/>
      <c r="O186" s="28"/>
      <c r="P186" s="28"/>
      <c r="Q186" s="28"/>
      <c r="R186" s="28"/>
      <c r="S186" s="28"/>
      <c r="T186" s="3"/>
    </row>
    <row r="187" spans="1:20" ht="14.25" customHeight="1" x14ac:dyDescent="0.3">
      <c r="A187" s="3"/>
      <c r="B187" s="185"/>
      <c r="C187" s="28"/>
      <c r="D187" s="28"/>
      <c r="E187" s="28"/>
      <c r="F187" s="28"/>
      <c r="G187" s="90"/>
      <c r="H187" s="89"/>
      <c r="I187" s="90"/>
      <c r="J187" s="89"/>
      <c r="K187" s="28"/>
      <c r="L187" s="28"/>
      <c r="M187" s="28"/>
      <c r="N187" s="28"/>
      <c r="O187" s="28"/>
      <c r="P187" s="28"/>
      <c r="Q187" s="28"/>
      <c r="R187" s="28"/>
      <c r="S187" s="28"/>
      <c r="T187" s="3"/>
    </row>
    <row r="188" spans="1:20" ht="14.25" customHeight="1" x14ac:dyDescent="0.3">
      <c r="A188" s="3"/>
      <c r="B188" s="185"/>
      <c r="C188" s="28"/>
      <c r="D188" s="28"/>
      <c r="E188" s="28"/>
      <c r="F188" s="28"/>
      <c r="G188" s="90"/>
      <c r="H188" s="89"/>
      <c r="I188" s="90"/>
      <c r="J188" s="89"/>
      <c r="K188" s="28"/>
      <c r="L188" s="28"/>
      <c r="M188" s="28"/>
      <c r="N188" s="28"/>
      <c r="O188" s="28"/>
      <c r="P188" s="28"/>
      <c r="Q188" s="28"/>
      <c r="R188" s="28"/>
      <c r="S188" s="28"/>
      <c r="T188" s="3"/>
    </row>
    <row r="189" spans="1:20" ht="14.25" customHeight="1" x14ac:dyDescent="0.3">
      <c r="A189" s="3"/>
      <c r="B189" s="185"/>
      <c r="C189" s="28"/>
      <c r="D189" s="28"/>
      <c r="E189" s="28"/>
      <c r="F189" s="28"/>
      <c r="G189" s="90"/>
      <c r="H189" s="89"/>
      <c r="I189" s="90"/>
      <c r="J189" s="89"/>
      <c r="K189" s="28"/>
      <c r="L189" s="28"/>
      <c r="M189" s="28"/>
      <c r="N189" s="28"/>
      <c r="O189" s="28"/>
      <c r="P189" s="28"/>
      <c r="Q189" s="28"/>
      <c r="R189" s="28"/>
      <c r="S189" s="28"/>
      <c r="T189" s="3"/>
    </row>
    <row r="190" spans="1:20" ht="14.25" customHeight="1" x14ac:dyDescent="0.3">
      <c r="A190" s="3"/>
      <c r="B190" s="185"/>
      <c r="C190" s="28"/>
      <c r="D190" s="28"/>
      <c r="E190" s="28"/>
      <c r="F190" s="28"/>
      <c r="G190" s="90"/>
      <c r="H190" s="89"/>
      <c r="I190" s="90"/>
      <c r="J190" s="89"/>
      <c r="K190" s="28"/>
      <c r="L190" s="28"/>
      <c r="M190" s="28"/>
      <c r="N190" s="28"/>
      <c r="O190" s="28"/>
      <c r="P190" s="28"/>
      <c r="Q190" s="28"/>
      <c r="R190" s="28"/>
      <c r="S190" s="28"/>
      <c r="T190" s="3"/>
    </row>
    <row r="191" spans="1:20" ht="14.25" customHeight="1" x14ac:dyDescent="0.3">
      <c r="A191" s="3"/>
      <c r="B191" s="185"/>
      <c r="C191" s="28"/>
      <c r="D191" s="28"/>
      <c r="E191" s="28"/>
      <c r="F191" s="28"/>
      <c r="G191" s="90"/>
      <c r="H191" s="89"/>
      <c r="I191" s="90"/>
      <c r="J191" s="89"/>
      <c r="K191" s="28"/>
      <c r="L191" s="28"/>
      <c r="M191" s="28"/>
      <c r="N191" s="28"/>
      <c r="O191" s="28"/>
      <c r="P191" s="28"/>
      <c r="Q191" s="28"/>
      <c r="R191" s="28"/>
      <c r="S191" s="28"/>
      <c r="T191" s="3"/>
    </row>
    <row r="192" spans="1:20" ht="14.25" customHeight="1" x14ac:dyDescent="0.3">
      <c r="A192" s="3"/>
      <c r="B192" s="185"/>
      <c r="C192" s="28"/>
      <c r="D192" s="28"/>
      <c r="E192" s="28"/>
      <c r="F192" s="28"/>
      <c r="G192" s="90"/>
      <c r="H192" s="89"/>
      <c r="I192" s="90"/>
      <c r="J192" s="89"/>
      <c r="K192" s="28"/>
      <c r="L192" s="28"/>
      <c r="M192" s="28"/>
      <c r="N192" s="28"/>
      <c r="O192" s="28"/>
      <c r="P192" s="28"/>
      <c r="Q192" s="28"/>
      <c r="R192" s="28"/>
      <c r="S192" s="28"/>
      <c r="T192" s="3"/>
    </row>
    <row r="193" spans="1:20" ht="14.25" customHeight="1" x14ac:dyDescent="0.3">
      <c r="A193" s="3"/>
      <c r="B193" s="185"/>
      <c r="C193" s="28"/>
      <c r="D193" s="28"/>
      <c r="E193" s="28"/>
      <c r="F193" s="28"/>
      <c r="G193" s="90"/>
      <c r="H193" s="89"/>
      <c r="I193" s="90"/>
      <c r="J193" s="89"/>
      <c r="K193" s="28"/>
      <c r="L193" s="28"/>
      <c r="M193" s="28"/>
      <c r="N193" s="28"/>
      <c r="O193" s="28"/>
      <c r="P193" s="28"/>
      <c r="Q193" s="28"/>
      <c r="R193" s="28"/>
      <c r="S193" s="28"/>
      <c r="T193" s="3"/>
    </row>
    <row r="194" spans="1:20" ht="14.25" customHeight="1" x14ac:dyDescent="0.3">
      <c r="A194" s="3"/>
      <c r="B194" s="185"/>
      <c r="C194" s="28"/>
      <c r="D194" s="28"/>
      <c r="E194" s="28"/>
      <c r="F194" s="28"/>
      <c r="G194" s="90"/>
      <c r="H194" s="89"/>
      <c r="I194" s="90"/>
      <c r="J194" s="89"/>
      <c r="K194" s="28"/>
      <c r="L194" s="28"/>
      <c r="M194" s="28"/>
      <c r="N194" s="28"/>
      <c r="O194" s="28"/>
      <c r="P194" s="28"/>
      <c r="Q194" s="28"/>
      <c r="R194" s="28"/>
      <c r="S194" s="28"/>
      <c r="T194" s="3"/>
    </row>
    <row r="195" spans="1:20" ht="14.25" customHeight="1" x14ac:dyDescent="0.3">
      <c r="A195" s="3"/>
      <c r="B195" s="185"/>
      <c r="C195" s="28"/>
      <c r="D195" s="28"/>
      <c r="E195" s="28"/>
      <c r="F195" s="28"/>
      <c r="G195" s="90"/>
      <c r="H195" s="89"/>
      <c r="I195" s="90"/>
      <c r="J195" s="89"/>
      <c r="K195" s="28"/>
      <c r="L195" s="28"/>
      <c r="M195" s="28"/>
      <c r="N195" s="28"/>
      <c r="O195" s="28"/>
      <c r="P195" s="28"/>
      <c r="Q195" s="28"/>
      <c r="R195" s="28"/>
      <c r="S195" s="28"/>
      <c r="T195" s="3"/>
    </row>
    <row r="196" spans="1:20" ht="14.25" customHeight="1" x14ac:dyDescent="0.3">
      <c r="A196" s="3"/>
      <c r="B196" s="185"/>
      <c r="C196" s="28"/>
      <c r="D196" s="28"/>
      <c r="E196" s="28"/>
      <c r="F196" s="28"/>
      <c r="G196" s="90"/>
      <c r="H196" s="89"/>
      <c r="I196" s="90"/>
      <c r="J196" s="89"/>
      <c r="K196" s="28"/>
      <c r="L196" s="28"/>
      <c r="M196" s="28"/>
      <c r="N196" s="28"/>
      <c r="O196" s="28"/>
      <c r="P196" s="28"/>
      <c r="Q196" s="28"/>
      <c r="R196" s="28"/>
      <c r="S196" s="28"/>
      <c r="T196" s="3"/>
    </row>
    <row r="197" spans="1:20" ht="14.25" customHeight="1" x14ac:dyDescent="0.3">
      <c r="A197" s="3"/>
      <c r="B197" s="185"/>
      <c r="C197" s="28"/>
      <c r="D197" s="28"/>
      <c r="E197" s="28"/>
      <c r="F197" s="28"/>
      <c r="G197" s="90"/>
      <c r="H197" s="89"/>
      <c r="I197" s="90"/>
      <c r="J197" s="89"/>
      <c r="K197" s="28"/>
      <c r="L197" s="28"/>
      <c r="M197" s="28"/>
      <c r="N197" s="28"/>
      <c r="O197" s="28"/>
      <c r="P197" s="28"/>
      <c r="Q197" s="28"/>
      <c r="R197" s="28"/>
      <c r="S197" s="28"/>
      <c r="T197" s="3"/>
    </row>
    <row r="198" spans="1:20" ht="14.25" customHeight="1" x14ac:dyDescent="0.3">
      <c r="A198" s="3"/>
      <c r="B198" s="185"/>
      <c r="C198" s="28"/>
      <c r="D198" s="28"/>
      <c r="E198" s="28"/>
      <c r="F198" s="28"/>
      <c r="G198" s="90"/>
      <c r="H198" s="89"/>
      <c r="I198" s="90"/>
      <c r="J198" s="89"/>
      <c r="K198" s="28"/>
      <c r="L198" s="28"/>
      <c r="M198" s="28"/>
      <c r="N198" s="28"/>
      <c r="O198" s="28"/>
      <c r="P198" s="28"/>
      <c r="Q198" s="28"/>
      <c r="R198" s="28"/>
      <c r="S198" s="28"/>
      <c r="T198" s="3"/>
    </row>
    <row r="199" spans="1:20" ht="14.25" customHeight="1" x14ac:dyDescent="0.3">
      <c r="A199" s="3"/>
      <c r="B199" s="185"/>
      <c r="C199" s="28"/>
      <c r="D199" s="28"/>
      <c r="E199" s="28"/>
      <c r="F199" s="28"/>
      <c r="G199" s="90"/>
      <c r="H199" s="89"/>
      <c r="I199" s="90"/>
      <c r="J199" s="89"/>
      <c r="K199" s="28"/>
      <c r="L199" s="28"/>
      <c r="M199" s="28"/>
      <c r="N199" s="28"/>
      <c r="O199" s="28"/>
      <c r="P199" s="28"/>
      <c r="Q199" s="28"/>
      <c r="R199" s="28"/>
      <c r="S199" s="28"/>
      <c r="T199" s="3"/>
    </row>
    <row r="200" spans="1:20" ht="14.25" customHeight="1" x14ac:dyDescent="0.3">
      <c r="A200" s="3"/>
      <c r="B200" s="185"/>
      <c r="C200" s="28"/>
      <c r="D200" s="28"/>
      <c r="E200" s="28"/>
      <c r="F200" s="28"/>
      <c r="G200" s="90"/>
      <c r="H200" s="89"/>
      <c r="I200" s="90"/>
      <c r="J200" s="89"/>
      <c r="K200" s="28"/>
      <c r="L200" s="28"/>
      <c r="M200" s="28"/>
      <c r="N200" s="28"/>
      <c r="O200" s="28"/>
      <c r="P200" s="28"/>
      <c r="Q200" s="28"/>
      <c r="R200" s="28"/>
      <c r="S200" s="28"/>
      <c r="T200" s="3"/>
    </row>
    <row r="201" spans="1:20" ht="14.25" customHeight="1" x14ac:dyDescent="0.3">
      <c r="A201" s="3"/>
      <c r="B201" s="185"/>
      <c r="C201" s="28"/>
      <c r="D201" s="28"/>
      <c r="E201" s="28"/>
      <c r="F201" s="28"/>
      <c r="G201" s="90"/>
      <c r="H201" s="89"/>
      <c r="I201" s="90"/>
      <c r="J201" s="89"/>
      <c r="K201" s="28"/>
      <c r="L201" s="28"/>
      <c r="M201" s="28"/>
      <c r="N201" s="28"/>
      <c r="O201" s="28"/>
      <c r="P201" s="28"/>
      <c r="Q201" s="28"/>
      <c r="R201" s="28"/>
      <c r="S201" s="28"/>
      <c r="T201" s="3"/>
    </row>
    <row r="202" spans="1:20" ht="14.25" customHeight="1" x14ac:dyDescent="0.3">
      <c r="A202" s="3"/>
      <c r="B202" s="185"/>
      <c r="C202" s="28"/>
      <c r="D202" s="28"/>
      <c r="E202" s="28"/>
      <c r="F202" s="28"/>
      <c r="G202" s="90"/>
      <c r="H202" s="89"/>
      <c r="I202" s="90"/>
      <c r="J202" s="89"/>
      <c r="K202" s="28"/>
      <c r="L202" s="28"/>
      <c r="M202" s="28"/>
      <c r="N202" s="28"/>
      <c r="O202" s="28"/>
      <c r="P202" s="28"/>
      <c r="Q202" s="28"/>
      <c r="R202" s="28"/>
      <c r="S202" s="28"/>
      <c r="T202" s="3"/>
    </row>
    <row r="203" spans="1:20" ht="14.25" customHeight="1" x14ac:dyDescent="0.3">
      <c r="A203" s="3"/>
      <c r="B203" s="185"/>
      <c r="C203" s="28"/>
      <c r="D203" s="28"/>
      <c r="E203" s="28"/>
      <c r="F203" s="28"/>
      <c r="G203" s="90"/>
      <c r="H203" s="89"/>
      <c r="I203" s="90"/>
      <c r="J203" s="89"/>
      <c r="K203" s="28"/>
      <c r="L203" s="28"/>
      <c r="M203" s="28"/>
      <c r="N203" s="28"/>
      <c r="O203" s="28"/>
      <c r="P203" s="28"/>
      <c r="Q203" s="28"/>
      <c r="R203" s="28"/>
      <c r="S203" s="28"/>
      <c r="T203" s="3"/>
    </row>
    <row r="204" spans="1:20" ht="14.25" customHeight="1" x14ac:dyDescent="0.3">
      <c r="A204" s="3"/>
      <c r="B204" s="185"/>
      <c r="C204" s="28"/>
      <c r="D204" s="28"/>
      <c r="E204" s="28"/>
      <c r="F204" s="28"/>
      <c r="G204" s="90"/>
      <c r="H204" s="89"/>
      <c r="I204" s="90"/>
      <c r="J204" s="89"/>
      <c r="K204" s="28"/>
      <c r="L204" s="28"/>
      <c r="M204" s="28"/>
      <c r="N204" s="28"/>
      <c r="O204" s="28"/>
      <c r="P204" s="28"/>
      <c r="Q204" s="28"/>
      <c r="R204" s="28"/>
      <c r="S204" s="28"/>
      <c r="T204" s="3"/>
    </row>
    <row r="205" spans="1:20" ht="14.25" customHeight="1" x14ac:dyDescent="0.3">
      <c r="A205" s="3"/>
      <c r="B205" s="185"/>
      <c r="C205" s="28"/>
      <c r="D205" s="28"/>
      <c r="E205" s="28"/>
      <c r="F205" s="28"/>
      <c r="G205" s="90"/>
      <c r="H205" s="89"/>
      <c r="I205" s="90"/>
      <c r="J205" s="89"/>
      <c r="K205" s="28"/>
      <c r="L205" s="28"/>
      <c r="M205" s="28"/>
      <c r="N205" s="28"/>
      <c r="O205" s="28"/>
      <c r="P205" s="28"/>
      <c r="Q205" s="28"/>
      <c r="R205" s="28"/>
      <c r="S205" s="28"/>
      <c r="T205" s="3"/>
    </row>
    <row r="206" spans="1:20" ht="14.25" customHeight="1" x14ac:dyDescent="0.3">
      <c r="A206" s="3"/>
      <c r="B206" s="185"/>
      <c r="C206" s="28"/>
      <c r="D206" s="28"/>
      <c r="E206" s="28"/>
      <c r="F206" s="28"/>
      <c r="G206" s="90"/>
      <c r="H206" s="89"/>
      <c r="I206" s="90"/>
      <c r="J206" s="89"/>
      <c r="K206" s="28"/>
      <c r="L206" s="28"/>
      <c r="M206" s="28"/>
      <c r="N206" s="28"/>
      <c r="O206" s="28"/>
      <c r="P206" s="28"/>
      <c r="Q206" s="28"/>
      <c r="R206" s="28"/>
      <c r="S206" s="28"/>
      <c r="T206" s="3"/>
    </row>
    <row r="207" spans="1:20" ht="14.25" customHeight="1" x14ac:dyDescent="0.3">
      <c r="A207" s="3"/>
      <c r="B207" s="185"/>
      <c r="C207" s="28"/>
      <c r="D207" s="28"/>
      <c r="E207" s="28"/>
      <c r="F207" s="28"/>
      <c r="G207" s="90"/>
      <c r="H207" s="89"/>
      <c r="I207" s="90"/>
      <c r="J207" s="89"/>
      <c r="K207" s="28"/>
      <c r="L207" s="28"/>
      <c r="M207" s="28"/>
      <c r="N207" s="28"/>
      <c r="O207" s="28"/>
      <c r="P207" s="28"/>
      <c r="Q207" s="28"/>
      <c r="R207" s="28"/>
      <c r="S207" s="28"/>
      <c r="T207" s="3"/>
    </row>
    <row r="208" spans="1:20" ht="14.25" customHeight="1" x14ac:dyDescent="0.3">
      <c r="A208" s="3"/>
      <c r="B208" s="185"/>
      <c r="C208" s="28"/>
      <c r="D208" s="28"/>
      <c r="E208" s="28"/>
      <c r="F208" s="28"/>
      <c r="G208" s="90"/>
      <c r="H208" s="89"/>
      <c r="I208" s="90"/>
      <c r="J208" s="89"/>
      <c r="K208" s="28"/>
      <c r="L208" s="28"/>
      <c r="M208" s="28"/>
      <c r="N208" s="28"/>
      <c r="O208" s="28"/>
      <c r="P208" s="28"/>
      <c r="Q208" s="28"/>
      <c r="R208" s="28"/>
      <c r="S208" s="28"/>
      <c r="T208" s="3"/>
    </row>
    <row r="209" spans="1:20" ht="14.25" customHeight="1" x14ac:dyDescent="0.3">
      <c r="A209" s="3"/>
      <c r="B209" s="185"/>
      <c r="C209" s="28"/>
      <c r="D209" s="28"/>
      <c r="E209" s="28"/>
      <c r="F209" s="28"/>
      <c r="G209" s="90"/>
      <c r="H209" s="89"/>
      <c r="I209" s="90"/>
      <c r="J209" s="89"/>
      <c r="K209" s="28"/>
      <c r="L209" s="28"/>
      <c r="M209" s="28"/>
      <c r="N209" s="28"/>
      <c r="O209" s="28"/>
      <c r="P209" s="28"/>
      <c r="Q209" s="28"/>
      <c r="R209" s="28"/>
      <c r="S209" s="28"/>
      <c r="T209" s="3"/>
    </row>
    <row r="210" spans="1:20" ht="14.25" customHeight="1" x14ac:dyDescent="0.3">
      <c r="A210" s="3"/>
      <c r="B210" s="185"/>
      <c r="C210" s="28"/>
      <c r="D210" s="28"/>
      <c r="E210" s="28"/>
      <c r="F210" s="28"/>
      <c r="G210" s="90"/>
      <c r="H210" s="89"/>
      <c r="I210" s="90"/>
      <c r="J210" s="89"/>
      <c r="K210" s="28"/>
      <c r="L210" s="28"/>
      <c r="M210" s="28"/>
      <c r="N210" s="28"/>
      <c r="O210" s="28"/>
      <c r="P210" s="28"/>
      <c r="Q210" s="28"/>
      <c r="R210" s="28"/>
      <c r="S210" s="28"/>
      <c r="T210" s="3"/>
    </row>
    <row r="211" spans="1:20" ht="14.25" customHeight="1" x14ac:dyDescent="0.3">
      <c r="A211" s="3"/>
      <c r="B211" s="185"/>
      <c r="C211" s="28"/>
      <c r="D211" s="28"/>
      <c r="E211" s="28"/>
      <c r="F211" s="28"/>
      <c r="G211" s="90"/>
      <c r="H211" s="89"/>
      <c r="I211" s="90"/>
      <c r="J211" s="89"/>
      <c r="K211" s="28"/>
      <c r="L211" s="28"/>
      <c r="M211" s="28"/>
      <c r="N211" s="28"/>
      <c r="O211" s="28"/>
      <c r="P211" s="28"/>
      <c r="Q211" s="28"/>
      <c r="R211" s="28"/>
      <c r="S211" s="28"/>
      <c r="T211" s="3"/>
    </row>
    <row r="212" spans="1:20" ht="14.25" customHeight="1" x14ac:dyDescent="0.3">
      <c r="A212" s="3"/>
      <c r="B212" s="185"/>
      <c r="C212" s="28"/>
      <c r="D212" s="28"/>
      <c r="E212" s="28"/>
      <c r="F212" s="28"/>
      <c r="G212" s="90"/>
      <c r="H212" s="89"/>
      <c r="I212" s="90"/>
      <c r="J212" s="89"/>
      <c r="K212" s="28"/>
      <c r="L212" s="28"/>
      <c r="M212" s="28"/>
      <c r="N212" s="28"/>
      <c r="O212" s="28"/>
      <c r="P212" s="28"/>
      <c r="Q212" s="28"/>
      <c r="R212" s="28"/>
      <c r="S212" s="28"/>
      <c r="T212" s="3"/>
    </row>
    <row r="213" spans="1:20" ht="14.25" customHeight="1" x14ac:dyDescent="0.3">
      <c r="A213" s="3"/>
      <c r="B213" s="185"/>
      <c r="C213" s="28"/>
      <c r="D213" s="28"/>
      <c r="E213" s="28"/>
      <c r="F213" s="28"/>
      <c r="G213" s="90"/>
      <c r="H213" s="89"/>
      <c r="I213" s="90"/>
      <c r="J213" s="89"/>
      <c r="K213" s="28"/>
      <c r="L213" s="28"/>
      <c r="M213" s="28"/>
      <c r="N213" s="28"/>
      <c r="O213" s="28"/>
      <c r="P213" s="28"/>
      <c r="Q213" s="28"/>
      <c r="R213" s="28"/>
      <c r="S213" s="28"/>
      <c r="T213" s="3"/>
    </row>
    <row r="214" spans="1:20" ht="14.25" customHeight="1" x14ac:dyDescent="0.3">
      <c r="A214" s="3"/>
      <c r="B214" s="185"/>
      <c r="C214" s="28"/>
      <c r="D214" s="28"/>
      <c r="E214" s="28"/>
      <c r="F214" s="28"/>
      <c r="G214" s="90"/>
      <c r="H214" s="89"/>
      <c r="I214" s="90"/>
      <c r="J214" s="89"/>
      <c r="K214" s="28"/>
      <c r="L214" s="28"/>
      <c r="M214" s="28"/>
      <c r="N214" s="28"/>
      <c r="O214" s="28"/>
      <c r="P214" s="28"/>
      <c r="Q214" s="28"/>
      <c r="R214" s="28"/>
      <c r="S214" s="28"/>
      <c r="T214" s="3"/>
    </row>
    <row r="215" spans="1:20" ht="14.25" customHeight="1" x14ac:dyDescent="0.3">
      <c r="A215" s="3"/>
      <c r="B215" s="185"/>
      <c r="C215" s="28"/>
      <c r="D215" s="28"/>
      <c r="E215" s="28"/>
      <c r="F215" s="28"/>
      <c r="G215" s="90"/>
      <c r="H215" s="89"/>
      <c r="I215" s="90"/>
      <c r="J215" s="89"/>
      <c r="K215" s="28"/>
      <c r="L215" s="28"/>
      <c r="M215" s="28"/>
      <c r="N215" s="28"/>
      <c r="O215" s="28"/>
      <c r="P215" s="28"/>
      <c r="Q215" s="28"/>
      <c r="R215" s="28"/>
      <c r="S215" s="28"/>
      <c r="T215" s="3"/>
    </row>
    <row r="216" spans="1:20" ht="14.25" customHeight="1" x14ac:dyDescent="0.3">
      <c r="A216" s="3"/>
      <c r="B216" s="185"/>
      <c r="C216" s="28"/>
      <c r="D216" s="28"/>
      <c r="E216" s="28"/>
      <c r="F216" s="28"/>
      <c r="G216" s="90"/>
      <c r="H216" s="89"/>
      <c r="I216" s="90"/>
      <c r="J216" s="89"/>
      <c r="K216" s="28"/>
      <c r="L216" s="28"/>
      <c r="M216" s="28"/>
      <c r="N216" s="28"/>
      <c r="O216" s="28"/>
      <c r="P216" s="28"/>
      <c r="Q216" s="28"/>
      <c r="R216" s="28"/>
      <c r="S216" s="28"/>
      <c r="T216" s="3"/>
    </row>
    <row r="217" spans="1:20" ht="14.25" customHeight="1" x14ac:dyDescent="0.3">
      <c r="A217" s="3"/>
      <c r="B217" s="185"/>
      <c r="C217" s="28"/>
      <c r="D217" s="28"/>
      <c r="E217" s="28"/>
      <c r="F217" s="28"/>
      <c r="G217" s="90"/>
      <c r="H217" s="89"/>
      <c r="I217" s="90"/>
      <c r="J217" s="89"/>
      <c r="K217" s="28"/>
      <c r="L217" s="28"/>
      <c r="M217" s="28"/>
      <c r="N217" s="28"/>
      <c r="O217" s="28"/>
      <c r="P217" s="28"/>
      <c r="Q217" s="28"/>
      <c r="R217" s="28"/>
      <c r="S217" s="28"/>
      <c r="T217" s="3"/>
    </row>
    <row r="218" spans="1:20" ht="14.25" customHeight="1" x14ac:dyDescent="0.3">
      <c r="A218" s="3"/>
      <c r="B218" s="185"/>
      <c r="C218" s="28"/>
      <c r="D218" s="28"/>
      <c r="E218" s="28"/>
      <c r="F218" s="28"/>
      <c r="G218" s="90"/>
      <c r="H218" s="89"/>
      <c r="I218" s="90"/>
      <c r="J218" s="89"/>
      <c r="K218" s="28"/>
      <c r="L218" s="28"/>
      <c r="M218" s="28"/>
      <c r="N218" s="28"/>
      <c r="O218" s="28"/>
      <c r="P218" s="28"/>
      <c r="Q218" s="28"/>
      <c r="R218" s="28"/>
      <c r="S218" s="28"/>
      <c r="T218" s="3"/>
    </row>
    <row r="219" spans="1:20" ht="14.25" customHeight="1" x14ac:dyDescent="0.3">
      <c r="A219" s="3"/>
      <c r="B219" s="185"/>
      <c r="C219" s="28"/>
      <c r="D219" s="28"/>
      <c r="E219" s="28"/>
      <c r="F219" s="28"/>
      <c r="G219" s="90"/>
      <c r="H219" s="89"/>
      <c r="I219" s="90"/>
      <c r="J219" s="89"/>
      <c r="K219" s="28"/>
      <c r="L219" s="28"/>
      <c r="M219" s="28"/>
      <c r="N219" s="28"/>
      <c r="O219" s="28"/>
      <c r="P219" s="28"/>
      <c r="Q219" s="28"/>
      <c r="R219" s="28"/>
      <c r="S219" s="28"/>
      <c r="T219" s="3"/>
    </row>
    <row r="220" spans="1:20" ht="14.25" customHeight="1" x14ac:dyDescent="0.3">
      <c r="A220" s="3"/>
      <c r="B220" s="185"/>
      <c r="C220" s="28"/>
      <c r="D220" s="28"/>
      <c r="E220" s="28"/>
      <c r="F220" s="28"/>
      <c r="G220" s="90"/>
      <c r="H220" s="89"/>
      <c r="I220" s="90"/>
      <c r="J220" s="89"/>
      <c r="K220" s="28"/>
      <c r="L220" s="28"/>
      <c r="M220" s="28"/>
      <c r="N220" s="28"/>
      <c r="O220" s="28"/>
      <c r="P220" s="28"/>
      <c r="Q220" s="28"/>
      <c r="R220" s="28"/>
      <c r="S220" s="28"/>
      <c r="T220" s="3"/>
    </row>
    <row r="221" spans="1:20" ht="14.25" customHeight="1" x14ac:dyDescent="0.3">
      <c r="A221" s="3"/>
      <c r="B221" s="185"/>
      <c r="C221" s="28"/>
      <c r="D221" s="28"/>
      <c r="E221" s="28"/>
      <c r="F221" s="28"/>
      <c r="G221" s="90"/>
      <c r="H221" s="89"/>
      <c r="I221" s="90"/>
      <c r="J221" s="89"/>
      <c r="K221" s="28"/>
      <c r="L221" s="28"/>
      <c r="M221" s="28"/>
      <c r="N221" s="28"/>
      <c r="O221" s="28"/>
      <c r="P221" s="28"/>
      <c r="Q221" s="28"/>
      <c r="R221" s="28"/>
      <c r="S221" s="28"/>
      <c r="T221" s="3"/>
    </row>
    <row r="222" spans="1:20" ht="14.25" customHeight="1" x14ac:dyDescent="0.3">
      <c r="A222" s="3"/>
      <c r="B222" s="185"/>
      <c r="C222" s="28"/>
      <c r="D222" s="28"/>
      <c r="E222" s="28"/>
      <c r="F222" s="28"/>
      <c r="G222" s="90"/>
      <c r="H222" s="89"/>
      <c r="I222" s="90"/>
      <c r="J222" s="89"/>
      <c r="K222" s="28"/>
      <c r="L222" s="28"/>
      <c r="M222" s="28"/>
      <c r="N222" s="28"/>
      <c r="O222" s="28"/>
      <c r="P222" s="28"/>
      <c r="Q222" s="28"/>
      <c r="R222" s="28"/>
      <c r="S222" s="28"/>
      <c r="T222" s="3"/>
    </row>
    <row r="223" spans="1:20" ht="14.25" customHeight="1" x14ac:dyDescent="0.3">
      <c r="A223" s="3"/>
      <c r="B223" s="185"/>
      <c r="C223" s="28"/>
      <c r="D223" s="28"/>
      <c r="E223" s="28"/>
      <c r="F223" s="28"/>
      <c r="G223" s="90"/>
      <c r="H223" s="89"/>
      <c r="I223" s="90"/>
      <c r="J223" s="89"/>
      <c r="K223" s="28"/>
      <c r="L223" s="28"/>
      <c r="M223" s="28"/>
      <c r="N223" s="28"/>
      <c r="O223" s="28"/>
      <c r="P223" s="28"/>
      <c r="Q223" s="28"/>
      <c r="R223" s="28"/>
      <c r="S223" s="28"/>
      <c r="T223" s="3"/>
    </row>
    <row r="224" spans="1:20" ht="14.25" customHeight="1" x14ac:dyDescent="0.3">
      <c r="A224" s="3"/>
      <c r="B224" s="185"/>
      <c r="C224" s="28"/>
      <c r="D224" s="28"/>
      <c r="E224" s="28"/>
      <c r="F224" s="28"/>
      <c r="G224" s="90"/>
      <c r="H224" s="89"/>
      <c r="I224" s="90"/>
      <c r="J224" s="89"/>
      <c r="K224" s="28"/>
      <c r="L224" s="28"/>
      <c r="M224" s="28"/>
      <c r="N224" s="28"/>
      <c r="O224" s="28"/>
      <c r="P224" s="28"/>
      <c r="Q224" s="28"/>
      <c r="R224" s="28"/>
      <c r="S224" s="28"/>
      <c r="T224" s="3"/>
    </row>
    <row r="225" spans="1:20" ht="14.25" customHeight="1" x14ac:dyDescent="0.3">
      <c r="A225" s="3"/>
      <c r="B225" s="185"/>
      <c r="C225" s="28"/>
      <c r="D225" s="28"/>
      <c r="E225" s="28"/>
      <c r="F225" s="28"/>
      <c r="G225" s="90"/>
      <c r="H225" s="89"/>
      <c r="I225" s="90"/>
      <c r="J225" s="89"/>
      <c r="K225" s="28"/>
      <c r="L225" s="28"/>
      <c r="M225" s="28"/>
      <c r="N225" s="28"/>
      <c r="O225" s="28"/>
      <c r="P225" s="28"/>
      <c r="Q225" s="28"/>
      <c r="R225" s="28"/>
      <c r="S225" s="28"/>
      <c r="T225" s="3"/>
    </row>
    <row r="226" spans="1:20" ht="14.25" customHeight="1" x14ac:dyDescent="0.3">
      <c r="A226" s="3"/>
      <c r="B226" s="185"/>
      <c r="C226" s="28"/>
      <c r="D226" s="28"/>
      <c r="E226" s="28"/>
      <c r="F226" s="28"/>
      <c r="G226" s="90"/>
      <c r="H226" s="89"/>
      <c r="I226" s="90"/>
      <c r="J226" s="89"/>
      <c r="K226" s="28"/>
      <c r="L226" s="28"/>
      <c r="M226" s="28"/>
      <c r="N226" s="28"/>
      <c r="O226" s="28"/>
      <c r="P226" s="28"/>
      <c r="Q226" s="28"/>
      <c r="R226" s="28"/>
      <c r="S226" s="28"/>
      <c r="T226" s="3"/>
    </row>
    <row r="227" spans="1:20" ht="14.25" customHeight="1" x14ac:dyDescent="0.3">
      <c r="A227" s="3"/>
      <c r="B227" s="185"/>
      <c r="C227" s="28"/>
      <c r="D227" s="28"/>
      <c r="E227" s="28"/>
      <c r="F227" s="28"/>
      <c r="G227" s="90"/>
      <c r="H227" s="89"/>
      <c r="I227" s="90"/>
      <c r="J227" s="89"/>
      <c r="K227" s="28"/>
      <c r="L227" s="28"/>
      <c r="M227" s="28"/>
      <c r="N227" s="28"/>
      <c r="O227" s="28"/>
      <c r="P227" s="28"/>
      <c r="Q227" s="28"/>
      <c r="R227" s="28"/>
      <c r="S227" s="28"/>
      <c r="T227" s="3"/>
    </row>
    <row r="228" spans="1:20" ht="14.25" customHeight="1" x14ac:dyDescent="0.3">
      <c r="A228" s="3"/>
      <c r="B228" s="185"/>
      <c r="C228" s="28"/>
      <c r="D228" s="28"/>
      <c r="E228" s="28"/>
      <c r="F228" s="28"/>
      <c r="G228" s="90"/>
      <c r="H228" s="89"/>
      <c r="I228" s="90"/>
      <c r="J228" s="89"/>
      <c r="K228" s="28"/>
      <c r="L228" s="28"/>
      <c r="M228" s="28"/>
      <c r="N228" s="28"/>
      <c r="O228" s="28"/>
      <c r="P228" s="28"/>
      <c r="Q228" s="28"/>
      <c r="R228" s="28"/>
      <c r="S228" s="28"/>
      <c r="T228" s="3"/>
    </row>
    <row r="229" spans="1:20" ht="14.25" customHeight="1" x14ac:dyDescent="0.3">
      <c r="A229" s="3"/>
      <c r="B229" s="185"/>
      <c r="C229" s="28"/>
      <c r="D229" s="28"/>
      <c r="E229" s="28"/>
      <c r="F229" s="28"/>
      <c r="G229" s="90"/>
      <c r="H229" s="89"/>
      <c r="I229" s="90"/>
      <c r="J229" s="89"/>
      <c r="K229" s="28"/>
      <c r="L229" s="28"/>
      <c r="M229" s="28"/>
      <c r="N229" s="28"/>
      <c r="O229" s="28"/>
      <c r="P229" s="28"/>
      <c r="Q229" s="28"/>
      <c r="R229" s="28"/>
      <c r="S229" s="28"/>
      <c r="T229" s="3"/>
    </row>
    <row r="230" spans="1:20" ht="14.25" customHeight="1" x14ac:dyDescent="0.3">
      <c r="A230" s="3"/>
      <c r="B230" s="185"/>
      <c r="C230" s="28"/>
      <c r="D230" s="28"/>
      <c r="E230" s="28"/>
      <c r="F230" s="28"/>
      <c r="G230" s="90"/>
      <c r="H230" s="89"/>
      <c r="I230" s="90"/>
      <c r="J230" s="89"/>
      <c r="K230" s="28"/>
      <c r="L230" s="28"/>
      <c r="M230" s="28"/>
      <c r="N230" s="28"/>
      <c r="O230" s="28"/>
      <c r="P230" s="28"/>
      <c r="Q230" s="28"/>
      <c r="R230" s="28"/>
      <c r="S230" s="28"/>
      <c r="T230" s="3"/>
    </row>
    <row r="231" spans="1:20" ht="14.25" customHeight="1" x14ac:dyDescent="0.3">
      <c r="A231" s="3"/>
      <c r="B231" s="185"/>
      <c r="C231" s="28"/>
      <c r="D231" s="28"/>
      <c r="E231" s="28"/>
      <c r="F231" s="28"/>
      <c r="G231" s="90"/>
      <c r="H231" s="89"/>
      <c r="I231" s="90"/>
      <c r="J231" s="89"/>
      <c r="K231" s="28"/>
      <c r="L231" s="28"/>
      <c r="M231" s="28"/>
      <c r="N231" s="28"/>
      <c r="O231" s="28"/>
      <c r="P231" s="28"/>
      <c r="Q231" s="28"/>
      <c r="R231" s="28"/>
      <c r="S231" s="28"/>
      <c r="T231" s="3"/>
    </row>
    <row r="232" spans="1:20" ht="14.25" customHeight="1" x14ac:dyDescent="0.3">
      <c r="A232" s="3"/>
      <c r="B232" s="185"/>
      <c r="C232" s="28"/>
      <c r="D232" s="28"/>
      <c r="E232" s="28"/>
      <c r="F232" s="28"/>
      <c r="G232" s="90"/>
      <c r="H232" s="89"/>
      <c r="I232" s="90"/>
      <c r="J232" s="89"/>
      <c r="K232" s="28"/>
      <c r="L232" s="28"/>
      <c r="M232" s="28"/>
      <c r="N232" s="28"/>
      <c r="O232" s="28"/>
      <c r="P232" s="28"/>
      <c r="Q232" s="28"/>
      <c r="R232" s="28"/>
      <c r="S232" s="28"/>
      <c r="T232" s="3"/>
    </row>
    <row r="233" spans="1:20" ht="14.25" customHeight="1" x14ac:dyDescent="0.3">
      <c r="A233" s="3"/>
      <c r="B233" s="185"/>
      <c r="C233" s="28"/>
      <c r="D233" s="28"/>
      <c r="E233" s="28"/>
      <c r="F233" s="28"/>
      <c r="G233" s="90"/>
      <c r="H233" s="89"/>
      <c r="I233" s="90"/>
      <c r="J233" s="89"/>
      <c r="K233" s="28"/>
      <c r="L233" s="28"/>
      <c r="M233" s="28"/>
      <c r="N233" s="28"/>
      <c r="O233" s="28"/>
      <c r="P233" s="28"/>
      <c r="Q233" s="28"/>
      <c r="R233" s="28"/>
      <c r="S233" s="28"/>
      <c r="T233" s="3"/>
    </row>
    <row r="234" spans="1:20" ht="14.25" customHeight="1" x14ac:dyDescent="0.3">
      <c r="A234" s="3"/>
      <c r="B234" s="185"/>
      <c r="C234" s="28"/>
      <c r="D234" s="28"/>
      <c r="E234" s="28"/>
      <c r="F234" s="28"/>
      <c r="G234" s="90"/>
      <c r="H234" s="89"/>
      <c r="I234" s="90"/>
      <c r="J234" s="89"/>
      <c r="K234" s="28"/>
      <c r="L234" s="28"/>
      <c r="M234" s="28"/>
      <c r="N234" s="28"/>
      <c r="O234" s="28"/>
      <c r="P234" s="28"/>
      <c r="Q234" s="28"/>
      <c r="R234" s="28"/>
      <c r="S234" s="28"/>
      <c r="T234" s="3"/>
    </row>
    <row r="235" spans="1:20" ht="14.25" customHeight="1" x14ac:dyDescent="0.3">
      <c r="A235" s="3"/>
      <c r="B235" s="185"/>
      <c r="C235" s="28"/>
      <c r="D235" s="28"/>
      <c r="E235" s="28"/>
      <c r="F235" s="28"/>
      <c r="G235" s="90"/>
      <c r="H235" s="89"/>
      <c r="I235" s="90"/>
      <c r="J235" s="89"/>
      <c r="K235" s="28"/>
      <c r="L235" s="28"/>
      <c r="M235" s="28"/>
      <c r="N235" s="28"/>
      <c r="O235" s="28"/>
      <c r="P235" s="28"/>
      <c r="Q235" s="28"/>
      <c r="R235" s="28"/>
      <c r="S235" s="28"/>
      <c r="T235" s="3"/>
    </row>
    <row r="236" spans="1:20" ht="14.25" customHeight="1" x14ac:dyDescent="0.3">
      <c r="A236" s="3"/>
      <c r="B236" s="185"/>
      <c r="C236" s="28"/>
      <c r="D236" s="28"/>
      <c r="E236" s="28"/>
      <c r="F236" s="28"/>
      <c r="G236" s="90"/>
      <c r="H236" s="89"/>
      <c r="I236" s="90"/>
      <c r="J236" s="89"/>
      <c r="K236" s="28"/>
      <c r="L236" s="28"/>
      <c r="M236" s="28"/>
      <c r="N236" s="28"/>
      <c r="O236" s="28"/>
      <c r="P236" s="28"/>
      <c r="Q236" s="28"/>
      <c r="R236" s="28"/>
      <c r="S236" s="28"/>
      <c r="T236" s="3"/>
    </row>
    <row r="237" spans="1:20" ht="14.25" customHeight="1" x14ac:dyDescent="0.3">
      <c r="A237" s="3"/>
      <c r="B237" s="185"/>
      <c r="C237" s="28"/>
      <c r="D237" s="28"/>
      <c r="E237" s="28"/>
      <c r="F237" s="28"/>
      <c r="G237" s="90"/>
      <c r="H237" s="89"/>
      <c r="I237" s="90"/>
      <c r="J237" s="89"/>
      <c r="K237" s="28"/>
      <c r="L237" s="28"/>
      <c r="M237" s="28"/>
      <c r="N237" s="28"/>
      <c r="O237" s="28"/>
      <c r="P237" s="28"/>
      <c r="Q237" s="28"/>
      <c r="R237" s="28"/>
      <c r="S237" s="28"/>
      <c r="T237" s="3"/>
    </row>
    <row r="238" spans="1:20" ht="14.25" customHeight="1" x14ac:dyDescent="0.3">
      <c r="A238" s="3"/>
      <c r="B238" s="185"/>
      <c r="C238" s="28"/>
      <c r="D238" s="28"/>
      <c r="E238" s="28"/>
      <c r="F238" s="28"/>
      <c r="G238" s="90"/>
      <c r="H238" s="89"/>
      <c r="I238" s="90"/>
      <c r="J238" s="89"/>
      <c r="K238" s="28"/>
      <c r="L238" s="28"/>
      <c r="M238" s="28"/>
      <c r="N238" s="28"/>
      <c r="O238" s="28"/>
      <c r="P238" s="28"/>
      <c r="Q238" s="28"/>
      <c r="R238" s="28"/>
      <c r="S238" s="28"/>
      <c r="T238" s="3"/>
    </row>
    <row r="239" spans="1:20" ht="14.25" customHeight="1" x14ac:dyDescent="0.3">
      <c r="A239" s="3"/>
      <c r="B239" s="185"/>
      <c r="C239" s="28"/>
      <c r="D239" s="28"/>
      <c r="E239" s="28"/>
      <c r="F239" s="28"/>
      <c r="G239" s="90"/>
      <c r="H239" s="89"/>
      <c r="I239" s="90"/>
      <c r="J239" s="89"/>
      <c r="K239" s="28"/>
      <c r="L239" s="28"/>
      <c r="M239" s="28"/>
      <c r="N239" s="28"/>
      <c r="O239" s="28"/>
      <c r="P239" s="28"/>
      <c r="Q239" s="28"/>
      <c r="R239" s="28"/>
      <c r="S239" s="28"/>
      <c r="T239" s="3"/>
    </row>
    <row r="240" spans="1:20" ht="14.25" customHeight="1" x14ac:dyDescent="0.3">
      <c r="A240" s="3"/>
      <c r="B240" s="185"/>
      <c r="C240" s="28"/>
      <c r="D240" s="28"/>
      <c r="E240" s="28"/>
      <c r="F240" s="28"/>
      <c r="G240" s="90"/>
      <c r="H240" s="89"/>
      <c r="I240" s="90"/>
      <c r="J240" s="89"/>
      <c r="K240" s="28"/>
      <c r="L240" s="28"/>
      <c r="M240" s="28"/>
      <c r="N240" s="28"/>
      <c r="O240" s="28"/>
      <c r="P240" s="28"/>
      <c r="Q240" s="28"/>
      <c r="R240" s="28"/>
      <c r="S240" s="28"/>
      <c r="T240" s="3"/>
    </row>
    <row r="241" spans="1:20" ht="14.25" customHeight="1" x14ac:dyDescent="0.3">
      <c r="A241" s="3"/>
      <c r="B241" s="185"/>
      <c r="C241" s="28"/>
      <c r="D241" s="28"/>
      <c r="E241" s="28"/>
      <c r="F241" s="28"/>
      <c r="G241" s="90"/>
      <c r="H241" s="89"/>
      <c r="I241" s="90"/>
      <c r="J241" s="89"/>
      <c r="K241" s="28"/>
      <c r="L241" s="28"/>
      <c r="M241" s="28"/>
      <c r="N241" s="28"/>
      <c r="O241" s="28"/>
      <c r="P241" s="28"/>
      <c r="Q241" s="28"/>
      <c r="R241" s="28"/>
      <c r="S241" s="28"/>
      <c r="T241" s="3"/>
    </row>
    <row r="242" spans="1:20" ht="14.25" customHeight="1" x14ac:dyDescent="0.3">
      <c r="A242" s="3"/>
      <c r="B242" s="185"/>
      <c r="C242" s="28"/>
      <c r="D242" s="28"/>
      <c r="E242" s="28"/>
      <c r="F242" s="28"/>
      <c r="G242" s="90"/>
      <c r="H242" s="89"/>
      <c r="I242" s="90"/>
      <c r="J242" s="89"/>
      <c r="K242" s="28"/>
      <c r="L242" s="28"/>
      <c r="M242" s="28"/>
      <c r="N242" s="28"/>
      <c r="O242" s="28"/>
      <c r="P242" s="28"/>
      <c r="Q242" s="28"/>
      <c r="R242" s="28"/>
      <c r="S242" s="28"/>
      <c r="T242" s="3"/>
    </row>
    <row r="243" spans="1:20" ht="14.25" customHeight="1" x14ac:dyDescent="0.3">
      <c r="A243" s="3"/>
      <c r="B243" s="185"/>
      <c r="C243" s="28"/>
      <c r="D243" s="28"/>
      <c r="E243" s="28"/>
      <c r="F243" s="28"/>
      <c r="G243" s="90"/>
      <c r="H243" s="89"/>
      <c r="I243" s="90"/>
      <c r="J243" s="89"/>
      <c r="K243" s="28"/>
      <c r="L243" s="28"/>
      <c r="M243" s="28"/>
      <c r="N243" s="28"/>
      <c r="O243" s="28"/>
      <c r="P243" s="28"/>
      <c r="Q243" s="28"/>
      <c r="R243" s="28"/>
      <c r="S243" s="28"/>
      <c r="T243" s="3"/>
    </row>
    <row r="244" spans="1:20" ht="14.25" customHeight="1" x14ac:dyDescent="0.3">
      <c r="A244" s="3"/>
      <c r="B244" s="185"/>
      <c r="C244" s="28"/>
      <c r="D244" s="28"/>
      <c r="E244" s="28"/>
      <c r="F244" s="28"/>
      <c r="G244" s="90"/>
      <c r="H244" s="89"/>
      <c r="I244" s="90"/>
      <c r="J244" s="89"/>
      <c r="K244" s="28"/>
      <c r="L244" s="28"/>
      <c r="M244" s="28"/>
      <c r="N244" s="28"/>
      <c r="O244" s="28"/>
      <c r="P244" s="28"/>
      <c r="Q244" s="28"/>
      <c r="R244" s="28"/>
      <c r="S244" s="28"/>
      <c r="T244" s="3"/>
    </row>
    <row r="245" spans="1:20" ht="14.25" customHeight="1" x14ac:dyDescent="0.3">
      <c r="A245" s="3"/>
      <c r="B245" s="185"/>
      <c r="C245" s="28"/>
      <c r="D245" s="28"/>
      <c r="E245" s="28"/>
      <c r="F245" s="28"/>
      <c r="G245" s="90"/>
      <c r="H245" s="89"/>
      <c r="I245" s="90"/>
      <c r="J245" s="89"/>
      <c r="K245" s="28"/>
      <c r="L245" s="28"/>
      <c r="M245" s="28"/>
      <c r="N245" s="28"/>
      <c r="O245" s="28"/>
      <c r="P245" s="28"/>
      <c r="Q245" s="28"/>
      <c r="R245" s="28"/>
      <c r="S245" s="28"/>
      <c r="T245" s="3"/>
    </row>
    <row r="246" spans="1:20" ht="14.25" customHeight="1" x14ac:dyDescent="0.3">
      <c r="A246" s="3"/>
      <c r="B246" s="185"/>
      <c r="C246" s="28"/>
      <c r="D246" s="28"/>
      <c r="E246" s="28"/>
      <c r="F246" s="28"/>
      <c r="G246" s="90"/>
      <c r="H246" s="89"/>
      <c r="I246" s="90"/>
      <c r="J246" s="89"/>
      <c r="K246" s="28"/>
      <c r="L246" s="28"/>
      <c r="M246" s="28"/>
      <c r="N246" s="28"/>
      <c r="O246" s="28"/>
      <c r="P246" s="28"/>
      <c r="Q246" s="28"/>
      <c r="R246" s="28"/>
      <c r="S246" s="28"/>
      <c r="T246" s="3"/>
    </row>
    <row r="247" spans="1:20" ht="14.25" customHeight="1" x14ac:dyDescent="0.3">
      <c r="A247" s="3"/>
      <c r="B247" s="185"/>
      <c r="C247" s="28"/>
      <c r="D247" s="28"/>
      <c r="E247" s="28"/>
      <c r="F247" s="28"/>
      <c r="G247" s="90"/>
      <c r="H247" s="89"/>
      <c r="I247" s="90"/>
      <c r="J247" s="89"/>
      <c r="K247" s="28"/>
      <c r="L247" s="28"/>
      <c r="M247" s="28"/>
      <c r="N247" s="28"/>
      <c r="O247" s="28"/>
      <c r="P247" s="28"/>
      <c r="Q247" s="28"/>
      <c r="R247" s="28"/>
      <c r="S247" s="28"/>
      <c r="T247" s="3"/>
    </row>
    <row r="248" spans="1:20" ht="14.25" customHeight="1" x14ac:dyDescent="0.3">
      <c r="A248" s="3"/>
      <c r="B248" s="185"/>
      <c r="C248" s="28"/>
      <c r="D248" s="28"/>
      <c r="E248" s="28"/>
      <c r="F248" s="28"/>
      <c r="G248" s="90"/>
      <c r="H248" s="89"/>
      <c r="I248" s="90"/>
      <c r="J248" s="89"/>
      <c r="K248" s="28"/>
      <c r="L248" s="28"/>
      <c r="M248" s="28"/>
      <c r="N248" s="28"/>
      <c r="O248" s="28"/>
      <c r="P248" s="28"/>
      <c r="Q248" s="28"/>
      <c r="R248" s="28"/>
      <c r="S248" s="28"/>
      <c r="T248" s="3"/>
    </row>
    <row r="249" spans="1:20" ht="14.25" customHeight="1" x14ac:dyDescent="0.3">
      <c r="A249" s="3"/>
      <c r="B249" s="185"/>
      <c r="C249" s="28"/>
      <c r="D249" s="28"/>
      <c r="E249" s="28"/>
      <c r="F249" s="28"/>
      <c r="G249" s="90"/>
      <c r="H249" s="89"/>
      <c r="I249" s="90"/>
      <c r="J249" s="89"/>
      <c r="K249" s="28"/>
      <c r="L249" s="28"/>
      <c r="M249" s="28"/>
      <c r="N249" s="28"/>
      <c r="O249" s="28"/>
      <c r="P249" s="28"/>
      <c r="Q249" s="28"/>
      <c r="R249" s="28"/>
      <c r="S249" s="28"/>
      <c r="T249" s="3"/>
    </row>
    <row r="250" spans="1:20" ht="14.25" customHeight="1" x14ac:dyDescent="0.3">
      <c r="A250" s="3"/>
      <c r="B250" s="185"/>
      <c r="C250" s="28"/>
      <c r="D250" s="28"/>
      <c r="E250" s="28"/>
      <c r="F250" s="28"/>
      <c r="G250" s="90"/>
      <c r="H250" s="89"/>
      <c r="I250" s="90"/>
      <c r="J250" s="89"/>
      <c r="K250" s="28"/>
      <c r="L250" s="28"/>
      <c r="M250" s="28"/>
      <c r="N250" s="28"/>
      <c r="O250" s="28"/>
      <c r="P250" s="28"/>
      <c r="Q250" s="28"/>
      <c r="R250" s="28"/>
      <c r="S250" s="28"/>
      <c r="T250" s="3"/>
    </row>
    <row r="251" spans="1:20" ht="14.25" customHeight="1" x14ac:dyDescent="0.3">
      <c r="A251" s="3"/>
      <c r="B251" s="185"/>
      <c r="C251" s="28"/>
      <c r="D251" s="28"/>
      <c r="E251" s="28"/>
      <c r="F251" s="28"/>
      <c r="G251" s="90"/>
      <c r="H251" s="89"/>
      <c r="I251" s="90"/>
      <c r="J251" s="89"/>
      <c r="K251" s="28"/>
      <c r="L251" s="28"/>
      <c r="M251" s="28"/>
      <c r="N251" s="28"/>
      <c r="O251" s="28"/>
      <c r="P251" s="28"/>
      <c r="Q251" s="28"/>
      <c r="R251" s="28"/>
      <c r="S251" s="28"/>
      <c r="T251" s="3"/>
    </row>
    <row r="252" spans="1:20" ht="14.25" customHeight="1" x14ac:dyDescent="0.3">
      <c r="A252" s="3"/>
      <c r="B252" s="185"/>
      <c r="C252" s="28"/>
      <c r="D252" s="28"/>
      <c r="E252" s="28"/>
      <c r="F252" s="28"/>
      <c r="G252" s="90"/>
      <c r="H252" s="89"/>
      <c r="I252" s="90"/>
      <c r="J252" s="89"/>
      <c r="K252" s="28"/>
      <c r="L252" s="28"/>
      <c r="M252" s="28"/>
      <c r="N252" s="28"/>
      <c r="O252" s="28"/>
      <c r="P252" s="28"/>
      <c r="Q252" s="28"/>
      <c r="R252" s="28"/>
      <c r="S252" s="28"/>
      <c r="T252" s="3"/>
    </row>
    <row r="253" spans="1:20" ht="14.25" customHeight="1" x14ac:dyDescent="0.3">
      <c r="A253" s="3"/>
      <c r="B253" s="185"/>
      <c r="C253" s="28"/>
      <c r="D253" s="28"/>
      <c r="E253" s="28"/>
      <c r="F253" s="28"/>
      <c r="G253" s="90"/>
      <c r="H253" s="89"/>
      <c r="I253" s="90"/>
      <c r="J253" s="89"/>
      <c r="K253" s="28"/>
      <c r="L253" s="28"/>
      <c r="M253" s="28"/>
      <c r="N253" s="28"/>
      <c r="O253" s="28"/>
      <c r="P253" s="28"/>
      <c r="Q253" s="28"/>
      <c r="R253" s="28"/>
      <c r="S253" s="28"/>
      <c r="T253" s="3"/>
    </row>
    <row r="254" spans="1:20" ht="14.25" customHeight="1" x14ac:dyDescent="0.3">
      <c r="A254" s="3"/>
      <c r="B254" s="185"/>
      <c r="C254" s="28"/>
      <c r="D254" s="28"/>
      <c r="E254" s="28"/>
      <c r="F254" s="28"/>
      <c r="G254" s="90"/>
      <c r="H254" s="89"/>
      <c r="I254" s="90"/>
      <c r="J254" s="89"/>
      <c r="K254" s="28"/>
      <c r="L254" s="28"/>
      <c r="M254" s="28"/>
      <c r="N254" s="28"/>
      <c r="O254" s="28"/>
      <c r="P254" s="28"/>
      <c r="Q254" s="28"/>
      <c r="R254" s="28"/>
      <c r="S254" s="28"/>
      <c r="T254" s="3"/>
    </row>
    <row r="255" spans="1:20" ht="14.25" customHeight="1" x14ac:dyDescent="0.3">
      <c r="A255" s="3"/>
      <c r="B255" s="185"/>
      <c r="C255" s="28"/>
      <c r="D255" s="28"/>
      <c r="E255" s="28"/>
      <c r="F255" s="28"/>
      <c r="G255" s="90"/>
      <c r="H255" s="89"/>
      <c r="I255" s="90"/>
      <c r="J255" s="89"/>
      <c r="K255" s="28"/>
      <c r="L255" s="28"/>
      <c r="M255" s="28"/>
      <c r="N255" s="28"/>
      <c r="O255" s="28"/>
      <c r="P255" s="28"/>
      <c r="Q255" s="28"/>
      <c r="R255" s="28"/>
      <c r="S255" s="28"/>
      <c r="T255" s="3"/>
    </row>
    <row r="256" spans="1:20" ht="14.25" customHeight="1" x14ac:dyDescent="0.3">
      <c r="A256" s="3"/>
      <c r="B256" s="185"/>
      <c r="C256" s="28"/>
      <c r="D256" s="28"/>
      <c r="E256" s="28"/>
      <c r="F256" s="28"/>
      <c r="G256" s="90"/>
      <c r="H256" s="89"/>
      <c r="I256" s="90"/>
      <c r="J256" s="89"/>
      <c r="K256" s="28"/>
      <c r="L256" s="28"/>
      <c r="M256" s="28"/>
      <c r="N256" s="28"/>
      <c r="O256" s="28"/>
      <c r="P256" s="28"/>
      <c r="Q256" s="28"/>
      <c r="R256" s="28"/>
      <c r="S256" s="28"/>
      <c r="T256" s="3"/>
    </row>
    <row r="257" spans="1:20" ht="14.25" customHeight="1" x14ac:dyDescent="0.3">
      <c r="A257" s="3"/>
      <c r="B257" s="185"/>
      <c r="C257" s="28"/>
      <c r="D257" s="28"/>
      <c r="E257" s="28"/>
      <c r="F257" s="28"/>
      <c r="G257" s="90"/>
      <c r="H257" s="89"/>
      <c r="I257" s="90"/>
      <c r="J257" s="89"/>
      <c r="K257" s="28"/>
      <c r="L257" s="28"/>
      <c r="M257" s="28"/>
      <c r="N257" s="28"/>
      <c r="O257" s="28"/>
      <c r="P257" s="28"/>
      <c r="Q257" s="28"/>
      <c r="R257" s="28"/>
      <c r="S257" s="28"/>
      <c r="T257" s="3"/>
    </row>
    <row r="258" spans="1:20" ht="14.25" customHeight="1" x14ac:dyDescent="0.3">
      <c r="A258" s="3"/>
      <c r="B258" s="185"/>
      <c r="C258" s="28"/>
      <c r="D258" s="28"/>
      <c r="E258" s="28"/>
      <c r="F258" s="28"/>
      <c r="G258" s="90"/>
      <c r="H258" s="89"/>
      <c r="I258" s="90"/>
      <c r="J258" s="89"/>
      <c r="K258" s="28"/>
      <c r="L258" s="28"/>
      <c r="M258" s="28"/>
      <c r="N258" s="28"/>
      <c r="O258" s="28"/>
      <c r="P258" s="28"/>
      <c r="Q258" s="28"/>
      <c r="R258" s="28"/>
      <c r="S258" s="28"/>
      <c r="T258" s="3"/>
    </row>
    <row r="259" spans="1:20" ht="14.25" customHeight="1" x14ac:dyDescent="0.3">
      <c r="A259" s="3"/>
      <c r="B259" s="185"/>
      <c r="C259" s="28"/>
      <c r="D259" s="28"/>
      <c r="E259" s="28"/>
      <c r="F259" s="28"/>
      <c r="G259" s="90"/>
      <c r="H259" s="89"/>
      <c r="I259" s="90"/>
      <c r="J259" s="89"/>
      <c r="K259" s="28"/>
      <c r="L259" s="28"/>
      <c r="M259" s="28"/>
      <c r="N259" s="28"/>
      <c r="O259" s="28"/>
      <c r="P259" s="28"/>
      <c r="Q259" s="28"/>
      <c r="R259" s="28"/>
      <c r="S259" s="28"/>
      <c r="T259" s="3"/>
    </row>
    <row r="260" spans="1:20" ht="14.25" customHeight="1" x14ac:dyDescent="0.3">
      <c r="A260" s="3"/>
      <c r="B260" s="185"/>
      <c r="C260" s="28"/>
      <c r="D260" s="28"/>
      <c r="E260" s="28"/>
      <c r="F260" s="28"/>
      <c r="G260" s="90"/>
      <c r="H260" s="89"/>
      <c r="I260" s="90"/>
      <c r="J260" s="89"/>
      <c r="K260" s="28"/>
      <c r="L260" s="28"/>
      <c r="M260" s="28"/>
      <c r="N260" s="28"/>
      <c r="O260" s="28"/>
      <c r="P260" s="28"/>
      <c r="Q260" s="28"/>
      <c r="R260" s="28"/>
      <c r="S260" s="28"/>
      <c r="T260" s="3"/>
    </row>
    <row r="261" spans="1:20" ht="14.25" customHeight="1" x14ac:dyDescent="0.3">
      <c r="A261" s="3"/>
      <c r="B261" s="185"/>
      <c r="C261" s="28"/>
      <c r="D261" s="28"/>
      <c r="E261" s="28"/>
      <c r="F261" s="28"/>
      <c r="G261" s="90"/>
      <c r="H261" s="89"/>
      <c r="I261" s="90"/>
      <c r="J261" s="89"/>
      <c r="K261" s="28"/>
      <c r="L261" s="28"/>
      <c r="M261" s="28"/>
      <c r="N261" s="28"/>
      <c r="O261" s="28"/>
      <c r="P261" s="28"/>
      <c r="Q261" s="28"/>
      <c r="R261" s="28"/>
      <c r="S261" s="28"/>
      <c r="T261" s="3"/>
    </row>
    <row r="262" spans="1:20" ht="14.25" customHeight="1" x14ac:dyDescent="0.3">
      <c r="A262" s="3"/>
      <c r="B262" s="185"/>
      <c r="C262" s="28"/>
      <c r="D262" s="28"/>
      <c r="E262" s="28"/>
      <c r="F262" s="28"/>
      <c r="G262" s="90"/>
      <c r="H262" s="89"/>
      <c r="I262" s="90"/>
      <c r="J262" s="89"/>
      <c r="K262" s="28"/>
      <c r="L262" s="28"/>
      <c r="M262" s="28"/>
      <c r="N262" s="28"/>
      <c r="O262" s="28"/>
      <c r="P262" s="28"/>
      <c r="Q262" s="28"/>
      <c r="R262" s="28"/>
      <c r="S262" s="28"/>
      <c r="T262" s="3"/>
    </row>
    <row r="263" spans="1:20" ht="14.25" customHeight="1" x14ac:dyDescent="0.3">
      <c r="A263" s="3"/>
      <c r="B263" s="185"/>
      <c r="C263" s="28"/>
      <c r="D263" s="28"/>
      <c r="E263" s="28"/>
      <c r="F263" s="28"/>
      <c r="G263" s="90"/>
      <c r="H263" s="89"/>
      <c r="I263" s="90"/>
      <c r="J263" s="89"/>
      <c r="K263" s="28"/>
      <c r="L263" s="28"/>
      <c r="M263" s="28"/>
      <c r="N263" s="28"/>
      <c r="O263" s="28"/>
      <c r="P263" s="28"/>
      <c r="Q263" s="28"/>
      <c r="R263" s="28"/>
      <c r="S263" s="28"/>
      <c r="T263" s="3"/>
    </row>
    <row r="264" spans="1:20" ht="14.25" customHeight="1" x14ac:dyDescent="0.3">
      <c r="A264" s="3"/>
      <c r="B264" s="185"/>
      <c r="C264" s="28"/>
      <c r="D264" s="28"/>
      <c r="E264" s="28"/>
      <c r="F264" s="28"/>
      <c r="G264" s="90"/>
      <c r="H264" s="89"/>
      <c r="I264" s="90"/>
      <c r="J264" s="89"/>
      <c r="K264" s="28"/>
      <c r="L264" s="28"/>
      <c r="M264" s="28"/>
      <c r="N264" s="28"/>
      <c r="O264" s="28"/>
      <c r="P264" s="28"/>
      <c r="Q264" s="28"/>
      <c r="R264" s="28"/>
      <c r="S264" s="28"/>
      <c r="T264" s="3"/>
    </row>
    <row r="265" spans="1:20" ht="14.25" customHeight="1" x14ac:dyDescent="0.3">
      <c r="A265" s="3"/>
      <c r="B265" s="185"/>
      <c r="C265" s="28"/>
      <c r="D265" s="28"/>
      <c r="E265" s="28"/>
      <c r="F265" s="28"/>
      <c r="G265" s="90"/>
      <c r="H265" s="89"/>
      <c r="I265" s="90"/>
      <c r="J265" s="89"/>
      <c r="K265" s="28"/>
      <c r="L265" s="28"/>
      <c r="M265" s="28"/>
      <c r="N265" s="28"/>
      <c r="O265" s="28"/>
      <c r="P265" s="28"/>
      <c r="Q265" s="28"/>
      <c r="R265" s="28"/>
      <c r="S265" s="28"/>
      <c r="T265" s="3"/>
    </row>
    <row r="266" spans="1:20" ht="14.25" customHeight="1" x14ac:dyDescent="0.3">
      <c r="A266" s="3"/>
      <c r="B266" s="185"/>
      <c r="C266" s="28"/>
      <c r="D266" s="28"/>
      <c r="E266" s="28"/>
      <c r="F266" s="28"/>
      <c r="G266" s="90"/>
      <c r="H266" s="89"/>
      <c r="I266" s="90"/>
      <c r="J266" s="89"/>
      <c r="K266" s="28"/>
      <c r="L266" s="28"/>
      <c r="M266" s="28"/>
      <c r="N266" s="28"/>
      <c r="O266" s="28"/>
      <c r="P266" s="28"/>
      <c r="Q266" s="28"/>
      <c r="R266" s="28"/>
      <c r="S266" s="28"/>
      <c r="T266" s="3"/>
    </row>
    <row r="267" spans="1:20" ht="14.25" customHeight="1" x14ac:dyDescent="0.3">
      <c r="A267" s="3"/>
      <c r="B267" s="185"/>
      <c r="C267" s="28"/>
      <c r="D267" s="28"/>
      <c r="E267" s="28"/>
      <c r="F267" s="28"/>
      <c r="G267" s="90"/>
      <c r="H267" s="89"/>
      <c r="I267" s="90"/>
      <c r="J267" s="89"/>
      <c r="K267" s="28"/>
      <c r="L267" s="28"/>
      <c r="M267" s="28"/>
      <c r="N267" s="28"/>
      <c r="O267" s="28"/>
      <c r="P267" s="28"/>
      <c r="Q267" s="28"/>
      <c r="R267" s="28"/>
      <c r="S267" s="28"/>
      <c r="T267" s="3"/>
    </row>
    <row r="268" spans="1:20" ht="14.25" customHeight="1" x14ac:dyDescent="0.3">
      <c r="A268" s="3"/>
      <c r="B268" s="185"/>
      <c r="C268" s="28"/>
      <c r="D268" s="28"/>
      <c r="E268" s="28"/>
      <c r="F268" s="28"/>
      <c r="G268" s="90"/>
      <c r="H268" s="89"/>
      <c r="I268" s="90"/>
      <c r="J268" s="89"/>
      <c r="K268" s="28"/>
      <c r="L268" s="28"/>
      <c r="M268" s="28"/>
      <c r="N268" s="28"/>
      <c r="O268" s="28"/>
      <c r="P268" s="28"/>
      <c r="Q268" s="28"/>
      <c r="R268" s="28"/>
      <c r="S268" s="28"/>
      <c r="T268" s="3"/>
    </row>
    <row r="269" spans="1:20" ht="14.25" customHeight="1" x14ac:dyDescent="0.3">
      <c r="A269" s="3"/>
      <c r="B269" s="185"/>
      <c r="C269" s="28"/>
      <c r="D269" s="28"/>
      <c r="E269" s="28"/>
      <c r="F269" s="28"/>
      <c r="G269" s="90"/>
      <c r="H269" s="89"/>
      <c r="I269" s="90"/>
      <c r="J269" s="89"/>
      <c r="K269" s="28"/>
      <c r="L269" s="28"/>
      <c r="M269" s="28"/>
      <c r="N269" s="28"/>
      <c r="O269" s="28"/>
      <c r="P269" s="28"/>
      <c r="Q269" s="28"/>
      <c r="R269" s="28"/>
      <c r="S269" s="28"/>
      <c r="T269" s="3"/>
    </row>
    <row r="270" spans="1:20" ht="14.25" customHeight="1" x14ac:dyDescent="0.3">
      <c r="A270" s="3"/>
      <c r="B270" s="185"/>
      <c r="C270" s="28"/>
      <c r="D270" s="28"/>
      <c r="E270" s="28"/>
      <c r="F270" s="28"/>
      <c r="G270" s="90"/>
      <c r="H270" s="89"/>
      <c r="I270" s="90"/>
      <c r="J270" s="89"/>
      <c r="K270" s="28"/>
      <c r="L270" s="28"/>
      <c r="M270" s="28"/>
      <c r="N270" s="28"/>
      <c r="O270" s="28"/>
      <c r="P270" s="28"/>
      <c r="Q270" s="28"/>
      <c r="R270" s="28"/>
      <c r="S270" s="28"/>
      <c r="T270" s="3"/>
    </row>
    <row r="271" spans="1:20" ht="14.25" customHeight="1" x14ac:dyDescent="0.3">
      <c r="A271" s="3"/>
      <c r="B271" s="185"/>
      <c r="C271" s="28"/>
      <c r="D271" s="28"/>
      <c r="E271" s="28"/>
      <c r="F271" s="28"/>
      <c r="G271" s="90"/>
      <c r="H271" s="89"/>
      <c r="I271" s="90"/>
      <c r="J271" s="89"/>
      <c r="K271" s="28"/>
      <c r="L271" s="28"/>
      <c r="M271" s="28"/>
      <c r="N271" s="28"/>
      <c r="O271" s="28"/>
      <c r="P271" s="28"/>
      <c r="Q271" s="28"/>
      <c r="R271" s="28"/>
      <c r="S271" s="28"/>
      <c r="T271" s="3"/>
    </row>
    <row r="272" spans="1:20" ht="14.25" customHeight="1" x14ac:dyDescent="0.3">
      <c r="A272" s="3"/>
      <c r="B272" s="185"/>
      <c r="C272" s="28"/>
      <c r="D272" s="28"/>
      <c r="E272" s="28"/>
      <c r="F272" s="28"/>
      <c r="G272" s="90"/>
      <c r="H272" s="89"/>
      <c r="I272" s="90"/>
      <c r="J272" s="89"/>
      <c r="K272" s="28"/>
      <c r="L272" s="28"/>
      <c r="M272" s="28"/>
      <c r="N272" s="28"/>
      <c r="O272" s="28"/>
      <c r="P272" s="28"/>
      <c r="Q272" s="28"/>
      <c r="R272" s="28"/>
      <c r="S272" s="28"/>
      <c r="T272" s="3"/>
    </row>
    <row r="273" spans="1:20" ht="14.25" customHeight="1" x14ac:dyDescent="0.3">
      <c r="A273" s="3"/>
      <c r="B273" s="185"/>
      <c r="C273" s="28"/>
      <c r="D273" s="28"/>
      <c r="E273" s="28"/>
      <c r="F273" s="28"/>
      <c r="G273" s="90"/>
      <c r="H273" s="89"/>
      <c r="I273" s="90"/>
      <c r="J273" s="89"/>
      <c r="K273" s="28"/>
      <c r="L273" s="28"/>
      <c r="M273" s="28"/>
      <c r="N273" s="28"/>
      <c r="O273" s="28"/>
      <c r="P273" s="28"/>
      <c r="Q273" s="28"/>
      <c r="R273" s="28"/>
      <c r="S273" s="28"/>
      <c r="T273" s="3"/>
    </row>
    <row r="274" spans="1:20" ht="14.25" customHeight="1" x14ac:dyDescent="0.3">
      <c r="A274" s="3"/>
      <c r="B274" s="185"/>
      <c r="C274" s="28"/>
      <c r="D274" s="28"/>
      <c r="E274" s="28"/>
      <c r="F274" s="28"/>
      <c r="G274" s="90"/>
      <c r="H274" s="89"/>
      <c r="I274" s="90"/>
      <c r="J274" s="89"/>
      <c r="K274" s="28"/>
      <c r="L274" s="28"/>
      <c r="M274" s="28"/>
      <c r="N274" s="28"/>
      <c r="O274" s="28"/>
      <c r="P274" s="28"/>
      <c r="Q274" s="28"/>
      <c r="R274" s="28"/>
      <c r="S274" s="28"/>
      <c r="T274" s="3"/>
    </row>
    <row r="275" spans="1:20" ht="14.25" customHeight="1" x14ac:dyDescent="0.3">
      <c r="A275" s="3"/>
      <c r="B275" s="185"/>
      <c r="C275" s="28"/>
      <c r="D275" s="28"/>
      <c r="E275" s="28"/>
      <c r="F275" s="28"/>
      <c r="G275" s="90"/>
      <c r="H275" s="89"/>
      <c r="I275" s="90"/>
      <c r="J275" s="89"/>
      <c r="K275" s="28"/>
      <c r="L275" s="28"/>
      <c r="M275" s="28"/>
      <c r="N275" s="28"/>
      <c r="O275" s="28"/>
      <c r="P275" s="28"/>
      <c r="Q275" s="28"/>
      <c r="R275" s="28"/>
      <c r="S275" s="28"/>
      <c r="T275" s="3"/>
    </row>
    <row r="276" spans="1:20" ht="14.25" customHeight="1" x14ac:dyDescent="0.3">
      <c r="A276" s="3"/>
      <c r="B276" s="185"/>
      <c r="C276" s="28"/>
      <c r="D276" s="28"/>
      <c r="E276" s="28"/>
      <c r="F276" s="28"/>
      <c r="G276" s="90"/>
      <c r="H276" s="89"/>
      <c r="I276" s="90"/>
      <c r="J276" s="89"/>
      <c r="K276" s="28"/>
      <c r="L276" s="28"/>
      <c r="M276" s="28"/>
      <c r="N276" s="28"/>
      <c r="O276" s="28"/>
      <c r="P276" s="28"/>
      <c r="Q276" s="28"/>
      <c r="R276" s="28"/>
      <c r="S276" s="28"/>
      <c r="T276" s="3"/>
    </row>
    <row r="277" spans="1:20" ht="14.25" customHeight="1" x14ac:dyDescent="0.3">
      <c r="A277" s="3"/>
      <c r="B277" s="185"/>
      <c r="C277" s="28"/>
      <c r="D277" s="28"/>
      <c r="E277" s="28"/>
      <c r="F277" s="28"/>
      <c r="G277" s="90"/>
      <c r="H277" s="89"/>
      <c r="I277" s="90"/>
      <c r="J277" s="89"/>
      <c r="K277" s="28"/>
      <c r="L277" s="28"/>
      <c r="M277" s="28"/>
      <c r="N277" s="28"/>
      <c r="O277" s="28"/>
      <c r="P277" s="28"/>
      <c r="Q277" s="28"/>
      <c r="R277" s="28"/>
      <c r="S277" s="28"/>
      <c r="T277" s="3"/>
    </row>
    <row r="278" spans="1:20" ht="14.25" customHeight="1" x14ac:dyDescent="0.3">
      <c r="A278" s="3"/>
      <c r="B278" s="185"/>
      <c r="C278" s="28"/>
      <c r="D278" s="28"/>
      <c r="E278" s="28"/>
      <c r="F278" s="28"/>
      <c r="G278" s="90"/>
      <c r="H278" s="89"/>
      <c r="I278" s="90"/>
      <c r="J278" s="89"/>
      <c r="K278" s="28"/>
      <c r="L278" s="28"/>
      <c r="M278" s="28"/>
      <c r="N278" s="28"/>
      <c r="O278" s="28"/>
      <c r="P278" s="28"/>
      <c r="Q278" s="28"/>
      <c r="R278" s="28"/>
      <c r="S278" s="28"/>
      <c r="T278" s="3"/>
    </row>
    <row r="279" spans="1:20" ht="14.25" customHeight="1" x14ac:dyDescent="0.3">
      <c r="A279" s="3"/>
      <c r="B279" s="185"/>
      <c r="C279" s="28"/>
      <c r="D279" s="28"/>
      <c r="E279" s="28"/>
      <c r="F279" s="28"/>
      <c r="G279" s="90"/>
      <c r="H279" s="89"/>
      <c r="I279" s="90"/>
      <c r="J279" s="89"/>
      <c r="K279" s="28"/>
      <c r="L279" s="28"/>
      <c r="M279" s="28"/>
      <c r="N279" s="28"/>
      <c r="O279" s="28"/>
      <c r="P279" s="28"/>
      <c r="Q279" s="28"/>
      <c r="R279" s="28"/>
      <c r="S279" s="28"/>
      <c r="T279" s="3"/>
    </row>
    <row r="280" spans="1:20" ht="14.25" customHeight="1" x14ac:dyDescent="0.3">
      <c r="A280" s="3"/>
      <c r="B280" s="185"/>
      <c r="C280" s="28"/>
      <c r="D280" s="28"/>
      <c r="E280" s="28"/>
      <c r="F280" s="28"/>
      <c r="G280" s="90"/>
      <c r="H280" s="89"/>
      <c r="I280" s="90"/>
      <c r="J280" s="89"/>
      <c r="K280" s="28"/>
      <c r="L280" s="28"/>
      <c r="M280" s="28"/>
      <c r="N280" s="28"/>
      <c r="O280" s="28"/>
      <c r="P280" s="28"/>
      <c r="Q280" s="28"/>
      <c r="R280" s="28"/>
      <c r="S280" s="28"/>
      <c r="T280" s="3"/>
    </row>
    <row r="281" spans="1:20" ht="14.25" customHeight="1" x14ac:dyDescent="0.3">
      <c r="A281" s="3"/>
      <c r="B281" s="185"/>
      <c r="C281" s="28"/>
      <c r="D281" s="28"/>
      <c r="E281" s="28"/>
      <c r="F281" s="28"/>
      <c r="G281" s="90"/>
      <c r="H281" s="89"/>
      <c r="I281" s="90"/>
      <c r="J281" s="89"/>
      <c r="K281" s="28"/>
      <c r="L281" s="28"/>
      <c r="M281" s="28"/>
      <c r="N281" s="28"/>
      <c r="O281" s="28"/>
      <c r="P281" s="28"/>
      <c r="Q281" s="28"/>
      <c r="R281" s="28"/>
      <c r="S281" s="28"/>
      <c r="T281" s="3"/>
    </row>
    <row r="282" spans="1:20" ht="14.25" customHeight="1" x14ac:dyDescent="0.3">
      <c r="A282" s="3"/>
      <c r="B282" s="185"/>
      <c r="C282" s="28"/>
      <c r="D282" s="28"/>
      <c r="E282" s="28"/>
      <c r="F282" s="28"/>
      <c r="G282" s="90"/>
      <c r="H282" s="89"/>
      <c r="I282" s="90"/>
      <c r="J282" s="89"/>
      <c r="K282" s="28"/>
      <c r="L282" s="28"/>
      <c r="M282" s="28"/>
      <c r="N282" s="28"/>
      <c r="O282" s="28"/>
      <c r="P282" s="28"/>
      <c r="Q282" s="28"/>
      <c r="R282" s="28"/>
      <c r="S282" s="28"/>
      <c r="T282" s="3"/>
    </row>
    <row r="283" spans="1:20" ht="14.25" customHeight="1" x14ac:dyDescent="0.3">
      <c r="A283" s="3"/>
      <c r="B283" s="185"/>
      <c r="C283" s="28"/>
      <c r="D283" s="28"/>
      <c r="E283" s="28"/>
      <c r="F283" s="28"/>
      <c r="G283" s="90"/>
      <c r="H283" s="89"/>
      <c r="I283" s="90"/>
      <c r="J283" s="89"/>
      <c r="K283" s="28"/>
      <c r="L283" s="28"/>
      <c r="M283" s="28"/>
      <c r="N283" s="28"/>
      <c r="O283" s="28"/>
      <c r="P283" s="28"/>
      <c r="Q283" s="28"/>
      <c r="R283" s="28"/>
      <c r="S283" s="28"/>
      <c r="T283" s="3"/>
    </row>
    <row r="284" spans="1:20" ht="14.25" customHeight="1" x14ac:dyDescent="0.3">
      <c r="A284" s="3"/>
      <c r="B284" s="185"/>
      <c r="C284" s="28"/>
      <c r="D284" s="28"/>
      <c r="E284" s="28"/>
      <c r="F284" s="28"/>
      <c r="G284" s="90"/>
      <c r="H284" s="89"/>
      <c r="I284" s="90"/>
      <c r="J284" s="89"/>
      <c r="K284" s="28"/>
      <c r="L284" s="28"/>
      <c r="M284" s="28"/>
      <c r="N284" s="28"/>
      <c r="O284" s="28"/>
      <c r="P284" s="28"/>
      <c r="Q284" s="28"/>
      <c r="R284" s="28"/>
      <c r="S284" s="28"/>
      <c r="T284" s="3"/>
    </row>
    <row r="285" spans="1:20" ht="14.25" customHeight="1" x14ac:dyDescent="0.3">
      <c r="A285" s="3"/>
      <c r="B285" s="185"/>
      <c r="C285" s="28"/>
      <c r="D285" s="28"/>
      <c r="E285" s="28"/>
      <c r="F285" s="28"/>
      <c r="G285" s="90"/>
      <c r="H285" s="89"/>
      <c r="I285" s="90"/>
      <c r="J285" s="89"/>
      <c r="K285" s="28"/>
      <c r="L285" s="28"/>
      <c r="M285" s="28"/>
      <c r="N285" s="28"/>
      <c r="O285" s="28"/>
      <c r="P285" s="28"/>
      <c r="Q285" s="28"/>
      <c r="R285" s="28"/>
      <c r="S285" s="28"/>
      <c r="T285" s="3"/>
    </row>
    <row r="286" spans="1:20" ht="14.25" customHeight="1" x14ac:dyDescent="0.3"/>
    <row r="287" spans="1:20" ht="14.25" customHeight="1" x14ac:dyDescent="0.3"/>
    <row r="288" spans="1:20"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sheetData>
  <autoFilter ref="C5:F85" xr:uid="{00000000-0009-0000-0000-00001F000000}"/>
  <mergeCells count="11">
    <mergeCell ref="J4:J5"/>
    <mergeCell ref="I17:I21"/>
    <mergeCell ref="G17:G21"/>
    <mergeCell ref="G22:G25"/>
    <mergeCell ref="I22:I25"/>
    <mergeCell ref="B88:I88"/>
    <mergeCell ref="B2:B3"/>
    <mergeCell ref="C2:F3"/>
    <mergeCell ref="B4:B5"/>
    <mergeCell ref="H4:H5"/>
    <mergeCell ref="I4:I5"/>
  </mergeCells>
  <dataValidations count="1">
    <dataValidation type="list" allowBlank="1" showErrorMessage="1" sqref="D76 D85 D7:D29 D31:D36 D38:D73 D78:D82" xr:uid="{00000000-0002-0000-1F00-000001000000}">
      <formula1>"OK,Parcial,Pendente"</formula1>
    </dataValidation>
  </dataValidations>
  <hyperlinks>
    <hyperlink ref="I85" r:id="rId1" xr:uid="{4EE7FF7D-6E69-42A3-AB46-7FBD5D472C7F}"/>
    <hyperlink ref="I69" r:id="rId2" xr:uid="{7B71BFCE-4B9A-4FA2-A7F9-449CC20AEEAB}"/>
    <hyperlink ref="I70" r:id="rId3" xr:uid="{89C9A1EA-5027-4B84-89E8-7FAAB3B89447}"/>
    <hyperlink ref="I71" r:id="rId4" xr:uid="{0F1EAF59-EBC9-42B1-90BD-CB0B8998BB75}"/>
    <hyperlink ref="I72" r:id="rId5" xr:uid="{F90F7758-2B4C-4985-A642-979EEFDA5A7B}"/>
    <hyperlink ref="I42" r:id="rId6" xr:uid="{9DF126B3-1880-43AF-B2DB-BDC4E6AAB98E}"/>
    <hyperlink ref="I41" r:id="rId7" xr:uid="{FCE569B7-3D6F-4D27-8489-7179F744483C}"/>
    <hyperlink ref="I44" r:id="rId8" xr:uid="{87E63FF5-2EC6-4477-ADA1-455CD2FD0229}"/>
    <hyperlink ref="I43" r:id="rId9" xr:uid="{AA0719B6-A4AB-41DA-9248-C875EE2B8EB1}"/>
    <hyperlink ref="I54" r:id="rId10" xr:uid="{9A405D0A-23C2-4AEC-AC80-C23E0F63CB67}"/>
    <hyperlink ref="I33" r:id="rId11" xr:uid="{E74D9100-444F-4993-A1D1-CFA50458BE52}"/>
    <hyperlink ref="I36" r:id="rId12" xr:uid="{BECDEB22-E0F9-4E9F-9462-DDC2F5A7D083}"/>
    <hyperlink ref="I73" r:id="rId13" xr:uid="{56813B0E-5BE4-483B-B1E3-749929A0537E}"/>
    <hyperlink ref="I59" r:id="rId14" xr:uid="{7D017115-D97E-4D49-96A8-134DB725231C}"/>
    <hyperlink ref="I58" r:id="rId15" xr:uid="{DE4BB3F9-5F08-480F-A9C3-E84BA4214A06}"/>
    <hyperlink ref="I60" r:id="rId16" xr:uid="{5F76E354-0526-40B7-918B-4E14F47FB48F}"/>
    <hyperlink ref="I57" r:id="rId17" xr:uid="{E706E6BC-8321-48A1-871C-7D930017651C}"/>
    <hyperlink ref="I63" r:id="rId18" xr:uid="{4297AB91-1591-4814-ADAD-B1EA25C7CC95}"/>
    <hyperlink ref="I48" r:id="rId19" xr:uid="{69460D69-34E9-46FE-8907-035FA569AC5A}"/>
    <hyperlink ref="I38" r:id="rId20" xr:uid="{A9C7E07D-7220-44F3-8F7B-8A8DF195BBA0}"/>
    <hyperlink ref="I40" r:id="rId21" xr:uid="{09AB2745-DBD6-43D2-8150-5B3995B59047}"/>
    <hyperlink ref="I46" r:id="rId22" xr:uid="{196E7ED1-A0D6-41BE-9C58-A5D425441BAD}"/>
    <hyperlink ref="I65" r:id="rId23" xr:uid="{6634B5F2-2CEE-404A-9612-FA6D2047E69A}"/>
    <hyperlink ref="I67" r:id="rId24" xr:uid="{8FB3279A-2D9A-408D-9168-8000D858742F}"/>
    <hyperlink ref="I68" r:id="rId25" xr:uid="{1177D9FE-8083-45CB-9E2E-FC3E89F96D63}"/>
    <hyperlink ref="I66" r:id="rId26" xr:uid="{3A0DBE84-95D4-4A3B-B451-0659E2E731D6}"/>
    <hyperlink ref="I47" r:id="rId27" xr:uid="{07CD05BB-CFFE-4222-895A-5DAAFCF1B127}"/>
    <hyperlink ref="I52" r:id="rId28" xr:uid="{E34B2CE4-887F-4E4E-9439-4C4D6048144C}"/>
    <hyperlink ref="I56" r:id="rId29" xr:uid="{FC121EF0-8A24-4730-A080-DCB5DB50DAA0}"/>
    <hyperlink ref="I53" r:id="rId30" xr:uid="{F7597887-15FD-4D19-A284-71237460E2C0}"/>
    <hyperlink ref="I31" r:id="rId31" xr:uid="{2947488E-FA9F-4CC4-A749-C5585F6B8F5A}"/>
    <hyperlink ref="I26" r:id="rId32" xr:uid="{7EA60BED-868A-479C-8DC1-F3811797438A}"/>
    <hyperlink ref="I22" r:id="rId33" xr:uid="{D2537D2D-E0D2-4A35-B9C6-0AA8D5DF12DD}"/>
    <hyperlink ref="I17" r:id="rId34" xr:uid="{6D2CA4FB-76A4-4986-9178-E2421CF6A6B3}"/>
    <hyperlink ref="I11" r:id="rId35" xr:uid="{B5580CE0-D24E-4257-A10D-6CC5B264317B}"/>
    <hyperlink ref="I10" r:id="rId36" xr:uid="{38D03588-1961-4351-B21C-C9A3CF9E158E}"/>
    <hyperlink ref="I9" r:id="rId37" xr:uid="{BF1BDA51-AA45-4702-BA32-7A7B3062D5B4}"/>
    <hyperlink ref="I12" r:id="rId38" xr:uid="{8A407305-1A5B-4E85-98B9-E025C668FD6F}"/>
    <hyperlink ref="I13" r:id="rId39" xr:uid="{00F2A196-CC33-4953-B11B-61E811F56F23}"/>
    <hyperlink ref="I62" r:id="rId40" xr:uid="{B693F89E-AE5D-45EF-9975-3C2887AF46C4}"/>
    <hyperlink ref="I76" r:id="rId41" xr:uid="{1877DE50-8F36-47DC-8B33-3D64C151026D}"/>
    <hyperlink ref="I15" r:id="rId42" xr:uid="{0DEF9DC6-689B-43CF-B411-8E5DC46361D7}"/>
    <hyperlink ref="I14" r:id="rId43" xr:uid="{DA24226D-B23F-4A6B-A7D1-C2D5C7DDBA27}"/>
    <hyperlink ref="I27" r:id="rId44" xr:uid="{714D7AC3-171D-4B8C-8049-77C34C49F764}"/>
    <hyperlink ref="I82" r:id="rId45" xr:uid="{24C3AB55-5ABF-4888-99D8-66C24F456504}"/>
    <hyperlink ref="I34" r:id="rId46" xr:uid="{0A7BF0DE-D5F2-4E02-B865-F724EF820C48}"/>
    <hyperlink ref="I64" r:id="rId47" xr:uid="{5710374D-D9BC-47F3-AEEE-7C771B247BED}"/>
    <hyperlink ref="I29" r:id="rId48" xr:uid="{C8C4BA64-6FC8-477A-983C-004549CA8FE6}"/>
    <hyperlink ref="I39" r:id="rId49" xr:uid="{168A1F4B-6230-45A2-8CB3-5B21EA6B9B06}"/>
    <hyperlink ref="I45" r:id="rId50" xr:uid="{93BD0ADB-089E-45DB-9B66-252D0448BC4F}"/>
    <hyperlink ref="I51" r:id="rId51" xr:uid="{215CD8E6-BDAB-475F-947E-6EE0FAA6DB0D}"/>
    <hyperlink ref="I80" r:id="rId52" xr:uid="{261CADB8-0F97-4A6C-99EE-813342CDAE11}"/>
    <hyperlink ref="I35" r:id="rId53" xr:uid="{BF5FDB95-B2C0-4D75-972F-A3A401ED5714}"/>
    <hyperlink ref="I32" r:id="rId54" xr:uid="{92D9F448-87AF-4D93-A586-1ABE790C3BF5}"/>
    <hyperlink ref="I8" r:id="rId55" xr:uid="{A84A379C-3EEE-4499-B5DD-07E3DCF9DD89}"/>
    <hyperlink ref="I7" r:id="rId56" xr:uid="{925FB93B-8AF4-470F-98D0-3A544D40F83C}"/>
  </hyperlinks>
  <pageMargins left="0.23622047244094491" right="0.23622047244094491" top="0.74803149606299213" bottom="0.74803149606299213" header="0.31496062992125984" footer="0.31496062992125984"/>
  <pageSetup paperSize="9" scale="90" orientation="landscape" r:id="rId57"/>
  <extLst>
    <ext xmlns:x14="http://schemas.microsoft.com/office/spreadsheetml/2009/9/main" uri="{CCE6A557-97BC-4b89-ADB6-D9C93CAAB3DF}">
      <x14:dataValidations xmlns:xm="http://schemas.microsoft.com/office/excel/2006/main" count="3">
        <x14:dataValidation type="list" allowBlank="1" showErrorMessage="1" xr:uid="{00000000-0002-0000-1F00-000000000000}">
          <x14:formula1>
            <xm:f>Caixa!$B$5:$B$8</xm:f>
          </x14:formula1>
          <xm:sqref>H7:H15 H29 H51:H54 H56:H73 H76 H78 H80 H82 H85 H17:H27 H31:H36 H38:H48</xm:sqref>
        </x14:dataValidation>
        <x14:dataValidation type="list" allowBlank="1" showErrorMessage="1" xr:uid="{00000000-0002-0000-1F00-000004000000}">
          <x14:formula1>
            <xm:f>Caixa!$B$5:$B$7</xm:f>
          </x14:formula1>
          <xm:sqref>H16 H28 H49:H50 H55 H79 H81</xm:sqref>
        </x14:dataValidation>
        <x14:dataValidation type="list" allowBlank="1" showErrorMessage="1" xr:uid="{00000000-0002-0000-1F00-000003000000}">
          <x14:formula1>
            <xm:f>'Plano de contas DG'!$C$5:$C$145</xm:f>
          </x14:formula1>
          <xm:sqref>J6:J85</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4"/>
  </sheetPr>
  <dimension ref="A1:Z990"/>
  <sheetViews>
    <sheetView showGridLines="0" workbookViewId="0">
      <pane xSplit="2" topLeftCell="C1" activePane="topRight" state="frozen"/>
      <selection pane="topRight" activeCell="C2" sqref="C2:F2"/>
    </sheetView>
  </sheetViews>
  <sheetFormatPr defaultColWidth="14.44140625" defaultRowHeight="15" customHeight="1" outlineLevelRow="1" x14ac:dyDescent="0.3"/>
  <cols>
    <col min="1" max="1" width="0.44140625" customWidth="1"/>
    <col min="2" max="2" width="36.33203125" customWidth="1"/>
    <col min="3" max="3" width="15.5546875" customWidth="1"/>
    <col min="4" max="15" width="14.109375" customWidth="1"/>
    <col min="16" max="16" width="2.5546875" customWidth="1"/>
    <col min="17" max="17" width="12.6640625" customWidth="1"/>
    <col min="18" max="26" width="8.6640625" customWidth="1"/>
  </cols>
  <sheetData>
    <row r="1" spans="1:26" ht="2.25" customHeight="1" x14ac:dyDescent="0.3">
      <c r="A1" s="29"/>
      <c r="B1" s="29"/>
      <c r="C1" s="30"/>
      <c r="D1" s="30"/>
      <c r="E1" s="30"/>
      <c r="F1" s="160"/>
      <c r="G1" s="161"/>
      <c r="H1" s="161"/>
      <c r="I1" s="29"/>
      <c r="J1" s="29"/>
      <c r="K1" s="29"/>
      <c r="L1" s="29"/>
      <c r="M1" s="29"/>
      <c r="N1" s="29"/>
      <c r="O1" s="29"/>
      <c r="P1" s="29"/>
      <c r="Q1" s="29"/>
      <c r="R1" s="29"/>
      <c r="S1" s="29"/>
      <c r="T1" s="29"/>
      <c r="U1" s="29"/>
      <c r="V1" s="29"/>
      <c r="W1" s="29"/>
      <c r="X1" s="29"/>
      <c r="Y1" s="29"/>
      <c r="Z1" s="29"/>
    </row>
    <row r="2" spans="1:26" ht="14.4" x14ac:dyDescent="0.3">
      <c r="A2" s="29"/>
      <c r="B2" s="253" t="s">
        <v>1269</v>
      </c>
      <c r="C2" s="255">
        <v>2025</v>
      </c>
      <c r="D2" s="256"/>
      <c r="E2" s="256"/>
      <c r="F2" s="257"/>
      <c r="G2" s="161"/>
      <c r="H2" s="161"/>
      <c r="I2" s="121"/>
      <c r="J2" s="29"/>
      <c r="K2" s="29"/>
      <c r="L2" s="29"/>
      <c r="M2" s="29"/>
      <c r="N2" s="29"/>
      <c r="O2" s="29"/>
      <c r="P2" s="29"/>
      <c r="Q2" s="29"/>
      <c r="R2" s="29"/>
      <c r="S2" s="29"/>
      <c r="T2" s="29"/>
      <c r="U2" s="29"/>
      <c r="V2" s="29"/>
      <c r="W2" s="29"/>
      <c r="X2" s="29"/>
      <c r="Y2" s="29"/>
      <c r="Z2" s="29"/>
    </row>
    <row r="3" spans="1:26" ht="28.8" x14ac:dyDescent="0.3">
      <c r="A3" s="29"/>
      <c r="B3" s="254"/>
      <c r="C3" s="122" t="s">
        <v>1270</v>
      </c>
      <c r="D3" s="122" t="s">
        <v>1271</v>
      </c>
      <c r="E3" s="122" t="s">
        <v>1272</v>
      </c>
      <c r="F3" s="162" t="s">
        <v>1273</v>
      </c>
      <c r="G3" s="161"/>
      <c r="H3" s="161"/>
      <c r="I3" s="29"/>
      <c r="J3" s="29"/>
      <c r="K3" s="29"/>
      <c r="L3" s="29"/>
      <c r="M3" s="29"/>
      <c r="N3" s="29"/>
      <c r="O3" s="29"/>
      <c r="P3" s="29"/>
      <c r="Q3" s="29"/>
      <c r="R3" s="29"/>
      <c r="S3" s="29"/>
      <c r="T3" s="29"/>
      <c r="U3" s="29"/>
      <c r="V3" s="29"/>
      <c r="W3" s="29"/>
      <c r="X3" s="29"/>
      <c r="Y3" s="29"/>
      <c r="Z3" s="29"/>
    </row>
    <row r="4" spans="1:26" ht="14.4" x14ac:dyDescent="0.3">
      <c r="A4" s="29"/>
      <c r="B4" s="123" t="s">
        <v>1274</v>
      </c>
      <c r="C4" s="258">
        <v>14670.54</v>
      </c>
      <c r="D4" s="259"/>
      <c r="E4" s="259"/>
      <c r="F4" s="260"/>
      <c r="G4" s="161"/>
      <c r="H4" s="161"/>
      <c r="I4" s="29"/>
      <c r="J4" s="29"/>
      <c r="K4" s="29"/>
      <c r="L4" s="29"/>
      <c r="M4" s="29"/>
      <c r="N4" s="29"/>
      <c r="O4" s="29"/>
      <c r="P4" s="29"/>
      <c r="Q4" s="29"/>
      <c r="R4" s="29"/>
      <c r="S4" s="29"/>
      <c r="T4" s="29"/>
      <c r="U4" s="29"/>
      <c r="V4" s="29"/>
      <c r="W4" s="29"/>
      <c r="X4" s="29"/>
      <c r="Y4" s="29"/>
      <c r="Z4" s="29"/>
    </row>
    <row r="5" spans="1:26" ht="14.4" x14ac:dyDescent="0.3">
      <c r="A5" s="29"/>
      <c r="B5" s="124" t="s">
        <v>1275</v>
      </c>
      <c r="C5" s="125">
        <f>D46</f>
        <v>57344.600000000006</v>
      </c>
      <c r="D5" s="125">
        <f>D22</f>
        <v>49292.990000000005</v>
      </c>
      <c r="E5" s="125">
        <f t="shared" ref="E5:E16" si="0">D5-C5</f>
        <v>-8051.6100000000006</v>
      </c>
      <c r="F5" s="125">
        <f>C4+E5</f>
        <v>6618.93</v>
      </c>
      <c r="G5" s="161"/>
      <c r="H5" s="161"/>
      <c r="I5" s="127"/>
      <c r="J5" s="29"/>
      <c r="K5" s="29"/>
      <c r="L5" s="29"/>
      <c r="M5" s="29"/>
      <c r="N5" s="29"/>
      <c r="O5" s="29"/>
      <c r="P5" s="29"/>
      <c r="Q5" s="29"/>
      <c r="R5" s="29"/>
      <c r="S5" s="29"/>
      <c r="T5" s="29"/>
      <c r="U5" s="29"/>
      <c r="V5" s="29"/>
      <c r="W5" s="29"/>
      <c r="X5" s="29"/>
      <c r="Y5" s="29"/>
      <c r="Z5" s="29"/>
    </row>
    <row r="6" spans="1:26" ht="14.4" x14ac:dyDescent="0.3">
      <c r="A6" s="29"/>
      <c r="B6" s="124" t="s">
        <v>1276</v>
      </c>
      <c r="C6" s="128">
        <f>E46</f>
        <v>22588.870000000003</v>
      </c>
      <c r="D6" s="128">
        <f>E22</f>
        <v>22658.55</v>
      </c>
      <c r="E6" s="128">
        <f t="shared" si="0"/>
        <v>69.679999999996653</v>
      </c>
      <c r="F6" s="128">
        <f t="shared" ref="F6:F16" si="1">IF(E6=0,"",F5+E6)</f>
        <v>6688.6099999999969</v>
      </c>
      <c r="G6" s="161"/>
      <c r="H6" s="161"/>
      <c r="I6" s="127"/>
      <c r="J6" s="29"/>
      <c r="K6" s="29"/>
      <c r="L6" s="29"/>
      <c r="M6" s="29"/>
      <c r="N6" s="29"/>
      <c r="O6" s="29"/>
      <c r="P6" s="29"/>
      <c r="Q6" s="29"/>
      <c r="R6" s="29"/>
      <c r="S6" s="29"/>
      <c r="T6" s="29"/>
      <c r="U6" s="29"/>
      <c r="V6" s="29"/>
      <c r="W6" s="29"/>
      <c r="X6" s="29"/>
      <c r="Y6" s="29"/>
      <c r="Z6" s="29"/>
    </row>
    <row r="7" spans="1:26" ht="14.4" x14ac:dyDescent="0.3">
      <c r="A7" s="29"/>
      <c r="B7" s="124" t="s">
        <v>1277</v>
      </c>
      <c r="C7" s="128">
        <f>F46</f>
        <v>26571.440000000002</v>
      </c>
      <c r="D7" s="128">
        <f>F22</f>
        <v>25745.350000000002</v>
      </c>
      <c r="E7" s="128">
        <f t="shared" si="0"/>
        <v>-826.09000000000015</v>
      </c>
      <c r="F7" s="128">
        <f t="shared" si="1"/>
        <v>5862.5199999999968</v>
      </c>
      <c r="G7" s="161"/>
      <c r="H7" s="161"/>
      <c r="I7" s="127"/>
      <c r="J7" s="29"/>
      <c r="K7" s="29"/>
      <c r="L7" s="29"/>
      <c r="M7" s="29"/>
      <c r="N7" s="29"/>
      <c r="O7" s="29"/>
      <c r="P7" s="29"/>
      <c r="Q7" s="29"/>
      <c r="R7" s="29"/>
      <c r="S7" s="29"/>
      <c r="T7" s="29"/>
      <c r="U7" s="29"/>
      <c r="V7" s="29"/>
      <c r="W7" s="29"/>
      <c r="X7" s="29"/>
      <c r="Y7" s="29"/>
      <c r="Z7" s="29"/>
    </row>
    <row r="8" spans="1:26" ht="14.4" x14ac:dyDescent="0.3">
      <c r="A8" s="29"/>
      <c r="B8" s="124" t="s">
        <v>1278</v>
      </c>
      <c r="C8" s="128">
        <f>G46</f>
        <v>46447.599999999991</v>
      </c>
      <c r="D8" s="128">
        <f>G22</f>
        <v>19044.449999999997</v>
      </c>
      <c r="E8" s="128">
        <f t="shared" si="0"/>
        <v>-27403.149999999994</v>
      </c>
      <c r="F8" s="128">
        <f t="shared" si="1"/>
        <v>-21540.629999999997</v>
      </c>
      <c r="G8" s="161"/>
      <c r="H8" s="161"/>
      <c r="I8" s="127"/>
      <c r="J8" s="29"/>
      <c r="K8" s="29"/>
      <c r="L8" s="29"/>
      <c r="M8" s="29"/>
      <c r="N8" s="29"/>
      <c r="O8" s="29"/>
      <c r="P8" s="29"/>
      <c r="Q8" s="29"/>
      <c r="R8" s="29"/>
      <c r="S8" s="29"/>
      <c r="T8" s="29"/>
      <c r="U8" s="29"/>
      <c r="V8" s="29"/>
      <c r="W8" s="29"/>
      <c r="X8" s="29"/>
      <c r="Y8" s="29"/>
      <c r="Z8" s="29"/>
    </row>
    <row r="9" spans="1:26" ht="14.4" x14ac:dyDescent="0.3">
      <c r="A9" s="29"/>
      <c r="B9" s="124" t="s">
        <v>1279</v>
      </c>
      <c r="C9" s="128">
        <f>H46</f>
        <v>19129.049999999996</v>
      </c>
      <c r="D9" s="128">
        <f>H22</f>
        <v>22836.63</v>
      </c>
      <c r="E9" s="128">
        <f t="shared" si="0"/>
        <v>3707.5800000000054</v>
      </c>
      <c r="F9" s="128">
        <f t="shared" si="1"/>
        <v>-17833.049999999992</v>
      </c>
      <c r="G9" s="161"/>
      <c r="H9" s="161"/>
      <c r="I9" s="127"/>
      <c r="J9" s="29"/>
      <c r="K9" s="29"/>
      <c r="L9" s="29"/>
      <c r="M9" s="29"/>
      <c r="N9" s="29"/>
      <c r="O9" s="29"/>
      <c r="P9" s="29"/>
      <c r="Q9" s="29"/>
      <c r="R9" s="29"/>
      <c r="S9" s="29"/>
      <c r="T9" s="29"/>
      <c r="U9" s="29"/>
      <c r="V9" s="29"/>
      <c r="W9" s="29"/>
      <c r="X9" s="29"/>
      <c r="Y9" s="29"/>
      <c r="Z9" s="29"/>
    </row>
    <row r="10" spans="1:26" ht="14.4" x14ac:dyDescent="0.3">
      <c r="A10" s="29"/>
      <c r="B10" s="124" t="s">
        <v>1280</v>
      </c>
      <c r="C10" s="128">
        <f>I46</f>
        <v>120.1</v>
      </c>
      <c r="D10" s="128">
        <f>I22</f>
        <v>0</v>
      </c>
      <c r="E10" s="128">
        <f t="shared" si="0"/>
        <v>-120.1</v>
      </c>
      <c r="F10" s="128">
        <f t="shared" si="1"/>
        <v>-17953.149999999991</v>
      </c>
      <c r="G10" s="161"/>
      <c r="H10" s="161"/>
      <c r="I10" s="127"/>
      <c r="J10" s="127"/>
      <c r="K10" s="127"/>
      <c r="L10" s="130"/>
      <c r="M10" s="130"/>
      <c r="N10" s="130"/>
      <c r="O10" s="29"/>
      <c r="P10" s="29"/>
      <c r="Q10" s="29"/>
      <c r="R10" s="29"/>
      <c r="S10" s="29"/>
      <c r="T10" s="29"/>
      <c r="U10" s="29"/>
      <c r="V10" s="29"/>
      <c r="W10" s="29"/>
      <c r="X10" s="29"/>
      <c r="Y10" s="29"/>
      <c r="Z10" s="29"/>
    </row>
    <row r="11" spans="1:26" ht="14.4" x14ac:dyDescent="0.3">
      <c r="A11" s="29"/>
      <c r="B11" s="124" t="s">
        <v>1281</v>
      </c>
      <c r="C11" s="128">
        <f>J46</f>
        <v>0</v>
      </c>
      <c r="D11" s="128">
        <f>J22</f>
        <v>0</v>
      </c>
      <c r="E11" s="128">
        <f t="shared" si="0"/>
        <v>0</v>
      </c>
      <c r="F11" s="128" t="str">
        <f t="shared" si="1"/>
        <v/>
      </c>
      <c r="G11" s="161"/>
      <c r="H11" s="161"/>
      <c r="I11" s="127"/>
      <c r="J11" s="29"/>
      <c r="K11" s="29"/>
      <c r="L11" s="130"/>
      <c r="M11" s="130"/>
      <c r="N11" s="130"/>
      <c r="O11" s="29"/>
      <c r="P11" s="29"/>
      <c r="Q11" s="29"/>
      <c r="R11" s="29"/>
      <c r="S11" s="29"/>
      <c r="T11" s="29"/>
      <c r="U11" s="29"/>
      <c r="V11" s="29"/>
      <c r="W11" s="29"/>
      <c r="X11" s="29"/>
      <c r="Y11" s="29"/>
      <c r="Z11" s="29"/>
    </row>
    <row r="12" spans="1:26" ht="14.4" x14ac:dyDescent="0.3">
      <c r="A12" s="29"/>
      <c r="B12" s="124" t="s">
        <v>1282</v>
      </c>
      <c r="C12" s="128">
        <f>K46</f>
        <v>0</v>
      </c>
      <c r="D12" s="128">
        <f>K22</f>
        <v>0</v>
      </c>
      <c r="E12" s="128">
        <f t="shared" si="0"/>
        <v>0</v>
      </c>
      <c r="F12" s="128" t="str">
        <f t="shared" si="1"/>
        <v/>
      </c>
      <c r="G12" s="161"/>
      <c r="H12" s="161"/>
      <c r="I12" s="127"/>
      <c r="J12" s="127"/>
      <c r="K12" s="127"/>
      <c r="L12" s="130"/>
      <c r="M12" s="130"/>
      <c r="N12" s="130"/>
      <c r="O12" s="29"/>
      <c r="P12" s="29"/>
      <c r="Q12" s="29"/>
      <c r="R12" s="29"/>
      <c r="S12" s="29"/>
      <c r="T12" s="29"/>
      <c r="U12" s="29"/>
      <c r="V12" s="29"/>
      <c r="W12" s="29"/>
      <c r="X12" s="29"/>
      <c r="Y12" s="29"/>
      <c r="Z12" s="29"/>
    </row>
    <row r="13" spans="1:26" ht="14.4" x14ac:dyDescent="0.3">
      <c r="A13" s="29"/>
      <c r="B13" s="124" t="s">
        <v>1283</v>
      </c>
      <c r="C13" s="128">
        <f>L46</f>
        <v>0</v>
      </c>
      <c r="D13" s="128">
        <f>L22</f>
        <v>0</v>
      </c>
      <c r="E13" s="128">
        <f t="shared" si="0"/>
        <v>0</v>
      </c>
      <c r="F13" s="128" t="str">
        <f t="shared" si="1"/>
        <v/>
      </c>
      <c r="G13" s="161"/>
      <c r="H13" s="161"/>
      <c r="I13" s="127"/>
      <c r="J13" s="29"/>
      <c r="K13" s="29"/>
      <c r="L13" s="130"/>
      <c r="M13" s="130"/>
      <c r="N13" s="130"/>
      <c r="O13" s="29"/>
      <c r="P13" s="29"/>
      <c r="Q13" s="29"/>
      <c r="R13" s="29"/>
      <c r="S13" s="29"/>
      <c r="T13" s="29"/>
      <c r="U13" s="29"/>
      <c r="V13" s="29"/>
      <c r="W13" s="29"/>
      <c r="X13" s="29"/>
      <c r="Y13" s="29"/>
      <c r="Z13" s="29"/>
    </row>
    <row r="14" spans="1:26" ht="14.4" x14ac:dyDescent="0.3">
      <c r="A14" s="29"/>
      <c r="B14" s="124" t="s">
        <v>1284</v>
      </c>
      <c r="C14" s="128">
        <f>M46</f>
        <v>80</v>
      </c>
      <c r="D14" s="128">
        <f>M22</f>
        <v>0</v>
      </c>
      <c r="E14" s="128">
        <f t="shared" si="0"/>
        <v>-80</v>
      </c>
      <c r="F14" s="128" t="e">
        <f t="shared" si="1"/>
        <v>#VALUE!</v>
      </c>
      <c r="G14" s="161"/>
      <c r="H14" s="161"/>
      <c r="I14" s="127"/>
      <c r="J14" s="29"/>
      <c r="K14" s="29"/>
      <c r="L14" s="130"/>
      <c r="M14" s="130"/>
      <c r="N14" s="130"/>
      <c r="O14" s="29"/>
      <c r="P14" s="29"/>
      <c r="Q14" s="29"/>
      <c r="R14" s="29"/>
      <c r="S14" s="29"/>
      <c r="T14" s="29"/>
      <c r="U14" s="29"/>
      <c r="V14" s="29"/>
      <c r="W14" s="29"/>
      <c r="X14" s="29"/>
      <c r="Y14" s="29"/>
      <c r="Z14" s="29"/>
    </row>
    <row r="15" spans="1:26" ht="14.4" x14ac:dyDescent="0.3">
      <c r="A15" s="29"/>
      <c r="B15" s="124" t="s">
        <v>1285</v>
      </c>
      <c r="C15" s="128">
        <f>N46</f>
        <v>212</v>
      </c>
      <c r="D15" s="128">
        <f>N22</f>
        <v>0</v>
      </c>
      <c r="E15" s="128">
        <f t="shared" si="0"/>
        <v>-212</v>
      </c>
      <c r="F15" s="128" t="e">
        <f t="shared" si="1"/>
        <v>#VALUE!</v>
      </c>
      <c r="G15" s="161"/>
      <c r="H15" s="161"/>
      <c r="I15" s="127"/>
      <c r="J15" s="127"/>
      <c r="K15" s="127"/>
      <c r="L15" s="29"/>
      <c r="M15" s="29"/>
      <c r="N15" s="29"/>
      <c r="O15" s="29"/>
      <c r="P15" s="29"/>
      <c r="Q15" s="29"/>
      <c r="R15" s="29"/>
      <c r="S15" s="29"/>
      <c r="T15" s="29"/>
      <c r="U15" s="29"/>
      <c r="V15" s="29"/>
      <c r="W15" s="29"/>
      <c r="X15" s="29"/>
      <c r="Y15" s="29"/>
      <c r="Z15" s="29"/>
    </row>
    <row r="16" spans="1:26" ht="14.4" x14ac:dyDescent="0.3">
      <c r="A16" s="29"/>
      <c r="B16" s="124" t="s">
        <v>1286</v>
      </c>
      <c r="C16" s="128" t="e">
        <f>O46</f>
        <v>#REF!</v>
      </c>
      <c r="D16" s="128">
        <f>O22</f>
        <v>0</v>
      </c>
      <c r="E16" s="128" t="e">
        <f t="shared" si="0"/>
        <v>#REF!</v>
      </c>
      <c r="F16" s="128" t="e">
        <f t="shared" si="1"/>
        <v>#REF!</v>
      </c>
      <c r="G16" s="161"/>
      <c r="H16" s="161"/>
      <c r="I16" s="127"/>
      <c r="J16" s="29"/>
      <c r="K16" s="29"/>
      <c r="L16" s="29"/>
      <c r="M16" s="29"/>
      <c r="N16" s="29"/>
      <c r="O16" s="29"/>
      <c r="P16" s="29"/>
      <c r="Q16" s="29"/>
      <c r="R16" s="29"/>
      <c r="S16" s="29"/>
      <c r="T16" s="29"/>
      <c r="U16" s="29"/>
      <c r="V16" s="29"/>
      <c r="W16" s="29"/>
      <c r="X16" s="29"/>
      <c r="Y16" s="29"/>
      <c r="Z16" s="29"/>
    </row>
    <row r="17" spans="1:26" ht="5.25" customHeight="1" x14ac:dyDescent="0.3">
      <c r="A17" s="29"/>
      <c r="B17" s="29"/>
      <c r="C17" s="30"/>
      <c r="D17" s="30"/>
      <c r="E17" s="30"/>
      <c r="F17" s="160"/>
      <c r="G17" s="161"/>
      <c r="H17" s="161"/>
      <c r="I17" s="29"/>
      <c r="J17" s="29"/>
      <c r="K17" s="29"/>
      <c r="L17" s="29"/>
      <c r="M17" s="29"/>
      <c r="N17" s="29"/>
      <c r="O17" s="29"/>
      <c r="P17" s="29"/>
      <c r="Q17" s="29"/>
      <c r="R17" s="29"/>
      <c r="S17" s="29"/>
      <c r="T17" s="29"/>
      <c r="U17" s="29"/>
      <c r="V17" s="29"/>
      <c r="W17" s="29"/>
      <c r="X17" s="29"/>
      <c r="Y17" s="29"/>
      <c r="Z17" s="29"/>
    </row>
    <row r="18" spans="1:26" ht="14.4" x14ac:dyDescent="0.3">
      <c r="A18" s="131"/>
      <c r="B18" s="132" t="s">
        <v>74</v>
      </c>
      <c r="C18" s="133" t="e">
        <f t="shared" ref="C18:D18" si="2">SUM(C5:C16)</f>
        <v>#REF!</v>
      </c>
      <c r="D18" s="133">
        <f t="shared" si="2"/>
        <v>139577.97</v>
      </c>
      <c r="E18" s="134"/>
      <c r="F18" s="163"/>
      <c r="G18" s="164"/>
      <c r="H18" s="164"/>
      <c r="I18" s="131"/>
      <c r="J18" s="131"/>
      <c r="K18" s="131"/>
      <c r="L18" s="131"/>
      <c r="M18" s="131"/>
      <c r="N18" s="131"/>
      <c r="O18" s="131"/>
      <c r="P18" s="131"/>
      <c r="Q18" s="131"/>
      <c r="R18" s="131"/>
      <c r="S18" s="131"/>
      <c r="T18" s="131"/>
      <c r="U18" s="131"/>
      <c r="V18" s="131"/>
      <c r="W18" s="131"/>
      <c r="X18" s="131"/>
      <c r="Y18" s="131"/>
      <c r="Z18" s="131"/>
    </row>
    <row r="19" spans="1:26" ht="15.75" customHeight="1" x14ac:dyDescent="0.3">
      <c r="A19" s="3"/>
      <c r="B19" s="3"/>
      <c r="C19" s="28"/>
      <c r="D19" s="28"/>
      <c r="E19" s="28"/>
      <c r="F19" s="101"/>
      <c r="G19" s="101"/>
      <c r="H19" s="101"/>
      <c r="I19" s="28"/>
      <c r="J19" s="28"/>
      <c r="K19" s="28"/>
      <c r="L19" s="28"/>
      <c r="M19" s="28"/>
      <c r="N19" s="28"/>
      <c r="O19" s="101"/>
      <c r="P19" s="3"/>
      <c r="Q19" s="3"/>
      <c r="R19" s="3"/>
      <c r="S19" s="3"/>
      <c r="T19" s="3"/>
      <c r="U19" s="3"/>
      <c r="V19" s="3"/>
      <c r="W19" s="3"/>
      <c r="X19" s="3"/>
      <c r="Y19" s="3"/>
      <c r="Z19" s="3"/>
    </row>
    <row r="20" spans="1:26" ht="15" customHeight="1" x14ac:dyDescent="0.3">
      <c r="A20" s="3"/>
      <c r="B20" s="219" t="s">
        <v>73</v>
      </c>
      <c r="C20" s="248" t="s">
        <v>2235</v>
      </c>
      <c r="D20" s="261">
        <v>2025</v>
      </c>
      <c r="E20" s="262"/>
      <c r="F20" s="262"/>
      <c r="G20" s="262"/>
      <c r="H20" s="262"/>
      <c r="I20" s="262"/>
      <c r="J20" s="262"/>
      <c r="K20" s="262"/>
      <c r="L20" s="262"/>
      <c r="M20" s="262"/>
      <c r="N20" s="262"/>
      <c r="O20" s="263"/>
      <c r="P20" s="3"/>
      <c r="Q20" s="3"/>
      <c r="R20" s="3"/>
      <c r="S20" s="3"/>
      <c r="T20" s="3"/>
      <c r="U20" s="3"/>
      <c r="V20" s="3"/>
      <c r="W20" s="3"/>
      <c r="X20" s="3"/>
      <c r="Y20" s="3"/>
      <c r="Z20" s="3"/>
    </row>
    <row r="21" spans="1:26" ht="15" customHeight="1" x14ac:dyDescent="0.3">
      <c r="A21" s="3"/>
      <c r="B21" s="202"/>
      <c r="C21" s="249"/>
      <c r="D21" s="6" t="s">
        <v>23</v>
      </c>
      <c r="E21" s="4" t="s">
        <v>24</v>
      </c>
      <c r="F21" s="165" t="s">
        <v>25</v>
      </c>
      <c r="G21" s="166" t="s">
        <v>26</v>
      </c>
      <c r="H21" s="166" t="s">
        <v>27</v>
      </c>
      <c r="I21" s="6" t="s">
        <v>28</v>
      </c>
      <c r="J21" s="6" t="s">
        <v>29</v>
      </c>
      <c r="K21" s="6" t="s">
        <v>30</v>
      </c>
      <c r="L21" s="6" t="s">
        <v>31</v>
      </c>
      <c r="M21" s="5" t="s">
        <v>32</v>
      </c>
      <c r="N21" s="5" t="s">
        <v>32</v>
      </c>
      <c r="O21" s="27" t="s">
        <v>34</v>
      </c>
      <c r="P21" s="3"/>
      <c r="Q21" s="3"/>
      <c r="R21" s="3"/>
      <c r="S21" s="3"/>
      <c r="T21" s="3"/>
      <c r="U21" s="3"/>
      <c r="V21" s="3"/>
      <c r="W21" s="3"/>
      <c r="X21" s="3"/>
      <c r="Y21" s="3"/>
      <c r="Z21" s="3"/>
    </row>
    <row r="22" spans="1:26" ht="15.75" customHeight="1" x14ac:dyDescent="0.3">
      <c r="A22" s="3"/>
      <c r="B22" s="135" t="s">
        <v>74</v>
      </c>
      <c r="C22" s="136">
        <f t="shared" ref="C22:O22" si="3">SUM(C23,C30,C36,C41,C42)</f>
        <v>139577.97</v>
      </c>
      <c r="D22" s="136">
        <f t="shared" si="3"/>
        <v>49292.990000000005</v>
      </c>
      <c r="E22" s="136">
        <f t="shared" si="3"/>
        <v>22658.55</v>
      </c>
      <c r="F22" s="136">
        <f t="shared" si="3"/>
        <v>25745.350000000002</v>
      </c>
      <c r="G22" s="136">
        <f t="shared" si="3"/>
        <v>19044.449999999997</v>
      </c>
      <c r="H22" s="136">
        <f t="shared" si="3"/>
        <v>22836.63</v>
      </c>
      <c r="I22" s="136">
        <f t="shared" si="3"/>
        <v>0</v>
      </c>
      <c r="J22" s="136">
        <f t="shared" si="3"/>
        <v>0</v>
      </c>
      <c r="K22" s="136">
        <f t="shared" si="3"/>
        <v>0</v>
      </c>
      <c r="L22" s="136">
        <f t="shared" si="3"/>
        <v>0</v>
      </c>
      <c r="M22" s="136">
        <f t="shared" si="3"/>
        <v>0</v>
      </c>
      <c r="N22" s="136">
        <f t="shared" si="3"/>
        <v>0</v>
      </c>
      <c r="O22" s="136">
        <f t="shared" si="3"/>
        <v>0</v>
      </c>
      <c r="P22" s="3"/>
    </row>
    <row r="23" spans="1:26" ht="15.75" customHeight="1" x14ac:dyDescent="0.3">
      <c r="A23" s="3"/>
      <c r="B23" s="64" t="s">
        <v>93</v>
      </c>
      <c r="C23" s="48">
        <f t="shared" ref="C23:O23" si="4">SUM(C24:C29)</f>
        <v>81485.72</v>
      </c>
      <c r="D23" s="48">
        <f t="shared" si="4"/>
        <v>13383.98</v>
      </c>
      <c r="E23" s="48">
        <f t="shared" si="4"/>
        <v>15875.15</v>
      </c>
      <c r="F23" s="48">
        <f t="shared" si="4"/>
        <v>17374.560000000001</v>
      </c>
      <c r="G23" s="48">
        <f t="shared" si="4"/>
        <v>19044.449999999997</v>
      </c>
      <c r="H23" s="48">
        <f t="shared" si="4"/>
        <v>15807.580000000002</v>
      </c>
      <c r="I23" s="48">
        <f t="shared" si="4"/>
        <v>0</v>
      </c>
      <c r="J23" s="48">
        <f t="shared" si="4"/>
        <v>0</v>
      </c>
      <c r="K23" s="48">
        <f t="shared" si="4"/>
        <v>0</v>
      </c>
      <c r="L23" s="48">
        <f t="shared" si="4"/>
        <v>0</v>
      </c>
      <c r="M23" s="48">
        <f t="shared" si="4"/>
        <v>0</v>
      </c>
      <c r="N23" s="48">
        <f t="shared" si="4"/>
        <v>0</v>
      </c>
      <c r="O23" s="48">
        <f t="shared" si="4"/>
        <v>0</v>
      </c>
      <c r="P23" s="3"/>
    </row>
    <row r="24" spans="1:26" ht="15.75" hidden="1" customHeight="1" outlineLevel="1" x14ac:dyDescent="0.3">
      <c r="A24" s="3"/>
      <c r="B24" s="9" t="s">
        <v>45</v>
      </c>
      <c r="C24" s="10">
        <f t="shared" ref="C24:C29" si="5">SUM(D24:O24)</f>
        <v>74486.42</v>
      </c>
      <c r="D24" s="11">
        <f>IFERROR(('[1]JAN-Receitas'!$M6+'[1]JAN-Receitas'!$N6+'[1]JAN-Receitas'!$O6+'[1]JAN-Receitas'!$U6),"")</f>
        <v>12094.619999999999</v>
      </c>
      <c r="E24" s="11">
        <f>IFERROR(('[1]FEV-Receitas'!$M6+'[1]FEV-Receitas'!$N6+'[1]FEV-Receitas'!$O6+'[1]FEV-Receitas'!$U6),"")</f>
        <v>14269.89</v>
      </c>
      <c r="F24" s="11">
        <f>IFERROR(('[1]MAR-Receitas'!$M6+'[1]MAR-Receitas'!$N6+'[1]MAR-Receitas'!$O6+'[1]MAR-Receitas'!$U6),"")</f>
        <v>15958.62</v>
      </c>
      <c r="G24" s="11">
        <f>IFERROR(('[1]ABR-Receitas'!$M6+'[1]ABR-Receitas'!$N6+'[1]ABR-Receitas'!$O6+'[1]ABR-Receitas'!$U6),"")</f>
        <v>17606.449999999997</v>
      </c>
      <c r="H24" s="11">
        <f>IFERROR(('MAI-Receitas'!M6+'MAI-Receitas'!N6+'MAI-Receitas'!O6+'MAI-Receitas'!U6),"")</f>
        <v>14556.840000000002</v>
      </c>
      <c r="I24" s="11">
        <f>IFERROR(('[1]JUN-Receitas'!$M6+'[1]JUN-Receitas'!$N6+'[1]JUN-Receitas'!$O6+'[1]JUN-Receitas'!$U6),"")</f>
        <v>0</v>
      </c>
      <c r="J24" s="11">
        <f>IFERROR(('[1]JUL-Receitas'!$M6+'[1]JUL-Receitas'!$N6+'[1]JUL-Receitas'!$O6+'[1]JUL-Receitas'!$U6),"")</f>
        <v>0</v>
      </c>
      <c r="K24" s="11">
        <f>IFERROR(('[1]AGO-Receitas'!$M6+'[1]AGO-Receitas'!$N6+'[1]AGO-Receitas'!$O6+'[1]AGO-Receitas'!$U6),"")</f>
        <v>0</v>
      </c>
      <c r="L24" s="11">
        <f>IFERROR(('[1]SET-Receitas'!$M6+'[1]SET-Receitas'!$N6+'[1]SET-Receitas'!$O6+'[1]SET-Receitas'!$U6),"")</f>
        <v>0</v>
      </c>
      <c r="M24" s="11">
        <f>IFERROR(('[1]OUT-Receitas'!$M6+'[1]OUT-Receitas'!$N6+'[1]OUT-Receitas'!$O6+'[1]OUT-Receitas'!$U6),"")</f>
        <v>0</v>
      </c>
      <c r="N24" s="11">
        <f>IFERROR(('[1]NOV-Receitas'!$M6+'[1]NOV-Receitas'!$N6+'[1]NOV-Receitas'!$O6+'[1]NOV-Receitas'!$U6),"")</f>
        <v>0</v>
      </c>
      <c r="O24" s="11">
        <v>0</v>
      </c>
      <c r="P24" s="3"/>
      <c r="Q24" s="3"/>
      <c r="R24" s="3"/>
      <c r="S24" s="3"/>
      <c r="T24" s="3"/>
      <c r="U24" s="3"/>
      <c r="V24" s="3"/>
      <c r="W24" s="3"/>
      <c r="X24" s="3"/>
      <c r="Y24" s="3"/>
      <c r="Z24" s="3"/>
    </row>
    <row r="25" spans="1:26" ht="15.75" hidden="1" customHeight="1" outlineLevel="1" x14ac:dyDescent="0.3">
      <c r="A25" s="3"/>
      <c r="B25" s="9" t="s">
        <v>46</v>
      </c>
      <c r="C25" s="10">
        <f t="shared" si="5"/>
        <v>919.3</v>
      </c>
      <c r="D25" s="11">
        <f>IFERROR('[1]JAN-Receitas'!$P$6,"")</f>
        <v>152.36000000000001</v>
      </c>
      <c r="E25" s="11">
        <f>IFERROR('[1]FEV-Receitas'!$P6,"")</f>
        <v>223.26</v>
      </c>
      <c r="F25" s="11">
        <f>IFERROR('[1]MAR-Receitas'!$P6,"")</f>
        <v>178.94</v>
      </c>
      <c r="G25" s="11">
        <f>IFERROR('[1]ABR-Receitas'!$P6,"")</f>
        <v>185.99999999999997</v>
      </c>
      <c r="H25" s="11">
        <f>IFERROR('MAI-Receitas'!P6,"")</f>
        <v>178.73999999999995</v>
      </c>
      <c r="I25" s="11">
        <f>IFERROR('[1]JUN-Receitas'!$P6,"")</f>
        <v>0</v>
      </c>
      <c r="J25" s="11">
        <f>IFERROR('[1]JUL-Receitas'!$P6,"")</f>
        <v>0</v>
      </c>
      <c r="K25" s="11">
        <f>IFERROR('[1]AGO-Receitas'!$P6,"")</f>
        <v>0</v>
      </c>
      <c r="L25" s="11">
        <f>IFERROR('[1]SET-Receitas'!$P6,"")</f>
        <v>0</v>
      </c>
      <c r="M25" s="11">
        <f>IFERROR('[1]OUT-Receitas'!$P6,"")</f>
        <v>0</v>
      </c>
      <c r="N25" s="11">
        <f>IFERROR('[1]NOV-Receitas'!$P6,"")</f>
        <v>0</v>
      </c>
      <c r="O25" s="11">
        <v>0</v>
      </c>
      <c r="P25" s="3"/>
      <c r="Q25" s="3"/>
      <c r="R25" s="3"/>
      <c r="S25" s="3"/>
      <c r="T25" s="3"/>
      <c r="U25" s="3"/>
      <c r="V25" s="3"/>
      <c r="W25" s="3"/>
      <c r="X25" s="3"/>
      <c r="Y25" s="3"/>
      <c r="Z25" s="3"/>
    </row>
    <row r="26" spans="1:26" ht="15.75" hidden="1" customHeight="1" outlineLevel="1" x14ac:dyDescent="0.3">
      <c r="A26" s="3"/>
      <c r="B26" s="9" t="s">
        <v>47</v>
      </c>
      <c r="C26" s="10">
        <f t="shared" si="5"/>
        <v>865</v>
      </c>
      <c r="D26" s="11">
        <f>IFERROR('[1]JAN-Receitas'!$Q$6,"")</f>
        <v>155</v>
      </c>
      <c r="E26" s="11">
        <f>IFERROR('[1]FEV-Receitas'!$Q6,"")</f>
        <v>215</v>
      </c>
      <c r="F26" s="11">
        <f>IFERROR('[1]MAR-Receitas'!$Q6,"")</f>
        <v>170</v>
      </c>
      <c r="G26" s="11">
        <f>IFERROR('[1]ABR-Receitas'!$Q6,"")</f>
        <v>175</v>
      </c>
      <c r="H26" s="11">
        <f>IFERROR('MAI-Receitas'!Q6,"")</f>
        <v>150</v>
      </c>
      <c r="I26" s="11">
        <f>IFERROR('[1]JUN-Receitas'!$Q6,"")</f>
        <v>0</v>
      </c>
      <c r="J26" s="11">
        <f>IFERROR('[1]JUL-Receitas'!$Q6,"")</f>
        <v>0</v>
      </c>
      <c r="K26" s="11">
        <f>IFERROR('[1]AGO-Receitas'!$Q6,"")</f>
        <v>0</v>
      </c>
      <c r="L26" s="11">
        <f>IFERROR('[1]SET-Receitas'!$Q6,"")</f>
        <v>0</v>
      </c>
      <c r="M26" s="11">
        <f>IFERROR('[1]OUT-Receitas'!$Q6,"")</f>
        <v>0</v>
      </c>
      <c r="N26" s="11">
        <f>IFERROR('[1]NOV-Receitas'!$Q6,"")</f>
        <v>0</v>
      </c>
      <c r="O26" s="11">
        <v>0</v>
      </c>
      <c r="P26" s="3"/>
      <c r="Q26" s="3"/>
      <c r="R26" s="3"/>
      <c r="S26" s="3"/>
      <c r="T26" s="3"/>
      <c r="U26" s="3"/>
      <c r="V26" s="3"/>
      <c r="W26" s="3"/>
      <c r="X26" s="3"/>
      <c r="Y26" s="3"/>
      <c r="Z26" s="3"/>
    </row>
    <row r="27" spans="1:26" ht="15.75" hidden="1" customHeight="1" outlineLevel="1" x14ac:dyDescent="0.3">
      <c r="A27" s="3"/>
      <c r="B27" s="9" t="s">
        <v>48</v>
      </c>
      <c r="C27" s="10">
        <f t="shared" si="5"/>
        <v>1020</v>
      </c>
      <c r="D27" s="11">
        <f>IFERROR('[1]JAN-Receitas'!$R$6,"")</f>
        <v>185</v>
      </c>
      <c r="E27" s="11">
        <f>IFERROR('[1]FEV-Receitas'!$R6,"")</f>
        <v>260</v>
      </c>
      <c r="F27" s="11">
        <f>IFERROR('[1]MAR-Receitas'!$R6,"")</f>
        <v>205</v>
      </c>
      <c r="G27" s="11">
        <f>IFERROR('[1]ABR-Receitas'!$R6,"")</f>
        <v>195</v>
      </c>
      <c r="H27" s="11">
        <f>IFERROR('MAI-Receitas'!R6,"")</f>
        <v>175</v>
      </c>
      <c r="I27" s="11">
        <f>IFERROR('[1]JUN-Receitas'!$R6,"")</f>
        <v>0</v>
      </c>
      <c r="J27" s="11">
        <f>IFERROR('[1]JUL-Receitas'!$R6,"")</f>
        <v>0</v>
      </c>
      <c r="K27" s="11">
        <f>IFERROR('[1]AGO-Receitas'!$R6,"")</f>
        <v>0</v>
      </c>
      <c r="L27" s="11">
        <f>IFERROR('[1]SET-Receitas'!$R6,"")</f>
        <v>0</v>
      </c>
      <c r="M27" s="11">
        <f>IFERROR('[1]OUT-Receitas'!$R6,"")</f>
        <v>0</v>
      </c>
      <c r="N27" s="11">
        <f>IFERROR('[1]NOV-Receitas'!$R6,"")</f>
        <v>0</v>
      </c>
      <c r="O27" s="11">
        <v>0</v>
      </c>
      <c r="P27" s="3"/>
      <c r="Q27" s="3"/>
      <c r="R27" s="3"/>
      <c r="S27" s="3"/>
      <c r="T27" s="3"/>
      <c r="U27" s="3"/>
      <c r="V27" s="3"/>
      <c r="W27" s="3"/>
      <c r="X27" s="3"/>
      <c r="Y27" s="3"/>
      <c r="Z27" s="3"/>
    </row>
    <row r="28" spans="1:26" ht="15.75" hidden="1" customHeight="1" outlineLevel="1" x14ac:dyDescent="0.3">
      <c r="A28" s="3"/>
      <c r="B28" s="9" t="s">
        <v>49</v>
      </c>
      <c r="C28" s="10">
        <f t="shared" si="5"/>
        <v>1285</v>
      </c>
      <c r="D28" s="11">
        <f>IFERROR('[1]JAN-Receitas'!$S$6,"")</f>
        <v>217</v>
      </c>
      <c r="E28" s="11">
        <f>IFERROR('[1]FEV-Receitas'!$S6,"")</f>
        <v>297</v>
      </c>
      <c r="F28" s="11">
        <f>IFERROR('[1]MAR-Receitas'!$S6,"")</f>
        <v>262</v>
      </c>
      <c r="G28" s="11">
        <f>IFERROR('[1]ABR-Receitas'!$S6,"")</f>
        <v>282</v>
      </c>
      <c r="H28" s="11">
        <f>IFERROR('MAI-Receitas'!S6,"")</f>
        <v>227</v>
      </c>
      <c r="I28" s="11">
        <f>IFERROR('[1]JUN-Receitas'!$S6,"")</f>
        <v>0</v>
      </c>
      <c r="J28" s="11">
        <f>IFERROR('[1]JUL-Receitas'!$S6,"")</f>
        <v>0</v>
      </c>
      <c r="K28" s="11">
        <f>IFERROR('[1]AGO-Receitas'!$S6,"")</f>
        <v>0</v>
      </c>
      <c r="L28" s="11">
        <f>IFERROR('[1]SET-Receitas'!$S6,"")</f>
        <v>0</v>
      </c>
      <c r="M28" s="11">
        <f>IFERROR('[1]OUT-Receitas'!$S6,"")</f>
        <v>0</v>
      </c>
      <c r="N28" s="11">
        <f>IFERROR('[1]NOV-Receitas'!$S6,"")</f>
        <v>0</v>
      </c>
      <c r="O28" s="11">
        <v>0</v>
      </c>
      <c r="P28" s="3"/>
      <c r="Q28" s="3"/>
      <c r="R28" s="3"/>
      <c r="S28" s="3"/>
      <c r="T28" s="3"/>
      <c r="U28" s="3"/>
      <c r="V28" s="3"/>
      <c r="W28" s="3"/>
      <c r="X28" s="3"/>
      <c r="Y28" s="3"/>
      <c r="Z28" s="3"/>
    </row>
    <row r="29" spans="1:26" ht="15.75" hidden="1" customHeight="1" outlineLevel="1" x14ac:dyDescent="0.3">
      <c r="A29" s="3"/>
      <c r="B29" s="9" t="s">
        <v>50</v>
      </c>
      <c r="C29" s="10">
        <f t="shared" si="5"/>
        <v>2910</v>
      </c>
      <c r="D29" s="11">
        <f>IFERROR('[1]JAN-Receitas'!$T$6,"")</f>
        <v>580</v>
      </c>
      <c r="E29" s="11">
        <f>IFERROR('[1]FEV-Receitas'!$T6,"")</f>
        <v>610</v>
      </c>
      <c r="F29" s="11">
        <f>IFERROR('[1]MAR-Receitas'!$T6,"")</f>
        <v>600</v>
      </c>
      <c r="G29" s="11">
        <f>IFERROR('[1]ABR-Receitas'!$T6,"")</f>
        <v>600</v>
      </c>
      <c r="H29" s="11">
        <f>IFERROR('MAI-Receitas'!T6,"")</f>
        <v>520</v>
      </c>
      <c r="I29" s="11">
        <f>IFERROR('[1]JUN-Receitas'!$T6,"")</f>
        <v>0</v>
      </c>
      <c r="J29" s="11">
        <f>IFERROR('[1]JUL-Receitas'!$T6,"")</f>
        <v>0</v>
      </c>
      <c r="K29" s="11">
        <f>IFERROR('[1]AGO-Receitas'!$T6,"")</f>
        <v>0</v>
      </c>
      <c r="L29" s="11">
        <f>IFERROR('[1]SET-Receitas'!$T6,"")</f>
        <v>0</v>
      </c>
      <c r="M29" s="11">
        <f>IFERROR('[1]OUT-Receitas'!$T6,"")</f>
        <v>0</v>
      </c>
      <c r="N29" s="11">
        <f>IFERROR('[1]NOV-Receitas'!$T6,"")</f>
        <v>0</v>
      </c>
      <c r="O29" s="11">
        <v>0</v>
      </c>
      <c r="P29" s="3"/>
      <c r="Q29" s="3"/>
      <c r="R29" s="3"/>
      <c r="S29" s="3"/>
      <c r="T29" s="3"/>
      <c r="U29" s="3"/>
      <c r="V29" s="3"/>
      <c r="W29" s="3"/>
      <c r="X29" s="3"/>
      <c r="Y29" s="3"/>
      <c r="Z29" s="3"/>
    </row>
    <row r="30" spans="1:26" ht="15.75" customHeight="1" collapsed="1" x14ac:dyDescent="0.3">
      <c r="A30" s="3"/>
      <c r="B30" s="64" t="s">
        <v>63</v>
      </c>
      <c r="C30" s="48">
        <f t="shared" ref="C30:D30" si="6">SUM(C31,C32,,C33,C34,C35)</f>
        <v>37974.36</v>
      </c>
      <c r="D30" s="48">
        <f t="shared" si="6"/>
        <v>25606.37</v>
      </c>
      <c r="E30" s="48">
        <f t="shared" ref="E30:G30" si="7">SUM(E31,E32,E33,E34,E35)</f>
        <v>4018.3199999999997</v>
      </c>
      <c r="F30" s="48">
        <f t="shared" si="7"/>
        <v>4931.63</v>
      </c>
      <c r="G30" s="48">
        <f t="shared" si="7"/>
        <v>0</v>
      </c>
      <c r="H30" s="48">
        <f t="shared" ref="H30:O30" si="8">SUM(H31,H32,,H33,H34,H35)</f>
        <v>3418.04</v>
      </c>
      <c r="I30" s="48">
        <f t="shared" si="8"/>
        <v>0</v>
      </c>
      <c r="J30" s="48">
        <f t="shared" si="8"/>
        <v>0</v>
      </c>
      <c r="K30" s="48">
        <f t="shared" si="8"/>
        <v>0</v>
      </c>
      <c r="L30" s="48">
        <f t="shared" si="8"/>
        <v>0</v>
      </c>
      <c r="M30" s="48">
        <f t="shared" si="8"/>
        <v>0</v>
      </c>
      <c r="N30" s="48">
        <f t="shared" si="8"/>
        <v>0</v>
      </c>
      <c r="O30" s="48">
        <f t="shared" si="8"/>
        <v>0</v>
      </c>
      <c r="P30" s="3"/>
    </row>
    <row r="31" spans="1:26" ht="15.75" hidden="1" customHeight="1" outlineLevel="1" x14ac:dyDescent="0.3">
      <c r="A31" s="3"/>
      <c r="B31" s="66" t="s">
        <v>231</v>
      </c>
      <c r="C31" s="68">
        <f t="shared" ref="C31:C35" si="9">SUM(D31:O31)</f>
        <v>1123.33</v>
      </c>
      <c r="D31" s="68">
        <f>IFERROR('[1]JAN-Receitas'!$F$128,"")</f>
        <v>381.51</v>
      </c>
      <c r="E31" s="68">
        <f>IFERROR('[1]FEV-Receitas'!$F128,"")</f>
        <v>0</v>
      </c>
      <c r="F31" s="68">
        <f>IFERROR('[1]MAR-Receitas'!$F128,"")</f>
        <v>382.24</v>
      </c>
      <c r="G31" s="68">
        <f>IFERROR('[1]ABR-Receitas'!$F127,"")</f>
        <v>0</v>
      </c>
      <c r="H31" s="68">
        <f>IFERROR('MAI-Receitas'!$F125,"")</f>
        <v>359.58</v>
      </c>
      <c r="I31" s="68">
        <f>IFERROR('[1]JUN-Receitas'!$F127,"")</f>
        <v>0</v>
      </c>
      <c r="J31" s="68">
        <f>IFERROR('[1]JUL-Receitas'!$F127,"")</f>
        <v>0</v>
      </c>
      <c r="K31" s="68">
        <f>IFERROR('[1]AGO-Receitas'!$F127,"")</f>
        <v>0</v>
      </c>
      <c r="L31" s="68">
        <f>IFERROR('[1]SET-Receitas'!$F127,"")</f>
        <v>0</v>
      </c>
      <c r="M31" s="68">
        <f>IFERROR('[1]OUT-Receitas'!$F127,"")</f>
        <v>0</v>
      </c>
      <c r="N31" s="68">
        <f>IFERROR('[1]NOV-Receitas'!$F127,"")</f>
        <v>0</v>
      </c>
      <c r="O31" s="68">
        <v>0</v>
      </c>
      <c r="P31" s="3"/>
    </row>
    <row r="32" spans="1:26" ht="15.75" hidden="1" customHeight="1" outlineLevel="1" x14ac:dyDescent="0.3">
      <c r="A32" s="3"/>
      <c r="B32" s="66" t="s">
        <v>2236</v>
      </c>
      <c r="C32" s="68">
        <f t="shared" si="9"/>
        <v>4602.9399999999996</v>
      </c>
      <c r="D32" s="68">
        <f>IFERROR('[1]JAN-Receitas'!$F$131,"")</f>
        <v>143</v>
      </c>
      <c r="E32" s="68">
        <f>IFERROR('[1]FEV-Receitas'!$F131,"")</f>
        <v>1297.32</v>
      </c>
      <c r="F32" s="68">
        <f>IFERROR('[1]MAR-Receitas'!$F131,"")</f>
        <v>1083.6199999999999</v>
      </c>
      <c r="G32" s="68">
        <f>IFERROR('[1]ABR-Receitas'!$F130,"")</f>
        <v>0</v>
      </c>
      <c r="H32" s="68">
        <f>IFERROR('MAI-Receitas'!F128,"")</f>
        <v>2079</v>
      </c>
      <c r="I32" s="68">
        <f>IFERROR('[1]JUN-Receitas'!$F130,"")</f>
        <v>0</v>
      </c>
      <c r="J32" s="68">
        <f>IFERROR('[1]JUL-Receitas'!$F130,"")</f>
        <v>0</v>
      </c>
      <c r="K32" s="68">
        <f>IFERROR('[1]AGO-Receitas'!$F130,"")</f>
        <v>0</v>
      </c>
      <c r="L32" s="68">
        <f>IFERROR('[1]SET-Receitas'!$F130,"")</f>
        <v>0</v>
      </c>
      <c r="M32" s="68">
        <f>IFERROR('[1]OUT-Receitas'!$F130,"")</f>
        <v>0</v>
      </c>
      <c r="N32" s="68">
        <f>IFERROR('[1]NOV-Receitas'!$F130,"")</f>
        <v>0</v>
      </c>
      <c r="O32" s="68">
        <v>0</v>
      </c>
      <c r="P32" s="3"/>
    </row>
    <row r="33" spans="1:16" ht="15.75" hidden="1" customHeight="1" outlineLevel="1" x14ac:dyDescent="0.3">
      <c r="A33" s="3"/>
      <c r="B33" s="66" t="s">
        <v>2237</v>
      </c>
      <c r="C33" s="68">
        <f t="shared" si="9"/>
        <v>27242.63</v>
      </c>
      <c r="D33" s="68">
        <f>IFERROR('[1]JAN-Receitas'!$F$135,"")</f>
        <v>24756.86</v>
      </c>
      <c r="E33" s="68">
        <f>IFERROR('[1]FEV-Receitas'!$F135,"")</f>
        <v>0</v>
      </c>
      <c r="F33" s="68">
        <f>IFERROR('[1]MAR-Receitas'!$F135,"")</f>
        <v>2485.77</v>
      </c>
      <c r="G33" s="68">
        <f>IFERROR('[1]ABR-Receitas'!$F134,"")</f>
        <v>0</v>
      </c>
      <c r="H33" s="68">
        <f>IFERROR('MAI-Receitas'!F132,"")</f>
        <v>0</v>
      </c>
      <c r="I33" s="68">
        <f>IFERROR('[1]JUN-Receitas'!$F134,"")</f>
        <v>0</v>
      </c>
      <c r="J33" s="68">
        <f>IFERROR('[1]JUL-Receitas'!$F134,"")</f>
        <v>0</v>
      </c>
      <c r="K33" s="68">
        <f>IFERROR('[1]AGO-Receitas'!$F134,"")</f>
        <v>0</v>
      </c>
      <c r="L33" s="68">
        <f>IFERROR('[1]SET-Receitas'!$F134,"")</f>
        <v>0</v>
      </c>
      <c r="M33" s="68">
        <f>IFERROR('[1]OUT-Receitas'!$F134,"")</f>
        <v>0</v>
      </c>
      <c r="N33" s="68">
        <f>IFERROR('[1]NOV-Receitas'!$F134,"")</f>
        <v>0</v>
      </c>
      <c r="O33" s="68">
        <v>0</v>
      </c>
      <c r="P33" s="3"/>
    </row>
    <row r="34" spans="1:16" ht="15.75" hidden="1" customHeight="1" outlineLevel="1" x14ac:dyDescent="0.3">
      <c r="A34" s="3"/>
      <c r="B34" s="66" t="s">
        <v>1025</v>
      </c>
      <c r="C34" s="68">
        <f t="shared" si="9"/>
        <v>1221</v>
      </c>
      <c r="D34" s="68">
        <f>IFERROR('[1]JAN-Receitas'!$F$140,"")</f>
        <v>325</v>
      </c>
      <c r="E34" s="68">
        <f>IFERROR('[1]FEV-Receitas'!$F139,"")</f>
        <v>46</v>
      </c>
      <c r="F34" s="68">
        <f>IFERROR('[1]MAR-Receitas'!$F140,"")</f>
        <v>850</v>
      </c>
      <c r="G34" s="68">
        <f>IFERROR('[1]ABR-Receitas'!$F139,"")</f>
        <v>0</v>
      </c>
      <c r="H34" s="68">
        <f>IFERROR('MAI-Receitas'!F137,"")</f>
        <v>0</v>
      </c>
      <c r="I34" s="68">
        <f>IFERROR('[1]JUN-Receitas'!$F139,"")</f>
        <v>0</v>
      </c>
      <c r="J34" s="68">
        <f>IFERROR('[1]JUL-Receitas'!$F139,"")</f>
        <v>0</v>
      </c>
      <c r="K34" s="68">
        <f>IFERROR('[1]AGO-Receitas'!$F139,"")</f>
        <v>0</v>
      </c>
      <c r="L34" s="68">
        <f>IFERROR('[1]SET-Receitas'!$F139,"")</f>
        <v>0</v>
      </c>
      <c r="M34" s="68">
        <f>IFERROR('[1]OUT-Receitas'!$F139,"")</f>
        <v>0</v>
      </c>
      <c r="N34" s="68">
        <f>IFERROR('[1]NOV-Receitas'!$F139,"")</f>
        <v>0</v>
      </c>
      <c r="O34" s="68">
        <v>0</v>
      </c>
      <c r="P34" s="3"/>
    </row>
    <row r="35" spans="1:16" ht="15.75" hidden="1" customHeight="1" outlineLevel="1" x14ac:dyDescent="0.3">
      <c r="A35" s="3"/>
      <c r="B35" s="66" t="s">
        <v>690</v>
      </c>
      <c r="C35" s="68">
        <f t="shared" si="9"/>
        <v>3784.46</v>
      </c>
      <c r="D35" s="68">
        <f>IFERROR('[1]JAN-Receitas'!$F$144,"")</f>
        <v>0</v>
      </c>
      <c r="E35" s="68">
        <f>IFERROR('[1]FEV-Receitas'!$F143,"")</f>
        <v>2675</v>
      </c>
      <c r="F35" s="68">
        <f>IFERROR('[1]MAR-Receitas'!$F147,"")</f>
        <v>130</v>
      </c>
      <c r="G35" s="68">
        <f>IFERROR('[1]ABR-Receitas'!$F146,"")</f>
        <v>0</v>
      </c>
      <c r="H35" s="68">
        <f>IFERROR('MAI-Receitas'!$F144,"")</f>
        <v>979.46000000000015</v>
      </c>
      <c r="I35" s="68">
        <f>IFERROR('[1]JUN-Receitas'!$F146,"")</f>
        <v>0</v>
      </c>
      <c r="J35" s="68">
        <f>IFERROR('[1]JUL-Receitas'!$F146,"")</f>
        <v>0</v>
      </c>
      <c r="K35" s="68">
        <f>IFERROR('[1]AGO-Receitas'!$F146,"")</f>
        <v>0</v>
      </c>
      <c r="L35" s="68">
        <f>IFERROR('[1]SET-Receitas'!$F146,"")</f>
        <v>0</v>
      </c>
      <c r="M35" s="68">
        <f>IFERROR('[1]OUT-Receitas'!$F146,"")</f>
        <v>0</v>
      </c>
      <c r="N35" s="68">
        <f>IFERROR('[1]NOV-Receitas'!$F145,"")</f>
        <v>0</v>
      </c>
      <c r="O35" s="68">
        <v>0</v>
      </c>
      <c r="P35" s="3"/>
    </row>
    <row r="36" spans="1:16" ht="15.75" customHeight="1" collapsed="1" x14ac:dyDescent="0.3">
      <c r="A36" s="3"/>
      <c r="B36" s="64" t="s">
        <v>240</v>
      </c>
      <c r="C36" s="48">
        <f t="shared" ref="C36:O36" si="10">SUM(C37,C38,C39,C40)</f>
        <v>12832.689999999999</v>
      </c>
      <c r="D36" s="48">
        <f t="shared" si="10"/>
        <v>3429.29</v>
      </c>
      <c r="E36" s="48">
        <f t="shared" si="10"/>
        <v>2762.8</v>
      </c>
      <c r="F36" s="48">
        <f t="shared" si="10"/>
        <v>3434</v>
      </c>
      <c r="G36" s="48">
        <f t="shared" si="10"/>
        <v>0</v>
      </c>
      <c r="H36" s="48">
        <f t="shared" si="10"/>
        <v>3206.6</v>
      </c>
      <c r="I36" s="48">
        <f t="shared" si="10"/>
        <v>0</v>
      </c>
      <c r="J36" s="48">
        <f t="shared" si="10"/>
        <v>0</v>
      </c>
      <c r="K36" s="48">
        <f t="shared" si="10"/>
        <v>0</v>
      </c>
      <c r="L36" s="48">
        <f t="shared" si="10"/>
        <v>0</v>
      </c>
      <c r="M36" s="48">
        <f t="shared" si="10"/>
        <v>0</v>
      </c>
      <c r="N36" s="48">
        <f t="shared" si="10"/>
        <v>0</v>
      </c>
      <c r="O36" s="48">
        <f t="shared" si="10"/>
        <v>0</v>
      </c>
      <c r="P36" s="3"/>
    </row>
    <row r="37" spans="1:16" ht="15.75" hidden="1" customHeight="1" outlineLevel="1" x14ac:dyDescent="0.3">
      <c r="A37" s="3"/>
      <c r="B37" s="66" t="s">
        <v>241</v>
      </c>
      <c r="C37" s="68">
        <f t="shared" ref="C37:C42" si="11">SUM(D37:O37)</f>
        <v>3070.29</v>
      </c>
      <c r="D37" s="68">
        <f>IFERROR('[1]JAN-Receitas'!$F$149,"")</f>
        <v>1132.29</v>
      </c>
      <c r="E37" s="68">
        <f>IFERROR('[1]FEV-Receitas'!$F148,"")</f>
        <v>633</v>
      </c>
      <c r="F37" s="68">
        <f>IFERROR('[1]MAR-Receitas'!$F152,"")</f>
        <v>668</v>
      </c>
      <c r="G37" s="68">
        <f>IFERROR('[1]ABR-Receitas'!$F151,"")</f>
        <v>0</v>
      </c>
      <c r="H37" s="68">
        <f>IFERROR('MAI-Receitas'!$F150,"")</f>
        <v>637</v>
      </c>
      <c r="I37" s="68">
        <f>IFERROR('[1]JUN-Receitas'!$F153,"")</f>
        <v>0</v>
      </c>
      <c r="J37" s="68">
        <f>IFERROR('[1]JUL-Receitas'!$F155,"")</f>
        <v>0</v>
      </c>
      <c r="K37" s="68">
        <f>IFERROR('[1]AGO-Receitas'!$F155,"")</f>
        <v>0</v>
      </c>
      <c r="L37" s="68">
        <f>IFERROR('[1]SET-Receitas'!$F155,"")</f>
        <v>0</v>
      </c>
      <c r="M37" s="68">
        <f>IFERROR('[1]OUT-Receitas'!$F155,"")</f>
        <v>0</v>
      </c>
      <c r="N37" s="68">
        <f>IFERROR('[1]NOV-Receitas'!$F155,"")</f>
        <v>0</v>
      </c>
      <c r="O37" s="68">
        <v>0</v>
      </c>
      <c r="P37" s="3"/>
    </row>
    <row r="38" spans="1:16" ht="15.75" hidden="1" customHeight="1" outlineLevel="1" x14ac:dyDescent="0.3">
      <c r="A38" s="3"/>
      <c r="B38" s="66" t="s">
        <v>246</v>
      </c>
      <c r="C38" s="68">
        <f t="shared" si="11"/>
        <v>2861.01</v>
      </c>
      <c r="D38" s="68">
        <f>IFERROR('[1]JAN-Receitas'!$F$154,"")</f>
        <v>828</v>
      </c>
      <c r="E38" s="68">
        <f>IFERROR('[1]FEV-Receitas'!$F153,"")</f>
        <v>1104.01</v>
      </c>
      <c r="F38" s="68">
        <f>IFERROR('[1]MAR-Receitas'!$F157,"")</f>
        <v>440</v>
      </c>
      <c r="G38" s="68">
        <f>IFERROR('[1]ABR-Receitas'!$F156,"")</f>
        <v>0</v>
      </c>
      <c r="H38" s="68">
        <f>IFERROR('MAI-Receitas'!$F155,"")</f>
        <v>489</v>
      </c>
      <c r="I38" s="68">
        <f>IFERROR('[1]JUN-Receitas'!$F158,"")</f>
        <v>0</v>
      </c>
      <c r="J38" s="68">
        <f>IFERROR('[1]JUL-Receitas'!$F160,"")</f>
        <v>0</v>
      </c>
      <c r="K38" s="68">
        <f>IFERROR('[1]AGO-Receitas'!$F160,"")</f>
        <v>0</v>
      </c>
      <c r="L38" s="68">
        <f>IFERROR('[1]SET-Receitas'!$F160,"")</f>
        <v>0</v>
      </c>
      <c r="M38" s="68">
        <f>IFERROR('[1]OUT-Receitas'!$F160,"")</f>
        <v>0</v>
      </c>
      <c r="N38" s="68">
        <f>IFERROR('[1]NOV-Receitas'!$F160,"")</f>
        <v>0</v>
      </c>
      <c r="O38" s="68">
        <v>0</v>
      </c>
      <c r="P38" s="3"/>
    </row>
    <row r="39" spans="1:16" ht="15.75" hidden="1" customHeight="1" outlineLevel="1" x14ac:dyDescent="0.3">
      <c r="A39" s="3"/>
      <c r="B39" s="66" t="s">
        <v>247</v>
      </c>
      <c r="C39" s="68">
        <f t="shared" si="11"/>
        <v>2276</v>
      </c>
      <c r="D39" s="68">
        <f>IFERROR('[1]JAN-Receitas'!$F$159,"")</f>
        <v>0</v>
      </c>
      <c r="E39" s="68">
        <f>IFERROR('[1]FEV-Receitas'!$F158,"")</f>
        <v>0</v>
      </c>
      <c r="F39" s="68">
        <f>IFERROR('[1]MAR-Receitas'!$F162,"")</f>
        <v>2276</v>
      </c>
      <c r="G39" s="68">
        <f>IFERROR('[1]ABR-Receitas'!$F161,"")</f>
        <v>0</v>
      </c>
      <c r="H39" s="68">
        <f>IFERROR('MAI-Receitas'!$F160,"")</f>
        <v>0</v>
      </c>
      <c r="I39" s="68">
        <f>IFERROR('[1]JUN-Receitas'!$F163,"")</f>
        <v>0</v>
      </c>
      <c r="J39" s="68">
        <f>IFERROR('[1]JUL-Receitas'!$F165,"")</f>
        <v>0</v>
      </c>
      <c r="K39" s="68">
        <f>IFERROR('[1]AGO-Receitas'!$F165,"")</f>
        <v>0</v>
      </c>
      <c r="L39" s="68">
        <f>IFERROR('[1]SET-Receitas'!$F165,"")</f>
        <v>0</v>
      </c>
      <c r="M39" s="68">
        <f>IFERROR('[1]OUT-Receitas'!$F165,"")</f>
        <v>0</v>
      </c>
      <c r="N39" s="68">
        <f>IFERROR('[1]NOV-Receitas'!$F164,"")</f>
        <v>0</v>
      </c>
      <c r="O39" s="68">
        <v>0</v>
      </c>
      <c r="P39" s="3"/>
    </row>
    <row r="40" spans="1:16" ht="15.75" hidden="1" customHeight="1" outlineLevel="1" x14ac:dyDescent="0.3">
      <c r="A40" s="3"/>
      <c r="B40" s="66" t="s">
        <v>62</v>
      </c>
      <c r="C40" s="68">
        <f t="shared" si="11"/>
        <v>4625.3899999999994</v>
      </c>
      <c r="D40" s="68">
        <f>IFERROR('[1]JAN-Receitas'!$F$163,"")</f>
        <v>1469</v>
      </c>
      <c r="E40" s="68">
        <f>IFERROR('[1]FEV-Receitas'!$F162,"")</f>
        <v>1025.79</v>
      </c>
      <c r="F40" s="68">
        <f>IFERROR('[1]MAR-Receitas'!$F166,"")</f>
        <v>50</v>
      </c>
      <c r="G40" s="68">
        <f>IFERROR('[1]ABR-Receitas'!$F165,"")</f>
        <v>0</v>
      </c>
      <c r="H40" s="68">
        <f>IFERROR('MAI-Receitas'!$F164,"")</f>
        <v>2080.6</v>
      </c>
      <c r="I40" s="68">
        <f>IFERROR('[1]JUN-Receitas'!$F167,"")</f>
        <v>0</v>
      </c>
      <c r="J40" s="68">
        <f>IFERROR('[1]JUL-Receitas'!$F169,"")</f>
        <v>0</v>
      </c>
      <c r="K40" s="68">
        <f>IFERROR('[1]AGO-Receitas'!$F169,"")</f>
        <v>0</v>
      </c>
      <c r="L40" s="68">
        <f>IFERROR('[1]SET-Receitas'!$F169,"")</f>
        <v>0</v>
      </c>
      <c r="M40" s="68">
        <f>IFERROR('[1]OUT-Receitas'!$F169,"")</f>
        <v>0</v>
      </c>
      <c r="N40" s="68">
        <f>IFERROR('[1]NOV-Receitas'!$F169,"")</f>
        <v>0</v>
      </c>
      <c r="O40" s="68">
        <v>0</v>
      </c>
      <c r="P40" s="3"/>
    </row>
    <row r="41" spans="1:16" ht="15.75" customHeight="1" collapsed="1" x14ac:dyDescent="0.3">
      <c r="A41" s="3"/>
      <c r="B41" s="64" t="s">
        <v>64</v>
      </c>
      <c r="C41" s="48">
        <f t="shared" si="11"/>
        <v>7264.94</v>
      </c>
      <c r="D41" s="48">
        <f>IFERROR('[1]JAN-Receitas'!$F$168,"")</f>
        <v>6864.94</v>
      </c>
      <c r="E41" s="48">
        <f>IFERROR('[1]FEV-Receitas'!$F169,"")</f>
        <v>0</v>
      </c>
      <c r="F41" s="48">
        <f>IFERROR('[1]MAR-Receitas'!$F175,"")</f>
        <v>0</v>
      </c>
      <c r="G41" s="48">
        <f>IFERROR('[1]ABR-Receitas'!$F180,"")</f>
        <v>0</v>
      </c>
      <c r="H41" s="48">
        <f>IFERROR('MAI-Receitas'!$F179,"")</f>
        <v>400</v>
      </c>
      <c r="I41" s="48">
        <f>IFERROR('[1]JUN-Receitas'!$F182,"")</f>
        <v>0</v>
      </c>
      <c r="J41" s="48">
        <f>IFERROR('[1]JUL-Receitas'!$F184,"")</f>
        <v>0</v>
      </c>
      <c r="K41" s="48">
        <f>IFERROR('[1]AGO-Receitas'!$F184,"")</f>
        <v>0</v>
      </c>
      <c r="L41" s="48">
        <f>IFERROR('[1]SET-Receitas'!$F184,"")</f>
        <v>0</v>
      </c>
      <c r="M41" s="48">
        <f>IFERROR('[1]OUT-Receitas'!$F184,"")</f>
        <v>0</v>
      </c>
      <c r="N41" s="48">
        <f>IFERROR('[1]NOV-Receitas'!$F183,"")</f>
        <v>0</v>
      </c>
      <c r="O41" s="48">
        <v>0</v>
      </c>
      <c r="P41" s="3"/>
    </row>
    <row r="42" spans="1:16" ht="15.75" customHeight="1" x14ac:dyDescent="0.3">
      <c r="A42" s="3"/>
      <c r="B42" s="64" t="s">
        <v>260</v>
      </c>
      <c r="C42" s="48">
        <f t="shared" si="11"/>
        <v>20.259999999999998</v>
      </c>
      <c r="D42" s="48">
        <f>IFERROR('[1]JAN-Receitas'!$F$172,"")</f>
        <v>8.41</v>
      </c>
      <c r="E42" s="48">
        <f>IFERROR('[1]FEV-Receitas'!$F173,"")</f>
        <v>2.2799999999999998</v>
      </c>
      <c r="F42" s="48">
        <f>IFERROR('[1]MAR-Receitas'!$F179,"")</f>
        <v>5.16</v>
      </c>
      <c r="G42" s="48">
        <f>IFERROR('[1]ABR-Receitas'!$F184,"")</f>
        <v>0</v>
      </c>
      <c r="H42" s="48">
        <f>IFERROR('MAI-Receitas'!$F183,"")</f>
        <v>4.41</v>
      </c>
      <c r="I42" s="48">
        <f>IFERROR('[1]JUN-Receitas'!$F186,"")</f>
        <v>0</v>
      </c>
      <c r="J42" s="48">
        <f>IFERROR('[1]JUL-Receitas'!$F188,"")</f>
        <v>0</v>
      </c>
      <c r="K42" s="48">
        <f>IFERROR('[1]AGO-Receitas'!$F188,"")</f>
        <v>0</v>
      </c>
      <c r="L42" s="48">
        <f>IFERROR('[1]SET-Receitas'!$F188,"")</f>
        <v>0</v>
      </c>
      <c r="M42" s="48">
        <f>IFERROR('[1]OUT-Receitas'!$F188,"")</f>
        <v>0</v>
      </c>
      <c r="N42" s="48">
        <f>IFERROR('[1]NOV-Receitas'!$F187,"")</f>
        <v>0</v>
      </c>
      <c r="O42" s="48">
        <v>0</v>
      </c>
      <c r="P42" s="3"/>
    </row>
    <row r="43" spans="1:16" ht="15.75" customHeight="1" x14ac:dyDescent="0.3">
      <c r="A43" s="3"/>
      <c r="B43" s="3"/>
      <c r="C43" s="137"/>
      <c r="D43" s="28"/>
      <c r="E43" s="28"/>
      <c r="F43" s="101"/>
      <c r="G43" s="101"/>
      <c r="H43" s="101"/>
      <c r="I43" s="28"/>
      <c r="J43" s="28"/>
      <c r="K43" s="28"/>
      <c r="L43" s="101"/>
      <c r="M43" s="28"/>
      <c r="N43" s="28"/>
      <c r="O43" s="28"/>
      <c r="P43" s="3"/>
    </row>
    <row r="44" spans="1:16" ht="15.75" customHeight="1" x14ac:dyDescent="0.3">
      <c r="A44" s="3"/>
      <c r="B44" s="264" t="s">
        <v>270</v>
      </c>
      <c r="C44" s="248" t="s">
        <v>2235</v>
      </c>
      <c r="D44" s="250">
        <v>2025</v>
      </c>
      <c r="E44" s="251"/>
      <c r="F44" s="251"/>
      <c r="G44" s="251"/>
      <c r="H44" s="251"/>
      <c r="I44" s="251"/>
      <c r="J44" s="251"/>
      <c r="K44" s="251"/>
      <c r="L44" s="251"/>
      <c r="M44" s="251"/>
      <c r="N44" s="251"/>
      <c r="O44" s="252"/>
      <c r="P44" s="3"/>
    </row>
    <row r="45" spans="1:16" ht="15.75" customHeight="1" x14ac:dyDescent="0.3">
      <c r="A45" s="3"/>
      <c r="B45" s="202"/>
      <c r="C45" s="249"/>
      <c r="D45" s="6" t="s">
        <v>23</v>
      </c>
      <c r="E45" s="4" t="s">
        <v>24</v>
      </c>
      <c r="F45" s="165" t="s">
        <v>25</v>
      </c>
      <c r="G45" s="166" t="s">
        <v>26</v>
      </c>
      <c r="H45" s="166" t="s">
        <v>27</v>
      </c>
      <c r="I45" s="6" t="s">
        <v>28</v>
      </c>
      <c r="J45" s="6" t="s">
        <v>29</v>
      </c>
      <c r="K45" s="6" t="s">
        <v>30</v>
      </c>
      <c r="L45" s="6" t="s">
        <v>31</v>
      </c>
      <c r="M45" s="5" t="s">
        <v>32</v>
      </c>
      <c r="N45" s="5" t="s">
        <v>33</v>
      </c>
      <c r="O45" s="27" t="s">
        <v>34</v>
      </c>
      <c r="P45" s="3"/>
    </row>
    <row r="46" spans="1:16" ht="15.75" customHeight="1" x14ac:dyDescent="0.3">
      <c r="A46" s="3"/>
      <c r="B46" s="135" t="s">
        <v>74</v>
      </c>
      <c r="C46" s="136" t="e">
        <f t="shared" ref="C46:O46" si="12">SUM(C53,C89,C65,C103,C104,C109,C110,C96,C47,C61,C116,C121,C111,C112,C113,C114,C115,C100)</f>
        <v>#REF!</v>
      </c>
      <c r="D46" s="136">
        <f t="shared" si="12"/>
        <v>57344.600000000006</v>
      </c>
      <c r="E46" s="136">
        <f t="shared" si="12"/>
        <v>22588.870000000003</v>
      </c>
      <c r="F46" s="136">
        <f t="shared" si="12"/>
        <v>26571.440000000002</v>
      </c>
      <c r="G46" s="136">
        <f t="shared" si="12"/>
        <v>46447.599999999991</v>
      </c>
      <c r="H46" s="136">
        <f t="shared" si="12"/>
        <v>19129.049999999996</v>
      </c>
      <c r="I46" s="136">
        <f t="shared" si="12"/>
        <v>120.1</v>
      </c>
      <c r="J46" s="136">
        <f t="shared" si="12"/>
        <v>0</v>
      </c>
      <c r="K46" s="136">
        <f t="shared" si="12"/>
        <v>0</v>
      </c>
      <c r="L46" s="136">
        <f t="shared" si="12"/>
        <v>0</v>
      </c>
      <c r="M46" s="136">
        <f t="shared" si="12"/>
        <v>80</v>
      </c>
      <c r="N46" s="136">
        <f t="shared" si="12"/>
        <v>212</v>
      </c>
      <c r="O46" s="136" t="e">
        <f t="shared" si="12"/>
        <v>#REF!</v>
      </c>
      <c r="P46" s="3"/>
    </row>
    <row r="47" spans="1:16" ht="15.75" customHeight="1" x14ac:dyDescent="0.3">
      <c r="A47" s="3"/>
      <c r="B47" s="75" t="s">
        <v>273</v>
      </c>
      <c r="C47" s="77">
        <f t="shared" ref="C47:O47" si="13">SUM(C48:C52)</f>
        <v>15307.900000000001</v>
      </c>
      <c r="D47" s="77">
        <f t="shared" si="13"/>
        <v>2182.87</v>
      </c>
      <c r="E47" s="77">
        <f t="shared" si="13"/>
        <v>849.79</v>
      </c>
      <c r="F47" s="77">
        <f t="shared" si="13"/>
        <v>900.44</v>
      </c>
      <c r="G47" s="77">
        <f t="shared" si="13"/>
        <v>10108.159999999998</v>
      </c>
      <c r="H47" s="77">
        <f t="shared" si="13"/>
        <v>1266.6399999999999</v>
      </c>
      <c r="I47" s="77">
        <f t="shared" si="13"/>
        <v>0</v>
      </c>
      <c r="J47" s="77">
        <f t="shared" si="13"/>
        <v>0</v>
      </c>
      <c r="K47" s="77">
        <f t="shared" si="13"/>
        <v>0</v>
      </c>
      <c r="L47" s="77">
        <f t="shared" si="13"/>
        <v>0</v>
      </c>
      <c r="M47" s="77">
        <f t="shared" si="13"/>
        <v>0</v>
      </c>
      <c r="N47" s="77">
        <f t="shared" si="13"/>
        <v>0</v>
      </c>
      <c r="O47" s="77">
        <f t="shared" si="13"/>
        <v>0</v>
      </c>
      <c r="P47" s="3"/>
    </row>
    <row r="48" spans="1:16" ht="15.75" hidden="1" customHeight="1" outlineLevel="1" x14ac:dyDescent="0.3">
      <c r="A48" s="3"/>
      <c r="B48" s="138" t="s">
        <v>274</v>
      </c>
      <c r="C48" s="10">
        <f t="shared" ref="C48:C52" si="14">SUM(D48:O48)</f>
        <v>2386.15</v>
      </c>
      <c r="D48" s="11">
        <f>IFERROR('[1]JAN-Despesas'!$F$7,"")</f>
        <v>709.82</v>
      </c>
      <c r="E48" s="11">
        <f>IFERROR('[1]FEV-Despesas'!$F$7,"")</f>
        <v>286.63</v>
      </c>
      <c r="F48" s="11">
        <f>IFERROR('[1]MAR-Despesas'!$F$7,"")</f>
        <v>419.99</v>
      </c>
      <c r="G48" s="11">
        <f>IFERROR('[1]ABR-Despesas'!$F$7,"")</f>
        <v>407.4</v>
      </c>
      <c r="H48" s="11">
        <f>IFERROR('MAI-Despesas'!$F$7,"")</f>
        <v>562.30999999999995</v>
      </c>
      <c r="I48" s="11" t="s">
        <v>97</v>
      </c>
      <c r="J48" s="11" t="s">
        <v>97</v>
      </c>
      <c r="K48" s="11" t="s">
        <v>97</v>
      </c>
      <c r="L48" s="11" t="s">
        <v>97</v>
      </c>
      <c r="M48" s="11" t="s">
        <v>97</v>
      </c>
      <c r="N48" s="11" t="s">
        <v>97</v>
      </c>
      <c r="O48" s="11">
        <v>0</v>
      </c>
      <c r="P48" s="3"/>
    </row>
    <row r="49" spans="1:17" ht="15.75" hidden="1" customHeight="1" outlineLevel="1" x14ac:dyDescent="0.3">
      <c r="A49" s="3"/>
      <c r="B49" s="138" t="s">
        <v>278</v>
      </c>
      <c r="C49" s="10">
        <f t="shared" si="14"/>
        <v>69.39</v>
      </c>
      <c r="D49" s="11">
        <f>IFERROR('[1]JAN-Despesas'!$F$8,"")</f>
        <v>0</v>
      </c>
      <c r="E49" s="11">
        <f>IFERROR('[1]FEV-Despesas'!$F$8,"")</f>
        <v>0</v>
      </c>
      <c r="F49" s="11">
        <f>IFERROR('[1]MAR-Despesas'!$F$8,"")</f>
        <v>0</v>
      </c>
      <c r="G49" s="11">
        <f>IFERROR('[1]ABR-Despesas'!$F$8,"")</f>
        <v>69.39</v>
      </c>
      <c r="H49" s="11">
        <f>IFERROR('MAI-Despesas'!$F$8,"")</f>
        <v>0</v>
      </c>
      <c r="I49" s="11" t="s">
        <v>97</v>
      </c>
      <c r="J49" s="11" t="s">
        <v>97</v>
      </c>
      <c r="K49" s="11" t="s">
        <v>97</v>
      </c>
      <c r="L49" s="11" t="s">
        <v>97</v>
      </c>
      <c r="M49" s="11" t="s">
        <v>97</v>
      </c>
      <c r="N49" s="11" t="s">
        <v>97</v>
      </c>
      <c r="O49" s="11">
        <v>0</v>
      </c>
      <c r="P49" s="3"/>
    </row>
    <row r="50" spans="1:17" ht="15.75" hidden="1" customHeight="1" outlineLevel="1" x14ac:dyDescent="0.3">
      <c r="A50" s="3"/>
      <c r="B50" s="138" t="s">
        <v>281</v>
      </c>
      <c r="C50" s="10">
        <f t="shared" si="14"/>
        <v>1075.73</v>
      </c>
      <c r="D50" s="11">
        <f>IFERROR('[1]JAN-Despesas'!$F$9,"")</f>
        <v>1026.95</v>
      </c>
      <c r="E50" s="11">
        <f>IFERROR('[1]FEV-Despesas'!$F$9,"")</f>
        <v>0</v>
      </c>
      <c r="F50" s="11">
        <f>IFERROR('[1]MAR-Despesas'!$F$9,"")</f>
        <v>0</v>
      </c>
      <c r="G50" s="11">
        <f>IFERROR('[1]ABR-Despesas'!$F$9,"")</f>
        <v>48.78</v>
      </c>
      <c r="H50" s="11">
        <f>IFERROR('MAI-Despesas'!$F$9,"")</f>
        <v>0</v>
      </c>
      <c r="I50" s="11" t="s">
        <v>97</v>
      </c>
      <c r="J50" s="11" t="s">
        <v>97</v>
      </c>
      <c r="K50" s="11" t="s">
        <v>97</v>
      </c>
      <c r="L50" s="11" t="s">
        <v>97</v>
      </c>
      <c r="M50" s="11" t="s">
        <v>97</v>
      </c>
      <c r="N50" s="11" t="s">
        <v>97</v>
      </c>
      <c r="O50" s="11">
        <v>0</v>
      </c>
      <c r="P50" s="3"/>
    </row>
    <row r="51" spans="1:17" ht="15.75" hidden="1" customHeight="1" outlineLevel="1" x14ac:dyDescent="0.3">
      <c r="A51" s="3"/>
      <c r="B51" s="138" t="s">
        <v>282</v>
      </c>
      <c r="C51" s="10">
        <f t="shared" si="14"/>
        <v>10420.76</v>
      </c>
      <c r="D51" s="11">
        <f>IFERROR(SUM('[1]JAN-Despesas'!$F$10:$F$13),"")</f>
        <v>391.11</v>
      </c>
      <c r="E51" s="11">
        <f>IFERROR(SUM('[1]FEV-Despesas'!$F10:$F13),"")</f>
        <v>508.17</v>
      </c>
      <c r="F51" s="11">
        <f>IFERROR(SUM('[1]MAR-Despesas'!$F10:$F13),"")</f>
        <v>424.35</v>
      </c>
      <c r="G51" s="11">
        <f>IFERROR(SUM('[1]ABR-Despesas'!$F10:$F13),"")</f>
        <v>8672.7799999999988</v>
      </c>
      <c r="H51" s="11">
        <f>IFERROR(SUM('MAI-Despesas'!$F10:$F13),"")</f>
        <v>424.35</v>
      </c>
      <c r="I51" s="11">
        <f>IFERROR(SUM('[1]JUN-Despesas'!$F10:$F13),"")</f>
        <v>0</v>
      </c>
      <c r="J51" s="11">
        <f>IFERROR(SUM('[1]JUL-Despesas'!$F10:$F13),"")</f>
        <v>0</v>
      </c>
      <c r="K51" s="11">
        <f>IFERROR(SUM('[1]AGO-Despesas'!$F10:$F13),"")</f>
        <v>0</v>
      </c>
      <c r="L51" s="11">
        <f>IFERROR(SUM('[1]SET-Despesas'!$F10:$F13),"")</f>
        <v>0</v>
      </c>
      <c r="M51" s="11">
        <f>IFERROR(SUM('[1]OUT-Despesas'!$F10:$F13),"")</f>
        <v>0</v>
      </c>
      <c r="N51" s="11">
        <f>IFERROR(SUM('[1]NOV-Despesas'!$F10:$F13),"")</f>
        <v>0</v>
      </c>
      <c r="O51" s="11">
        <v>0</v>
      </c>
      <c r="P51" s="3"/>
    </row>
    <row r="52" spans="1:17" ht="15.75" hidden="1" customHeight="1" outlineLevel="1" x14ac:dyDescent="0.3">
      <c r="A52" s="3"/>
      <c r="B52" s="138" t="s">
        <v>66</v>
      </c>
      <c r="C52" s="10">
        <f t="shared" si="14"/>
        <v>1355.87</v>
      </c>
      <c r="D52" s="11">
        <f>IFERROR('[1]JAN-Despesas'!$F$14,"")</f>
        <v>54.99</v>
      </c>
      <c r="E52" s="11">
        <f>IFERROR(SUM('[1]FEV-Despesas'!$F14,'[1]FEV-Despesas'!$F15),"")</f>
        <v>54.99</v>
      </c>
      <c r="F52" s="11">
        <f>IFERROR(SUM('[1]MAR-Despesas'!$F14,'[1]MAR-Despesas'!$F15),"")</f>
        <v>56.1</v>
      </c>
      <c r="G52" s="11">
        <f>IFERROR(SUM('[1]ABR-Despesas'!$F14,'[1]ABR-Despesas'!$F15),"")</f>
        <v>909.81</v>
      </c>
      <c r="H52" s="11">
        <f>IFERROR(SUM('MAI-Despesas'!$F14,'MAI-Despesas'!$F15),"")</f>
        <v>279.98</v>
      </c>
      <c r="I52" s="11">
        <f>IFERROR(SUM('[1]JUN-Despesas'!$F14,'[1]JUN-Despesas'!$F15),"")</f>
        <v>0</v>
      </c>
      <c r="J52" s="11">
        <f>IFERROR(SUM('[1]JUL-Despesas'!$F14,'[1]JUL-Despesas'!$F15),"")</f>
        <v>0</v>
      </c>
      <c r="K52" s="11">
        <f>IFERROR(SUM('[1]AGO-Despesas'!$F14,'[1]AGO-Despesas'!$F15),"")</f>
        <v>0</v>
      </c>
      <c r="L52" s="11">
        <f>IFERROR(SUM('[1]SET-Despesas'!$F14,'[1]SET-Despesas'!$F15),"")</f>
        <v>0</v>
      </c>
      <c r="M52" s="11">
        <f>IFERROR(SUM('[1]OUT-Despesas'!$F14,'[1]OUT-Despesas'!$F15),"")</f>
        <v>0</v>
      </c>
      <c r="N52" s="11">
        <f>IFERROR(SUM('[1]NOV-Despesas'!$F14,'[1]NOV-Despesas'!$F15),"")</f>
        <v>0</v>
      </c>
      <c r="O52" s="11">
        <v>0</v>
      </c>
      <c r="P52" s="3"/>
    </row>
    <row r="53" spans="1:17" ht="15.75" customHeight="1" collapsed="1" x14ac:dyDescent="0.3">
      <c r="A53" s="3"/>
      <c r="B53" s="75" t="s">
        <v>288</v>
      </c>
      <c r="C53" s="77">
        <f t="shared" ref="C53:O53" si="15">SUM(C54:C60)</f>
        <v>36137.5</v>
      </c>
      <c r="D53" s="77">
        <f t="shared" si="15"/>
        <v>7731.6100000000006</v>
      </c>
      <c r="E53" s="77">
        <f t="shared" si="15"/>
        <v>3978.7200000000003</v>
      </c>
      <c r="F53" s="77">
        <f t="shared" si="15"/>
        <v>6140.8600000000006</v>
      </c>
      <c r="G53" s="77">
        <f t="shared" si="15"/>
        <v>11577.739999999998</v>
      </c>
      <c r="H53" s="77">
        <f t="shared" si="15"/>
        <v>6708.57</v>
      </c>
      <c r="I53" s="77">
        <f t="shared" si="15"/>
        <v>0</v>
      </c>
      <c r="J53" s="77">
        <f t="shared" si="15"/>
        <v>0</v>
      </c>
      <c r="K53" s="77">
        <f t="shared" si="15"/>
        <v>0</v>
      </c>
      <c r="L53" s="77">
        <f t="shared" si="15"/>
        <v>0</v>
      </c>
      <c r="M53" s="77">
        <f t="shared" si="15"/>
        <v>0</v>
      </c>
      <c r="N53" s="77">
        <f t="shared" si="15"/>
        <v>0</v>
      </c>
      <c r="O53" s="77">
        <f t="shared" si="15"/>
        <v>0</v>
      </c>
      <c r="P53" s="3"/>
    </row>
    <row r="54" spans="1:17" ht="15.75" hidden="1" customHeight="1" outlineLevel="1" x14ac:dyDescent="0.3">
      <c r="A54" s="3"/>
      <c r="B54" s="138" t="s">
        <v>289</v>
      </c>
      <c r="C54" s="10">
        <f t="shared" ref="C54:C60" si="16">SUM(D54:O54)</f>
        <v>12775.44</v>
      </c>
      <c r="D54" s="11">
        <f>IFERROR(SUM('[1]JAN-Despesas'!$F$17:$F$21),"")</f>
        <v>2791.86</v>
      </c>
      <c r="E54" s="11">
        <f>IFERROR(SUM('[1]FEV-Despesas'!$F17:$F21),"")</f>
        <v>2742.7200000000003</v>
      </c>
      <c r="F54" s="11">
        <f>IFERROR(SUM('[1]MAR-Despesas'!$F17:$F21),"")</f>
        <v>2799.86</v>
      </c>
      <c r="G54" s="11">
        <f>IFERROR(SUM('[1]ABR-Despesas'!$F17:$F21),"")</f>
        <v>1584</v>
      </c>
      <c r="H54" s="11">
        <f>IFERROR(SUM('MAI-Despesas'!$F17:$F21),"")</f>
        <v>2857</v>
      </c>
      <c r="I54" s="11">
        <f>IFERROR(SUM('[1]JUN-Despesas'!$F17:$F20),"")</f>
        <v>0</v>
      </c>
      <c r="J54" s="11">
        <f>IFERROR(SUM('[1]JUL-Despesas'!$F17:$F20),"")</f>
        <v>0</v>
      </c>
      <c r="K54" s="11">
        <f>IFERROR(SUM('[1]AGO-Despesas'!$F17:$F20),"")</f>
        <v>0</v>
      </c>
      <c r="L54" s="11">
        <f>IFERROR(SUM('[1]SET-Despesas'!$F17:$F20),"")</f>
        <v>0</v>
      </c>
      <c r="M54" s="11">
        <f>IFERROR(SUM('[1]OUT-Despesas'!$F17:$F20),"")</f>
        <v>0</v>
      </c>
      <c r="N54" s="11">
        <f>IFERROR(SUM('[1]NOV-Despesas'!$F17:$F20),"")</f>
        <v>0</v>
      </c>
      <c r="O54" s="11">
        <v>0</v>
      </c>
      <c r="P54" s="3"/>
    </row>
    <row r="55" spans="1:17" ht="15.75" hidden="1" customHeight="1" outlineLevel="1" x14ac:dyDescent="0.3">
      <c r="A55" s="3"/>
      <c r="B55" s="138" t="s">
        <v>291</v>
      </c>
      <c r="C55" s="10">
        <f t="shared" si="16"/>
        <v>12585.439999999999</v>
      </c>
      <c r="D55" s="11">
        <f>IFERROR(SUM('[1]JAN-Despesas'!$F$22:$F$28),"")</f>
        <v>1176</v>
      </c>
      <c r="E55" s="11">
        <f>IFERROR(SUM('[1]FEV-Despesas'!$F22:$F28),"")</f>
        <v>1152.0000000000002</v>
      </c>
      <c r="F55" s="11">
        <f>IFERROR(SUM('[1]MAR-Despesas'!$F22:$F28),"")</f>
        <v>1176</v>
      </c>
      <c r="G55" s="11">
        <f>IFERROR(SUM('[1]ABR-Despesas'!$F22:$F28),"")</f>
        <v>7781.44</v>
      </c>
      <c r="H55" s="11">
        <f>IFERROR(SUM('MAI-Despesas'!$F22:$F28),"")</f>
        <v>1300</v>
      </c>
      <c r="I55" s="11">
        <f>IFERROR(SUM('[1]JUN-Despesas'!$F21:$F27),"")</f>
        <v>0</v>
      </c>
      <c r="J55" s="11">
        <f>IFERROR(SUM('[1]JUL-Despesas'!$F21:$F27),"")</f>
        <v>0</v>
      </c>
      <c r="K55" s="11">
        <f>IFERROR(SUM('[1]AGO-Despesas'!$F21:$F27),"")</f>
        <v>0</v>
      </c>
      <c r="L55" s="11">
        <f>IFERROR(SUM('[1]SET-Despesas'!$F21:$F27),"")</f>
        <v>0</v>
      </c>
      <c r="M55" s="11">
        <f>IFERROR(SUM('[1]OUT-Despesas'!$F21:$F27),"")</f>
        <v>0</v>
      </c>
      <c r="N55" s="11">
        <f>IFERROR(SUM('[1]NOV-Despesas'!$F21:$F27),"")</f>
        <v>0</v>
      </c>
      <c r="O55" s="11">
        <v>0</v>
      </c>
      <c r="P55" s="3"/>
      <c r="Q55" s="14"/>
    </row>
    <row r="56" spans="1:17" ht="15.75" hidden="1" customHeight="1" outlineLevel="1" x14ac:dyDescent="0.3">
      <c r="A56" s="3"/>
      <c r="B56" s="138" t="s">
        <v>293</v>
      </c>
      <c r="C56" s="10">
        <f t="shared" si="16"/>
        <v>543</v>
      </c>
      <c r="D56" s="11">
        <f>IFERROR('[1]JAN-Despesas'!$F$29,"")</f>
        <v>117</v>
      </c>
      <c r="E56" s="11">
        <f>IFERROR('FEV-Despesas'!$F$29,"")</f>
        <v>84</v>
      </c>
      <c r="F56" s="11">
        <f>IFERROR('MAR-Despesas'!$F$29,"")</f>
        <v>117</v>
      </c>
      <c r="G56" s="11">
        <f>IFERROR('ABR-Despesas'!$F$29,"")</f>
        <v>117</v>
      </c>
      <c r="H56" s="11">
        <f>IFERROR('MAI-Despesas'!$F$29,"")</f>
        <v>108</v>
      </c>
      <c r="I56" s="11" t="s">
        <v>97</v>
      </c>
      <c r="J56" s="11" t="s">
        <v>97</v>
      </c>
      <c r="K56" s="11" t="s">
        <v>97</v>
      </c>
      <c r="L56" s="11" t="s">
        <v>97</v>
      </c>
      <c r="M56" s="11" t="s">
        <v>97</v>
      </c>
      <c r="N56" s="11" t="s">
        <v>97</v>
      </c>
      <c r="O56" s="11">
        <v>0</v>
      </c>
      <c r="P56" s="3"/>
      <c r="Q56" s="14"/>
    </row>
    <row r="57" spans="1:17" ht="15.75" hidden="1" customHeight="1" outlineLevel="1" x14ac:dyDescent="0.3">
      <c r="A57" s="3"/>
      <c r="B57" s="138" t="s">
        <v>295</v>
      </c>
      <c r="C57" s="10">
        <f t="shared" si="16"/>
        <v>8695.8900000000012</v>
      </c>
      <c r="D57" s="11">
        <f>IFERROR('JAN-Despesas'!$F$30,"")</f>
        <v>2263.27</v>
      </c>
      <c r="E57" s="11">
        <f>IFERROR('FEV-Despesas'!$F$30,"")</f>
        <v>0</v>
      </c>
      <c r="F57" s="11">
        <f>IFERROR('MAR-Despesas'!$F$30,"")</f>
        <v>2048</v>
      </c>
      <c r="G57" s="11">
        <f>IFERROR('ABR-Despesas'!$F$30,"")</f>
        <v>2095.3000000000002</v>
      </c>
      <c r="H57" s="11">
        <f>IFERROR('MAI-Despesas'!$F$30,"")</f>
        <v>2289.3200000000002</v>
      </c>
      <c r="I57" s="11" t="s">
        <v>97</v>
      </c>
      <c r="J57" s="11" t="s">
        <v>97</v>
      </c>
      <c r="K57" s="11" t="s">
        <v>97</v>
      </c>
      <c r="L57" s="11" t="s">
        <v>97</v>
      </c>
      <c r="M57" s="11" t="s">
        <v>97</v>
      </c>
      <c r="N57" s="11" t="s">
        <v>97</v>
      </c>
      <c r="O57" s="11">
        <v>0</v>
      </c>
      <c r="P57" s="3"/>
    </row>
    <row r="58" spans="1:17" ht="15.75" hidden="1" customHeight="1" outlineLevel="1" x14ac:dyDescent="0.3">
      <c r="A58" s="3"/>
      <c r="B58" s="138" t="s">
        <v>298</v>
      </c>
      <c r="C58" s="10">
        <f t="shared" si="16"/>
        <v>0</v>
      </c>
      <c r="D58" s="11">
        <f>IFERROR('[1]JAN-Despesas'!$F$31,"")</f>
        <v>0</v>
      </c>
      <c r="E58" s="11" t="s">
        <v>97</v>
      </c>
      <c r="F58" s="11" t="s">
        <v>97</v>
      </c>
      <c r="G58" s="11" t="s">
        <v>97</v>
      </c>
      <c r="H58" s="11">
        <f>IFERROR('MAI-Despesas'!$F$31,"")</f>
        <v>0</v>
      </c>
      <c r="I58" s="11" t="s">
        <v>97</v>
      </c>
      <c r="J58" s="11" t="s">
        <v>97</v>
      </c>
      <c r="K58" s="11" t="s">
        <v>97</v>
      </c>
      <c r="L58" s="11" t="s">
        <v>97</v>
      </c>
      <c r="M58" s="11" t="s">
        <v>97</v>
      </c>
      <c r="N58" s="11" t="s">
        <v>97</v>
      </c>
      <c r="O58" s="11">
        <v>0</v>
      </c>
      <c r="P58" s="3"/>
    </row>
    <row r="59" spans="1:17" ht="15.75" hidden="1" customHeight="1" outlineLevel="1" x14ac:dyDescent="0.3">
      <c r="A59" s="3"/>
      <c r="B59" s="138" t="s">
        <v>299</v>
      </c>
      <c r="C59" s="10">
        <f t="shared" si="16"/>
        <v>1537.73</v>
      </c>
      <c r="D59" s="11">
        <f>IFERROR('[1]JAN-Despesas'!$F$32,"")</f>
        <v>1383.48</v>
      </c>
      <c r="E59" s="11" t="s">
        <v>97</v>
      </c>
      <c r="F59" s="11" t="s">
        <v>97</v>
      </c>
      <c r="G59" s="11" t="s">
        <v>97</v>
      </c>
      <c r="H59" s="11">
        <f>IFERROR('MAI-Despesas'!$F$32,"")</f>
        <v>154.25</v>
      </c>
      <c r="I59" s="11" t="s">
        <v>97</v>
      </c>
      <c r="J59" s="11" t="s">
        <v>97</v>
      </c>
      <c r="K59" s="11" t="s">
        <v>97</v>
      </c>
      <c r="L59" s="11" t="s">
        <v>97</v>
      </c>
      <c r="M59" s="11" t="s">
        <v>97</v>
      </c>
      <c r="N59" s="11" t="s">
        <v>97</v>
      </c>
      <c r="O59" s="11">
        <v>0</v>
      </c>
      <c r="P59" s="3"/>
    </row>
    <row r="60" spans="1:17" ht="15.75" hidden="1" customHeight="1" outlineLevel="1" x14ac:dyDescent="0.3">
      <c r="A60" s="3"/>
      <c r="B60" s="138" t="s">
        <v>300</v>
      </c>
      <c r="C60" s="10">
        <f t="shared" si="16"/>
        <v>0</v>
      </c>
      <c r="D60" s="11">
        <f>IFERROR('[1]JAN-Despesas'!$F$33,"")</f>
        <v>0</v>
      </c>
      <c r="E60" s="11" t="s">
        <v>97</v>
      </c>
      <c r="F60" s="11" t="s">
        <v>97</v>
      </c>
      <c r="G60" s="11" t="s">
        <v>97</v>
      </c>
      <c r="H60" s="11">
        <f>IFERROR('MAI-Despesas'!$F$33,"")</f>
        <v>0</v>
      </c>
      <c r="I60" s="11" t="s">
        <v>97</v>
      </c>
      <c r="J60" s="11" t="s">
        <v>97</v>
      </c>
      <c r="K60" s="11" t="s">
        <v>97</v>
      </c>
      <c r="L60" s="11" t="s">
        <v>97</v>
      </c>
      <c r="M60" s="11" t="s">
        <v>97</v>
      </c>
      <c r="N60" s="11" t="s">
        <v>97</v>
      </c>
      <c r="O60" s="11">
        <v>0</v>
      </c>
      <c r="P60" s="3"/>
    </row>
    <row r="61" spans="1:17" ht="15.75" customHeight="1" collapsed="1" x14ac:dyDescent="0.3">
      <c r="A61" s="3"/>
      <c r="B61" s="75" t="s">
        <v>301</v>
      </c>
      <c r="C61" s="77">
        <f t="shared" ref="C61:O61" si="17">SUM(C62:C64)</f>
        <v>5.78</v>
      </c>
      <c r="D61" s="77">
        <f t="shared" si="17"/>
        <v>1.89</v>
      </c>
      <c r="E61" s="77">
        <f t="shared" si="17"/>
        <v>0.51</v>
      </c>
      <c r="F61" s="77">
        <f t="shared" si="17"/>
        <v>1.46</v>
      </c>
      <c r="G61" s="77">
        <f t="shared" si="17"/>
        <v>0.92999999999999994</v>
      </c>
      <c r="H61" s="77">
        <f t="shared" si="17"/>
        <v>0.99</v>
      </c>
      <c r="I61" s="77">
        <f t="shared" si="17"/>
        <v>0</v>
      </c>
      <c r="J61" s="77">
        <f t="shared" si="17"/>
        <v>0</v>
      </c>
      <c r="K61" s="77">
        <f t="shared" si="17"/>
        <v>0</v>
      </c>
      <c r="L61" s="77">
        <f t="shared" si="17"/>
        <v>0</v>
      </c>
      <c r="M61" s="77">
        <f t="shared" si="17"/>
        <v>0</v>
      </c>
      <c r="N61" s="77">
        <f t="shared" si="17"/>
        <v>0</v>
      </c>
      <c r="O61" s="77">
        <f t="shared" si="17"/>
        <v>0</v>
      </c>
      <c r="P61" s="3"/>
    </row>
    <row r="62" spans="1:17" ht="15.75" hidden="1" customHeight="1" outlineLevel="1" x14ac:dyDescent="0.3">
      <c r="A62" s="3"/>
      <c r="B62" s="138" t="s">
        <v>2238</v>
      </c>
      <c r="C62" s="10">
        <f t="shared" ref="C62:C64" si="18">SUM(D62:O62)</f>
        <v>5.78</v>
      </c>
      <c r="D62" s="11">
        <f>IFERROR('JAN-Despesas'!$F$35,"")</f>
        <v>1.89</v>
      </c>
      <c r="E62" s="11">
        <f>IFERROR('FEV-Despesas'!$F$35,"")</f>
        <v>0.51</v>
      </c>
      <c r="F62" s="11">
        <f>IFERROR('MAR-Despesas'!$F$35,"")</f>
        <v>1.46</v>
      </c>
      <c r="G62" s="11">
        <f>IFERROR('ABR-Despesas'!$F$35,"")</f>
        <v>0.92999999999999994</v>
      </c>
      <c r="H62" s="11">
        <f>IFERROR('MAI-Despesas'!$F$35,"")</f>
        <v>0.99</v>
      </c>
      <c r="I62" s="11" t="s">
        <v>97</v>
      </c>
      <c r="J62" s="11" t="s">
        <v>97</v>
      </c>
      <c r="K62" s="11" t="s">
        <v>97</v>
      </c>
      <c r="L62" s="11" t="s">
        <v>97</v>
      </c>
      <c r="M62" s="11" t="s">
        <v>97</v>
      </c>
      <c r="N62" s="11" t="s">
        <v>97</v>
      </c>
      <c r="O62" s="11">
        <v>0</v>
      </c>
      <c r="P62" s="3"/>
    </row>
    <row r="63" spans="1:17" ht="15.75" hidden="1" customHeight="1" outlineLevel="1" x14ac:dyDescent="0.3">
      <c r="A63" s="3"/>
      <c r="B63" s="138" t="s">
        <v>2239</v>
      </c>
      <c r="C63" s="10">
        <f t="shared" si="18"/>
        <v>0</v>
      </c>
      <c r="D63" s="11">
        <f>IFERROR('JAN-Despesas'!$F$36,"")</f>
        <v>0</v>
      </c>
      <c r="E63" s="11">
        <f>IFERROR('FEV-Despesas'!$F$36,"")</f>
        <v>0</v>
      </c>
      <c r="F63" s="11">
        <f>IFERROR('MAR-Despesas'!$F$36,"")</f>
        <v>0</v>
      </c>
      <c r="G63" s="11">
        <f>IFERROR('ABR-Despesas'!$F$36,"")</f>
        <v>0</v>
      </c>
      <c r="H63" s="11">
        <f>IFERROR('MAI-Despesas'!$F$36,"")</f>
        <v>0</v>
      </c>
      <c r="I63" s="11" t="s">
        <v>97</v>
      </c>
      <c r="J63" s="11" t="s">
        <v>97</v>
      </c>
      <c r="K63" s="11" t="s">
        <v>97</v>
      </c>
      <c r="L63" s="11" t="s">
        <v>97</v>
      </c>
      <c r="M63" s="11" t="s">
        <v>97</v>
      </c>
      <c r="N63" s="11" t="s">
        <v>97</v>
      </c>
      <c r="O63" s="11">
        <v>0</v>
      </c>
      <c r="P63" s="3"/>
    </row>
    <row r="64" spans="1:17" ht="15.75" hidden="1" customHeight="1" outlineLevel="1" x14ac:dyDescent="0.3">
      <c r="A64" s="3"/>
      <c r="B64" s="138" t="s">
        <v>2239</v>
      </c>
      <c r="C64" s="10">
        <f t="shared" si="18"/>
        <v>0</v>
      </c>
      <c r="D64" s="11">
        <f>IFERROR('JAN-Despesas'!$F$37,"")</f>
        <v>0</v>
      </c>
      <c r="E64" s="11">
        <f>IFERROR('FEV-Despesas'!$F$37,"")</f>
        <v>0</v>
      </c>
      <c r="F64" s="11">
        <f>IFERROR('MAR-Despesas'!$F$37,"")</f>
        <v>0</v>
      </c>
      <c r="G64" s="11">
        <f>IFERROR('ABR-Despesas'!$F$37,"")</f>
        <v>0</v>
      </c>
      <c r="H64" s="11">
        <f>IFERROR('MAI-Despesas'!$F$37,"")</f>
        <v>0</v>
      </c>
      <c r="I64" s="11" t="s">
        <v>97</v>
      </c>
      <c r="J64" s="11" t="s">
        <v>97</v>
      </c>
      <c r="K64" s="11" t="s">
        <v>97</v>
      </c>
      <c r="L64" s="11" t="s">
        <v>97</v>
      </c>
      <c r="M64" s="11" t="s">
        <v>97</v>
      </c>
      <c r="N64" s="11" t="s">
        <v>97</v>
      </c>
      <c r="O64" s="11">
        <v>0</v>
      </c>
      <c r="P64" s="3"/>
    </row>
    <row r="65" spans="1:16" ht="15.75" customHeight="1" collapsed="1" x14ac:dyDescent="0.3">
      <c r="A65" s="3"/>
      <c r="B65" s="75" t="s">
        <v>307</v>
      </c>
      <c r="C65" s="77">
        <f t="shared" ref="C65:O65" si="19">SUM(C66:C88)</f>
        <v>18294.91</v>
      </c>
      <c r="D65" s="77">
        <f t="shared" si="19"/>
        <v>4886.5</v>
      </c>
      <c r="E65" s="77">
        <f t="shared" si="19"/>
        <v>4379.87</v>
      </c>
      <c r="F65" s="77">
        <f t="shared" si="19"/>
        <v>2315.36</v>
      </c>
      <c r="G65" s="77">
        <f t="shared" si="19"/>
        <v>5053.0300000000007</v>
      </c>
      <c r="H65" s="77">
        <f t="shared" si="19"/>
        <v>1660.1499999999999</v>
      </c>
      <c r="I65" s="77">
        <f t="shared" si="19"/>
        <v>0</v>
      </c>
      <c r="J65" s="77">
        <f t="shared" si="19"/>
        <v>0</v>
      </c>
      <c r="K65" s="77">
        <f t="shared" si="19"/>
        <v>0</v>
      </c>
      <c r="L65" s="77">
        <f t="shared" si="19"/>
        <v>0</v>
      </c>
      <c r="M65" s="77">
        <f t="shared" si="19"/>
        <v>0</v>
      </c>
      <c r="N65" s="77">
        <f t="shared" si="19"/>
        <v>0</v>
      </c>
      <c r="O65" s="77">
        <f t="shared" si="19"/>
        <v>0</v>
      </c>
      <c r="P65" s="3"/>
    </row>
    <row r="66" spans="1:16" ht="15.75" hidden="1" customHeight="1" outlineLevel="1" x14ac:dyDescent="0.3">
      <c r="A66" s="3"/>
      <c r="B66" s="9" t="s">
        <v>308</v>
      </c>
      <c r="C66" s="10">
        <f t="shared" ref="C66:C88" si="20">SUM(D66:O66)</f>
        <v>5280.14</v>
      </c>
      <c r="D66" s="11">
        <f>IFERROR('JAN-Despesas'!$F$39,"")</f>
        <v>795.7</v>
      </c>
      <c r="E66" s="11">
        <f>IFERROR('FEV-Despesas'!$F$39,"")</f>
        <v>1366.01</v>
      </c>
      <c r="F66" s="11">
        <f>IFERROR('MAR-Despesas'!$F$39,"")</f>
        <v>782.61</v>
      </c>
      <c r="G66" s="11">
        <f>IFERROR('ABR-Despesas'!$F$39,"")</f>
        <v>2335.8200000000002</v>
      </c>
      <c r="H66" s="11">
        <f>IFERROR('MAI-Despesas'!$F$39,"")</f>
        <v>0</v>
      </c>
      <c r="I66" s="11" t="s">
        <v>97</v>
      </c>
      <c r="J66" s="11" t="s">
        <v>97</v>
      </c>
      <c r="K66" s="11" t="s">
        <v>97</v>
      </c>
      <c r="L66" s="11" t="s">
        <v>97</v>
      </c>
      <c r="M66" s="11" t="s">
        <v>97</v>
      </c>
      <c r="N66" s="11" t="s">
        <v>97</v>
      </c>
      <c r="O66" s="11">
        <v>0</v>
      </c>
      <c r="P66" s="3"/>
    </row>
    <row r="67" spans="1:16" ht="15.75" hidden="1" customHeight="1" outlineLevel="1" x14ac:dyDescent="0.3">
      <c r="A67" s="3"/>
      <c r="B67" s="9" t="s">
        <v>590</v>
      </c>
      <c r="C67" s="10">
        <f t="shared" si="20"/>
        <v>3250</v>
      </c>
      <c r="D67" s="11">
        <f>IFERROR('JAN-Despesas'!$F$40,"")</f>
        <v>650</v>
      </c>
      <c r="E67" s="11">
        <f>IFERROR('FEV-Despesas'!$F$40,"")</f>
        <v>650</v>
      </c>
      <c r="F67" s="11">
        <f>IFERROR('MAR-Despesas'!$F$40,"")</f>
        <v>650</v>
      </c>
      <c r="G67" s="11">
        <f>IFERROR('ABR-Despesas'!$F$40,"")</f>
        <v>650</v>
      </c>
      <c r="H67" s="11">
        <f>IFERROR('MAI-Despesas'!$F$40,"")</f>
        <v>650</v>
      </c>
      <c r="I67" s="11" t="s">
        <v>97</v>
      </c>
      <c r="J67" s="11" t="s">
        <v>97</v>
      </c>
      <c r="K67" s="11" t="s">
        <v>97</v>
      </c>
      <c r="L67" s="11" t="s">
        <v>97</v>
      </c>
      <c r="M67" s="11" t="s">
        <v>97</v>
      </c>
      <c r="N67" s="11" t="s">
        <v>97</v>
      </c>
      <c r="O67" s="11">
        <v>0</v>
      </c>
      <c r="P67" s="3"/>
    </row>
    <row r="68" spans="1:16" ht="15.75" hidden="1" customHeight="1" outlineLevel="1" x14ac:dyDescent="0.3">
      <c r="A68" s="3"/>
      <c r="B68" s="9" t="s">
        <v>757</v>
      </c>
      <c r="C68" s="10">
        <f t="shared" si="20"/>
        <v>650</v>
      </c>
      <c r="D68" s="11">
        <f>IFERROR('JAN-Despesas'!$F$41,"")</f>
        <v>650</v>
      </c>
      <c r="E68" s="11">
        <f>IFERROR('FEV-Despesas'!$F$41,"")</f>
        <v>0</v>
      </c>
      <c r="F68" s="11">
        <f>IFERROR('MAR-Despesas'!$F$41,"")</f>
        <v>0</v>
      </c>
      <c r="G68" s="11">
        <f>IFERROR('ABR-Despesas'!$F$41,"")</f>
        <v>0</v>
      </c>
      <c r="H68" s="11">
        <f>IFERROR('MAI-Despesas'!$F$41,"")</f>
        <v>0</v>
      </c>
      <c r="I68" s="11" t="s">
        <v>97</v>
      </c>
      <c r="J68" s="11" t="s">
        <v>97</v>
      </c>
      <c r="K68" s="11" t="s">
        <v>97</v>
      </c>
      <c r="L68" s="11" t="s">
        <v>97</v>
      </c>
      <c r="M68" s="11" t="s">
        <v>97</v>
      </c>
      <c r="N68" s="11" t="s">
        <v>97</v>
      </c>
      <c r="O68" s="11">
        <v>0</v>
      </c>
      <c r="P68" s="3"/>
    </row>
    <row r="69" spans="1:16" ht="15.75" hidden="1" customHeight="1" outlineLevel="1" x14ac:dyDescent="0.3">
      <c r="A69" s="3"/>
      <c r="B69" s="9" t="s">
        <v>313</v>
      </c>
      <c r="C69" s="10">
        <f t="shared" si="20"/>
        <v>84.9</v>
      </c>
      <c r="D69" s="11">
        <f>IFERROR('JAN-Despesas'!$F$42,"")</f>
        <v>0</v>
      </c>
      <c r="E69" s="11">
        <f>IFERROR('FEV-Despesas'!$F$42,"")</f>
        <v>0</v>
      </c>
      <c r="F69" s="11">
        <f>IFERROR('MAR-Despesas'!$F$42,"")</f>
        <v>0</v>
      </c>
      <c r="G69" s="11">
        <f>IFERROR('ABR-Despesas'!$F$42,"")</f>
        <v>84.9</v>
      </c>
      <c r="H69" s="11">
        <f>IFERROR('MAI-Despesas'!$F$42,"")</f>
        <v>0</v>
      </c>
      <c r="I69" s="11" t="s">
        <v>97</v>
      </c>
      <c r="J69" s="11" t="s">
        <v>97</v>
      </c>
      <c r="K69" s="11" t="s">
        <v>97</v>
      </c>
      <c r="L69" s="11" t="s">
        <v>97</v>
      </c>
      <c r="M69" s="11" t="s">
        <v>97</v>
      </c>
      <c r="N69" s="11" t="s">
        <v>97</v>
      </c>
      <c r="O69" s="11">
        <v>0</v>
      </c>
      <c r="P69" s="3"/>
    </row>
    <row r="70" spans="1:16" ht="15.75" hidden="1" customHeight="1" outlineLevel="1" x14ac:dyDescent="0.3">
      <c r="A70" s="3"/>
      <c r="B70" s="9" t="s">
        <v>315</v>
      </c>
      <c r="C70" s="10">
        <f t="shared" si="20"/>
        <v>857.6</v>
      </c>
      <c r="D70" s="11">
        <f>IFERROR('JAN-Despesas'!$F$43,"")</f>
        <v>84.9</v>
      </c>
      <c r="E70" s="11">
        <f>IFERROR('FEV-Despesas'!$F$43,"")</f>
        <v>84.9</v>
      </c>
      <c r="F70" s="11">
        <f>IFERROR('MAR-Despesas'!$F$43,"")</f>
        <v>84.9</v>
      </c>
      <c r="G70" s="11">
        <f>IFERROR('ABR-Despesas'!$F$43,"")</f>
        <v>518</v>
      </c>
      <c r="H70" s="11">
        <f>IFERROR('MAI-Despesas'!$F$43,"")</f>
        <v>84.9</v>
      </c>
      <c r="I70" s="11" t="s">
        <v>97</v>
      </c>
      <c r="J70" s="11" t="s">
        <v>97</v>
      </c>
      <c r="K70" s="11" t="s">
        <v>97</v>
      </c>
      <c r="L70" s="11" t="s">
        <v>97</v>
      </c>
      <c r="M70" s="11" t="s">
        <v>97</v>
      </c>
      <c r="N70" s="11" t="s">
        <v>97</v>
      </c>
      <c r="O70" s="11">
        <v>0</v>
      </c>
      <c r="P70" s="3"/>
    </row>
    <row r="71" spans="1:16" ht="15.75" hidden="1" customHeight="1" outlineLevel="1" x14ac:dyDescent="0.3">
      <c r="A71" s="3"/>
      <c r="B71" s="9" t="s">
        <v>317</v>
      </c>
      <c r="C71" s="10">
        <f t="shared" si="20"/>
        <v>2932.52</v>
      </c>
      <c r="D71" s="11">
        <f>IFERROR(SUM('JAN-Despesas'!$F$44,'JAN-Despesas'!$F$45),"")</f>
        <v>730.9</v>
      </c>
      <c r="E71" s="11">
        <f>IFERROR(SUM('FEV-Despesas'!$F$44,'FEV-Despesas'!$F$45),"")</f>
        <v>730.9</v>
      </c>
      <c r="F71" s="11">
        <f>IFERROR(SUM('MAR-Despesas'!$F$44,'MAR-Despesas'!$F$45),"")</f>
        <v>730.9</v>
      </c>
      <c r="G71" s="11">
        <f>IFERROR(SUM('ABR-Despesas'!$F$44,'ABR-Despesas'!$F$45),"")</f>
        <v>262.89999999999998</v>
      </c>
      <c r="H71" s="11">
        <f>IFERROR(SUM('MAI-Despesas'!$F$44,'MAI-Despesas'!$F$45),"")</f>
        <v>476.91999999999996</v>
      </c>
      <c r="I71" s="11">
        <f>IFERROR(SUM('[1]JUN-Despesas'!$F43,'[1]JUN-Despesas'!$F44),"")</f>
        <v>0</v>
      </c>
      <c r="J71" s="11">
        <f>IFERROR(SUM('[1]JUL-Despesas'!$F43,'[1]JUL-Despesas'!$F44),"")</f>
        <v>0</v>
      </c>
      <c r="K71" s="11">
        <f>IFERROR(SUM('[1]AGO-Despesas'!$F43,'[1]AGO-Despesas'!$F44),"")</f>
        <v>0</v>
      </c>
      <c r="L71" s="11">
        <f>IFERROR(SUM('[1]SET-Despesas'!$F43,'[1]SET-Despesas'!$F44),"")</f>
        <v>0</v>
      </c>
      <c r="M71" s="11">
        <f>IFERROR(SUM('[1]OUT-Despesas'!$F43,'[1]OUT-Despesas'!$F44),"")</f>
        <v>0</v>
      </c>
      <c r="N71" s="11">
        <f>IFERROR(SUM('[1]NOV-Despesas'!$F44,'[1]NOV-Despesas'!$F45),"")</f>
        <v>0</v>
      </c>
      <c r="O71" s="11">
        <v>0</v>
      </c>
      <c r="P71" s="3"/>
    </row>
    <row r="72" spans="1:16" ht="15.75" hidden="1" customHeight="1" outlineLevel="1" x14ac:dyDescent="0.3">
      <c r="A72" s="3"/>
      <c r="B72" s="9" t="s">
        <v>318</v>
      </c>
      <c r="C72" s="10">
        <f t="shared" si="20"/>
        <v>2430.1800000000003</v>
      </c>
      <c r="D72" s="11">
        <f>IFERROR('JAN-Despesas'!$F$46,"")</f>
        <v>1625</v>
      </c>
      <c r="E72" s="11">
        <f>IFERROR('FEV-Despesas'!$F$46,"")</f>
        <v>89.9</v>
      </c>
      <c r="F72" s="11">
        <f>IFERROR('MAR-Despesas'!$F$46,"")</f>
        <v>66.95</v>
      </c>
      <c r="G72" s="11">
        <f>IFERROR('ABR-Despesas'!$F$46,"")</f>
        <v>200</v>
      </c>
      <c r="H72" s="11">
        <f>IFERROR('MAI-Despesas'!$F$46,"")</f>
        <v>448.33</v>
      </c>
      <c r="I72" s="11" t="s">
        <v>97</v>
      </c>
      <c r="J72" s="11" t="s">
        <v>97</v>
      </c>
      <c r="K72" s="11" t="s">
        <v>97</v>
      </c>
      <c r="L72" s="11" t="s">
        <v>97</v>
      </c>
      <c r="M72" s="11" t="s">
        <v>97</v>
      </c>
      <c r="N72" s="11" t="s">
        <v>97</v>
      </c>
      <c r="O72" s="11">
        <v>0</v>
      </c>
      <c r="P72" s="3"/>
    </row>
    <row r="73" spans="1:16" ht="15.75" hidden="1" customHeight="1" outlineLevel="1" x14ac:dyDescent="0.3">
      <c r="A73" s="3"/>
      <c r="B73" s="9" t="s">
        <v>632</v>
      </c>
      <c r="C73" s="10">
        <f t="shared" si="20"/>
        <v>780.29</v>
      </c>
      <c r="D73" s="11">
        <f>IFERROR('JAN-Despesas'!$F$47,"")</f>
        <v>350</v>
      </c>
      <c r="E73" s="11">
        <f>IFERROR('FEV-Despesas'!$F$47,"")</f>
        <v>340</v>
      </c>
      <c r="F73" s="11">
        <f>IFERROR('MAR-Despesas'!$F$47,"")</f>
        <v>0</v>
      </c>
      <c r="G73" s="11">
        <f>IFERROR('ABR-Despesas'!$F$47,"")</f>
        <v>90.29</v>
      </c>
      <c r="H73" s="11">
        <f>IFERROR('MAI-Despesas'!$F$47,"")</f>
        <v>0</v>
      </c>
      <c r="I73" s="11" t="s">
        <v>97</v>
      </c>
      <c r="J73" s="11" t="s">
        <v>97</v>
      </c>
      <c r="K73" s="11" t="s">
        <v>97</v>
      </c>
      <c r="L73" s="11" t="s">
        <v>97</v>
      </c>
      <c r="M73" s="11" t="s">
        <v>97</v>
      </c>
      <c r="N73" s="11" t="s">
        <v>97</v>
      </c>
      <c r="O73" s="11">
        <v>0</v>
      </c>
      <c r="P73" s="3"/>
    </row>
    <row r="74" spans="1:16" ht="15.75" hidden="1" customHeight="1" outlineLevel="1" x14ac:dyDescent="0.3">
      <c r="A74" s="3"/>
      <c r="B74" s="9" t="s">
        <v>632</v>
      </c>
      <c r="C74" s="10">
        <f t="shared" si="20"/>
        <v>955.16</v>
      </c>
      <c r="D74" s="11">
        <f>IFERROR('JAN-Despesas'!$F$48,"")</f>
        <v>0</v>
      </c>
      <c r="E74" s="11">
        <f>IFERROR('FEV-Despesas'!$F$48,"")</f>
        <v>155.16</v>
      </c>
      <c r="F74" s="11">
        <f>IFERROR('MAR-Despesas'!$F$48,"")</f>
        <v>0</v>
      </c>
      <c r="G74" s="11">
        <f>IFERROR('ABR-Despesas'!$F$48,"")</f>
        <v>800</v>
      </c>
      <c r="H74" s="11">
        <f>IFERROR('MAI-Despesas'!$F$48,"")</f>
        <v>0</v>
      </c>
      <c r="I74" s="11" t="s">
        <v>97</v>
      </c>
      <c r="J74" s="11" t="s">
        <v>97</v>
      </c>
      <c r="K74" s="11" t="s">
        <v>97</v>
      </c>
      <c r="L74" s="11" t="s">
        <v>97</v>
      </c>
      <c r="M74" s="11" t="s">
        <v>97</v>
      </c>
      <c r="N74" s="11" t="s">
        <v>97</v>
      </c>
      <c r="O74" s="11">
        <v>0</v>
      </c>
      <c r="P74" s="3"/>
    </row>
    <row r="75" spans="1:16" ht="15.75" hidden="1" customHeight="1" outlineLevel="1" x14ac:dyDescent="0.3">
      <c r="A75" s="3"/>
      <c r="B75" s="9" t="s">
        <v>632</v>
      </c>
      <c r="C75" s="10">
        <f t="shared" si="20"/>
        <v>286.12</v>
      </c>
      <c r="D75" s="11">
        <f>IFERROR('JAN-Despesas'!$F$49,"")</f>
        <v>0</v>
      </c>
      <c r="E75" s="11">
        <f>IFERROR('FEV-Despesas'!$F$49,"")</f>
        <v>175</v>
      </c>
      <c r="F75" s="11">
        <f>IFERROR('MAR-Despesas'!$F$49,"")</f>
        <v>0</v>
      </c>
      <c r="G75" s="11">
        <f>IFERROR('ABR-Despesas'!$F$49,"")</f>
        <v>111.12</v>
      </c>
      <c r="H75" s="11">
        <f>IFERROR('MAI-Despesas'!$F$49,"")</f>
        <v>0</v>
      </c>
      <c r="I75" s="11" t="s">
        <v>97</v>
      </c>
      <c r="J75" s="11" t="s">
        <v>97</v>
      </c>
      <c r="K75" s="11" t="s">
        <v>97</v>
      </c>
      <c r="L75" s="11" t="s">
        <v>97</v>
      </c>
      <c r="M75" s="11" t="s">
        <v>97</v>
      </c>
      <c r="N75" s="11" t="s">
        <v>97</v>
      </c>
      <c r="O75" s="11">
        <v>0</v>
      </c>
      <c r="P75" s="3"/>
    </row>
    <row r="76" spans="1:16" ht="15.75" hidden="1" customHeight="1" outlineLevel="1" x14ac:dyDescent="0.3">
      <c r="A76" s="3"/>
      <c r="B76" s="9" t="s">
        <v>632</v>
      </c>
      <c r="C76" s="10">
        <f t="shared" si="20"/>
        <v>499</v>
      </c>
      <c r="D76" s="11">
        <f>IFERROR('JAN-Despesas'!$F$50,"")</f>
        <v>0</v>
      </c>
      <c r="E76" s="11">
        <f>IFERROR('FEV-Despesas'!$F$50,"")</f>
        <v>499</v>
      </c>
      <c r="F76" s="11">
        <f>IFERROR('MAR-Despesas'!$F$50,"")</f>
        <v>0</v>
      </c>
      <c r="G76" s="11">
        <f>IFERROR('ABR-Despesas'!$F$50,"")</f>
        <v>0</v>
      </c>
      <c r="H76" s="11">
        <f>IFERROR('MAI-Despesas'!$F$50,"")</f>
        <v>0</v>
      </c>
      <c r="I76" s="11" t="s">
        <v>97</v>
      </c>
      <c r="J76" s="11" t="s">
        <v>97</v>
      </c>
      <c r="K76" s="11" t="s">
        <v>97</v>
      </c>
      <c r="L76" s="11" t="s">
        <v>97</v>
      </c>
      <c r="M76" s="11" t="s">
        <v>97</v>
      </c>
      <c r="N76" s="11" t="s">
        <v>97</v>
      </c>
      <c r="O76" s="11">
        <v>0</v>
      </c>
      <c r="P76" s="3"/>
    </row>
    <row r="77" spans="1:16" ht="15.75" hidden="1" customHeight="1" outlineLevel="1" x14ac:dyDescent="0.3">
      <c r="A77" s="3"/>
      <c r="B77" s="9" t="s">
        <v>632</v>
      </c>
      <c r="C77" s="10">
        <f t="shared" si="20"/>
        <v>189</v>
      </c>
      <c r="D77" s="11">
        <f>IFERROR('JAN-Despesas'!$F$51,"")</f>
        <v>0</v>
      </c>
      <c r="E77" s="11">
        <f>IFERROR('FEV-Despesas'!$F$51,"")</f>
        <v>189</v>
      </c>
      <c r="F77" s="11">
        <f>IFERROR('MAR-Despesas'!$F$51,"")</f>
        <v>0</v>
      </c>
      <c r="G77" s="11">
        <f>IFERROR('ABR-Despesas'!$F$51,"")</f>
        <v>0</v>
      </c>
      <c r="H77" s="11">
        <f>IFERROR('MAI-Despesas'!$F$51,"")</f>
        <v>0</v>
      </c>
      <c r="I77" s="11" t="s">
        <v>97</v>
      </c>
      <c r="J77" s="11" t="s">
        <v>97</v>
      </c>
      <c r="K77" s="11" t="s">
        <v>97</v>
      </c>
      <c r="L77" s="11" t="s">
        <v>97</v>
      </c>
      <c r="M77" s="11" t="s">
        <v>97</v>
      </c>
      <c r="N77" s="11" t="s">
        <v>97</v>
      </c>
      <c r="O77" s="11">
        <v>0</v>
      </c>
      <c r="P77" s="3"/>
    </row>
    <row r="78" spans="1:16" ht="15.75" hidden="1" customHeight="1" outlineLevel="1" x14ac:dyDescent="0.3">
      <c r="A78" s="3"/>
      <c r="B78" s="9" t="s">
        <v>632</v>
      </c>
      <c r="C78" s="10">
        <f t="shared" si="20"/>
        <v>100</v>
      </c>
      <c r="D78" s="11">
        <f>IFERROR('JAN-Despesas'!$F$52,"")</f>
        <v>0</v>
      </c>
      <c r="E78" s="11">
        <f>IFERROR('FEV-Despesas'!$F$52,"")</f>
        <v>100</v>
      </c>
      <c r="F78" s="11">
        <f>IFERROR('MAR-Despesas'!$F$52,"")</f>
        <v>0</v>
      </c>
      <c r="G78" s="11">
        <f>IFERROR('ABR-Despesas'!$F$52,"")</f>
        <v>0</v>
      </c>
      <c r="H78" s="11">
        <f>IFERROR('MAI-Despesas'!$F$52,"")</f>
        <v>0</v>
      </c>
      <c r="I78" s="11" t="s">
        <v>97</v>
      </c>
      <c r="J78" s="11" t="s">
        <v>97</v>
      </c>
      <c r="K78" s="11" t="s">
        <v>97</v>
      </c>
      <c r="L78" s="11" t="s">
        <v>97</v>
      </c>
      <c r="M78" s="11" t="s">
        <v>97</v>
      </c>
      <c r="N78" s="11" t="s">
        <v>97</v>
      </c>
      <c r="O78" s="11">
        <v>0</v>
      </c>
      <c r="P78" s="3"/>
    </row>
    <row r="79" spans="1:16" ht="15.75" hidden="1" customHeight="1" outlineLevel="1" x14ac:dyDescent="0.3">
      <c r="A79" s="3"/>
      <c r="B79" s="9" t="s">
        <v>632</v>
      </c>
      <c r="C79" s="10">
        <f t="shared" si="20"/>
        <v>0</v>
      </c>
      <c r="D79" s="11" t="s">
        <v>97</v>
      </c>
      <c r="E79" s="11" t="s">
        <v>97</v>
      </c>
      <c r="F79" s="11" t="s">
        <v>97</v>
      </c>
      <c r="G79" s="11" t="s">
        <v>97</v>
      </c>
      <c r="H79" s="11" t="s">
        <v>97</v>
      </c>
      <c r="I79" s="11" t="s">
        <v>97</v>
      </c>
      <c r="J79" s="11" t="s">
        <v>97</v>
      </c>
      <c r="K79" s="11" t="s">
        <v>97</v>
      </c>
      <c r="L79" s="11" t="s">
        <v>97</v>
      </c>
      <c r="M79" s="11" t="s">
        <v>97</v>
      </c>
      <c r="N79" s="11" t="s">
        <v>97</v>
      </c>
      <c r="O79" s="11">
        <v>0</v>
      </c>
      <c r="P79" s="3"/>
    </row>
    <row r="80" spans="1:16" ht="15.75" hidden="1" customHeight="1" outlineLevel="1" x14ac:dyDescent="0.3">
      <c r="A80" s="3"/>
      <c r="B80" s="9" t="s">
        <v>632</v>
      </c>
      <c r="C80" s="10">
        <f t="shared" si="20"/>
        <v>0</v>
      </c>
      <c r="D80" s="11">
        <f>IFERROR('JAN-Despesas'!$F$54,"")</f>
        <v>0</v>
      </c>
      <c r="E80" s="11">
        <f>IFERROR('FEV-Despesas'!$F$54,"")</f>
        <v>0</v>
      </c>
      <c r="F80" s="11">
        <f>IFERROR('MAR-Despesas'!$F$54,"")</f>
        <v>0</v>
      </c>
      <c r="G80" s="11">
        <f>IFERROR('ABR-Despesas'!$F$54,"")</f>
        <v>0</v>
      </c>
      <c r="H80" s="11">
        <f>IFERROR('MAI-Despesas'!$F$54,"")</f>
        <v>0</v>
      </c>
      <c r="I80" s="11" t="s">
        <v>97</v>
      </c>
      <c r="J80" s="11" t="s">
        <v>97</v>
      </c>
      <c r="K80" s="11" t="s">
        <v>97</v>
      </c>
      <c r="L80" s="11" t="s">
        <v>97</v>
      </c>
      <c r="M80" s="11" t="s">
        <v>97</v>
      </c>
      <c r="N80" s="11" t="s">
        <v>97</v>
      </c>
      <c r="O80" s="11">
        <v>0</v>
      </c>
      <c r="P80" s="3"/>
    </row>
    <row r="81" spans="1:17" ht="15.75" hidden="1" customHeight="1" outlineLevel="1" x14ac:dyDescent="0.3">
      <c r="A81" s="3"/>
      <c r="B81" s="9" t="s">
        <v>632</v>
      </c>
      <c r="C81" s="10">
        <f t="shared" si="20"/>
        <v>0</v>
      </c>
      <c r="D81" s="11">
        <f>IFERROR('JAN-Despesas'!$F$55,"")</f>
        <v>0</v>
      </c>
      <c r="E81" s="11">
        <f>IFERROR('FEV-Despesas'!$F$55,"")</f>
        <v>0</v>
      </c>
      <c r="F81" s="11">
        <f>IFERROR('MAR-Despesas'!$F$55,"")</f>
        <v>0</v>
      </c>
      <c r="G81" s="11">
        <f>IFERROR('ABR-Despesas'!$F$55,"")</f>
        <v>0</v>
      </c>
      <c r="H81" s="11">
        <f>IFERROR('MAI-Despesas'!$F$55,"")</f>
        <v>0</v>
      </c>
      <c r="I81" s="11" t="s">
        <v>97</v>
      </c>
      <c r="J81" s="11" t="s">
        <v>97</v>
      </c>
      <c r="K81" s="11" t="s">
        <v>97</v>
      </c>
      <c r="L81" s="11" t="s">
        <v>97</v>
      </c>
      <c r="M81" s="11" t="s">
        <v>97</v>
      </c>
      <c r="N81" s="11" t="s">
        <v>97</v>
      </c>
      <c r="O81" s="11">
        <v>0</v>
      </c>
      <c r="P81" s="3"/>
    </row>
    <row r="82" spans="1:17" ht="15.75" hidden="1" customHeight="1" outlineLevel="1" x14ac:dyDescent="0.3">
      <c r="A82" s="3"/>
      <c r="B82" s="9" t="s">
        <v>632</v>
      </c>
      <c r="C82" s="10">
        <f t="shared" si="20"/>
        <v>0</v>
      </c>
      <c r="D82" s="11">
        <f>IFERROR('JAN-Despesas'!$F$56,"")</f>
        <v>0</v>
      </c>
      <c r="E82" s="11">
        <f>IFERROR('FEV-Despesas'!$F$56,"")</f>
        <v>0</v>
      </c>
      <c r="F82" s="11">
        <f>IFERROR('MAR-Despesas'!$F$56,"")</f>
        <v>0</v>
      </c>
      <c r="G82" s="11">
        <f>IFERROR('ABR-Despesas'!$F$56,"")</f>
        <v>0</v>
      </c>
      <c r="H82" s="11">
        <f>IFERROR('MAI-Despesas'!$F$56,"")</f>
        <v>0</v>
      </c>
      <c r="I82" s="11" t="s">
        <v>97</v>
      </c>
      <c r="J82" s="11" t="s">
        <v>97</v>
      </c>
      <c r="K82" s="11" t="s">
        <v>97</v>
      </c>
      <c r="L82" s="11" t="s">
        <v>97</v>
      </c>
      <c r="M82" s="11" t="s">
        <v>97</v>
      </c>
      <c r="N82" s="11" t="s">
        <v>97</v>
      </c>
      <c r="O82" s="11">
        <v>0</v>
      </c>
      <c r="P82" s="3"/>
    </row>
    <row r="83" spans="1:17" ht="15.75" hidden="1" customHeight="1" outlineLevel="1" x14ac:dyDescent="0.3">
      <c r="A83" s="3"/>
      <c r="B83" s="9" t="s">
        <v>632</v>
      </c>
      <c r="C83" s="10">
        <f t="shared" si="20"/>
        <v>0</v>
      </c>
      <c r="D83" s="11">
        <f>IFERROR('JAN-Despesas'!$F$57,"")</f>
        <v>0</v>
      </c>
      <c r="E83" s="11">
        <f>IFERROR('FEV-Despesas'!$F$57,"")</f>
        <v>0</v>
      </c>
      <c r="F83" s="11">
        <f>IFERROR('MAR-Despesas'!$F$57,"")</f>
        <v>0</v>
      </c>
      <c r="G83" s="11">
        <f>IFERROR('ABR-Despesas'!$F$57,"")</f>
        <v>0</v>
      </c>
      <c r="H83" s="11">
        <f>IFERROR('MAI-Despesas'!$F$57,"")</f>
        <v>0</v>
      </c>
      <c r="I83" s="11" t="s">
        <v>97</v>
      </c>
      <c r="J83" s="11" t="s">
        <v>97</v>
      </c>
      <c r="K83" s="11" t="s">
        <v>97</v>
      </c>
      <c r="L83" s="11" t="s">
        <v>97</v>
      </c>
      <c r="M83" s="11" t="s">
        <v>97</v>
      </c>
      <c r="N83" s="11" t="s">
        <v>97</v>
      </c>
      <c r="O83" s="11">
        <v>0</v>
      </c>
      <c r="P83" s="3"/>
    </row>
    <row r="84" spans="1:17" ht="15.75" hidden="1" customHeight="1" outlineLevel="1" x14ac:dyDescent="0.3">
      <c r="A84" s="3"/>
      <c r="B84" s="9" t="s">
        <v>632</v>
      </c>
      <c r="C84" s="10">
        <f t="shared" si="20"/>
        <v>0</v>
      </c>
      <c r="D84" s="11">
        <f>IFERROR('JAN-Despesas'!$F$58,"")</f>
        <v>0</v>
      </c>
      <c r="E84" s="11">
        <f>IFERROR('FEV-Despesas'!$F$58,"")</f>
        <v>0</v>
      </c>
      <c r="F84" s="11">
        <f>IFERROR('MAR-Despesas'!$F$58,"")</f>
        <v>0</v>
      </c>
      <c r="G84" s="11">
        <f>IFERROR('ABR-Despesas'!$F$58,"")</f>
        <v>0</v>
      </c>
      <c r="H84" s="11">
        <f>IFERROR('MAI-Despesas'!$F$58,"")</f>
        <v>0</v>
      </c>
      <c r="I84" s="11" t="s">
        <v>97</v>
      </c>
      <c r="J84" s="11" t="s">
        <v>97</v>
      </c>
      <c r="K84" s="11" t="s">
        <v>97</v>
      </c>
      <c r="L84" s="11" t="s">
        <v>97</v>
      </c>
      <c r="M84" s="11" t="s">
        <v>97</v>
      </c>
      <c r="N84" s="11" t="s">
        <v>97</v>
      </c>
      <c r="O84" s="11">
        <v>0</v>
      </c>
      <c r="P84" s="3"/>
    </row>
    <row r="85" spans="1:17" ht="15.75" hidden="1" customHeight="1" outlineLevel="1" x14ac:dyDescent="0.3">
      <c r="A85" s="3"/>
      <c r="B85" s="9" t="s">
        <v>632</v>
      </c>
      <c r="C85" s="10">
        <f t="shared" si="20"/>
        <v>0</v>
      </c>
      <c r="D85" s="11">
        <f>IFERROR('JAN-Despesas'!$F$59,"")</f>
        <v>0</v>
      </c>
      <c r="E85" s="11">
        <f>IFERROR('FEV-Despesas'!$F$59,"")</f>
        <v>0</v>
      </c>
      <c r="F85" s="11">
        <f>IFERROR('MAR-Despesas'!$F$59,"")</f>
        <v>0</v>
      </c>
      <c r="G85" s="11">
        <f>IFERROR('ABR-Despesas'!$F$59,"")</f>
        <v>0</v>
      </c>
      <c r="H85" s="11">
        <f>IFERROR('MAI-Despesas'!$F$59,"")</f>
        <v>0</v>
      </c>
      <c r="I85" s="11" t="s">
        <v>97</v>
      </c>
      <c r="J85" s="11" t="s">
        <v>97</v>
      </c>
      <c r="K85" s="11" t="s">
        <v>97</v>
      </c>
      <c r="L85" s="11" t="s">
        <v>97</v>
      </c>
      <c r="M85" s="11" t="s">
        <v>97</v>
      </c>
      <c r="N85" s="11" t="s">
        <v>97</v>
      </c>
      <c r="O85" s="11">
        <v>0</v>
      </c>
      <c r="P85" s="3"/>
    </row>
    <row r="86" spans="1:17" ht="15.75" hidden="1" customHeight="1" outlineLevel="1" x14ac:dyDescent="0.3">
      <c r="A86" s="3"/>
      <c r="B86" s="9" t="s">
        <v>632</v>
      </c>
      <c r="C86" s="10">
        <f t="shared" si="20"/>
        <v>0</v>
      </c>
      <c r="D86" s="11">
        <f>IFERROR('JAN-Despesas'!$F$60,"")</f>
        <v>0</v>
      </c>
      <c r="E86" s="11">
        <f>IFERROR('FEV-Despesas'!$F$60,"")</f>
        <v>0</v>
      </c>
      <c r="F86" s="11">
        <f>IFERROR('MAR-Despesas'!$F$60,"")</f>
        <v>0</v>
      </c>
      <c r="G86" s="11">
        <f>IFERROR('ABR-Despesas'!$F$60,"")</f>
        <v>0</v>
      </c>
      <c r="H86" s="11">
        <f>IFERROR('MAI-Despesas'!$F$60,"")</f>
        <v>0</v>
      </c>
      <c r="I86" s="11" t="s">
        <v>97</v>
      </c>
      <c r="J86" s="11" t="s">
        <v>97</v>
      </c>
      <c r="K86" s="11" t="s">
        <v>97</v>
      </c>
      <c r="L86" s="11" t="s">
        <v>97</v>
      </c>
      <c r="M86" s="11" t="s">
        <v>97</v>
      </c>
      <c r="N86" s="11" t="s">
        <v>97</v>
      </c>
      <c r="O86" s="11">
        <v>0</v>
      </c>
      <c r="P86" s="3"/>
    </row>
    <row r="87" spans="1:17" ht="15.75" hidden="1" customHeight="1" outlineLevel="1" x14ac:dyDescent="0.3">
      <c r="A87" s="3"/>
      <c r="B87" s="9" t="s">
        <v>632</v>
      </c>
      <c r="C87" s="10">
        <f t="shared" si="20"/>
        <v>0</v>
      </c>
      <c r="D87" s="11">
        <f>IFERROR('JAN-Despesas'!$F$61,"")</f>
        <v>0</v>
      </c>
      <c r="E87" s="11">
        <f>IFERROR('FEV-Despesas'!$F$61,"")</f>
        <v>0</v>
      </c>
      <c r="F87" s="11">
        <f>IFERROR('MAR-Despesas'!$F$61,"")</f>
        <v>0</v>
      </c>
      <c r="G87" s="11">
        <f>IFERROR('ABR-Despesas'!$F$61,"")</f>
        <v>0</v>
      </c>
      <c r="H87" s="11">
        <f>IFERROR('MAI-Despesas'!$F$61,"")</f>
        <v>0</v>
      </c>
      <c r="I87" s="11" t="s">
        <v>97</v>
      </c>
      <c r="J87" s="11" t="s">
        <v>97</v>
      </c>
      <c r="K87" s="11" t="s">
        <v>97</v>
      </c>
      <c r="L87" s="11" t="s">
        <v>97</v>
      </c>
      <c r="M87" s="11" t="s">
        <v>97</v>
      </c>
      <c r="N87" s="11" t="s">
        <v>97</v>
      </c>
      <c r="O87" s="11">
        <v>0</v>
      </c>
      <c r="P87" s="3"/>
    </row>
    <row r="88" spans="1:17" ht="15.75" hidden="1" customHeight="1" outlineLevel="1" x14ac:dyDescent="0.3">
      <c r="A88" s="3"/>
      <c r="B88" s="9" t="s">
        <v>632</v>
      </c>
      <c r="C88" s="10">
        <f t="shared" si="20"/>
        <v>0</v>
      </c>
      <c r="D88" s="11">
        <f>IFERROR('JAN-Despesas'!$F$62,"")</f>
        <v>0</v>
      </c>
      <c r="E88" s="11">
        <f>IFERROR('FEV-Despesas'!$F$62,"")</f>
        <v>0</v>
      </c>
      <c r="F88" s="11">
        <f>IFERROR('MAR-Despesas'!$F$62,"")</f>
        <v>0</v>
      </c>
      <c r="G88" s="11">
        <f>IFERROR('ABR-Despesas'!$F$62,"")</f>
        <v>0</v>
      </c>
      <c r="H88" s="11">
        <f>IFERROR('MAI-Despesas'!$F$62,"")</f>
        <v>0</v>
      </c>
      <c r="I88" s="11" t="s">
        <v>97</v>
      </c>
      <c r="J88" s="11" t="s">
        <v>97</v>
      </c>
      <c r="K88" s="11" t="s">
        <v>97</v>
      </c>
      <c r="L88" s="11" t="s">
        <v>97</v>
      </c>
      <c r="M88" s="11" t="s">
        <v>97</v>
      </c>
      <c r="N88" s="11" t="s">
        <v>97</v>
      </c>
      <c r="O88" s="11">
        <v>0</v>
      </c>
      <c r="P88" s="3"/>
    </row>
    <row r="89" spans="1:17" ht="15.75" customHeight="1" collapsed="1" x14ac:dyDescent="0.3">
      <c r="A89" s="3"/>
      <c r="B89" s="75" t="s">
        <v>330</v>
      </c>
      <c r="C89" s="77">
        <f t="shared" ref="C89:O89" si="21">SUM(C90:C95)</f>
        <v>28029.3</v>
      </c>
      <c r="D89" s="77">
        <f t="shared" si="21"/>
        <v>2783.74</v>
      </c>
      <c r="E89" s="77">
        <f t="shared" si="21"/>
        <v>3437.61</v>
      </c>
      <c r="F89" s="77">
        <f t="shared" si="21"/>
        <v>1504.16</v>
      </c>
      <c r="G89" s="77">
        <f t="shared" si="21"/>
        <v>19280.239999999998</v>
      </c>
      <c r="H89" s="77">
        <f t="shared" si="21"/>
        <v>1023.5500000000001</v>
      </c>
      <c r="I89" s="77">
        <f t="shared" si="21"/>
        <v>0</v>
      </c>
      <c r="J89" s="77">
        <f t="shared" si="21"/>
        <v>0</v>
      </c>
      <c r="K89" s="77">
        <f t="shared" si="21"/>
        <v>0</v>
      </c>
      <c r="L89" s="77">
        <f t="shared" si="21"/>
        <v>0</v>
      </c>
      <c r="M89" s="77">
        <f t="shared" si="21"/>
        <v>0</v>
      </c>
      <c r="N89" s="77">
        <f t="shared" si="21"/>
        <v>0</v>
      </c>
      <c r="O89" s="77">
        <f t="shared" si="21"/>
        <v>0</v>
      </c>
      <c r="P89" s="3"/>
    </row>
    <row r="90" spans="1:17" ht="15.75" hidden="1" customHeight="1" outlineLevel="1" x14ac:dyDescent="0.3">
      <c r="A90" s="3"/>
      <c r="B90" s="138" t="s">
        <v>331</v>
      </c>
      <c r="C90" s="10">
        <f t="shared" ref="C90:C95" si="22">SUM(D90:O90)</f>
        <v>4536.51</v>
      </c>
      <c r="D90" s="11">
        <f>IFERROR(SUM('[1]JAN-Despesas'!F80:F84),"")</f>
        <v>421.79999999999995</v>
      </c>
      <c r="E90" s="11">
        <f>IFERROR(SUM('[1]FEV-Despesas'!$F80:$F84),"")</f>
        <v>677.12</v>
      </c>
      <c r="F90" s="11">
        <f>IFERROR(SUM('[1]MAR-Despesas'!F80:F84),"")</f>
        <v>44.1</v>
      </c>
      <c r="G90" s="11">
        <f>IFERROR(SUM('[1]ABR-Despesas'!$F73,'[1]ABR-Despesas'!$F74,'[1]ABR-Despesas'!$F75,'[1]ABR-Despesas'!$F76,'[1]ABR-Despesas'!$F82,'[1]ABR-Despesas'!$F83,'[1]ABR-Despesas'!$F84),"")</f>
        <v>3393.49</v>
      </c>
      <c r="H90" s="11">
        <f>IFERROR(SUM('MAI-Despesas'!F73:F76,'MAI-Despesas'!F84:F86),"")</f>
        <v>0</v>
      </c>
      <c r="I90" s="11">
        <f>IFERROR(SUM('[1]JUN-Despesas'!$F72,'[1]JUN-Despesas'!$F73,'[1]JUN-Despesas'!$F74,'[1]JUN-Despesas'!$F75),"")</f>
        <v>0</v>
      </c>
      <c r="J90" s="11">
        <f>IFERROR(SUM('[1]JUL-Despesas'!$F72,'[1]JUL-Despesas'!$F73,'[1]JUL-Despesas'!$F74,'[1]JUL-Despesas'!$F75),"")</f>
        <v>0</v>
      </c>
      <c r="K90" s="11">
        <f>IFERROR(SUM('[1]AGO-Despesas'!$F76:$F78),"")</f>
        <v>0</v>
      </c>
      <c r="L90" s="11">
        <f>IFERROR(SUM('[1]SET-Despesas'!$F76:$F78),"")</f>
        <v>0</v>
      </c>
      <c r="M90" s="11">
        <f>IFERROR(SUM('[1]OUT-Despesas'!$F76:$F78,'[1]OUT-Despesas'!F87),"")</f>
        <v>0</v>
      </c>
      <c r="N90" s="11">
        <f>IFERROR(SUM('[1]NOV-Despesas'!$F77:$F79,'[1]NOV-Despesas'!G88),"")</f>
        <v>0</v>
      </c>
      <c r="O90" s="11">
        <v>0</v>
      </c>
      <c r="P90" s="3"/>
      <c r="Q90" s="14"/>
    </row>
    <row r="91" spans="1:17" ht="15.75" hidden="1" customHeight="1" outlineLevel="1" x14ac:dyDescent="0.3">
      <c r="A91" s="3"/>
      <c r="B91" s="138" t="s">
        <v>2240</v>
      </c>
      <c r="C91" s="10">
        <f t="shared" si="22"/>
        <v>19693.489999999998</v>
      </c>
      <c r="D91" s="11">
        <f>IFERROR(SUM('[1]JAN-Despesas'!F64:F79),"")</f>
        <v>1886.52</v>
      </c>
      <c r="E91" s="11">
        <f>IFERROR(SUM('[1]FEV-Despesas'!F64:F79),"")</f>
        <v>1387.67</v>
      </c>
      <c r="F91" s="11">
        <f>IFERROR(SUM('[1]MAR-Despesas'!F64:F79),"")</f>
        <v>837.36000000000013</v>
      </c>
      <c r="G91" s="11">
        <f>IFERROR(SUM('[1]ABR-Despesas'!$F64,'[1]ABR-Despesas'!$F65,'[1]ABR-Despesas'!$F66,'[1]ABR-Despesas'!$F67,'[1]ABR-Despesas'!$F68,'[1]ABR-Despesas'!$F69,'[1]ABR-Despesas'!$F70,'[1]ABR-Despesas'!$F71,'[1]ABR-Despesas'!$F72),"")</f>
        <v>15004.749999999998</v>
      </c>
      <c r="H91" s="11">
        <f>IFERROR(SUM('MAI-Despesas'!F64:F72),"")</f>
        <v>577.19000000000005</v>
      </c>
      <c r="I91" s="11">
        <f>IFERROR(SUM('[1]JUN-Despesas'!$F63:$F71),"")</f>
        <v>0</v>
      </c>
      <c r="J91" s="11">
        <f>IFERROR(SUM('[1]JUL-Despesas'!$F63:$F71),"")</f>
        <v>0</v>
      </c>
      <c r="K91" s="11">
        <f>IFERROR(SUM('[1]AGO-Despesas'!$F63:$F75),"")</f>
        <v>0</v>
      </c>
      <c r="L91" s="11">
        <f>IFERROR(SUM('[1]SET-Despesas'!$F63:$F75),"")</f>
        <v>0</v>
      </c>
      <c r="M91" s="11">
        <f>IFERROR(SUM('[1]OUT-Despesas'!$F63:$F75),"")</f>
        <v>0</v>
      </c>
      <c r="N91" s="11">
        <f>IFERROR(SUM('[1]NOV-Despesas'!$F64:$F76),"")</f>
        <v>0</v>
      </c>
      <c r="O91" s="11"/>
      <c r="P91" s="3"/>
      <c r="Q91" s="14"/>
    </row>
    <row r="92" spans="1:17" ht="15.75" hidden="1" customHeight="1" outlineLevel="1" x14ac:dyDescent="0.3">
      <c r="A92" s="3"/>
      <c r="B92" s="138" t="s">
        <v>335</v>
      </c>
      <c r="C92" s="10">
        <f t="shared" si="22"/>
        <v>1144</v>
      </c>
      <c r="D92" s="11">
        <f>IFERROR(SUM('[1]JAN-Despesas'!$F$85,'[1]JAN-Despesas'!$F$86),"")</f>
        <v>176</v>
      </c>
      <c r="E92" s="11">
        <f>IFERROR(SUM('[1]FEV-Despesas'!$F85,'[1]FEV-Despesas'!$F86),"")</f>
        <v>184</v>
      </c>
      <c r="F92" s="11">
        <f>IFERROR(SUM('[1]MAR-Despesas'!$F86,'[1]MAR-Despesas'!$F87),"")</f>
        <v>0</v>
      </c>
      <c r="G92" s="11">
        <f>IFERROR(SUM('[1]ABR-Despesas'!$F77,'[1]ABR-Despesas'!$F78),"")</f>
        <v>632</v>
      </c>
      <c r="H92" s="11">
        <f>IFERROR(SUM('MAI-Despesas'!$F77,'MAI-Despesas'!$F78),"")</f>
        <v>152</v>
      </c>
      <c r="I92" s="11">
        <f>IFERROR(SUM('[1]JUN-Despesas'!$F76,'[1]JUN-Despesas'!$F77),"")</f>
        <v>0</v>
      </c>
      <c r="J92" s="11">
        <f>IFERROR(SUM('[1]JUL-Despesas'!$F76,'[1]JUL-Despesas'!$F77),"")</f>
        <v>0</v>
      </c>
      <c r="K92" s="11">
        <f>IFERROR(SUM('[1]AGO-Despesas'!$F79:$F80),"")</f>
        <v>0</v>
      </c>
      <c r="L92" s="11">
        <f>IFERROR(SUM('[1]SET-Despesas'!$F79:$F80),"")</f>
        <v>0</v>
      </c>
      <c r="M92" s="11">
        <f>IFERROR(SUM('[1]OUT-Despesas'!$F79:$F80),"")</f>
        <v>0</v>
      </c>
      <c r="N92" s="11">
        <f>IFERROR(SUM('[1]NOV-Despesas'!$F80:$F81),"")</f>
        <v>0</v>
      </c>
      <c r="O92" s="11">
        <v>0</v>
      </c>
      <c r="P92" s="3"/>
    </row>
    <row r="93" spans="1:17" ht="15.75" hidden="1" customHeight="1" outlineLevel="1" x14ac:dyDescent="0.3">
      <c r="A93" s="3"/>
      <c r="B93" s="138" t="s">
        <v>338</v>
      </c>
      <c r="C93" s="10">
        <f t="shared" si="22"/>
        <v>2277.36</v>
      </c>
      <c r="D93" s="11">
        <f>IFERROR(SUM('[1]JAN-Despesas'!$F$87:$F$90),"")</f>
        <v>299.42</v>
      </c>
      <c r="E93" s="11">
        <f>IFERROR(SUM('[1]FEV-Despesas'!$F87:$F90),"")</f>
        <v>1010.88</v>
      </c>
      <c r="F93" s="11">
        <f>IFERROR(SUM('[1]MAR-Despesas'!$F88:$F89),"")</f>
        <v>422.7</v>
      </c>
      <c r="G93" s="11">
        <f>IFERROR(SUM('[1]ABR-Despesas'!$F79:$F81),"")</f>
        <v>250</v>
      </c>
      <c r="H93" s="11">
        <f>IFERROR(SUM('MAI-Despesas'!F79:F83),"")</f>
        <v>294.36</v>
      </c>
      <c r="I93" s="11">
        <f>IFERROR(SUM('[1]JUN-Despesas'!$F78:$F82),"")</f>
        <v>0</v>
      </c>
      <c r="J93" s="11">
        <f>IFERROR(SUM('[1]JUL-Despesas'!$F78:$F82),"")</f>
        <v>0</v>
      </c>
      <c r="K93" s="11">
        <f>IFERROR(SUM('[1]AGO-Despesas'!$F81:$F85),"")</f>
        <v>0</v>
      </c>
      <c r="L93" s="11">
        <f>IFERROR(SUM('[1]SET-Despesas'!$F81:$F85),"")</f>
        <v>0</v>
      </c>
      <c r="M93" s="11">
        <f>IFERROR(SUM('[1]OUT-Despesas'!$F81:$F85),"")</f>
        <v>0</v>
      </c>
      <c r="N93" s="11">
        <f>IFERROR(SUM('[1]NOV-Despesas'!$F82:$F86),"")</f>
        <v>0</v>
      </c>
      <c r="O93" s="11">
        <v>0</v>
      </c>
      <c r="P93" s="3"/>
    </row>
    <row r="94" spans="1:17" ht="15.75" hidden="1" customHeight="1" outlineLevel="1" x14ac:dyDescent="0.3">
      <c r="A94" s="3"/>
      <c r="B94" s="138" t="s">
        <v>342</v>
      </c>
      <c r="C94" s="10">
        <f t="shared" si="22"/>
        <v>0</v>
      </c>
      <c r="D94" s="11">
        <f>IFERROR('[1]JAN-Despesas'!$F$91,"")</f>
        <v>0</v>
      </c>
      <c r="E94" s="11">
        <v>0</v>
      </c>
      <c r="F94" s="11">
        <f>IFERROR('[1]MAR-Despesas'!$F90,"")</f>
        <v>0</v>
      </c>
      <c r="G94" s="11">
        <v>0</v>
      </c>
      <c r="H94" s="11">
        <v>0</v>
      </c>
      <c r="I94" s="11">
        <v>0</v>
      </c>
      <c r="J94" s="11">
        <v>0</v>
      </c>
      <c r="K94" s="11">
        <v>0</v>
      </c>
      <c r="L94" s="11">
        <v>0</v>
      </c>
      <c r="M94" s="11">
        <v>0</v>
      </c>
      <c r="N94" s="11">
        <v>0</v>
      </c>
      <c r="O94" s="11">
        <v>0</v>
      </c>
      <c r="P94" s="3"/>
    </row>
    <row r="95" spans="1:17" ht="15.75" hidden="1" customHeight="1" outlineLevel="1" x14ac:dyDescent="0.3">
      <c r="A95" s="3"/>
      <c r="B95" s="138" t="s">
        <v>632</v>
      </c>
      <c r="C95" s="10">
        <f t="shared" si="22"/>
        <v>377.94</v>
      </c>
      <c r="D95" s="11">
        <f>IFERROR('[1]JAN-Despesas'!$F$92,"")</f>
        <v>0</v>
      </c>
      <c r="E95" s="11">
        <f>IFERROR(SUM('[1]FEV-Despesas'!$F91,'[1]FEV-Despesas'!F92),"")</f>
        <v>177.94</v>
      </c>
      <c r="F95" s="11">
        <f>IFERROR(SUM('[1]MAR-Despesas'!$F83,'[1]MAR-Despesas'!$F84,'[1]MAR-Despesas'!$F85,'[1]MAR-Despesas'!$F91,'[1]MAR-Despesas'!$F92),"")</f>
        <v>200</v>
      </c>
      <c r="G95" s="11">
        <v>0</v>
      </c>
      <c r="H95" s="11">
        <v>0</v>
      </c>
      <c r="I95" s="11">
        <f>IFERROR(SUM('[1]JUN-Despesas'!$F83:$F85),"")</f>
        <v>0</v>
      </c>
      <c r="J95" s="11">
        <f>IFERROR(SUM('[1]JUL-Despesas'!$F83:$F85),"")</f>
        <v>0</v>
      </c>
      <c r="K95" s="11">
        <f>IFERROR(SUM('[1]AGO-Despesas'!$F86:$F88),"")</f>
        <v>0</v>
      </c>
      <c r="L95" s="11">
        <f>IFERROR(SUM('[1]SET-Despesas'!$F86:$F88),"")</f>
        <v>0</v>
      </c>
      <c r="M95" s="11">
        <f>IFERROR(SUM('[1]OUT-Despesas'!$F86,'[1]OUT-Despesas'!$F88),"")</f>
        <v>0</v>
      </c>
      <c r="N95" s="11">
        <f>IFERROR(SUM('[1]NOV-Despesas'!$F87,'[1]NOV-Despesas'!$F89),"")</f>
        <v>0</v>
      </c>
      <c r="O95" s="11">
        <v>0</v>
      </c>
      <c r="P95" s="3"/>
    </row>
    <row r="96" spans="1:17" ht="15.75" customHeight="1" collapsed="1" x14ac:dyDescent="0.3">
      <c r="A96" s="3"/>
      <c r="B96" s="75" t="s">
        <v>349</v>
      </c>
      <c r="C96" s="77">
        <f t="shared" ref="C96:O96" si="23">SUM(C97,C98,C99)</f>
        <v>5372.17</v>
      </c>
      <c r="D96" s="77">
        <f t="shared" si="23"/>
        <v>0</v>
      </c>
      <c r="E96" s="77">
        <f t="shared" si="23"/>
        <v>0</v>
      </c>
      <c r="F96" s="77">
        <f t="shared" si="23"/>
        <v>5172.17</v>
      </c>
      <c r="G96" s="77">
        <f t="shared" si="23"/>
        <v>200</v>
      </c>
      <c r="H96" s="77">
        <f t="shared" si="23"/>
        <v>0</v>
      </c>
      <c r="I96" s="77">
        <f t="shared" si="23"/>
        <v>0</v>
      </c>
      <c r="J96" s="77">
        <f t="shared" si="23"/>
        <v>0</v>
      </c>
      <c r="K96" s="77">
        <f t="shared" si="23"/>
        <v>0</v>
      </c>
      <c r="L96" s="77">
        <f t="shared" si="23"/>
        <v>0</v>
      </c>
      <c r="M96" s="77">
        <f t="shared" si="23"/>
        <v>0</v>
      </c>
      <c r="N96" s="77">
        <f t="shared" si="23"/>
        <v>0</v>
      </c>
      <c r="O96" s="77">
        <f t="shared" si="23"/>
        <v>0</v>
      </c>
      <c r="P96" s="3"/>
    </row>
    <row r="97" spans="1:16" ht="15.75" hidden="1" customHeight="1" outlineLevel="1" x14ac:dyDescent="0.3">
      <c r="A97" s="3"/>
      <c r="B97" s="82" t="s">
        <v>350</v>
      </c>
      <c r="C97" s="84">
        <f t="shared" ref="C97:C99" si="24">SUM(D97:O97)</f>
        <v>4896.1899999999996</v>
      </c>
      <c r="D97" s="84">
        <v>0</v>
      </c>
      <c r="E97" s="84">
        <f>'[1]FEV-Despesas'!F94</f>
        <v>0</v>
      </c>
      <c r="F97" s="84">
        <f>'[1]MAR-Despesas'!F94</f>
        <v>4696.1899999999996</v>
      </c>
      <c r="G97" s="84">
        <f>'[1]ABR-Despesas'!$F86</f>
        <v>200</v>
      </c>
      <c r="H97" s="84">
        <f>'MAI-Despesas'!$F88</f>
        <v>0</v>
      </c>
      <c r="I97" s="84">
        <f>IFERROR('[1]JUN-Despesas'!$F87,"")</f>
        <v>0</v>
      </c>
      <c r="J97" s="84">
        <f>IFERROR('[1]JUL-Despesas'!$F87,"")</f>
        <v>0</v>
      </c>
      <c r="K97" s="84">
        <v>0</v>
      </c>
      <c r="L97" s="84">
        <v>0</v>
      </c>
      <c r="M97" s="84">
        <f>'[1]OUT-Despesas'!$F90</f>
        <v>0</v>
      </c>
      <c r="N97" s="84">
        <f>'[1]NOV-Despesas'!$F91</f>
        <v>0</v>
      </c>
      <c r="O97" s="84">
        <v>0</v>
      </c>
      <c r="P97" s="3"/>
    </row>
    <row r="98" spans="1:16" ht="15.75" hidden="1" customHeight="1" outlineLevel="1" x14ac:dyDescent="0.3">
      <c r="A98" s="3"/>
      <c r="B98" s="82" t="s">
        <v>353</v>
      </c>
      <c r="C98" s="84">
        <f t="shared" si="24"/>
        <v>475.98</v>
      </c>
      <c r="D98" s="84">
        <v>0</v>
      </c>
      <c r="E98" s="84">
        <f>'[1]FEV-Despesas'!F110</f>
        <v>0</v>
      </c>
      <c r="F98" s="84">
        <f>'[1]MAR-Despesas'!F110</f>
        <v>475.98</v>
      </c>
      <c r="G98" s="84">
        <f>'[1]ABR-Despesas'!$F102</f>
        <v>0</v>
      </c>
      <c r="H98" s="84">
        <f>'MAI-Despesas'!$F104</f>
        <v>0</v>
      </c>
      <c r="I98" s="84">
        <f>IFERROR('[1]JUN-Despesas'!$F103,"")</f>
        <v>0</v>
      </c>
      <c r="J98" s="84">
        <f>IFERROR('[1]JUL-Despesas'!$F103,"")</f>
        <v>0</v>
      </c>
      <c r="K98" s="84">
        <v>0</v>
      </c>
      <c r="L98" s="84">
        <v>0</v>
      </c>
      <c r="M98" s="84">
        <f>'[1]OUT-Despesas'!$F106</f>
        <v>0</v>
      </c>
      <c r="N98" s="84">
        <f>'[1]NOV-Despesas'!$F107</f>
        <v>0</v>
      </c>
      <c r="O98" s="84">
        <v>0</v>
      </c>
      <c r="P98" s="3"/>
    </row>
    <row r="99" spans="1:16" ht="15.75" hidden="1" customHeight="1" outlineLevel="1" x14ac:dyDescent="0.3">
      <c r="A99" s="3"/>
      <c r="B99" s="82" t="s">
        <v>357</v>
      </c>
      <c r="C99" s="84">
        <f t="shared" si="24"/>
        <v>0</v>
      </c>
      <c r="D99" s="84">
        <v>0</v>
      </c>
      <c r="E99" s="84">
        <f>'[1]FEV-Despesas'!F115</f>
        <v>0</v>
      </c>
      <c r="F99" s="84">
        <f>'[1]MAR-Despesas'!F115</f>
        <v>0</v>
      </c>
      <c r="G99" s="84">
        <f>'[1]ABR-Despesas'!$F107</f>
        <v>0</v>
      </c>
      <c r="H99" s="84">
        <f>'MAI-Despesas'!$F109</f>
        <v>0</v>
      </c>
      <c r="I99" s="84">
        <f>IFERROR('[1]JUN-Despesas'!$F108,"")</f>
        <v>0</v>
      </c>
      <c r="J99" s="84">
        <f>IFERROR('[1]JUL-Despesas'!$F108,"")</f>
        <v>0</v>
      </c>
      <c r="K99" s="84">
        <v>0</v>
      </c>
      <c r="L99" s="84">
        <v>0</v>
      </c>
      <c r="M99" s="84">
        <f>'[1]OUT-Despesas'!$F111</f>
        <v>0</v>
      </c>
      <c r="N99" s="84">
        <f>'[1]NOV-Despesas'!$F112</f>
        <v>0</v>
      </c>
      <c r="O99" s="84">
        <v>0</v>
      </c>
      <c r="P99" s="3"/>
    </row>
    <row r="100" spans="1:16" ht="15.75" customHeight="1" collapsed="1" x14ac:dyDescent="0.3">
      <c r="A100" s="3"/>
      <c r="B100" s="75" t="s">
        <v>358</v>
      </c>
      <c r="C100" s="77">
        <f t="shared" ref="C100:O100" si="25">SUM(C101,C102)</f>
        <v>12291.880000000001</v>
      </c>
      <c r="D100" s="77">
        <f t="shared" si="25"/>
        <v>1203.73</v>
      </c>
      <c r="E100" s="77">
        <f t="shared" si="25"/>
        <v>1795.81</v>
      </c>
      <c r="F100" s="77">
        <f t="shared" si="25"/>
        <v>3046.49</v>
      </c>
      <c r="G100" s="77">
        <f t="shared" si="25"/>
        <v>0</v>
      </c>
      <c r="H100" s="77">
        <f t="shared" si="25"/>
        <v>6245.8499999999985</v>
      </c>
      <c r="I100" s="77">
        <f t="shared" si="25"/>
        <v>0</v>
      </c>
      <c r="J100" s="77">
        <f t="shared" si="25"/>
        <v>0</v>
      </c>
      <c r="K100" s="77">
        <f t="shared" si="25"/>
        <v>0</v>
      </c>
      <c r="L100" s="77">
        <f t="shared" si="25"/>
        <v>0</v>
      </c>
      <c r="M100" s="77">
        <f t="shared" si="25"/>
        <v>0</v>
      </c>
      <c r="N100" s="77">
        <f t="shared" si="25"/>
        <v>0</v>
      </c>
      <c r="O100" s="77">
        <f t="shared" si="25"/>
        <v>0</v>
      </c>
      <c r="P100" s="3"/>
    </row>
    <row r="101" spans="1:16" ht="15.75" hidden="1" customHeight="1" outlineLevel="1" x14ac:dyDescent="0.3">
      <c r="A101" s="3"/>
      <c r="B101" s="82" t="s">
        <v>359</v>
      </c>
      <c r="C101" s="84">
        <f t="shared" ref="C101:C103" si="26">SUM(D101:O101)</f>
        <v>1651.79</v>
      </c>
      <c r="D101" s="84">
        <f>'[1]JAN-Despesas'!$F109</f>
        <v>0</v>
      </c>
      <c r="E101" s="84">
        <f>'[1]FEV-Despesas'!$F120</f>
        <v>0</v>
      </c>
      <c r="F101" s="84">
        <f>'[1]MAR-Despesas'!$F120</f>
        <v>796.6</v>
      </c>
      <c r="G101" s="84">
        <f>'[1]ABR-Despesas'!$F112</f>
        <v>0</v>
      </c>
      <c r="H101" s="84">
        <f>'MAI-Despesas'!$F114</f>
        <v>855.18999999999994</v>
      </c>
      <c r="I101" s="84">
        <f>'[1]JUN-Despesas'!$F113</f>
        <v>0</v>
      </c>
      <c r="J101" s="84">
        <f>'[1]JUL-Despesas'!$F113</f>
        <v>0</v>
      </c>
      <c r="K101" s="84">
        <f>'[1]AGO-Despesas'!$F113</f>
        <v>0</v>
      </c>
      <c r="L101" s="84">
        <f>'[1]SET-Despesas'!$F116</f>
        <v>0</v>
      </c>
      <c r="M101" s="84">
        <f>'[1]OUT-Despesas'!$F116</f>
        <v>0</v>
      </c>
      <c r="N101" s="84">
        <f>'[1]NOV-Despesas'!$F117</f>
        <v>0</v>
      </c>
      <c r="O101" s="84">
        <v>0</v>
      </c>
      <c r="P101" s="3"/>
    </row>
    <row r="102" spans="1:16" ht="15.75" hidden="1" customHeight="1" outlineLevel="1" x14ac:dyDescent="0.3">
      <c r="A102" s="3"/>
      <c r="B102" s="82" t="s">
        <v>633</v>
      </c>
      <c r="C102" s="84">
        <f t="shared" si="26"/>
        <v>10640.09</v>
      </c>
      <c r="D102" s="84">
        <f>'[1]JAN-Despesas'!$F115</f>
        <v>1203.73</v>
      </c>
      <c r="E102" s="84">
        <f>'[1]FEV-Despesas'!$F126</f>
        <v>1795.81</v>
      </c>
      <c r="F102" s="84">
        <f>'[1]MAR-Despesas'!$F126</f>
        <v>2249.89</v>
      </c>
      <c r="G102" s="84">
        <f>'[1]ABR-Despesas'!$F118</f>
        <v>0</v>
      </c>
      <c r="H102" s="84">
        <f>'MAI-Despesas'!$F121</f>
        <v>5390.6599999999989</v>
      </c>
      <c r="I102" s="84">
        <f>'[1]JUN-Despesas'!$F119</f>
        <v>0</v>
      </c>
      <c r="J102" s="84">
        <f>'[1]JUL-Despesas'!$F119</f>
        <v>0</v>
      </c>
      <c r="K102" s="84">
        <f>'[1]AGO-Despesas'!$F119</f>
        <v>0</v>
      </c>
      <c r="L102" s="84">
        <f>'[1]SET-Despesas'!$F122</f>
        <v>0</v>
      </c>
      <c r="M102" s="84">
        <f>'[1]OUT-Despesas'!$F122</f>
        <v>0</v>
      </c>
      <c r="N102" s="84">
        <f>'[1]NOV-Despesas'!$F125</f>
        <v>0</v>
      </c>
      <c r="O102" s="84">
        <v>0</v>
      </c>
      <c r="P102" s="3"/>
    </row>
    <row r="103" spans="1:16" ht="15.75" customHeight="1" collapsed="1" x14ac:dyDescent="0.3">
      <c r="A103" s="3"/>
      <c r="B103" s="75" t="s">
        <v>88</v>
      </c>
      <c r="C103" s="77">
        <f t="shared" si="26"/>
        <v>1539.63</v>
      </c>
      <c r="D103" s="77">
        <f>'[1]JAN-Despesas'!$F125</f>
        <v>0</v>
      </c>
      <c r="E103" s="77">
        <f>'[1]FEV-Despesas'!$F137</f>
        <v>513.21</v>
      </c>
      <c r="F103" s="77">
        <f>'[1]MAR-Despesas'!$F136</f>
        <v>513.21</v>
      </c>
      <c r="G103" s="77">
        <f>'[1]ABR-Despesas'!$F134</f>
        <v>0</v>
      </c>
      <c r="H103" s="77">
        <f>'MAI-Despesas'!$F148</f>
        <v>513.21</v>
      </c>
      <c r="I103" s="77">
        <f>'[1]JUN-Despesas'!$F138</f>
        <v>0</v>
      </c>
      <c r="J103" s="77">
        <f>'[1]JUL-Despesas'!$F138</f>
        <v>0</v>
      </c>
      <c r="K103" s="77">
        <f>'[1]AGO-Despesas'!$F138</f>
        <v>0</v>
      </c>
      <c r="L103" s="77">
        <f>'[1]SET-Despesas'!$F138</f>
        <v>0</v>
      </c>
      <c r="M103" s="77">
        <f>'[1]OUT-Despesas'!$F138</f>
        <v>0</v>
      </c>
      <c r="N103" s="77">
        <f>'[1]NOV-Despesas'!$F144</f>
        <v>0</v>
      </c>
      <c r="O103" s="77">
        <v>0</v>
      </c>
      <c r="P103" s="3"/>
    </row>
    <row r="104" spans="1:16" ht="15.75" customHeight="1" x14ac:dyDescent="0.3">
      <c r="A104" s="3"/>
      <c r="B104" s="75" t="s">
        <v>89</v>
      </c>
      <c r="C104" s="77">
        <f t="shared" ref="C104:I104" si="27">SUM(C105,C106,C107,C108)</f>
        <v>31565.39</v>
      </c>
      <c r="D104" s="77">
        <f t="shared" si="27"/>
        <v>18774.73</v>
      </c>
      <c r="E104" s="77">
        <f t="shared" si="27"/>
        <v>5921.85</v>
      </c>
      <c r="F104" s="77">
        <f t="shared" si="27"/>
        <v>5666.73</v>
      </c>
      <c r="G104" s="77">
        <f t="shared" si="27"/>
        <v>0</v>
      </c>
      <c r="H104" s="77">
        <f t="shared" si="27"/>
        <v>1202.08</v>
      </c>
      <c r="I104" s="77">
        <f t="shared" si="27"/>
        <v>0</v>
      </c>
      <c r="J104" s="77">
        <v>0</v>
      </c>
      <c r="K104" s="77">
        <f t="shared" ref="K104:O104" si="28">SUM(K105,K106,K107,K108)</f>
        <v>0</v>
      </c>
      <c r="L104" s="77">
        <f t="shared" si="28"/>
        <v>0</v>
      </c>
      <c r="M104" s="77">
        <f t="shared" si="28"/>
        <v>0</v>
      </c>
      <c r="N104" s="77">
        <f t="shared" si="28"/>
        <v>0</v>
      </c>
      <c r="O104" s="77">
        <f t="shared" si="28"/>
        <v>0</v>
      </c>
      <c r="P104" s="3"/>
    </row>
    <row r="105" spans="1:16" ht="15.75" hidden="1" customHeight="1" outlineLevel="1" x14ac:dyDescent="0.3">
      <c r="A105" s="3"/>
      <c r="B105" s="82" t="s">
        <v>381</v>
      </c>
      <c r="C105" s="84">
        <f t="shared" ref="C105:C115" si="29">SUM(D105:O105)</f>
        <v>31565.39</v>
      </c>
      <c r="D105" s="84">
        <f>'[1]JAN-Despesas'!F136</f>
        <v>18774.73</v>
      </c>
      <c r="E105" s="84">
        <f>'[1]FEV-Despesas'!F148</f>
        <v>5921.85</v>
      </c>
      <c r="F105" s="84">
        <f>'[1]MAR-Despesas'!F146</f>
        <v>5666.73</v>
      </c>
      <c r="G105" s="84">
        <f>'[1]ABR-Despesas'!F145</f>
        <v>0</v>
      </c>
      <c r="H105" s="84">
        <f>'MAI-Despesas'!$F159</f>
        <v>1202.08</v>
      </c>
      <c r="I105" s="84">
        <f>'[1]JUN-Despesas'!$H149</f>
        <v>0</v>
      </c>
      <c r="J105" s="84">
        <f>'[1]JUL-Despesas'!$H149</f>
        <v>0</v>
      </c>
      <c r="K105" s="84">
        <f>'[1]AGO-Despesas'!F152</f>
        <v>0</v>
      </c>
      <c r="L105" s="84">
        <f>'[1]SET-Despesas'!$F152</f>
        <v>0</v>
      </c>
      <c r="M105" s="84">
        <f>'[1]OUT-Despesas'!$F152</f>
        <v>0</v>
      </c>
      <c r="N105" s="84">
        <f>'[1]NOV-Despesas'!$F155</f>
        <v>0</v>
      </c>
      <c r="O105" s="84">
        <v>0</v>
      </c>
      <c r="P105" s="3"/>
    </row>
    <row r="106" spans="1:16" ht="15.75" hidden="1" customHeight="1" outlineLevel="1" x14ac:dyDescent="0.3">
      <c r="A106" s="3"/>
      <c r="B106" s="82" t="s">
        <v>644</v>
      </c>
      <c r="C106" s="84">
        <f t="shared" si="29"/>
        <v>0</v>
      </c>
      <c r="D106" s="84">
        <f>'[1]JAN-Despesas'!F142</f>
        <v>0</v>
      </c>
      <c r="E106" s="84">
        <f>'[1]FEV-Despesas'!F156</f>
        <v>0</v>
      </c>
      <c r="F106" s="84">
        <f>'[1]MAR-Despesas'!G155</f>
        <v>0</v>
      </c>
      <c r="G106" s="84">
        <f>'[1]ABR-Despesas'!$H151</f>
        <v>0</v>
      </c>
      <c r="H106" s="84">
        <f>'MAI-Despesas'!$F165</f>
        <v>0</v>
      </c>
      <c r="I106" s="84">
        <f>'[1]JUN-Despesas'!$H155</f>
        <v>0</v>
      </c>
      <c r="J106" s="84">
        <f>'[1]JUL-Despesas'!$H155</f>
        <v>0</v>
      </c>
      <c r="K106" s="84">
        <f>'[1]AGO-Despesas'!F158</f>
        <v>0</v>
      </c>
      <c r="L106" s="84">
        <f>'[1]SET-Despesas'!G158</f>
        <v>0</v>
      </c>
      <c r="M106" s="84">
        <f>'[1]OUT-Despesas'!H158</f>
        <v>0</v>
      </c>
      <c r="N106" s="84">
        <f>'[1]NOV-Despesas'!I161</f>
        <v>0</v>
      </c>
      <c r="O106" s="84">
        <v>0</v>
      </c>
      <c r="P106" s="3"/>
    </row>
    <row r="107" spans="1:16" ht="15.75" hidden="1" customHeight="1" outlineLevel="1" x14ac:dyDescent="0.3">
      <c r="A107" s="3"/>
      <c r="B107" s="82" t="s">
        <v>382</v>
      </c>
      <c r="C107" s="84">
        <f t="shared" si="29"/>
        <v>0</v>
      </c>
      <c r="D107" s="84">
        <f>'[1]JAN-Despesas'!F148</f>
        <v>0</v>
      </c>
      <c r="E107" s="84">
        <f>'[1]FEV-Despesas'!F162</f>
        <v>0</v>
      </c>
      <c r="F107" s="84">
        <f>'[1]MAR-Despesas'!G161</f>
        <v>0</v>
      </c>
      <c r="G107" s="84">
        <f>'[1]ABR-Despesas'!$H157</f>
        <v>0</v>
      </c>
      <c r="H107" s="84">
        <f>'MAI-Despesas'!$F171</f>
        <v>0</v>
      </c>
      <c r="I107" s="84">
        <f>'[1]JUN-Despesas'!$H161</f>
        <v>0</v>
      </c>
      <c r="J107" s="84">
        <f>'[1]JUL-Despesas'!$H161</f>
        <v>0</v>
      </c>
      <c r="K107" s="84">
        <f>'[1]AGO-Despesas'!F164</f>
        <v>0</v>
      </c>
      <c r="L107" s="84">
        <f>'[1]SET-Despesas'!G164</f>
        <v>0</v>
      </c>
      <c r="M107" s="84">
        <f>'[1]OUT-Despesas'!H164</f>
        <v>0</v>
      </c>
      <c r="N107" s="84">
        <f>'[1]NOV-Despesas'!I167</f>
        <v>0</v>
      </c>
      <c r="O107" s="84">
        <v>0</v>
      </c>
      <c r="P107" s="3"/>
    </row>
    <row r="108" spans="1:16" ht="15.75" hidden="1" customHeight="1" outlineLevel="1" x14ac:dyDescent="0.3">
      <c r="A108" s="3"/>
      <c r="B108" s="82" t="s">
        <v>383</v>
      </c>
      <c r="C108" s="84">
        <f t="shared" si="29"/>
        <v>0</v>
      </c>
      <c r="D108" s="84">
        <f>'[1]JAN-Despesas'!F154</f>
        <v>0</v>
      </c>
      <c r="E108" s="84">
        <f>'[1]FEV-Despesas'!F168</f>
        <v>0</v>
      </c>
      <c r="F108" s="84">
        <f>'[1]MAR-Despesas'!G167</f>
        <v>0</v>
      </c>
      <c r="G108" s="84">
        <f>'[1]ABR-Despesas'!$H163</f>
        <v>0</v>
      </c>
      <c r="H108" s="84">
        <f>'MAI-Despesas'!$F177</f>
        <v>0</v>
      </c>
      <c r="I108" s="84">
        <f>'[1]JUN-Despesas'!$H167</f>
        <v>0</v>
      </c>
      <c r="J108" s="84">
        <f>'[1]JUL-Despesas'!$H167</f>
        <v>0</v>
      </c>
      <c r="K108" s="84">
        <f>'[1]AGO-Despesas'!F170</f>
        <v>0</v>
      </c>
      <c r="L108" s="84">
        <f>'[1]SET-Despesas'!G170</f>
        <v>0</v>
      </c>
      <c r="M108" s="84">
        <f>'[1]OUT-Despesas'!H170</f>
        <v>0</v>
      </c>
      <c r="N108" s="84">
        <f>'[1]NOV-Despesas'!I173</f>
        <v>0</v>
      </c>
      <c r="O108" s="84">
        <v>0</v>
      </c>
      <c r="P108" s="3"/>
    </row>
    <row r="109" spans="1:16" ht="15.75" customHeight="1" collapsed="1" x14ac:dyDescent="0.3">
      <c r="A109" s="3"/>
      <c r="B109" s="75" t="s">
        <v>384</v>
      </c>
      <c r="C109" s="77">
        <f t="shared" si="29"/>
        <v>0</v>
      </c>
      <c r="D109" s="77">
        <f>'[1]JAN-Despesas'!$F160</f>
        <v>0</v>
      </c>
      <c r="E109" s="77">
        <f>'[1]FEV-Despesas'!$F174</f>
        <v>0</v>
      </c>
      <c r="F109" s="77">
        <f>'[1]MAR-Despesas'!$F173</f>
        <v>0</v>
      </c>
      <c r="G109" s="77">
        <f>'[1]ABR-Despesas'!$F169</f>
        <v>0</v>
      </c>
      <c r="H109" s="77">
        <f>'MAI-Despesas'!$F183</f>
        <v>0</v>
      </c>
      <c r="I109" s="77">
        <f>'[1]JUN-Despesas'!$F173</f>
        <v>0</v>
      </c>
      <c r="J109" s="77">
        <f>'[1]JUL-Despesas'!$F173</f>
        <v>0</v>
      </c>
      <c r="K109" s="77">
        <f>'[1]AGO-Despesas'!$F173</f>
        <v>0</v>
      </c>
      <c r="L109" s="77">
        <f>'[1]SET-Despesas'!$F173</f>
        <v>0</v>
      </c>
      <c r="M109" s="77">
        <f>'[1]OUT-Despesas'!$F173</f>
        <v>0</v>
      </c>
      <c r="N109" s="77">
        <f>'[1]NOV-Despesas'!$F179</f>
        <v>0</v>
      </c>
      <c r="O109" s="77">
        <v>0</v>
      </c>
      <c r="P109" s="3"/>
    </row>
    <row r="110" spans="1:16" ht="15.75" customHeight="1" x14ac:dyDescent="0.3">
      <c r="A110" s="3"/>
      <c r="B110" s="75" t="s">
        <v>385</v>
      </c>
      <c r="C110" s="77">
        <f t="shared" si="29"/>
        <v>633.70000000000005</v>
      </c>
      <c r="D110" s="77">
        <f>'[1]JAN-Despesas'!$F166</f>
        <v>0</v>
      </c>
      <c r="E110" s="77">
        <f>'[1]FEV-Despesas'!$F180</f>
        <v>94</v>
      </c>
      <c r="F110" s="77">
        <f>'[1]MAR-Despesas'!$F179</f>
        <v>410.56</v>
      </c>
      <c r="G110" s="77">
        <f>'[1]ABR-Despesas'!$F175</f>
        <v>0</v>
      </c>
      <c r="H110" s="77">
        <f>'MAI-Despesas'!$F189</f>
        <v>129.13999999999999</v>
      </c>
      <c r="I110" s="77">
        <f>'[1]JUN-Despesas'!$F179</f>
        <v>0</v>
      </c>
      <c r="J110" s="77">
        <f>'[1]JUL-Despesas'!$F179</f>
        <v>0</v>
      </c>
      <c r="K110" s="77">
        <f>'[1]AGO-Despesas'!F182</f>
        <v>0</v>
      </c>
      <c r="L110" s="77">
        <f>'[1]SET-Despesas'!$F182</f>
        <v>0</v>
      </c>
      <c r="M110" s="77">
        <f>'[1]OUT-Despesas'!$F182</f>
        <v>0</v>
      </c>
      <c r="N110" s="77">
        <f>'[1]NOV-Despesas'!$F185</f>
        <v>0</v>
      </c>
      <c r="O110" s="77">
        <v>0</v>
      </c>
      <c r="P110" s="3"/>
    </row>
    <row r="111" spans="1:16" ht="15.75" customHeight="1" x14ac:dyDescent="0.3">
      <c r="A111" s="3"/>
      <c r="B111" s="75" t="s">
        <v>395</v>
      </c>
      <c r="C111" s="77">
        <f t="shared" si="29"/>
        <v>300</v>
      </c>
      <c r="D111" s="77">
        <f>'[1]JAN-Despesas'!$F172</f>
        <v>0</v>
      </c>
      <c r="E111" s="77">
        <f>'[1]FEV-Despesas'!$F186</f>
        <v>100</v>
      </c>
      <c r="F111" s="77">
        <f>'[1]MAR-Despesas'!$F185</f>
        <v>100</v>
      </c>
      <c r="G111" s="77">
        <f>'[1]ABR-Despesas'!$F204</f>
        <v>0</v>
      </c>
      <c r="H111" s="77">
        <f>'MAI-Despesas'!$F218</f>
        <v>100</v>
      </c>
      <c r="I111" s="77">
        <f>'[1]JUN-Despesas'!$F208</f>
        <v>0</v>
      </c>
      <c r="J111" s="77">
        <f>'[1]JUL-Despesas'!$F208</f>
        <v>0</v>
      </c>
      <c r="K111" s="77">
        <f>'[1]AGO-Despesas'!F211</f>
        <v>0</v>
      </c>
      <c r="L111" s="77">
        <f>'[1]SET-Despesas'!$F211</f>
        <v>0</v>
      </c>
      <c r="M111" s="77">
        <f>'[1]OUT-Despesas'!$F211</f>
        <v>0</v>
      </c>
      <c r="N111" s="77">
        <f>'[1]NOV-Despesas'!$F214</f>
        <v>0</v>
      </c>
      <c r="O111" s="77">
        <v>0</v>
      </c>
      <c r="P111" s="3"/>
    </row>
    <row r="112" spans="1:16" ht="15.75" customHeight="1" x14ac:dyDescent="0.3">
      <c r="A112" s="3"/>
      <c r="B112" s="75" t="s">
        <v>402</v>
      </c>
      <c r="C112" s="77">
        <f t="shared" si="29"/>
        <v>0</v>
      </c>
      <c r="D112" s="77">
        <f>'[1]JAN-Despesas'!$F182</f>
        <v>0</v>
      </c>
      <c r="E112" s="77">
        <f>'[1]FEV-Despesas'!$F196</f>
        <v>0</v>
      </c>
      <c r="F112" s="77">
        <f>'[1]MAR-Despesas'!$F195</f>
        <v>0</v>
      </c>
      <c r="G112" s="77">
        <f>'[1]ABR-Despesas'!$F214</f>
        <v>0</v>
      </c>
      <c r="H112" s="77">
        <f>'MAI-Despesas'!$F228</f>
        <v>0</v>
      </c>
      <c r="I112" s="77">
        <f>'[1]JUN-Despesas'!$F218</f>
        <v>0</v>
      </c>
      <c r="J112" s="77">
        <f>'[1]JUL-Despesas'!$F218</f>
        <v>0</v>
      </c>
      <c r="K112" s="77">
        <f>'[1]AGO-Despesas'!$F218</f>
        <v>0</v>
      </c>
      <c r="L112" s="77">
        <f>'[1]SET-Despesas'!$F221</f>
        <v>0</v>
      </c>
      <c r="M112" s="77">
        <f>'[1]OUT-Despesas'!$F221</f>
        <v>0</v>
      </c>
      <c r="N112" s="77">
        <f>'[1]NOV-Despesas'!$F224</f>
        <v>0</v>
      </c>
      <c r="O112" s="77">
        <v>0</v>
      </c>
      <c r="P112" s="3"/>
    </row>
    <row r="113" spans="1:16" ht="15.75" customHeight="1" x14ac:dyDescent="0.3">
      <c r="A113" s="3"/>
      <c r="B113" s="75" t="s">
        <v>403</v>
      </c>
      <c r="C113" s="77">
        <f t="shared" si="29"/>
        <v>357</v>
      </c>
      <c r="D113" s="77">
        <f>'[1]JAN-Despesas'!$F192</f>
        <v>357</v>
      </c>
      <c r="E113" s="77">
        <f>'[1]FEV-Despesas'!$F206</f>
        <v>0</v>
      </c>
      <c r="F113" s="77">
        <f>'[1]MAR-Despesas'!$F205</f>
        <v>0</v>
      </c>
      <c r="G113" s="77">
        <f>'[1]ABR-Despesas'!$F224</f>
        <v>0</v>
      </c>
      <c r="H113" s="77">
        <f>'MAI-Despesas'!$F238</f>
        <v>0</v>
      </c>
      <c r="I113" s="77">
        <f>'[1]JUN-Despesas'!$F228</f>
        <v>0</v>
      </c>
      <c r="J113" s="77">
        <f>'[1]JUL-Despesas'!$F228</f>
        <v>0</v>
      </c>
      <c r="K113" s="77">
        <f>'[1]AGO-Despesas'!$F228</f>
        <v>0</v>
      </c>
      <c r="L113" s="77">
        <f>'[1]SET-Despesas'!$F231</f>
        <v>0</v>
      </c>
      <c r="M113" s="77">
        <f>'[1]OUT-Despesas'!$F231</f>
        <v>0</v>
      </c>
      <c r="N113" s="77">
        <f>'[1]NOV-Despesas'!$F234</f>
        <v>0</v>
      </c>
      <c r="O113" s="77">
        <v>0</v>
      </c>
      <c r="P113" s="3"/>
    </row>
    <row r="114" spans="1:16" ht="15.75" customHeight="1" x14ac:dyDescent="0.3">
      <c r="A114" s="3"/>
      <c r="B114" s="75" t="s">
        <v>404</v>
      </c>
      <c r="C114" s="77">
        <f t="shared" si="29"/>
        <v>1040</v>
      </c>
      <c r="D114" s="77">
        <f>'[1]JAN-Despesas'!$F202</f>
        <v>160</v>
      </c>
      <c r="E114" s="77">
        <f>'[1]FEV-Despesas'!$F216</f>
        <v>0</v>
      </c>
      <c r="F114" s="77">
        <f>'[1]MAR-Despesas'!$F215</f>
        <v>800</v>
      </c>
      <c r="G114" s="77">
        <f>'[1]ABR-Despesas'!$F234</f>
        <v>0</v>
      </c>
      <c r="H114" s="77">
        <f>'MAI-Despesas'!$F248</f>
        <v>80</v>
      </c>
      <c r="I114" s="77">
        <f>'[1]JUN-Despesas'!$F238</f>
        <v>0</v>
      </c>
      <c r="J114" s="77">
        <f>'[1]JUL-Despesas'!$F238</f>
        <v>0</v>
      </c>
      <c r="K114" s="77">
        <f>'[1]AGO-Despesas'!F241</f>
        <v>0</v>
      </c>
      <c r="L114" s="77">
        <f>'[1]SET-Despesas'!$F241</f>
        <v>0</v>
      </c>
      <c r="M114" s="77">
        <f>'[1]OUT-Despesas'!$F241</f>
        <v>0</v>
      </c>
      <c r="N114" s="77">
        <f>'[1]NOV-Despesas'!$F244</f>
        <v>0</v>
      </c>
      <c r="O114" s="77">
        <v>0</v>
      </c>
      <c r="P114" s="3"/>
    </row>
    <row r="115" spans="1:16" ht="15.75" customHeight="1" x14ac:dyDescent="0.3">
      <c r="A115" s="3"/>
      <c r="B115" s="75" t="s">
        <v>406</v>
      </c>
      <c r="C115" s="77">
        <f t="shared" si="29"/>
        <v>0</v>
      </c>
      <c r="D115" s="77">
        <f>'[1]JAN-Despesas'!$F212</f>
        <v>0</v>
      </c>
      <c r="E115" s="77">
        <f>'[1]FEV-Despesas'!$F226</f>
        <v>0</v>
      </c>
      <c r="F115" s="77">
        <f>'[1]MAR-Despesas'!$F225</f>
        <v>0</v>
      </c>
      <c r="G115" s="77">
        <f>'[1]ABR-Despesas'!$F244</f>
        <v>0</v>
      </c>
      <c r="H115" s="77">
        <f>'MAI-Despesas'!$F258</f>
        <v>0</v>
      </c>
      <c r="I115" s="77">
        <f>'[1]JUN-Despesas'!$F248</f>
        <v>0</v>
      </c>
      <c r="J115" s="77">
        <f>'[1]JUL-Despesas'!$F248</f>
        <v>0</v>
      </c>
      <c r="K115" s="77">
        <f>'[1]AGO-Despesas'!$F248</f>
        <v>0</v>
      </c>
      <c r="L115" s="77">
        <f>'[1]SET-Despesas'!$F251</f>
        <v>0</v>
      </c>
      <c r="M115" s="77">
        <f>'[1]OUT-Despesas'!$F251</f>
        <v>0</v>
      </c>
      <c r="N115" s="77">
        <f>'[1]NOV-Despesas'!$F254</f>
        <v>0</v>
      </c>
      <c r="O115" s="77">
        <v>0</v>
      </c>
      <c r="P115" s="3"/>
    </row>
    <row r="116" spans="1:16" ht="15.75" customHeight="1" x14ac:dyDescent="0.3">
      <c r="A116" s="3"/>
      <c r="B116" s="75" t="s">
        <v>409</v>
      </c>
      <c r="C116" s="77">
        <f t="shared" ref="C116:O116" si="30">SUM(C117,C118,C119,C120)</f>
        <v>20464.39</v>
      </c>
      <c r="D116" s="77">
        <f t="shared" si="30"/>
        <v>18906.02</v>
      </c>
      <c r="E116" s="77">
        <f t="shared" si="30"/>
        <v>1463.5</v>
      </c>
      <c r="F116" s="77">
        <f t="shared" si="30"/>
        <v>0</v>
      </c>
      <c r="G116" s="77">
        <f t="shared" si="30"/>
        <v>0</v>
      </c>
      <c r="H116" s="77">
        <f t="shared" si="30"/>
        <v>94.87</v>
      </c>
      <c r="I116" s="77">
        <f t="shared" si="30"/>
        <v>0</v>
      </c>
      <c r="J116" s="77">
        <f t="shared" si="30"/>
        <v>0</v>
      </c>
      <c r="K116" s="77">
        <f t="shared" si="30"/>
        <v>0</v>
      </c>
      <c r="L116" s="77">
        <f t="shared" si="30"/>
        <v>0</v>
      </c>
      <c r="M116" s="77">
        <f t="shared" si="30"/>
        <v>0</v>
      </c>
      <c r="N116" s="77">
        <f t="shared" si="30"/>
        <v>0</v>
      </c>
      <c r="O116" s="77">
        <f t="shared" si="30"/>
        <v>0</v>
      </c>
      <c r="P116" s="3"/>
    </row>
    <row r="117" spans="1:16" ht="15.75" hidden="1" customHeight="1" outlineLevel="1" x14ac:dyDescent="0.3">
      <c r="A117" s="3"/>
      <c r="B117" s="82" t="s">
        <v>2236</v>
      </c>
      <c r="C117" s="84">
        <f t="shared" ref="C117:C121" si="31">SUM(D117:O117)</f>
        <v>974.87</v>
      </c>
      <c r="D117" s="84">
        <f>'[1]JAN-Despesas'!$F223</f>
        <v>880</v>
      </c>
      <c r="E117" s="84">
        <f>'[1]FEV-Despesas'!$F237</f>
        <v>0</v>
      </c>
      <c r="F117" s="84">
        <f>'[1]MAR-Despesas'!$F236</f>
        <v>0</v>
      </c>
      <c r="G117" s="84">
        <f>'[1]ABR-Despesas'!$F255</f>
        <v>0</v>
      </c>
      <c r="H117" s="84">
        <f>'MAI-Despesas'!$F269</f>
        <v>94.87</v>
      </c>
      <c r="I117" s="84">
        <f>'[1]JUN-Despesas'!$F259</f>
        <v>0</v>
      </c>
      <c r="J117" s="84">
        <f>'[1]JUL-Despesas'!$F259</f>
        <v>0</v>
      </c>
      <c r="K117" s="84">
        <f>'[1]AGO-Despesas'!$F259</f>
        <v>0</v>
      </c>
      <c r="L117" s="84">
        <f>'[1]SET-Despesas'!$F259</f>
        <v>0</v>
      </c>
      <c r="M117" s="84">
        <f>'[1]OUT-Despesas'!$F259</f>
        <v>0</v>
      </c>
      <c r="N117" s="84">
        <f>'[1]NOV-Despesas'!$F265</f>
        <v>0</v>
      </c>
      <c r="O117" s="84">
        <v>0</v>
      </c>
      <c r="P117" s="3"/>
    </row>
    <row r="118" spans="1:16" ht="15.75" hidden="1" customHeight="1" outlineLevel="1" x14ac:dyDescent="0.3">
      <c r="A118" s="3"/>
      <c r="B118" s="82" t="s">
        <v>2237</v>
      </c>
      <c r="C118" s="84">
        <f t="shared" si="31"/>
        <v>1463.5</v>
      </c>
      <c r="D118" s="84">
        <f>'[1]JAN-Despesas'!$F233</f>
        <v>0</v>
      </c>
      <c r="E118" s="84">
        <f>'[1]FEV-Despesas'!$F247</f>
        <v>1463.5</v>
      </c>
      <c r="F118" s="84">
        <f>'[1]MAR-Despesas'!$F246</f>
        <v>0</v>
      </c>
      <c r="G118" s="84">
        <f>'[1]ABR-Despesas'!$F265</f>
        <v>0</v>
      </c>
      <c r="H118" s="84">
        <f>'MAI-Despesas'!$F279</f>
        <v>0</v>
      </c>
      <c r="I118" s="84">
        <f>'[1]JUN-Despesas'!$F269</f>
        <v>0</v>
      </c>
      <c r="J118" s="84">
        <f>'[1]JUL-Despesas'!$F269</f>
        <v>0</v>
      </c>
      <c r="K118" s="84">
        <f>'[1]AGO-Despesas'!$F269</f>
        <v>0</v>
      </c>
      <c r="L118" s="84">
        <f>'[1]SET-Despesas'!$F269</f>
        <v>0</v>
      </c>
      <c r="M118" s="84">
        <f>'[1]OUT-Despesas'!$F269</f>
        <v>0</v>
      </c>
      <c r="N118" s="84">
        <f>'[1]NOV-Despesas'!$F275</f>
        <v>0</v>
      </c>
      <c r="O118" s="84">
        <v>0</v>
      </c>
      <c r="P118" s="3"/>
    </row>
    <row r="119" spans="1:16" ht="15.75" hidden="1" customHeight="1" outlineLevel="1" x14ac:dyDescent="0.3">
      <c r="A119" s="3"/>
      <c r="B119" s="82" t="s">
        <v>1025</v>
      </c>
      <c r="C119" s="84">
        <f t="shared" si="31"/>
        <v>17931.53</v>
      </c>
      <c r="D119" s="84">
        <f>'[1]JAN-Despesas'!$F243</f>
        <v>17931.53</v>
      </c>
      <c r="E119" s="84">
        <f>'[1]FEV-Despesas'!$F257</f>
        <v>0</v>
      </c>
      <c r="F119" s="84">
        <f>'[1]MAR-Despesas'!$F256</f>
        <v>0</v>
      </c>
      <c r="G119" s="84">
        <f>'[1]ABR-Despesas'!$F275</f>
        <v>0</v>
      </c>
      <c r="H119" s="84">
        <f>'MAI-Despesas'!$F289</f>
        <v>0</v>
      </c>
      <c r="I119" s="84">
        <f>'[1]JUN-Despesas'!$F279</f>
        <v>0</v>
      </c>
      <c r="J119" s="84">
        <f>'[1]JUL-Despesas'!$F279</f>
        <v>0</v>
      </c>
      <c r="K119" s="84">
        <f>'[1]AGO-Despesas'!$F279</f>
        <v>0</v>
      </c>
      <c r="L119" s="84">
        <f>'[1]SET-Despesas'!$F279</f>
        <v>0</v>
      </c>
      <c r="M119" s="84">
        <f>'[1]OUT-Despesas'!$F279</f>
        <v>0</v>
      </c>
      <c r="N119" s="84">
        <f>'[1]NOV-Despesas'!$F285</f>
        <v>0</v>
      </c>
      <c r="O119" s="84">
        <v>0</v>
      </c>
      <c r="P119" s="3"/>
    </row>
    <row r="120" spans="1:16" ht="15.75" hidden="1" customHeight="1" outlineLevel="1" x14ac:dyDescent="0.3">
      <c r="A120" s="3"/>
      <c r="B120" s="82" t="s">
        <v>690</v>
      </c>
      <c r="C120" s="84">
        <f t="shared" si="31"/>
        <v>94.49</v>
      </c>
      <c r="D120" s="84">
        <f>'[1]JAN-Despesas'!$F261</f>
        <v>94.49</v>
      </c>
      <c r="E120" s="84">
        <f>'[1]FEV-Despesas'!$F267</f>
        <v>0</v>
      </c>
      <c r="F120" s="84">
        <f>'[1]MAR-Despesas'!$F266</f>
        <v>0</v>
      </c>
      <c r="G120" s="84">
        <f>'[1]ABR-Despesas'!$F285+'[1]ABR-Despesas'!$F295</f>
        <v>0</v>
      </c>
      <c r="H120" s="84">
        <f>'MAI-Despesas'!$F299+'MAI-Despesas'!$F309</f>
        <v>0</v>
      </c>
      <c r="I120" s="84">
        <f>'[1]JUN-Despesas'!$F289+'[1]JUN-Despesas'!$F299</f>
        <v>0</v>
      </c>
      <c r="J120" s="84">
        <f>'[1]JUL-Despesas'!$F289+'[1]JUL-Despesas'!$F311</f>
        <v>0</v>
      </c>
      <c r="K120" s="84">
        <f>'[1]AGO-Despesas'!$F289+'[1]AGO-Despesas'!$F311</f>
        <v>0</v>
      </c>
      <c r="L120" s="84">
        <f>'[1]SET-Despesas'!$F289+'[1]SET-Despesas'!$F311</f>
        <v>0</v>
      </c>
      <c r="M120" s="84">
        <f>'[1]OUT-Despesas'!$F289+'[1]OUT-Despesas'!$F311</f>
        <v>0</v>
      </c>
      <c r="N120" s="84">
        <f>'[1]NOV-Despesas'!$F295+'[1]NOV-Despesas'!$F317</f>
        <v>0</v>
      </c>
      <c r="O120" s="84">
        <v>0</v>
      </c>
      <c r="P120" s="3"/>
    </row>
    <row r="121" spans="1:16" ht="15.75" customHeight="1" collapsed="1" x14ac:dyDescent="0.3">
      <c r="A121" s="3"/>
      <c r="B121" s="75" t="s">
        <v>412</v>
      </c>
      <c r="C121" s="77" t="e">
        <f t="shared" si="31"/>
        <v>#REF!</v>
      </c>
      <c r="D121" s="77">
        <f>'JAN-Despesas'!$F271</f>
        <v>356.51</v>
      </c>
      <c r="E121" s="77">
        <f>'FEV-Despesas'!$F277</f>
        <v>54</v>
      </c>
      <c r="F121" s="77">
        <f>'MAR-Despesas'!$F276</f>
        <v>0</v>
      </c>
      <c r="G121" s="77">
        <f>'ABR-Despesas'!$F305</f>
        <v>227.5</v>
      </c>
      <c r="H121" s="77">
        <f>'MAI-Despesas'!$F319</f>
        <v>104</v>
      </c>
      <c r="I121" s="77">
        <f>'JUN-Despesas'!$F310</f>
        <v>120.1</v>
      </c>
      <c r="J121" s="77">
        <f>'JUL-Despesas'!$F321</f>
        <v>0</v>
      </c>
      <c r="K121" s="77">
        <f>'AGO-Despesas'!$F320</f>
        <v>0</v>
      </c>
      <c r="L121" s="77">
        <f>'SET-Despesas'!$F320</f>
        <v>0</v>
      </c>
      <c r="M121" s="77">
        <f>'OUT-Despesas'!$F323</f>
        <v>80</v>
      </c>
      <c r="N121" s="77">
        <f>'NOV-Despesas'!$F322</f>
        <v>212</v>
      </c>
      <c r="O121" s="77" t="e">
        <f>'DEZ-Despesas'!#REF!</f>
        <v>#REF!</v>
      </c>
      <c r="P121" s="3"/>
    </row>
    <row r="122" spans="1:16" ht="15.75" customHeight="1" x14ac:dyDescent="0.3">
      <c r="A122" s="3"/>
      <c r="B122" s="3"/>
      <c r="C122" s="167"/>
      <c r="D122" s="137"/>
      <c r="E122" s="137"/>
      <c r="F122" s="167"/>
      <c r="G122" s="167"/>
      <c r="H122" s="101"/>
      <c r="I122" s="28"/>
      <c r="J122" s="28"/>
      <c r="K122" s="28"/>
      <c r="L122" s="28"/>
      <c r="M122" s="28"/>
      <c r="N122" s="28"/>
      <c r="O122" s="28"/>
      <c r="P122" s="3"/>
    </row>
    <row r="123" spans="1:16" ht="15.75" customHeight="1" x14ac:dyDescent="0.3">
      <c r="A123" s="3"/>
      <c r="B123" s="3"/>
      <c r="C123" s="167"/>
      <c r="D123" s="101"/>
      <c r="E123" s="101"/>
      <c r="F123" s="101"/>
      <c r="G123" s="101"/>
      <c r="H123" s="101"/>
      <c r="I123" s="28"/>
      <c r="J123" s="28"/>
      <c r="K123" s="28"/>
      <c r="L123" s="28"/>
      <c r="M123" s="28"/>
      <c r="N123" s="28"/>
      <c r="O123" s="28"/>
      <c r="P123" s="3"/>
    </row>
    <row r="124" spans="1:16" ht="15.75" customHeight="1" x14ac:dyDescent="0.3">
      <c r="A124" s="3"/>
      <c r="B124" s="3"/>
      <c r="C124" s="137"/>
      <c r="D124" s="101"/>
      <c r="E124" s="101"/>
      <c r="F124" s="101"/>
      <c r="G124" s="101"/>
      <c r="H124" s="101"/>
      <c r="I124" s="28"/>
      <c r="J124" s="28"/>
      <c r="K124" s="28"/>
      <c r="L124" s="28"/>
      <c r="M124" s="28"/>
      <c r="N124" s="28"/>
      <c r="O124" s="28"/>
      <c r="P124" s="3"/>
    </row>
    <row r="125" spans="1:16" ht="15.75" customHeight="1" x14ac:dyDescent="0.3">
      <c r="A125" s="3"/>
      <c r="B125" s="3"/>
      <c r="C125" s="137"/>
      <c r="D125" s="101"/>
      <c r="E125" s="101"/>
      <c r="F125" s="101"/>
      <c r="G125" s="101"/>
      <c r="H125" s="101"/>
      <c r="I125" s="28"/>
      <c r="J125" s="28"/>
      <c r="K125" s="28"/>
      <c r="L125" s="28"/>
      <c r="M125" s="28"/>
      <c r="N125" s="28"/>
      <c r="O125" s="28"/>
      <c r="P125" s="3"/>
    </row>
    <row r="126" spans="1:16" ht="15.75" customHeight="1" x14ac:dyDescent="0.3">
      <c r="A126" s="3"/>
      <c r="B126" s="3"/>
      <c r="C126" s="137"/>
      <c r="D126" s="101"/>
      <c r="E126" s="101"/>
      <c r="F126" s="101"/>
      <c r="G126" s="101"/>
      <c r="H126" s="101"/>
      <c r="I126" s="28"/>
      <c r="J126" s="28"/>
      <c r="K126" s="28"/>
      <c r="L126" s="28"/>
      <c r="M126" s="28"/>
      <c r="N126" s="28"/>
      <c r="O126" s="28"/>
      <c r="P126" s="3"/>
    </row>
    <row r="127" spans="1:16" ht="15.75" customHeight="1" x14ac:dyDescent="0.3">
      <c r="A127" s="3"/>
      <c r="B127" s="3"/>
      <c r="C127" s="137"/>
      <c r="D127" s="101"/>
      <c r="E127" s="101"/>
      <c r="F127" s="101"/>
      <c r="G127" s="101"/>
      <c r="H127" s="101"/>
      <c r="I127" s="28"/>
      <c r="J127" s="28"/>
      <c r="K127" s="28"/>
      <c r="L127" s="28"/>
      <c r="M127" s="28"/>
      <c r="N127" s="28"/>
      <c r="O127" s="28"/>
      <c r="P127" s="3"/>
    </row>
    <row r="128" spans="1:16" ht="15.75" customHeight="1" x14ac:dyDescent="0.3">
      <c r="A128" s="3"/>
      <c r="B128" s="3"/>
      <c r="C128" s="168"/>
      <c r="D128" s="101"/>
      <c r="E128" s="101"/>
      <c r="F128" s="101"/>
      <c r="G128" s="101"/>
      <c r="H128" s="101"/>
      <c r="I128" s="28"/>
      <c r="J128" s="28"/>
      <c r="K128" s="28"/>
      <c r="L128" s="28"/>
      <c r="M128" s="28"/>
      <c r="N128" s="28"/>
      <c r="O128" s="28"/>
      <c r="P128" s="3"/>
    </row>
    <row r="129" spans="1:16" ht="15.75" customHeight="1" x14ac:dyDescent="0.3">
      <c r="A129" s="3"/>
      <c r="B129" s="3"/>
      <c r="C129" s="137"/>
      <c r="D129" s="101"/>
      <c r="E129" s="101"/>
      <c r="F129" s="101"/>
      <c r="G129" s="101"/>
      <c r="H129" s="101"/>
      <c r="I129" s="28"/>
      <c r="J129" s="28"/>
      <c r="K129" s="28"/>
      <c r="L129" s="28"/>
      <c r="M129" s="28"/>
      <c r="N129" s="28"/>
      <c r="O129" s="28"/>
      <c r="P129" s="3"/>
    </row>
    <row r="130" spans="1:16" ht="15.75" customHeight="1" x14ac:dyDescent="0.3">
      <c r="A130" s="3"/>
      <c r="B130" s="3"/>
      <c r="C130" s="137"/>
      <c r="D130" s="28"/>
      <c r="E130" s="28"/>
      <c r="F130" s="101"/>
      <c r="G130" s="101"/>
      <c r="H130" s="101"/>
      <c r="I130" s="28"/>
      <c r="J130" s="28"/>
      <c r="K130" s="28"/>
      <c r="L130" s="28"/>
      <c r="M130" s="28"/>
      <c r="N130" s="28"/>
      <c r="O130" s="28"/>
      <c r="P130" s="3"/>
    </row>
    <row r="131" spans="1:16" ht="15.75" customHeight="1" x14ac:dyDescent="0.3">
      <c r="A131" s="3"/>
      <c r="B131" s="3"/>
      <c r="C131" s="137"/>
      <c r="D131" s="28"/>
      <c r="E131" s="28"/>
      <c r="F131" s="101"/>
      <c r="G131" s="101"/>
      <c r="H131" s="101"/>
      <c r="I131" s="28"/>
      <c r="J131" s="28"/>
      <c r="K131" s="28"/>
      <c r="L131" s="28"/>
      <c r="M131" s="28"/>
      <c r="N131" s="28"/>
      <c r="O131" s="28"/>
      <c r="P131" s="3"/>
    </row>
    <row r="132" spans="1:16" ht="15.75" customHeight="1" x14ac:dyDescent="0.3">
      <c r="A132" s="3"/>
      <c r="B132" s="3"/>
      <c r="C132" s="137"/>
      <c r="D132" s="28"/>
      <c r="E132" s="28"/>
      <c r="F132" s="101"/>
      <c r="G132" s="101"/>
      <c r="H132" s="101"/>
      <c r="I132" s="28"/>
      <c r="J132" s="28"/>
      <c r="K132" s="28"/>
      <c r="L132" s="28"/>
      <c r="M132" s="28"/>
      <c r="N132" s="28"/>
      <c r="O132" s="28"/>
      <c r="P132" s="3"/>
    </row>
    <row r="133" spans="1:16" ht="15.75" customHeight="1" x14ac:dyDescent="0.3">
      <c r="A133" s="3"/>
      <c r="B133" s="3"/>
      <c r="C133" s="137"/>
      <c r="D133" s="28"/>
      <c r="E133" s="28"/>
      <c r="F133" s="101"/>
      <c r="G133" s="101"/>
      <c r="H133" s="101"/>
      <c r="I133" s="28"/>
      <c r="J133" s="28"/>
      <c r="K133" s="28"/>
      <c r="L133" s="28"/>
      <c r="M133" s="28"/>
      <c r="N133" s="28"/>
      <c r="O133" s="28"/>
      <c r="P133" s="3"/>
    </row>
    <row r="134" spans="1:16" ht="15.75" customHeight="1" x14ac:dyDescent="0.3">
      <c r="A134" s="3"/>
      <c r="B134" s="3"/>
      <c r="C134" s="137"/>
      <c r="D134" s="28"/>
      <c r="E134" s="28"/>
      <c r="F134" s="101"/>
      <c r="G134" s="101"/>
      <c r="H134" s="101"/>
      <c r="I134" s="28"/>
      <c r="J134" s="28"/>
      <c r="K134" s="28"/>
      <c r="L134" s="28"/>
      <c r="M134" s="28"/>
      <c r="N134" s="28"/>
      <c r="O134" s="28"/>
      <c r="P134" s="3"/>
    </row>
    <row r="135" spans="1:16" ht="15.75" customHeight="1" x14ac:dyDescent="0.3">
      <c r="A135" s="3"/>
      <c r="B135" s="3"/>
      <c r="C135" s="137"/>
      <c r="D135" s="28"/>
      <c r="E135" s="28"/>
      <c r="F135" s="101"/>
      <c r="G135" s="101"/>
      <c r="H135" s="101"/>
      <c r="I135" s="28"/>
      <c r="J135" s="28"/>
      <c r="K135" s="28"/>
      <c r="L135" s="28"/>
      <c r="M135" s="28"/>
      <c r="N135" s="28"/>
      <c r="O135" s="28"/>
      <c r="P135" s="3"/>
    </row>
    <row r="136" spans="1:16" ht="15.75" customHeight="1" x14ac:dyDescent="0.3">
      <c r="A136" s="3"/>
      <c r="B136" s="3"/>
      <c r="C136" s="137"/>
      <c r="D136" s="28"/>
      <c r="E136" s="28"/>
      <c r="F136" s="101"/>
      <c r="G136" s="101"/>
      <c r="H136" s="101"/>
      <c r="I136" s="28"/>
      <c r="J136" s="28"/>
      <c r="K136" s="28"/>
      <c r="L136" s="28"/>
      <c r="M136" s="28"/>
      <c r="N136" s="28"/>
      <c r="O136" s="28"/>
      <c r="P136" s="3"/>
    </row>
    <row r="137" spans="1:16" ht="15.75" customHeight="1" x14ac:dyDescent="0.3">
      <c r="A137" s="3"/>
      <c r="B137" s="3"/>
      <c r="C137" s="137"/>
      <c r="D137" s="28"/>
      <c r="E137" s="28"/>
      <c r="F137" s="101"/>
      <c r="G137" s="101"/>
      <c r="H137" s="101"/>
      <c r="I137" s="28"/>
      <c r="J137" s="28"/>
      <c r="K137" s="28"/>
      <c r="L137" s="28"/>
      <c r="M137" s="28"/>
      <c r="N137" s="28"/>
      <c r="O137" s="28"/>
      <c r="P137" s="3"/>
    </row>
    <row r="138" spans="1:16" ht="15.75" customHeight="1" x14ac:dyDescent="0.3">
      <c r="A138" s="3"/>
      <c r="B138" s="3"/>
      <c r="C138" s="137"/>
      <c r="D138" s="28"/>
      <c r="E138" s="28"/>
      <c r="F138" s="101"/>
      <c r="G138" s="101"/>
      <c r="H138" s="101"/>
      <c r="I138" s="28"/>
      <c r="J138" s="28"/>
      <c r="K138" s="28"/>
      <c r="L138" s="28"/>
      <c r="M138" s="28"/>
      <c r="N138" s="28"/>
      <c r="O138" s="28"/>
      <c r="P138" s="3"/>
    </row>
    <row r="139" spans="1:16" ht="15.75" customHeight="1" x14ac:dyDescent="0.3">
      <c r="A139" s="3"/>
      <c r="B139" s="3"/>
      <c r="C139" s="137"/>
      <c r="D139" s="28"/>
      <c r="E139" s="28"/>
      <c r="F139" s="101"/>
      <c r="G139" s="101"/>
      <c r="H139" s="101"/>
      <c r="I139" s="28"/>
      <c r="J139" s="28"/>
      <c r="K139" s="28"/>
      <c r="L139" s="28"/>
      <c r="M139" s="28"/>
      <c r="N139" s="28"/>
      <c r="O139" s="28"/>
      <c r="P139" s="3"/>
    </row>
    <row r="140" spans="1:16" ht="15.75" customHeight="1" x14ac:dyDescent="0.3">
      <c r="A140" s="3"/>
      <c r="B140" s="3"/>
      <c r="C140" s="137"/>
      <c r="D140" s="28"/>
      <c r="E140" s="28"/>
      <c r="F140" s="101"/>
      <c r="G140" s="101"/>
      <c r="H140" s="101"/>
      <c r="I140" s="28"/>
      <c r="J140" s="28"/>
      <c r="K140" s="28"/>
      <c r="L140" s="28"/>
      <c r="M140" s="28"/>
      <c r="N140" s="28"/>
      <c r="O140" s="28"/>
      <c r="P140" s="3"/>
    </row>
    <row r="141" spans="1:16" ht="15.75" customHeight="1" x14ac:dyDescent="0.3">
      <c r="A141" s="3"/>
      <c r="B141" s="3"/>
      <c r="C141" s="137"/>
      <c r="D141" s="28"/>
      <c r="E141" s="28"/>
      <c r="F141" s="101"/>
      <c r="G141" s="101"/>
      <c r="H141" s="101"/>
      <c r="I141" s="28"/>
      <c r="J141" s="28"/>
      <c r="K141" s="28"/>
      <c r="L141" s="28"/>
      <c r="M141" s="28"/>
      <c r="N141" s="28"/>
      <c r="O141" s="28"/>
      <c r="P141" s="3"/>
    </row>
    <row r="142" spans="1:16" ht="15.75" customHeight="1" x14ac:dyDescent="0.3">
      <c r="A142" s="3"/>
      <c r="B142" s="3"/>
      <c r="C142" s="137"/>
      <c r="D142" s="28"/>
      <c r="E142" s="28"/>
      <c r="F142" s="101"/>
      <c r="G142" s="101"/>
      <c r="H142" s="101"/>
      <c r="I142" s="28"/>
      <c r="J142" s="28"/>
      <c r="K142" s="28"/>
      <c r="L142" s="28"/>
      <c r="M142" s="28"/>
      <c r="N142" s="28"/>
      <c r="O142" s="28"/>
      <c r="P142" s="3"/>
    </row>
    <row r="143" spans="1:16" ht="15.75" customHeight="1" x14ac:dyDescent="0.3">
      <c r="A143" s="3"/>
      <c r="B143" s="3"/>
      <c r="C143" s="137"/>
      <c r="D143" s="28"/>
      <c r="E143" s="28"/>
      <c r="F143" s="101"/>
      <c r="G143" s="101"/>
      <c r="H143" s="101"/>
      <c r="I143" s="28"/>
      <c r="J143" s="28"/>
      <c r="K143" s="28"/>
      <c r="L143" s="28"/>
      <c r="M143" s="28"/>
      <c r="N143" s="28"/>
      <c r="O143" s="28"/>
      <c r="P143" s="3"/>
    </row>
    <row r="144" spans="1:16" ht="15.75" customHeight="1" x14ac:dyDescent="0.3">
      <c r="A144" s="3"/>
      <c r="B144" s="3"/>
      <c r="C144" s="137"/>
      <c r="D144" s="28"/>
      <c r="E144" s="28"/>
      <c r="F144" s="101"/>
      <c r="G144" s="101"/>
      <c r="H144" s="101"/>
      <c r="I144" s="28"/>
      <c r="J144" s="28"/>
      <c r="K144" s="28"/>
      <c r="L144" s="28"/>
      <c r="M144" s="28"/>
      <c r="N144" s="28"/>
      <c r="O144" s="28"/>
      <c r="P144" s="3"/>
    </row>
    <row r="145" spans="1:16" ht="15.75" customHeight="1" x14ac:dyDescent="0.3">
      <c r="A145" s="3"/>
      <c r="B145" s="3"/>
      <c r="C145" s="137"/>
      <c r="D145" s="28"/>
      <c r="E145" s="28"/>
      <c r="F145" s="101"/>
      <c r="G145" s="101"/>
      <c r="H145" s="101"/>
      <c r="I145" s="28"/>
      <c r="J145" s="28"/>
      <c r="K145" s="28"/>
      <c r="L145" s="28"/>
      <c r="M145" s="28"/>
      <c r="N145" s="28"/>
      <c r="O145" s="28"/>
      <c r="P145" s="3"/>
    </row>
    <row r="146" spans="1:16" ht="15.75" customHeight="1" x14ac:dyDescent="0.3">
      <c r="A146" s="3"/>
      <c r="B146" s="3"/>
      <c r="C146" s="137"/>
      <c r="D146" s="28"/>
      <c r="E146" s="28"/>
      <c r="F146" s="101"/>
      <c r="G146" s="101"/>
      <c r="H146" s="101"/>
      <c r="I146" s="28"/>
      <c r="J146" s="28"/>
      <c r="K146" s="28"/>
      <c r="L146" s="28"/>
      <c r="M146" s="28"/>
      <c r="N146" s="28"/>
      <c r="O146" s="28"/>
      <c r="P146" s="3"/>
    </row>
    <row r="147" spans="1:16" ht="15.75" customHeight="1" x14ac:dyDescent="0.3">
      <c r="A147" s="3"/>
      <c r="B147" s="3"/>
      <c r="C147" s="137"/>
      <c r="D147" s="28"/>
      <c r="E147" s="28"/>
      <c r="F147" s="101"/>
      <c r="G147" s="101"/>
      <c r="H147" s="101"/>
      <c r="I147" s="28"/>
      <c r="J147" s="28"/>
      <c r="K147" s="28"/>
      <c r="L147" s="28"/>
      <c r="M147" s="28"/>
      <c r="N147" s="28"/>
      <c r="O147" s="28"/>
      <c r="P147" s="3"/>
    </row>
    <row r="148" spans="1:16" ht="15.75" customHeight="1" x14ac:dyDescent="0.3">
      <c r="A148" s="3"/>
      <c r="B148" s="3"/>
      <c r="C148" s="137"/>
      <c r="D148" s="28"/>
      <c r="E148" s="28"/>
      <c r="F148" s="101"/>
      <c r="G148" s="101"/>
      <c r="H148" s="101"/>
      <c r="I148" s="28"/>
      <c r="J148" s="28"/>
      <c r="K148" s="28"/>
      <c r="L148" s="28"/>
      <c r="M148" s="28"/>
      <c r="N148" s="28"/>
      <c r="O148" s="28"/>
      <c r="P148" s="3"/>
    </row>
    <row r="149" spans="1:16" ht="15.75" customHeight="1" x14ac:dyDescent="0.3">
      <c r="A149" s="3"/>
      <c r="B149" s="3"/>
      <c r="C149" s="137"/>
      <c r="D149" s="28"/>
      <c r="E149" s="28"/>
      <c r="F149" s="101"/>
      <c r="G149" s="101"/>
      <c r="H149" s="101"/>
      <c r="I149" s="28"/>
      <c r="J149" s="28"/>
      <c r="K149" s="28"/>
      <c r="L149" s="28"/>
      <c r="M149" s="28"/>
      <c r="N149" s="28"/>
      <c r="O149" s="28"/>
      <c r="P149" s="3"/>
    </row>
    <row r="150" spans="1:16" ht="15.75" customHeight="1" x14ac:dyDescent="0.3">
      <c r="A150" s="3"/>
      <c r="B150" s="3"/>
      <c r="C150" s="137"/>
      <c r="D150" s="28"/>
      <c r="E150" s="28"/>
      <c r="F150" s="101"/>
      <c r="G150" s="101"/>
      <c r="H150" s="101"/>
      <c r="I150" s="28"/>
      <c r="J150" s="28"/>
      <c r="K150" s="28"/>
      <c r="L150" s="28"/>
      <c r="M150" s="28"/>
      <c r="N150" s="28"/>
      <c r="O150" s="28"/>
      <c r="P150" s="3"/>
    </row>
    <row r="151" spans="1:16" ht="15.75" customHeight="1" x14ac:dyDescent="0.3">
      <c r="A151" s="3"/>
      <c r="B151" s="3"/>
      <c r="C151" s="137"/>
      <c r="D151" s="28"/>
      <c r="E151" s="28"/>
      <c r="F151" s="101"/>
      <c r="G151" s="101"/>
      <c r="H151" s="101"/>
      <c r="I151" s="28"/>
      <c r="J151" s="28"/>
      <c r="K151" s="28"/>
      <c r="L151" s="28"/>
      <c r="M151" s="28"/>
      <c r="N151" s="28"/>
      <c r="O151" s="28"/>
      <c r="P151" s="3"/>
    </row>
    <row r="152" spans="1:16" ht="15.75" customHeight="1" x14ac:dyDescent="0.3">
      <c r="A152" s="3"/>
      <c r="B152" s="3"/>
      <c r="C152" s="137"/>
      <c r="D152" s="28"/>
      <c r="E152" s="28"/>
      <c r="F152" s="101"/>
      <c r="G152" s="101"/>
      <c r="H152" s="101"/>
      <c r="I152" s="28"/>
      <c r="J152" s="28"/>
      <c r="K152" s="28"/>
      <c r="L152" s="28"/>
      <c r="M152" s="28"/>
      <c r="N152" s="28"/>
      <c r="O152" s="28"/>
      <c r="P152" s="3"/>
    </row>
    <row r="153" spans="1:16" ht="15.75" customHeight="1" x14ac:dyDescent="0.3">
      <c r="A153" s="3"/>
      <c r="B153" s="3"/>
      <c r="C153" s="137"/>
      <c r="D153" s="28"/>
      <c r="E153" s="28"/>
      <c r="F153" s="101"/>
      <c r="G153" s="101"/>
      <c r="H153" s="101"/>
      <c r="I153" s="28"/>
      <c r="J153" s="28"/>
      <c r="K153" s="28"/>
      <c r="L153" s="28"/>
      <c r="M153" s="28"/>
      <c r="N153" s="28"/>
      <c r="O153" s="28"/>
      <c r="P153" s="3"/>
    </row>
    <row r="154" spans="1:16" ht="15.75" customHeight="1" x14ac:dyDescent="0.3">
      <c r="A154" s="3"/>
      <c r="B154" s="3"/>
      <c r="C154" s="137"/>
      <c r="D154" s="28"/>
      <c r="E154" s="28"/>
      <c r="F154" s="101"/>
      <c r="G154" s="101"/>
      <c r="H154" s="101"/>
      <c r="I154" s="28"/>
      <c r="J154" s="28"/>
      <c r="K154" s="28"/>
      <c r="L154" s="28"/>
      <c r="M154" s="28"/>
      <c r="N154" s="28"/>
      <c r="O154" s="28"/>
      <c r="P154" s="3"/>
    </row>
    <row r="155" spans="1:16" ht="15.75" customHeight="1" x14ac:dyDescent="0.3">
      <c r="A155" s="3"/>
      <c r="B155" s="3"/>
      <c r="C155" s="137"/>
      <c r="D155" s="28"/>
      <c r="E155" s="28"/>
      <c r="F155" s="101"/>
      <c r="G155" s="101"/>
      <c r="H155" s="101"/>
      <c r="I155" s="28"/>
      <c r="J155" s="28"/>
      <c r="K155" s="28"/>
      <c r="L155" s="28"/>
      <c r="M155" s="28"/>
      <c r="N155" s="28"/>
      <c r="O155" s="28"/>
      <c r="P155" s="3"/>
    </row>
    <row r="156" spans="1:16" ht="15.75" customHeight="1" x14ac:dyDescent="0.3">
      <c r="A156" s="3"/>
      <c r="B156" s="3"/>
      <c r="C156" s="137"/>
      <c r="D156" s="28"/>
      <c r="E156" s="28"/>
      <c r="F156" s="101"/>
      <c r="G156" s="101"/>
      <c r="H156" s="101"/>
      <c r="I156" s="28"/>
      <c r="J156" s="28"/>
      <c r="K156" s="28"/>
      <c r="L156" s="28"/>
      <c r="M156" s="28"/>
      <c r="N156" s="28"/>
      <c r="O156" s="28"/>
      <c r="P156" s="3"/>
    </row>
    <row r="157" spans="1:16" ht="15.75" customHeight="1" x14ac:dyDescent="0.3">
      <c r="A157" s="3"/>
      <c r="B157" s="3"/>
      <c r="C157" s="137"/>
      <c r="D157" s="28"/>
      <c r="E157" s="28"/>
      <c r="F157" s="101"/>
      <c r="G157" s="101"/>
      <c r="H157" s="101"/>
      <c r="I157" s="28"/>
      <c r="J157" s="28"/>
      <c r="K157" s="28"/>
      <c r="L157" s="28"/>
      <c r="M157" s="28"/>
      <c r="N157" s="28"/>
      <c r="O157" s="28"/>
      <c r="P157" s="3"/>
    </row>
    <row r="158" spans="1:16" ht="15.75" customHeight="1" x14ac:dyDescent="0.3">
      <c r="A158" s="3"/>
      <c r="B158" s="3"/>
      <c r="C158" s="137"/>
      <c r="D158" s="28"/>
      <c r="E158" s="28"/>
      <c r="F158" s="101"/>
      <c r="G158" s="101"/>
      <c r="H158" s="101"/>
      <c r="I158" s="28"/>
      <c r="J158" s="28"/>
      <c r="K158" s="28"/>
      <c r="L158" s="28"/>
      <c r="M158" s="28"/>
      <c r="N158" s="28"/>
      <c r="O158" s="28"/>
      <c r="P158" s="3"/>
    </row>
    <row r="159" spans="1:16" ht="15.75" customHeight="1" x14ac:dyDescent="0.3">
      <c r="A159" s="3"/>
      <c r="B159" s="3"/>
      <c r="C159" s="137"/>
      <c r="D159" s="28"/>
      <c r="E159" s="28"/>
      <c r="F159" s="101"/>
      <c r="G159" s="101"/>
      <c r="H159" s="101"/>
      <c r="I159" s="28"/>
      <c r="J159" s="28"/>
      <c r="K159" s="28"/>
      <c r="L159" s="28"/>
      <c r="M159" s="28"/>
      <c r="N159" s="28"/>
      <c r="O159" s="28"/>
      <c r="P159" s="3"/>
    </row>
    <row r="160" spans="1:16" ht="15.75" customHeight="1" x14ac:dyDescent="0.3">
      <c r="A160" s="3"/>
      <c r="B160" s="3"/>
      <c r="C160" s="137"/>
      <c r="D160" s="28"/>
      <c r="E160" s="28"/>
      <c r="F160" s="101"/>
      <c r="G160" s="101"/>
      <c r="H160" s="101"/>
      <c r="I160" s="28"/>
      <c r="J160" s="28"/>
      <c r="K160" s="28"/>
      <c r="L160" s="28"/>
      <c r="M160" s="28"/>
      <c r="N160" s="28"/>
      <c r="O160" s="28"/>
      <c r="P160" s="3"/>
    </row>
    <row r="161" spans="1:16" ht="15.75" customHeight="1" x14ac:dyDescent="0.3">
      <c r="A161" s="3"/>
      <c r="B161" s="3"/>
      <c r="C161" s="137"/>
      <c r="D161" s="28"/>
      <c r="E161" s="28"/>
      <c r="F161" s="101"/>
      <c r="G161" s="101"/>
      <c r="H161" s="101"/>
      <c r="I161" s="28"/>
      <c r="J161" s="28"/>
      <c r="K161" s="28"/>
      <c r="L161" s="28"/>
      <c r="M161" s="28"/>
      <c r="N161" s="28"/>
      <c r="O161" s="28"/>
      <c r="P161" s="3"/>
    </row>
    <row r="162" spans="1:16" ht="15.75" customHeight="1" x14ac:dyDescent="0.3">
      <c r="A162" s="3"/>
      <c r="B162" s="3"/>
      <c r="C162" s="137"/>
      <c r="D162" s="28"/>
      <c r="E162" s="28"/>
      <c r="F162" s="101"/>
      <c r="G162" s="101"/>
      <c r="H162" s="101"/>
      <c r="I162" s="28"/>
      <c r="J162" s="28"/>
      <c r="K162" s="28"/>
      <c r="L162" s="28"/>
      <c r="M162" s="28"/>
      <c r="N162" s="28"/>
      <c r="O162" s="28"/>
      <c r="P162" s="3"/>
    </row>
    <row r="163" spans="1:16" ht="15.75" customHeight="1" x14ac:dyDescent="0.3">
      <c r="A163" s="3"/>
      <c r="B163" s="3"/>
      <c r="C163" s="137"/>
      <c r="D163" s="28"/>
      <c r="E163" s="28"/>
      <c r="F163" s="101"/>
      <c r="G163" s="101"/>
      <c r="H163" s="101"/>
      <c r="I163" s="28"/>
      <c r="J163" s="28"/>
      <c r="K163" s="28"/>
      <c r="L163" s="28"/>
      <c r="M163" s="28"/>
      <c r="N163" s="28"/>
      <c r="O163" s="28"/>
      <c r="P163" s="3"/>
    </row>
    <row r="164" spans="1:16" ht="15.75" customHeight="1" x14ac:dyDescent="0.3">
      <c r="A164" s="3"/>
      <c r="B164" s="3"/>
      <c r="C164" s="137"/>
      <c r="D164" s="28"/>
      <c r="E164" s="28"/>
      <c r="F164" s="101"/>
      <c r="G164" s="101"/>
      <c r="H164" s="101"/>
      <c r="I164" s="28"/>
      <c r="J164" s="28"/>
      <c r="K164" s="28"/>
      <c r="L164" s="28"/>
      <c r="M164" s="28"/>
      <c r="N164" s="28"/>
      <c r="O164" s="28"/>
      <c r="P164" s="3"/>
    </row>
    <row r="165" spans="1:16" ht="15.75" customHeight="1" x14ac:dyDescent="0.3">
      <c r="A165" s="3"/>
      <c r="B165" s="3"/>
      <c r="C165" s="137"/>
      <c r="D165" s="28"/>
      <c r="E165" s="28"/>
      <c r="F165" s="101"/>
      <c r="G165" s="101"/>
      <c r="H165" s="101"/>
      <c r="I165" s="28"/>
      <c r="J165" s="28"/>
      <c r="K165" s="28"/>
      <c r="L165" s="28"/>
      <c r="M165" s="28"/>
      <c r="N165" s="28"/>
      <c r="O165" s="28"/>
      <c r="P165" s="3"/>
    </row>
    <row r="166" spans="1:16" ht="15.75" customHeight="1" x14ac:dyDescent="0.3">
      <c r="A166" s="3"/>
      <c r="B166" s="3"/>
      <c r="C166" s="137"/>
      <c r="D166" s="28"/>
      <c r="E166" s="28"/>
      <c r="F166" s="101"/>
      <c r="G166" s="101"/>
      <c r="H166" s="101"/>
      <c r="I166" s="28"/>
      <c r="J166" s="28"/>
      <c r="K166" s="28"/>
      <c r="L166" s="28"/>
      <c r="M166" s="28"/>
      <c r="N166" s="28"/>
      <c r="O166" s="28"/>
      <c r="P166" s="3"/>
    </row>
    <row r="167" spans="1:16" ht="15.75" customHeight="1" x14ac:dyDescent="0.3">
      <c r="A167" s="3"/>
      <c r="B167" s="3"/>
      <c r="C167" s="137"/>
      <c r="D167" s="28"/>
      <c r="E167" s="28"/>
      <c r="F167" s="101"/>
      <c r="G167" s="101"/>
      <c r="H167" s="101"/>
      <c r="I167" s="28"/>
      <c r="J167" s="28"/>
      <c r="K167" s="28"/>
      <c r="L167" s="28"/>
      <c r="M167" s="28"/>
      <c r="N167" s="28"/>
      <c r="O167" s="28"/>
      <c r="P167" s="3"/>
    </row>
    <row r="168" spans="1:16" ht="15.75" customHeight="1" x14ac:dyDescent="0.3">
      <c r="A168" s="3"/>
      <c r="B168" s="3"/>
      <c r="C168" s="137"/>
      <c r="D168" s="28"/>
      <c r="E168" s="28"/>
      <c r="F168" s="101"/>
      <c r="G168" s="101"/>
      <c r="H168" s="101"/>
      <c r="I168" s="28"/>
      <c r="J168" s="28"/>
      <c r="K168" s="28"/>
      <c r="L168" s="28"/>
      <c r="M168" s="28"/>
      <c r="N168" s="28"/>
      <c r="O168" s="28"/>
      <c r="P168" s="3"/>
    </row>
    <row r="169" spans="1:16" ht="15.75" customHeight="1" x14ac:dyDescent="0.3">
      <c r="A169" s="3"/>
      <c r="B169" s="3"/>
      <c r="C169" s="137"/>
      <c r="D169" s="28"/>
      <c r="E169" s="28"/>
      <c r="F169" s="101"/>
      <c r="G169" s="101"/>
      <c r="H169" s="101"/>
      <c r="I169" s="28"/>
      <c r="J169" s="28"/>
      <c r="K169" s="28"/>
      <c r="L169" s="28"/>
      <c r="M169" s="28"/>
      <c r="N169" s="28"/>
      <c r="O169" s="28"/>
      <c r="P169" s="3"/>
    </row>
    <row r="170" spans="1:16" ht="15.75" customHeight="1" x14ac:dyDescent="0.3">
      <c r="A170" s="3"/>
      <c r="B170" s="3"/>
      <c r="C170" s="137"/>
      <c r="D170" s="28"/>
      <c r="E170" s="28"/>
      <c r="F170" s="101"/>
      <c r="G170" s="101"/>
      <c r="H170" s="101"/>
      <c r="I170" s="28"/>
      <c r="J170" s="28"/>
      <c r="K170" s="28"/>
      <c r="L170" s="28"/>
      <c r="M170" s="28"/>
      <c r="N170" s="28"/>
      <c r="O170" s="28"/>
      <c r="P170" s="3"/>
    </row>
    <row r="171" spans="1:16" ht="15.75" customHeight="1" x14ac:dyDescent="0.3">
      <c r="A171" s="3"/>
      <c r="B171" s="3"/>
      <c r="C171" s="137"/>
      <c r="D171" s="28"/>
      <c r="E171" s="28"/>
      <c r="F171" s="101"/>
      <c r="G171" s="101"/>
      <c r="H171" s="101"/>
      <c r="I171" s="28"/>
      <c r="J171" s="28"/>
      <c r="K171" s="28"/>
      <c r="L171" s="28"/>
      <c r="M171" s="28"/>
      <c r="N171" s="28"/>
      <c r="O171" s="28"/>
      <c r="P171" s="3"/>
    </row>
    <row r="172" spans="1:16" ht="15.75" customHeight="1" x14ac:dyDescent="0.3">
      <c r="A172" s="3"/>
      <c r="B172" s="3"/>
      <c r="C172" s="137"/>
      <c r="D172" s="28"/>
      <c r="E172" s="28"/>
      <c r="F172" s="101"/>
      <c r="G172" s="101"/>
      <c r="H172" s="101"/>
      <c r="I172" s="28"/>
      <c r="J172" s="28"/>
      <c r="K172" s="28"/>
      <c r="L172" s="28"/>
      <c r="M172" s="28"/>
      <c r="N172" s="28"/>
      <c r="O172" s="28"/>
      <c r="P172" s="3"/>
    </row>
    <row r="173" spans="1:16" ht="15.75" customHeight="1" x14ac:dyDescent="0.3">
      <c r="A173" s="3"/>
      <c r="B173" s="3"/>
      <c r="C173" s="137"/>
      <c r="D173" s="28"/>
      <c r="E173" s="28"/>
      <c r="F173" s="101"/>
      <c r="G173" s="101"/>
      <c r="H173" s="101"/>
      <c r="I173" s="28"/>
      <c r="J173" s="28"/>
      <c r="K173" s="28"/>
      <c r="L173" s="28"/>
      <c r="M173" s="28"/>
      <c r="N173" s="28"/>
      <c r="O173" s="28"/>
      <c r="P173" s="3"/>
    </row>
    <row r="174" spans="1:16" ht="15.75" customHeight="1" x14ac:dyDescent="0.3">
      <c r="A174" s="3"/>
      <c r="B174" s="3"/>
      <c r="C174" s="137"/>
      <c r="D174" s="28"/>
      <c r="E174" s="28"/>
      <c r="F174" s="101"/>
      <c r="G174" s="101"/>
      <c r="H174" s="101"/>
      <c r="I174" s="28"/>
      <c r="J174" s="28"/>
      <c r="K174" s="28"/>
      <c r="L174" s="28"/>
      <c r="M174" s="28"/>
      <c r="N174" s="28"/>
      <c r="O174" s="28"/>
      <c r="P174" s="3"/>
    </row>
    <row r="175" spans="1:16" ht="15.75" customHeight="1" x14ac:dyDescent="0.3">
      <c r="A175" s="3"/>
      <c r="B175" s="3"/>
      <c r="C175" s="137"/>
      <c r="D175" s="28"/>
      <c r="E175" s="28"/>
      <c r="F175" s="101"/>
      <c r="G175" s="101"/>
      <c r="H175" s="101"/>
      <c r="I175" s="28"/>
      <c r="J175" s="28"/>
      <c r="K175" s="28"/>
      <c r="L175" s="28"/>
      <c r="M175" s="28"/>
      <c r="N175" s="28"/>
      <c r="O175" s="28"/>
      <c r="P175" s="3"/>
    </row>
    <row r="176" spans="1:16" ht="15.75" customHeight="1" x14ac:dyDescent="0.3">
      <c r="A176" s="3"/>
      <c r="B176" s="3"/>
      <c r="C176" s="137"/>
      <c r="D176" s="28"/>
      <c r="E176" s="28"/>
      <c r="F176" s="101"/>
      <c r="G176" s="101"/>
      <c r="H176" s="101"/>
      <c r="I176" s="28"/>
      <c r="J176" s="28"/>
      <c r="K176" s="28"/>
      <c r="L176" s="28"/>
      <c r="M176" s="28"/>
      <c r="N176" s="28"/>
      <c r="O176" s="28"/>
      <c r="P176" s="3"/>
    </row>
    <row r="177" spans="1:16" ht="15.75" customHeight="1" x14ac:dyDescent="0.3">
      <c r="A177" s="3"/>
      <c r="B177" s="3"/>
      <c r="C177" s="137"/>
      <c r="D177" s="28"/>
      <c r="E177" s="28"/>
      <c r="F177" s="101"/>
      <c r="G177" s="101"/>
      <c r="H177" s="101"/>
      <c r="I177" s="28"/>
      <c r="J177" s="28"/>
      <c r="K177" s="28"/>
      <c r="L177" s="28"/>
      <c r="M177" s="28"/>
      <c r="N177" s="28"/>
      <c r="O177" s="28"/>
      <c r="P177" s="3"/>
    </row>
    <row r="178" spans="1:16" ht="15.75" customHeight="1" x14ac:dyDescent="0.3">
      <c r="A178" s="3"/>
      <c r="B178" s="3"/>
      <c r="C178" s="137"/>
      <c r="D178" s="28"/>
      <c r="E178" s="28"/>
      <c r="F178" s="101"/>
      <c r="G178" s="101"/>
      <c r="H178" s="101"/>
      <c r="I178" s="28"/>
      <c r="J178" s="28"/>
      <c r="K178" s="28"/>
      <c r="L178" s="28"/>
      <c r="M178" s="28"/>
      <c r="N178" s="28"/>
      <c r="O178" s="28"/>
      <c r="P178" s="3"/>
    </row>
    <row r="179" spans="1:16" ht="15.75" customHeight="1" x14ac:dyDescent="0.3">
      <c r="A179" s="3"/>
      <c r="B179" s="3"/>
      <c r="C179" s="137"/>
      <c r="D179" s="28"/>
      <c r="E179" s="28"/>
      <c r="F179" s="101"/>
      <c r="G179" s="101"/>
      <c r="H179" s="101"/>
      <c r="I179" s="28"/>
      <c r="J179" s="28"/>
      <c r="K179" s="28"/>
      <c r="L179" s="28"/>
      <c r="M179" s="28"/>
      <c r="N179" s="28"/>
      <c r="O179" s="28"/>
      <c r="P179" s="3"/>
    </row>
    <row r="180" spans="1:16" ht="15.75" customHeight="1" x14ac:dyDescent="0.3">
      <c r="A180" s="3"/>
      <c r="B180" s="3"/>
      <c r="C180" s="137"/>
      <c r="D180" s="28"/>
      <c r="E180" s="28"/>
      <c r="F180" s="101"/>
      <c r="G180" s="101"/>
      <c r="H180" s="101"/>
      <c r="I180" s="28"/>
      <c r="J180" s="28"/>
      <c r="K180" s="28"/>
      <c r="L180" s="28"/>
      <c r="M180" s="28"/>
      <c r="N180" s="28"/>
      <c r="O180" s="28"/>
      <c r="P180" s="3"/>
    </row>
    <row r="181" spans="1:16" ht="15.75" customHeight="1" x14ac:dyDescent="0.3">
      <c r="A181" s="3"/>
      <c r="B181" s="3"/>
      <c r="C181" s="137"/>
      <c r="D181" s="28"/>
      <c r="E181" s="28"/>
      <c r="F181" s="101"/>
      <c r="G181" s="101"/>
      <c r="H181" s="101"/>
      <c r="I181" s="28"/>
      <c r="J181" s="28"/>
      <c r="K181" s="28"/>
      <c r="L181" s="28"/>
      <c r="M181" s="28"/>
      <c r="N181" s="28"/>
      <c r="O181" s="28"/>
      <c r="P181" s="3"/>
    </row>
    <row r="182" spans="1:16" ht="15.75" customHeight="1" x14ac:dyDescent="0.3">
      <c r="A182" s="3"/>
      <c r="B182" s="3"/>
      <c r="C182" s="137"/>
      <c r="D182" s="28"/>
      <c r="E182" s="28"/>
      <c r="F182" s="101"/>
      <c r="G182" s="101"/>
      <c r="H182" s="101"/>
      <c r="I182" s="28"/>
      <c r="J182" s="28"/>
      <c r="K182" s="28"/>
      <c r="L182" s="28"/>
      <c r="M182" s="28"/>
      <c r="N182" s="28"/>
      <c r="O182" s="28"/>
      <c r="P182" s="3"/>
    </row>
    <row r="183" spans="1:16" ht="15.75" customHeight="1" x14ac:dyDescent="0.3">
      <c r="A183" s="3"/>
      <c r="B183" s="3"/>
      <c r="C183" s="137"/>
      <c r="D183" s="28"/>
      <c r="E183" s="28"/>
      <c r="F183" s="101"/>
      <c r="G183" s="101"/>
      <c r="H183" s="101"/>
      <c r="I183" s="28"/>
      <c r="J183" s="28"/>
      <c r="K183" s="28"/>
      <c r="L183" s="28"/>
      <c r="M183" s="28"/>
      <c r="N183" s="28"/>
      <c r="O183" s="28"/>
      <c r="P183" s="3"/>
    </row>
    <row r="184" spans="1:16" ht="15.75" customHeight="1" x14ac:dyDescent="0.3">
      <c r="A184" s="3"/>
      <c r="B184" s="3"/>
      <c r="C184" s="137"/>
      <c r="D184" s="28"/>
      <c r="E184" s="28"/>
      <c r="F184" s="101"/>
      <c r="G184" s="101"/>
      <c r="H184" s="101"/>
      <c r="I184" s="28"/>
      <c r="J184" s="28"/>
      <c r="K184" s="28"/>
      <c r="L184" s="28"/>
      <c r="M184" s="28"/>
      <c r="N184" s="28"/>
      <c r="O184" s="28"/>
      <c r="P184" s="3"/>
    </row>
    <row r="185" spans="1:16" ht="15.75" customHeight="1" x14ac:dyDescent="0.3">
      <c r="A185" s="3"/>
      <c r="B185" s="3"/>
      <c r="C185" s="137"/>
      <c r="D185" s="28"/>
      <c r="E185" s="28"/>
      <c r="F185" s="101"/>
      <c r="G185" s="101"/>
      <c r="H185" s="101"/>
      <c r="I185" s="28"/>
      <c r="J185" s="28"/>
      <c r="K185" s="28"/>
      <c r="L185" s="28"/>
      <c r="M185" s="28"/>
      <c r="N185" s="28"/>
      <c r="O185" s="28"/>
      <c r="P185" s="3"/>
    </row>
    <row r="186" spans="1:16" ht="15.75" customHeight="1" x14ac:dyDescent="0.3">
      <c r="A186" s="3"/>
      <c r="B186" s="3"/>
      <c r="C186" s="137"/>
      <c r="D186" s="28"/>
      <c r="E186" s="28"/>
      <c r="F186" s="101"/>
      <c r="G186" s="101"/>
      <c r="H186" s="101"/>
      <c r="I186" s="28"/>
      <c r="J186" s="28"/>
      <c r="K186" s="28"/>
      <c r="L186" s="28"/>
      <c r="M186" s="28"/>
      <c r="N186" s="28"/>
      <c r="O186" s="28"/>
      <c r="P186" s="3"/>
    </row>
    <row r="187" spans="1:16" ht="15.75" customHeight="1" x14ac:dyDescent="0.3">
      <c r="A187" s="3"/>
      <c r="B187" s="3"/>
      <c r="C187" s="137"/>
      <c r="D187" s="28"/>
      <c r="E187" s="28"/>
      <c r="F187" s="101"/>
      <c r="G187" s="101"/>
      <c r="H187" s="101"/>
      <c r="I187" s="28"/>
      <c r="J187" s="28"/>
      <c r="K187" s="28"/>
      <c r="L187" s="28"/>
      <c r="M187" s="28"/>
      <c r="N187" s="28"/>
      <c r="O187" s="28"/>
      <c r="P187" s="3"/>
    </row>
    <row r="188" spans="1:16" ht="15.75" customHeight="1" x14ac:dyDescent="0.3">
      <c r="A188" s="3"/>
      <c r="B188" s="3"/>
      <c r="C188" s="137"/>
      <c r="D188" s="28"/>
      <c r="E188" s="28"/>
      <c r="F188" s="101"/>
      <c r="G188" s="101"/>
      <c r="H188" s="101"/>
      <c r="I188" s="28"/>
      <c r="J188" s="28"/>
      <c r="K188" s="28"/>
      <c r="L188" s="28"/>
      <c r="M188" s="28"/>
      <c r="N188" s="28"/>
      <c r="O188" s="28"/>
      <c r="P188" s="3"/>
    </row>
    <row r="189" spans="1:16" ht="15.75" customHeight="1" x14ac:dyDescent="0.3">
      <c r="A189" s="3"/>
      <c r="B189" s="3"/>
      <c r="C189" s="137"/>
      <c r="D189" s="28"/>
      <c r="E189" s="28"/>
      <c r="F189" s="101"/>
      <c r="G189" s="101"/>
      <c r="H189" s="101"/>
      <c r="I189" s="28"/>
      <c r="J189" s="28"/>
      <c r="K189" s="28"/>
      <c r="L189" s="28"/>
      <c r="M189" s="28"/>
      <c r="N189" s="28"/>
      <c r="O189" s="28"/>
      <c r="P189" s="3"/>
    </row>
    <row r="190" spans="1:16" ht="15.75" customHeight="1" x14ac:dyDescent="0.3">
      <c r="A190" s="3"/>
      <c r="B190" s="3"/>
      <c r="C190" s="137"/>
      <c r="D190" s="28"/>
      <c r="E190" s="28"/>
      <c r="F190" s="101"/>
      <c r="G190" s="101"/>
      <c r="H190" s="101"/>
      <c r="I190" s="28"/>
      <c r="J190" s="28"/>
      <c r="K190" s="28"/>
      <c r="L190" s="28"/>
      <c r="M190" s="28"/>
      <c r="N190" s="28"/>
      <c r="O190" s="28"/>
      <c r="P190" s="3"/>
    </row>
    <row r="191" spans="1:16" ht="15.75" customHeight="1" x14ac:dyDescent="0.3">
      <c r="A191" s="3"/>
      <c r="B191" s="3"/>
      <c r="C191" s="137"/>
      <c r="D191" s="28"/>
      <c r="E191" s="28"/>
      <c r="F191" s="101"/>
      <c r="G191" s="101"/>
      <c r="H191" s="101"/>
      <c r="I191" s="28"/>
      <c r="J191" s="28"/>
      <c r="K191" s="28"/>
      <c r="L191" s="28"/>
      <c r="M191" s="28"/>
      <c r="N191" s="28"/>
      <c r="O191" s="28"/>
      <c r="P191" s="3"/>
    </row>
    <row r="192" spans="1:16" ht="15.75" customHeight="1" x14ac:dyDescent="0.3">
      <c r="A192" s="3"/>
      <c r="B192" s="3"/>
      <c r="C192" s="137"/>
      <c r="D192" s="28"/>
      <c r="E192" s="28"/>
      <c r="F192" s="101"/>
      <c r="G192" s="101"/>
      <c r="H192" s="101"/>
      <c r="I192" s="28"/>
      <c r="J192" s="28"/>
      <c r="K192" s="28"/>
      <c r="L192" s="28"/>
      <c r="M192" s="28"/>
      <c r="N192" s="28"/>
      <c r="O192" s="28"/>
      <c r="P192" s="3"/>
    </row>
    <row r="193" spans="1:16" ht="15.75" customHeight="1" x14ac:dyDescent="0.3">
      <c r="A193" s="3"/>
      <c r="B193" s="3"/>
      <c r="C193" s="137"/>
      <c r="D193" s="28"/>
      <c r="E193" s="28"/>
      <c r="F193" s="101"/>
      <c r="G193" s="101"/>
      <c r="H193" s="101"/>
      <c r="I193" s="28"/>
      <c r="J193" s="28"/>
      <c r="K193" s="28"/>
      <c r="L193" s="28"/>
      <c r="M193" s="28"/>
      <c r="N193" s="28"/>
      <c r="O193" s="28"/>
      <c r="P193" s="3"/>
    </row>
    <row r="194" spans="1:16" ht="15.75" customHeight="1" x14ac:dyDescent="0.3">
      <c r="A194" s="3"/>
      <c r="B194" s="3"/>
      <c r="C194" s="137"/>
      <c r="D194" s="28"/>
      <c r="E194" s="28"/>
      <c r="F194" s="101"/>
      <c r="G194" s="101"/>
      <c r="H194" s="101"/>
      <c r="I194" s="28"/>
      <c r="J194" s="28"/>
      <c r="K194" s="28"/>
      <c r="L194" s="28"/>
      <c r="M194" s="28"/>
      <c r="N194" s="28"/>
      <c r="O194" s="28"/>
      <c r="P194" s="3"/>
    </row>
    <row r="195" spans="1:16" ht="15.75" customHeight="1" x14ac:dyDescent="0.3">
      <c r="A195" s="3"/>
      <c r="B195" s="3"/>
      <c r="C195" s="137"/>
      <c r="D195" s="28"/>
      <c r="E195" s="28"/>
      <c r="F195" s="101"/>
      <c r="G195" s="101"/>
      <c r="H195" s="101"/>
      <c r="I195" s="28"/>
      <c r="J195" s="28"/>
      <c r="K195" s="28"/>
      <c r="L195" s="28"/>
      <c r="M195" s="28"/>
      <c r="N195" s="28"/>
      <c r="O195" s="28"/>
      <c r="P195" s="3"/>
    </row>
    <row r="196" spans="1:16" ht="15.75" customHeight="1" x14ac:dyDescent="0.3">
      <c r="A196" s="3"/>
      <c r="B196" s="3"/>
      <c r="C196" s="137"/>
      <c r="D196" s="28"/>
      <c r="E196" s="28"/>
      <c r="F196" s="101"/>
      <c r="G196" s="101"/>
      <c r="H196" s="101"/>
      <c r="I196" s="28"/>
      <c r="J196" s="28"/>
      <c r="K196" s="28"/>
      <c r="L196" s="28"/>
      <c r="M196" s="28"/>
      <c r="N196" s="28"/>
      <c r="O196" s="28"/>
      <c r="P196" s="3"/>
    </row>
    <row r="197" spans="1:16" ht="15.75" customHeight="1" x14ac:dyDescent="0.3">
      <c r="A197" s="3"/>
      <c r="B197" s="3"/>
      <c r="C197" s="137"/>
      <c r="D197" s="28"/>
      <c r="E197" s="28"/>
      <c r="F197" s="101"/>
      <c r="G197" s="101"/>
      <c r="H197" s="101"/>
      <c r="I197" s="28"/>
      <c r="J197" s="28"/>
      <c r="K197" s="28"/>
      <c r="L197" s="28"/>
      <c r="M197" s="28"/>
      <c r="N197" s="28"/>
      <c r="O197" s="28"/>
      <c r="P197" s="3"/>
    </row>
    <row r="198" spans="1:16" ht="15.75" customHeight="1" x14ac:dyDescent="0.3">
      <c r="A198" s="3"/>
      <c r="B198" s="3"/>
      <c r="C198" s="137"/>
      <c r="D198" s="28"/>
      <c r="E198" s="28"/>
      <c r="F198" s="101"/>
      <c r="G198" s="101"/>
      <c r="H198" s="101"/>
      <c r="I198" s="28"/>
      <c r="J198" s="28"/>
      <c r="K198" s="28"/>
      <c r="L198" s="28"/>
      <c r="M198" s="28"/>
      <c r="N198" s="28"/>
      <c r="O198" s="28"/>
      <c r="P198" s="3"/>
    </row>
    <row r="199" spans="1:16" ht="15.75" customHeight="1" x14ac:dyDescent="0.3">
      <c r="A199" s="3"/>
      <c r="B199" s="3"/>
      <c r="C199" s="137"/>
      <c r="D199" s="28"/>
      <c r="E199" s="28"/>
      <c r="F199" s="101"/>
      <c r="G199" s="101"/>
      <c r="H199" s="101"/>
      <c r="I199" s="28"/>
      <c r="J199" s="28"/>
      <c r="K199" s="28"/>
      <c r="L199" s="28"/>
      <c r="M199" s="28"/>
      <c r="N199" s="28"/>
      <c r="O199" s="28"/>
      <c r="P199" s="3"/>
    </row>
    <row r="200" spans="1:16" ht="15.75" customHeight="1" x14ac:dyDescent="0.3">
      <c r="A200" s="3"/>
      <c r="B200" s="3"/>
      <c r="C200" s="137"/>
      <c r="D200" s="28"/>
      <c r="E200" s="28"/>
      <c r="F200" s="101"/>
      <c r="G200" s="101"/>
      <c r="H200" s="101"/>
      <c r="I200" s="28"/>
      <c r="J200" s="28"/>
      <c r="K200" s="28"/>
      <c r="L200" s="28"/>
      <c r="M200" s="28"/>
      <c r="N200" s="28"/>
      <c r="O200" s="28"/>
      <c r="P200" s="3"/>
    </row>
    <row r="201" spans="1:16" ht="15.75" customHeight="1" x14ac:dyDescent="0.3">
      <c r="A201" s="3"/>
      <c r="B201" s="3"/>
      <c r="C201" s="137"/>
      <c r="D201" s="28"/>
      <c r="E201" s="28"/>
      <c r="F201" s="101"/>
      <c r="G201" s="101"/>
      <c r="H201" s="101"/>
      <c r="I201" s="28"/>
      <c r="J201" s="28"/>
      <c r="K201" s="28"/>
      <c r="L201" s="28"/>
      <c r="M201" s="28"/>
      <c r="N201" s="28"/>
      <c r="O201" s="28"/>
      <c r="P201" s="3"/>
    </row>
    <row r="202" spans="1:16" ht="15.75" customHeight="1" x14ac:dyDescent="0.3">
      <c r="A202" s="3"/>
      <c r="B202" s="3"/>
      <c r="C202" s="137"/>
      <c r="D202" s="28"/>
      <c r="E202" s="28"/>
      <c r="F202" s="101"/>
      <c r="G202" s="101"/>
      <c r="H202" s="101"/>
      <c r="I202" s="28"/>
      <c r="J202" s="28"/>
      <c r="K202" s="28"/>
      <c r="L202" s="28"/>
      <c r="M202" s="28"/>
      <c r="N202" s="28"/>
      <c r="O202" s="28"/>
      <c r="P202" s="3"/>
    </row>
    <row r="203" spans="1:16" ht="15.75" customHeight="1" x14ac:dyDescent="0.3">
      <c r="A203" s="3"/>
      <c r="B203" s="3"/>
      <c r="C203" s="137"/>
      <c r="D203" s="28"/>
      <c r="E203" s="28"/>
      <c r="F203" s="101"/>
      <c r="G203" s="101"/>
      <c r="H203" s="101"/>
      <c r="I203" s="28"/>
      <c r="J203" s="28"/>
      <c r="K203" s="28"/>
      <c r="L203" s="28"/>
      <c r="M203" s="28"/>
      <c r="N203" s="28"/>
      <c r="O203" s="28"/>
      <c r="P203" s="3"/>
    </row>
    <row r="204" spans="1:16" ht="15.75" customHeight="1" x14ac:dyDescent="0.3">
      <c r="A204" s="3"/>
      <c r="B204" s="3"/>
      <c r="C204" s="137"/>
      <c r="D204" s="28"/>
      <c r="E204" s="28"/>
      <c r="F204" s="101"/>
      <c r="G204" s="101"/>
      <c r="H204" s="101"/>
      <c r="I204" s="28"/>
      <c r="J204" s="28"/>
      <c r="K204" s="28"/>
      <c r="L204" s="28"/>
      <c r="M204" s="28"/>
      <c r="N204" s="28"/>
      <c r="O204" s="28"/>
      <c r="P204" s="3"/>
    </row>
    <row r="205" spans="1:16" ht="15.75" customHeight="1" x14ac:dyDescent="0.3">
      <c r="A205" s="3"/>
      <c r="B205" s="3"/>
      <c r="C205" s="137"/>
      <c r="D205" s="28"/>
      <c r="E205" s="28"/>
      <c r="F205" s="101"/>
      <c r="G205" s="101"/>
      <c r="H205" s="101"/>
      <c r="I205" s="28"/>
      <c r="J205" s="28"/>
      <c r="K205" s="28"/>
      <c r="L205" s="28"/>
      <c r="M205" s="28"/>
      <c r="N205" s="28"/>
      <c r="O205" s="28"/>
      <c r="P205" s="3"/>
    </row>
    <row r="206" spans="1:16" ht="15.75" customHeight="1" x14ac:dyDescent="0.3">
      <c r="A206" s="3"/>
      <c r="B206" s="3"/>
      <c r="C206" s="137"/>
      <c r="D206" s="28"/>
      <c r="E206" s="28"/>
      <c r="F206" s="101"/>
      <c r="G206" s="101"/>
      <c r="H206" s="101"/>
      <c r="I206" s="28"/>
      <c r="J206" s="28"/>
      <c r="K206" s="28"/>
      <c r="L206" s="28"/>
      <c r="M206" s="28"/>
      <c r="N206" s="28"/>
      <c r="O206" s="28"/>
      <c r="P206" s="3"/>
    </row>
    <row r="207" spans="1:16" ht="15.75" customHeight="1" x14ac:dyDescent="0.3">
      <c r="A207" s="3"/>
      <c r="B207" s="3"/>
      <c r="C207" s="137"/>
      <c r="D207" s="28"/>
      <c r="E207" s="28"/>
      <c r="F207" s="101"/>
      <c r="G207" s="101"/>
      <c r="H207" s="101"/>
      <c r="I207" s="28"/>
      <c r="J207" s="28"/>
      <c r="K207" s="28"/>
      <c r="L207" s="28"/>
      <c r="M207" s="28"/>
      <c r="N207" s="28"/>
      <c r="O207" s="28"/>
      <c r="P207" s="3"/>
    </row>
    <row r="208" spans="1:16" ht="15.75" customHeight="1" x14ac:dyDescent="0.3">
      <c r="A208" s="3"/>
      <c r="B208" s="3"/>
      <c r="C208" s="137"/>
      <c r="D208" s="28"/>
      <c r="E208" s="28"/>
      <c r="F208" s="101"/>
      <c r="G208" s="101"/>
      <c r="H208" s="101"/>
      <c r="I208" s="28"/>
      <c r="J208" s="28"/>
      <c r="K208" s="28"/>
      <c r="L208" s="28"/>
      <c r="M208" s="28"/>
      <c r="N208" s="28"/>
      <c r="O208" s="28"/>
      <c r="P208" s="3"/>
    </row>
    <row r="209" spans="1:16" ht="15.75" customHeight="1" x14ac:dyDescent="0.3">
      <c r="A209" s="3"/>
      <c r="B209" s="3"/>
      <c r="C209" s="137"/>
      <c r="D209" s="28"/>
      <c r="E209" s="28"/>
      <c r="F209" s="101"/>
      <c r="G209" s="101"/>
      <c r="H209" s="101"/>
      <c r="I209" s="28"/>
      <c r="J209" s="28"/>
      <c r="K209" s="28"/>
      <c r="L209" s="28"/>
      <c r="M209" s="28"/>
      <c r="N209" s="28"/>
      <c r="O209" s="28"/>
      <c r="P209" s="3"/>
    </row>
    <row r="210" spans="1:16" ht="15.75" customHeight="1" x14ac:dyDescent="0.3">
      <c r="A210" s="3"/>
      <c r="B210" s="3"/>
      <c r="C210" s="137"/>
      <c r="D210" s="28"/>
      <c r="E210" s="28"/>
      <c r="F210" s="101"/>
      <c r="G210" s="101"/>
      <c r="H210" s="101"/>
      <c r="I210" s="28"/>
      <c r="J210" s="28"/>
      <c r="K210" s="28"/>
      <c r="L210" s="28"/>
      <c r="M210" s="28"/>
      <c r="N210" s="28"/>
      <c r="O210" s="28"/>
      <c r="P210" s="3"/>
    </row>
    <row r="211" spans="1:16" ht="15.75" customHeight="1" x14ac:dyDescent="0.3">
      <c r="A211" s="3"/>
      <c r="B211" s="3"/>
      <c r="C211" s="137"/>
      <c r="D211" s="28"/>
      <c r="E211" s="28"/>
      <c r="F211" s="101"/>
      <c r="G211" s="101"/>
      <c r="H211" s="101"/>
      <c r="I211" s="28"/>
      <c r="J211" s="28"/>
      <c r="K211" s="28"/>
      <c r="L211" s="28"/>
      <c r="M211" s="28"/>
      <c r="N211" s="28"/>
      <c r="O211" s="28"/>
      <c r="P211" s="3"/>
    </row>
    <row r="212" spans="1:16" ht="15.75" customHeight="1" x14ac:dyDescent="0.3">
      <c r="A212" s="3"/>
      <c r="B212" s="3"/>
      <c r="C212" s="137"/>
      <c r="D212" s="28"/>
      <c r="E212" s="28"/>
      <c r="F212" s="101"/>
      <c r="G212" s="101"/>
      <c r="H212" s="101"/>
      <c r="I212" s="28"/>
      <c r="J212" s="28"/>
      <c r="K212" s="28"/>
      <c r="L212" s="28"/>
      <c r="M212" s="28"/>
      <c r="N212" s="28"/>
      <c r="O212" s="28"/>
      <c r="P212" s="3"/>
    </row>
    <row r="213" spans="1:16" ht="15.75" customHeight="1" x14ac:dyDescent="0.3">
      <c r="A213" s="3"/>
      <c r="B213" s="3"/>
      <c r="C213" s="137"/>
      <c r="D213" s="28"/>
      <c r="E213" s="28"/>
      <c r="F213" s="101"/>
      <c r="G213" s="101"/>
      <c r="H213" s="101"/>
      <c r="I213" s="28"/>
      <c r="J213" s="28"/>
      <c r="K213" s="28"/>
      <c r="L213" s="28"/>
      <c r="M213" s="28"/>
      <c r="N213" s="28"/>
      <c r="O213" s="28"/>
      <c r="P213" s="3"/>
    </row>
    <row r="214" spans="1:16" ht="15.75" customHeight="1" x14ac:dyDescent="0.3">
      <c r="A214" s="3"/>
      <c r="B214" s="3"/>
      <c r="C214" s="137"/>
      <c r="D214" s="28"/>
      <c r="E214" s="28"/>
      <c r="F214" s="101"/>
      <c r="G214" s="101"/>
      <c r="H214" s="101"/>
      <c r="I214" s="28"/>
      <c r="J214" s="28"/>
      <c r="K214" s="28"/>
      <c r="L214" s="28"/>
      <c r="M214" s="28"/>
      <c r="N214" s="28"/>
      <c r="O214" s="28"/>
      <c r="P214" s="3"/>
    </row>
    <row r="215" spans="1:16" ht="15.75" customHeight="1" x14ac:dyDescent="0.3">
      <c r="A215" s="3"/>
      <c r="B215" s="3"/>
      <c r="C215" s="137"/>
      <c r="D215" s="28"/>
      <c r="E215" s="28"/>
      <c r="F215" s="101"/>
      <c r="G215" s="101"/>
      <c r="H215" s="101"/>
      <c r="I215" s="28"/>
      <c r="J215" s="28"/>
      <c r="K215" s="28"/>
      <c r="L215" s="28"/>
      <c r="M215" s="28"/>
      <c r="N215" s="28"/>
      <c r="O215" s="28"/>
      <c r="P215" s="3"/>
    </row>
    <row r="216" spans="1:16" ht="15.75" customHeight="1" x14ac:dyDescent="0.3">
      <c r="A216" s="3"/>
      <c r="B216" s="3"/>
      <c r="C216" s="137"/>
      <c r="D216" s="28"/>
      <c r="E216" s="28"/>
      <c r="F216" s="101"/>
      <c r="G216" s="101"/>
      <c r="H216" s="101"/>
      <c r="I216" s="28"/>
      <c r="J216" s="28"/>
      <c r="K216" s="28"/>
      <c r="L216" s="28"/>
      <c r="M216" s="28"/>
      <c r="N216" s="28"/>
      <c r="O216" s="28"/>
      <c r="P216" s="3"/>
    </row>
    <row r="217" spans="1:16" ht="15.75" customHeight="1" x14ac:dyDescent="0.3">
      <c r="A217" s="3"/>
      <c r="B217" s="3"/>
      <c r="C217" s="137"/>
      <c r="D217" s="28"/>
      <c r="E217" s="28"/>
      <c r="F217" s="101"/>
      <c r="G217" s="101"/>
      <c r="H217" s="101"/>
      <c r="I217" s="28"/>
      <c r="J217" s="28"/>
      <c r="K217" s="28"/>
      <c r="L217" s="28"/>
      <c r="M217" s="28"/>
      <c r="N217" s="28"/>
      <c r="O217" s="28"/>
      <c r="P217" s="3"/>
    </row>
    <row r="218" spans="1:16" ht="15.75" customHeight="1" x14ac:dyDescent="0.3">
      <c r="A218" s="3"/>
      <c r="B218" s="3"/>
      <c r="C218" s="137"/>
      <c r="D218" s="28"/>
      <c r="E218" s="28"/>
      <c r="F218" s="101"/>
      <c r="G218" s="101"/>
      <c r="H218" s="101"/>
      <c r="I218" s="28"/>
      <c r="J218" s="28"/>
      <c r="K218" s="28"/>
      <c r="L218" s="28"/>
      <c r="M218" s="28"/>
      <c r="N218" s="28"/>
      <c r="O218" s="28"/>
      <c r="P218" s="3"/>
    </row>
    <row r="219" spans="1:16" ht="15.75" customHeight="1" x14ac:dyDescent="0.3">
      <c r="A219" s="3"/>
      <c r="B219" s="3"/>
      <c r="C219" s="137"/>
      <c r="D219" s="28"/>
      <c r="E219" s="28"/>
      <c r="F219" s="101"/>
      <c r="G219" s="101"/>
      <c r="H219" s="101"/>
      <c r="I219" s="28"/>
      <c r="J219" s="28"/>
      <c r="K219" s="28"/>
      <c r="L219" s="28"/>
      <c r="M219" s="28"/>
      <c r="N219" s="28"/>
      <c r="O219" s="28"/>
      <c r="P219" s="3"/>
    </row>
    <row r="220" spans="1:16" ht="15.75" customHeight="1" x14ac:dyDescent="0.3">
      <c r="A220" s="3"/>
      <c r="B220" s="3"/>
      <c r="C220" s="137"/>
      <c r="D220" s="28"/>
      <c r="E220" s="28"/>
      <c r="F220" s="101"/>
      <c r="G220" s="101"/>
      <c r="H220" s="101"/>
      <c r="I220" s="28"/>
      <c r="J220" s="28"/>
      <c r="K220" s="28"/>
      <c r="L220" s="28"/>
      <c r="M220" s="28"/>
      <c r="N220" s="28"/>
      <c r="O220" s="28"/>
      <c r="P220" s="3"/>
    </row>
    <row r="221" spans="1:16" ht="15.75" customHeight="1" x14ac:dyDescent="0.3">
      <c r="A221" s="3"/>
      <c r="B221" s="3"/>
      <c r="C221" s="137"/>
      <c r="D221" s="28"/>
      <c r="E221" s="28"/>
      <c r="F221" s="101"/>
      <c r="G221" s="101"/>
      <c r="H221" s="101"/>
      <c r="I221" s="28"/>
      <c r="J221" s="28"/>
      <c r="K221" s="28"/>
      <c r="L221" s="28"/>
      <c r="M221" s="28"/>
      <c r="N221" s="28"/>
      <c r="O221" s="28"/>
      <c r="P221" s="3"/>
    </row>
    <row r="222" spans="1:16" ht="15.75" customHeight="1" x14ac:dyDescent="0.3">
      <c r="A222" s="3"/>
      <c r="B222" s="3"/>
      <c r="C222" s="137"/>
      <c r="D222" s="28"/>
      <c r="E222" s="28"/>
      <c r="F222" s="101"/>
      <c r="G222" s="101"/>
      <c r="H222" s="101"/>
      <c r="I222" s="28"/>
      <c r="J222" s="28"/>
      <c r="K222" s="28"/>
      <c r="L222" s="28"/>
      <c r="M222" s="28"/>
      <c r="N222" s="28"/>
      <c r="O222" s="28"/>
      <c r="P222" s="3"/>
    </row>
    <row r="223" spans="1:16" ht="15.75" customHeight="1" x14ac:dyDescent="0.3">
      <c r="A223" s="3"/>
      <c r="B223" s="3"/>
      <c r="C223" s="137"/>
      <c r="D223" s="28"/>
      <c r="E223" s="28"/>
      <c r="F223" s="101"/>
      <c r="G223" s="101"/>
      <c r="H223" s="101"/>
      <c r="I223" s="28"/>
      <c r="J223" s="28"/>
      <c r="K223" s="28"/>
      <c r="L223" s="28"/>
      <c r="M223" s="28"/>
      <c r="N223" s="28"/>
      <c r="O223" s="28"/>
      <c r="P223" s="3"/>
    </row>
    <row r="224" spans="1:16" ht="15.75" customHeight="1" x14ac:dyDescent="0.3">
      <c r="A224" s="3"/>
      <c r="B224" s="3"/>
      <c r="C224" s="137"/>
      <c r="D224" s="28"/>
      <c r="E224" s="28"/>
      <c r="F224" s="101"/>
      <c r="G224" s="101"/>
      <c r="H224" s="101"/>
      <c r="I224" s="28"/>
      <c r="J224" s="28"/>
      <c r="K224" s="28"/>
      <c r="L224" s="28"/>
      <c r="M224" s="28"/>
      <c r="N224" s="28"/>
      <c r="O224" s="28"/>
      <c r="P224" s="3"/>
    </row>
    <row r="225" spans="1:16" ht="15.75" customHeight="1" x14ac:dyDescent="0.3">
      <c r="A225" s="3"/>
      <c r="B225" s="3"/>
      <c r="C225" s="137"/>
      <c r="D225" s="28"/>
      <c r="E225" s="28"/>
      <c r="F225" s="101"/>
      <c r="G225" s="101"/>
      <c r="H225" s="101"/>
      <c r="I225" s="28"/>
      <c r="J225" s="28"/>
      <c r="K225" s="28"/>
      <c r="L225" s="28"/>
      <c r="M225" s="28"/>
      <c r="N225" s="28"/>
      <c r="O225" s="28"/>
      <c r="P225" s="3"/>
    </row>
    <row r="226" spans="1:16" ht="15.75" customHeight="1" x14ac:dyDescent="0.3">
      <c r="A226" s="3"/>
      <c r="B226" s="3"/>
      <c r="C226" s="137"/>
      <c r="D226" s="28"/>
      <c r="E226" s="28"/>
      <c r="F226" s="101"/>
      <c r="G226" s="101"/>
      <c r="H226" s="101"/>
      <c r="I226" s="28"/>
      <c r="J226" s="28"/>
      <c r="K226" s="28"/>
      <c r="L226" s="28"/>
      <c r="M226" s="28"/>
      <c r="N226" s="28"/>
      <c r="O226" s="28"/>
      <c r="P226" s="3"/>
    </row>
    <row r="227" spans="1:16" ht="15.75" customHeight="1" x14ac:dyDescent="0.3">
      <c r="A227" s="3"/>
      <c r="B227" s="3"/>
      <c r="C227" s="137"/>
      <c r="D227" s="28"/>
      <c r="E227" s="28"/>
      <c r="F227" s="101"/>
      <c r="G227" s="101"/>
      <c r="H227" s="101"/>
      <c r="I227" s="28"/>
      <c r="J227" s="28"/>
      <c r="K227" s="28"/>
      <c r="L227" s="28"/>
      <c r="M227" s="28"/>
      <c r="N227" s="28"/>
      <c r="O227" s="28"/>
      <c r="P227" s="3"/>
    </row>
    <row r="228" spans="1:16" ht="15.75" customHeight="1" x14ac:dyDescent="0.3">
      <c r="A228" s="3"/>
      <c r="B228" s="3"/>
      <c r="C228" s="137"/>
      <c r="D228" s="28"/>
      <c r="E228" s="28"/>
      <c r="F228" s="101"/>
      <c r="G228" s="101"/>
      <c r="H228" s="101"/>
      <c r="I228" s="28"/>
      <c r="J228" s="28"/>
      <c r="K228" s="28"/>
      <c r="L228" s="28"/>
      <c r="M228" s="28"/>
      <c r="N228" s="28"/>
      <c r="O228" s="28"/>
      <c r="P228" s="3"/>
    </row>
    <row r="229" spans="1:16" ht="15.75" customHeight="1" x14ac:dyDescent="0.3">
      <c r="A229" s="3"/>
      <c r="B229" s="3"/>
      <c r="C229" s="137"/>
      <c r="D229" s="28"/>
      <c r="E229" s="28"/>
      <c r="F229" s="101"/>
      <c r="G229" s="101"/>
      <c r="H229" s="101"/>
      <c r="I229" s="28"/>
      <c r="J229" s="28"/>
      <c r="K229" s="28"/>
      <c r="L229" s="28"/>
      <c r="M229" s="28"/>
      <c r="N229" s="28"/>
      <c r="O229" s="28"/>
      <c r="P229" s="3"/>
    </row>
    <row r="230" spans="1:16" ht="15.75" customHeight="1" x14ac:dyDescent="0.3">
      <c r="A230" s="3"/>
      <c r="B230" s="3"/>
      <c r="C230" s="137"/>
      <c r="D230" s="28"/>
      <c r="E230" s="28"/>
      <c r="F230" s="101"/>
      <c r="G230" s="101"/>
      <c r="H230" s="101"/>
      <c r="I230" s="28"/>
      <c r="J230" s="28"/>
      <c r="K230" s="28"/>
      <c r="L230" s="28"/>
      <c r="M230" s="28"/>
      <c r="N230" s="28"/>
      <c r="O230" s="28"/>
      <c r="P230" s="3"/>
    </row>
    <row r="231" spans="1:16" ht="15.75" customHeight="1" x14ac:dyDescent="0.3">
      <c r="A231" s="3"/>
      <c r="B231" s="3"/>
      <c r="C231" s="137"/>
      <c r="D231" s="28"/>
      <c r="E231" s="28"/>
      <c r="F231" s="101"/>
      <c r="G231" s="101"/>
      <c r="H231" s="101"/>
      <c r="I231" s="28"/>
      <c r="J231" s="28"/>
      <c r="K231" s="28"/>
      <c r="L231" s="28"/>
      <c r="M231" s="28"/>
      <c r="N231" s="28"/>
      <c r="O231" s="28"/>
      <c r="P231" s="3"/>
    </row>
    <row r="232" spans="1:16" ht="15.75" customHeight="1" x14ac:dyDescent="0.3">
      <c r="A232" s="3"/>
      <c r="B232" s="3"/>
      <c r="C232" s="137"/>
      <c r="D232" s="28"/>
      <c r="E232" s="28"/>
      <c r="F232" s="101"/>
      <c r="G232" s="101"/>
      <c r="H232" s="101"/>
      <c r="I232" s="28"/>
      <c r="J232" s="28"/>
      <c r="K232" s="28"/>
      <c r="L232" s="28"/>
      <c r="M232" s="28"/>
      <c r="N232" s="28"/>
      <c r="O232" s="28"/>
      <c r="P232" s="3"/>
    </row>
    <row r="233" spans="1:16" ht="15.75" customHeight="1" x14ac:dyDescent="0.3">
      <c r="A233" s="3"/>
      <c r="B233" s="3"/>
      <c r="C233" s="137"/>
      <c r="D233" s="28"/>
      <c r="E233" s="28"/>
      <c r="F233" s="101"/>
      <c r="G233" s="101"/>
      <c r="H233" s="101"/>
      <c r="I233" s="28"/>
      <c r="J233" s="28"/>
      <c r="K233" s="28"/>
      <c r="L233" s="28"/>
      <c r="M233" s="28"/>
      <c r="N233" s="28"/>
      <c r="O233" s="28"/>
      <c r="P233" s="3"/>
    </row>
    <row r="234" spans="1:16" ht="15.75" customHeight="1" x14ac:dyDescent="0.3">
      <c r="A234" s="3"/>
      <c r="B234" s="3"/>
      <c r="C234" s="137"/>
      <c r="D234" s="28"/>
      <c r="E234" s="28"/>
      <c r="F234" s="101"/>
      <c r="G234" s="101"/>
      <c r="H234" s="101"/>
      <c r="I234" s="28"/>
      <c r="J234" s="28"/>
      <c r="K234" s="28"/>
      <c r="L234" s="28"/>
      <c r="M234" s="28"/>
      <c r="N234" s="28"/>
      <c r="O234" s="28"/>
      <c r="P234" s="3"/>
    </row>
    <row r="235" spans="1:16" ht="15.75" customHeight="1" x14ac:dyDescent="0.3">
      <c r="A235" s="3"/>
      <c r="B235" s="3"/>
      <c r="C235" s="137"/>
      <c r="D235" s="28"/>
      <c r="E235" s="28"/>
      <c r="F235" s="101"/>
      <c r="G235" s="101"/>
      <c r="H235" s="101"/>
      <c r="I235" s="28"/>
      <c r="J235" s="28"/>
      <c r="K235" s="28"/>
      <c r="L235" s="28"/>
      <c r="M235" s="28"/>
      <c r="N235" s="28"/>
      <c r="O235" s="28"/>
      <c r="P235" s="3"/>
    </row>
    <row r="236" spans="1:16" ht="15.75" customHeight="1" x14ac:dyDescent="0.3">
      <c r="A236" s="3"/>
      <c r="B236" s="3"/>
      <c r="C236" s="137"/>
      <c r="D236" s="28"/>
      <c r="E236" s="28"/>
      <c r="F236" s="101"/>
      <c r="G236" s="101"/>
      <c r="H236" s="101"/>
      <c r="I236" s="28"/>
      <c r="J236" s="28"/>
      <c r="K236" s="28"/>
      <c r="L236" s="28"/>
      <c r="M236" s="28"/>
      <c r="N236" s="28"/>
      <c r="O236" s="28"/>
      <c r="P236" s="3"/>
    </row>
    <row r="237" spans="1:16" ht="15.75" customHeight="1" x14ac:dyDescent="0.3">
      <c r="A237" s="3"/>
      <c r="B237" s="3"/>
      <c r="C237" s="137"/>
      <c r="D237" s="28"/>
      <c r="E237" s="28"/>
      <c r="F237" s="101"/>
      <c r="G237" s="101"/>
      <c r="H237" s="101"/>
      <c r="I237" s="28"/>
      <c r="J237" s="28"/>
      <c r="K237" s="28"/>
      <c r="L237" s="28"/>
      <c r="M237" s="28"/>
      <c r="N237" s="28"/>
      <c r="O237" s="28"/>
      <c r="P237" s="3"/>
    </row>
    <row r="238" spans="1:16" ht="15.75" customHeight="1" x14ac:dyDescent="0.3">
      <c r="A238" s="3"/>
      <c r="B238" s="3"/>
      <c r="C238" s="137"/>
      <c r="D238" s="28"/>
      <c r="E238" s="28"/>
      <c r="F238" s="101"/>
      <c r="G238" s="101"/>
      <c r="H238" s="101"/>
      <c r="I238" s="28"/>
      <c r="J238" s="28"/>
      <c r="K238" s="28"/>
      <c r="L238" s="28"/>
      <c r="M238" s="28"/>
      <c r="N238" s="28"/>
      <c r="O238" s="28"/>
      <c r="P238" s="3"/>
    </row>
    <row r="239" spans="1:16" ht="15.75" customHeight="1" x14ac:dyDescent="0.3">
      <c r="A239" s="3"/>
      <c r="B239" s="3"/>
      <c r="C239" s="137"/>
      <c r="D239" s="28"/>
      <c r="E239" s="28"/>
      <c r="F239" s="101"/>
      <c r="G239" s="101"/>
      <c r="H239" s="101"/>
      <c r="I239" s="28"/>
      <c r="J239" s="28"/>
      <c r="K239" s="28"/>
      <c r="L239" s="28"/>
      <c r="M239" s="28"/>
      <c r="N239" s="28"/>
      <c r="O239" s="28"/>
      <c r="P239" s="3"/>
    </row>
    <row r="240" spans="1:16" ht="15.75" customHeight="1" x14ac:dyDescent="0.3">
      <c r="A240" s="3"/>
      <c r="B240" s="3"/>
      <c r="C240" s="137"/>
      <c r="D240" s="28"/>
      <c r="E240" s="28"/>
      <c r="F240" s="101"/>
      <c r="G240" s="101"/>
      <c r="H240" s="101"/>
      <c r="I240" s="28"/>
      <c r="J240" s="28"/>
      <c r="K240" s="28"/>
      <c r="L240" s="28"/>
      <c r="M240" s="28"/>
      <c r="N240" s="28"/>
      <c r="O240" s="28"/>
      <c r="P240" s="3"/>
    </row>
    <row r="241" spans="1:16" ht="15.75" customHeight="1" x14ac:dyDescent="0.3">
      <c r="A241" s="3"/>
      <c r="B241" s="3"/>
      <c r="C241" s="137"/>
      <c r="D241" s="28"/>
      <c r="E241" s="28"/>
      <c r="F241" s="101"/>
      <c r="G241" s="101"/>
      <c r="H241" s="101"/>
      <c r="I241" s="28"/>
      <c r="J241" s="28"/>
      <c r="K241" s="28"/>
      <c r="L241" s="28"/>
      <c r="M241" s="28"/>
      <c r="N241" s="28"/>
      <c r="O241" s="28"/>
      <c r="P241" s="3"/>
    </row>
    <row r="242" spans="1:16" ht="15.75" customHeight="1" x14ac:dyDescent="0.3">
      <c r="A242" s="3"/>
      <c r="B242" s="3"/>
      <c r="C242" s="137"/>
      <c r="D242" s="28"/>
      <c r="E242" s="28"/>
      <c r="F242" s="101"/>
      <c r="G242" s="101"/>
      <c r="H242" s="101"/>
      <c r="I242" s="28"/>
      <c r="J242" s="28"/>
      <c r="K242" s="28"/>
      <c r="L242" s="28"/>
      <c r="M242" s="28"/>
      <c r="N242" s="28"/>
      <c r="O242" s="28"/>
      <c r="P242" s="3"/>
    </row>
    <row r="243" spans="1:16" ht="15.75" customHeight="1" x14ac:dyDescent="0.3">
      <c r="A243" s="3"/>
      <c r="B243" s="3"/>
      <c r="C243" s="137"/>
      <c r="D243" s="28"/>
      <c r="E243" s="28"/>
      <c r="F243" s="101"/>
      <c r="G243" s="101"/>
      <c r="H243" s="101"/>
      <c r="I243" s="28"/>
      <c r="J243" s="28"/>
      <c r="K243" s="28"/>
      <c r="L243" s="28"/>
      <c r="M243" s="28"/>
      <c r="N243" s="28"/>
      <c r="O243" s="28"/>
      <c r="P243" s="3"/>
    </row>
    <row r="244" spans="1:16" ht="15.75" customHeight="1" x14ac:dyDescent="0.3">
      <c r="A244" s="3"/>
      <c r="B244" s="3"/>
      <c r="C244" s="137"/>
      <c r="D244" s="28"/>
      <c r="E244" s="28"/>
      <c r="F244" s="101"/>
      <c r="G244" s="101"/>
      <c r="H244" s="101"/>
      <c r="I244" s="28"/>
      <c r="J244" s="28"/>
      <c r="K244" s="28"/>
      <c r="L244" s="28"/>
      <c r="M244" s="28"/>
      <c r="N244" s="28"/>
      <c r="O244" s="28"/>
      <c r="P244" s="3"/>
    </row>
    <row r="245" spans="1:16" ht="15.75" customHeight="1" x14ac:dyDescent="0.3">
      <c r="A245" s="3"/>
      <c r="B245" s="3"/>
      <c r="C245" s="137"/>
      <c r="D245" s="28"/>
      <c r="E245" s="28"/>
      <c r="F245" s="101"/>
      <c r="G245" s="101"/>
      <c r="H245" s="101"/>
      <c r="I245" s="28"/>
      <c r="J245" s="28"/>
      <c r="K245" s="28"/>
      <c r="L245" s="28"/>
      <c r="M245" s="28"/>
      <c r="N245" s="28"/>
      <c r="O245" s="28"/>
      <c r="P245" s="3"/>
    </row>
    <row r="246" spans="1:16" ht="15.75" customHeight="1" x14ac:dyDescent="0.3">
      <c r="A246" s="3"/>
      <c r="B246" s="3"/>
      <c r="C246" s="137"/>
      <c r="D246" s="28"/>
      <c r="E246" s="28"/>
      <c r="F246" s="101"/>
      <c r="G246" s="101"/>
      <c r="H246" s="101"/>
      <c r="I246" s="28"/>
      <c r="J246" s="28"/>
      <c r="K246" s="28"/>
      <c r="L246" s="28"/>
      <c r="M246" s="28"/>
      <c r="N246" s="28"/>
      <c r="O246" s="28"/>
      <c r="P246" s="3"/>
    </row>
    <row r="247" spans="1:16" ht="15.75" customHeight="1" x14ac:dyDescent="0.3">
      <c r="A247" s="3"/>
      <c r="B247" s="3"/>
      <c r="C247" s="137"/>
      <c r="D247" s="28"/>
      <c r="E247" s="28"/>
      <c r="F247" s="101"/>
      <c r="G247" s="101"/>
      <c r="H247" s="101"/>
      <c r="I247" s="28"/>
      <c r="J247" s="28"/>
      <c r="K247" s="28"/>
      <c r="L247" s="28"/>
      <c r="M247" s="28"/>
      <c r="N247" s="28"/>
      <c r="O247" s="28"/>
      <c r="P247" s="3"/>
    </row>
    <row r="248" spans="1:16" ht="15.75" customHeight="1" x14ac:dyDescent="0.3">
      <c r="A248" s="3"/>
      <c r="B248" s="3"/>
      <c r="C248" s="137"/>
      <c r="D248" s="28"/>
      <c r="E248" s="28"/>
      <c r="F248" s="101"/>
      <c r="G248" s="101"/>
      <c r="H248" s="101"/>
      <c r="I248" s="28"/>
      <c r="J248" s="28"/>
      <c r="K248" s="28"/>
      <c r="L248" s="28"/>
      <c r="M248" s="28"/>
      <c r="N248" s="28"/>
      <c r="O248" s="28"/>
      <c r="P248" s="3"/>
    </row>
    <row r="249" spans="1:16" ht="15.75" customHeight="1" x14ac:dyDescent="0.3">
      <c r="A249" s="3"/>
      <c r="B249" s="3"/>
      <c r="C249" s="137"/>
      <c r="D249" s="28"/>
      <c r="E249" s="28"/>
      <c r="F249" s="101"/>
      <c r="G249" s="101"/>
      <c r="H249" s="101"/>
      <c r="I249" s="28"/>
      <c r="J249" s="28"/>
      <c r="K249" s="28"/>
      <c r="L249" s="28"/>
      <c r="M249" s="28"/>
      <c r="N249" s="28"/>
      <c r="O249" s="28"/>
      <c r="P249" s="3"/>
    </row>
    <row r="250" spans="1:16" ht="15.75" customHeight="1" x14ac:dyDescent="0.3">
      <c r="A250" s="3"/>
      <c r="B250" s="3"/>
      <c r="C250" s="137"/>
      <c r="D250" s="28"/>
      <c r="E250" s="28"/>
      <c r="F250" s="101"/>
      <c r="G250" s="101"/>
      <c r="H250" s="101"/>
      <c r="I250" s="28"/>
      <c r="J250" s="28"/>
      <c r="K250" s="28"/>
      <c r="L250" s="28"/>
      <c r="M250" s="28"/>
      <c r="N250" s="28"/>
      <c r="O250" s="28"/>
      <c r="P250" s="3"/>
    </row>
    <row r="251" spans="1:16" ht="15.75" customHeight="1" x14ac:dyDescent="0.3">
      <c r="A251" s="3"/>
      <c r="B251" s="3"/>
      <c r="C251" s="137"/>
      <c r="D251" s="28"/>
      <c r="E251" s="28"/>
      <c r="F251" s="101"/>
      <c r="G251" s="101"/>
      <c r="H251" s="101"/>
      <c r="I251" s="28"/>
      <c r="J251" s="28"/>
      <c r="K251" s="28"/>
      <c r="L251" s="28"/>
      <c r="M251" s="28"/>
      <c r="N251" s="28"/>
      <c r="O251" s="28"/>
      <c r="P251" s="3"/>
    </row>
    <row r="252" spans="1:16" ht="15.75" customHeight="1" x14ac:dyDescent="0.3">
      <c r="A252" s="3"/>
      <c r="B252" s="3"/>
      <c r="C252" s="137"/>
      <c r="D252" s="28"/>
      <c r="E252" s="28"/>
      <c r="F252" s="101"/>
      <c r="G252" s="101"/>
      <c r="H252" s="101"/>
      <c r="I252" s="28"/>
      <c r="J252" s="28"/>
      <c r="K252" s="28"/>
      <c r="L252" s="28"/>
      <c r="M252" s="28"/>
      <c r="N252" s="28"/>
      <c r="O252" s="28"/>
      <c r="P252" s="3"/>
    </row>
    <row r="253" spans="1:16" ht="15.75" customHeight="1" x14ac:dyDescent="0.3">
      <c r="A253" s="3"/>
      <c r="B253" s="3"/>
      <c r="C253" s="137"/>
      <c r="D253" s="28"/>
      <c r="E253" s="28"/>
      <c r="F253" s="101"/>
      <c r="G253" s="101"/>
      <c r="H253" s="101"/>
      <c r="I253" s="28"/>
      <c r="J253" s="28"/>
      <c r="K253" s="28"/>
      <c r="L253" s="28"/>
      <c r="M253" s="28"/>
      <c r="N253" s="28"/>
      <c r="O253" s="28"/>
      <c r="P253" s="3"/>
    </row>
    <row r="254" spans="1:16" ht="15.75" customHeight="1" x14ac:dyDescent="0.3">
      <c r="A254" s="3"/>
      <c r="B254" s="3"/>
      <c r="C254" s="137"/>
      <c r="D254" s="28"/>
      <c r="E254" s="28"/>
      <c r="F254" s="101"/>
      <c r="G254" s="101"/>
      <c r="H254" s="101"/>
      <c r="I254" s="28"/>
      <c r="J254" s="28"/>
      <c r="K254" s="28"/>
      <c r="L254" s="28"/>
      <c r="M254" s="28"/>
      <c r="N254" s="28"/>
      <c r="O254" s="28"/>
      <c r="P254" s="3"/>
    </row>
    <row r="255" spans="1:16" ht="15.75" customHeight="1" x14ac:dyDescent="0.3">
      <c r="A255" s="3"/>
      <c r="B255" s="3"/>
      <c r="C255" s="137"/>
      <c r="D255" s="28"/>
      <c r="E255" s="28"/>
      <c r="F255" s="101"/>
      <c r="G255" s="101"/>
      <c r="H255" s="101"/>
      <c r="I255" s="28"/>
      <c r="J255" s="28"/>
      <c r="K255" s="28"/>
      <c r="L255" s="28"/>
      <c r="M255" s="28"/>
      <c r="N255" s="28"/>
      <c r="O255" s="28"/>
      <c r="P255" s="3"/>
    </row>
    <row r="256" spans="1:16" ht="15.75" customHeight="1" x14ac:dyDescent="0.3">
      <c r="A256" s="3"/>
      <c r="B256" s="3"/>
      <c r="C256" s="137"/>
      <c r="D256" s="28"/>
      <c r="E256" s="28"/>
      <c r="F256" s="101"/>
      <c r="G256" s="101"/>
      <c r="H256" s="101"/>
      <c r="I256" s="28"/>
      <c r="J256" s="28"/>
      <c r="K256" s="28"/>
      <c r="L256" s="28"/>
      <c r="M256" s="28"/>
      <c r="N256" s="28"/>
      <c r="O256" s="28"/>
      <c r="P256" s="3"/>
    </row>
    <row r="257" spans="1:16" ht="15.75" customHeight="1" x14ac:dyDescent="0.3">
      <c r="A257" s="3"/>
      <c r="B257" s="3"/>
      <c r="C257" s="137"/>
      <c r="D257" s="28"/>
      <c r="E257" s="28"/>
      <c r="F257" s="101"/>
      <c r="G257" s="101"/>
      <c r="H257" s="101"/>
      <c r="I257" s="28"/>
      <c r="J257" s="28"/>
      <c r="K257" s="28"/>
      <c r="L257" s="28"/>
      <c r="M257" s="28"/>
      <c r="N257" s="28"/>
      <c r="O257" s="28"/>
      <c r="P257" s="3"/>
    </row>
    <row r="258" spans="1:16" ht="15.75" customHeight="1" x14ac:dyDescent="0.3">
      <c r="A258" s="3"/>
      <c r="B258" s="3"/>
      <c r="C258" s="137"/>
      <c r="D258" s="28"/>
      <c r="E258" s="28"/>
      <c r="F258" s="101"/>
      <c r="G258" s="101"/>
      <c r="H258" s="101"/>
      <c r="I258" s="28"/>
      <c r="J258" s="28"/>
      <c r="K258" s="28"/>
      <c r="L258" s="28"/>
      <c r="M258" s="28"/>
      <c r="N258" s="28"/>
      <c r="O258" s="28"/>
      <c r="P258" s="3"/>
    </row>
    <row r="259" spans="1:16" ht="15.75" customHeight="1" x14ac:dyDescent="0.3">
      <c r="A259" s="3"/>
      <c r="B259" s="3"/>
      <c r="C259" s="137"/>
      <c r="D259" s="28"/>
      <c r="E259" s="28"/>
      <c r="F259" s="101"/>
      <c r="G259" s="101"/>
      <c r="H259" s="101"/>
      <c r="I259" s="28"/>
      <c r="J259" s="28"/>
      <c r="K259" s="28"/>
      <c r="L259" s="28"/>
      <c r="M259" s="28"/>
      <c r="N259" s="28"/>
      <c r="O259" s="28"/>
      <c r="P259" s="3"/>
    </row>
    <row r="260" spans="1:16" ht="15.75" customHeight="1" x14ac:dyDescent="0.3">
      <c r="A260" s="3"/>
      <c r="B260" s="3"/>
      <c r="C260" s="137"/>
      <c r="D260" s="28"/>
      <c r="E260" s="28"/>
      <c r="F260" s="101"/>
      <c r="G260" s="101"/>
      <c r="H260" s="101"/>
      <c r="I260" s="28"/>
      <c r="J260" s="28"/>
      <c r="K260" s="28"/>
      <c r="L260" s="28"/>
      <c r="M260" s="28"/>
      <c r="N260" s="28"/>
      <c r="O260" s="28"/>
      <c r="P260" s="3"/>
    </row>
    <row r="261" spans="1:16" ht="15.75" customHeight="1" x14ac:dyDescent="0.3">
      <c r="A261" s="3"/>
      <c r="B261" s="3"/>
      <c r="C261" s="137"/>
      <c r="D261" s="28"/>
      <c r="E261" s="28"/>
      <c r="F261" s="101"/>
      <c r="G261" s="101"/>
      <c r="H261" s="101"/>
      <c r="I261" s="28"/>
      <c r="J261" s="28"/>
      <c r="K261" s="28"/>
      <c r="L261" s="28"/>
      <c r="M261" s="28"/>
      <c r="N261" s="28"/>
      <c r="O261" s="28"/>
      <c r="P261" s="3"/>
    </row>
    <row r="262" spans="1:16" ht="15.75" customHeight="1" x14ac:dyDescent="0.3">
      <c r="A262" s="3"/>
      <c r="B262" s="3"/>
      <c r="C262" s="137"/>
      <c r="D262" s="28"/>
      <c r="E262" s="28"/>
      <c r="F262" s="101"/>
      <c r="G262" s="101"/>
      <c r="H262" s="101"/>
      <c r="I262" s="28"/>
      <c r="J262" s="28"/>
      <c r="K262" s="28"/>
      <c r="L262" s="28"/>
      <c r="M262" s="28"/>
      <c r="N262" s="28"/>
      <c r="O262" s="28"/>
      <c r="P262" s="3"/>
    </row>
    <row r="263" spans="1:16" ht="15.75" customHeight="1" x14ac:dyDescent="0.3">
      <c r="A263" s="3"/>
      <c r="B263" s="3"/>
      <c r="C263" s="137"/>
      <c r="D263" s="28"/>
      <c r="E263" s="28"/>
      <c r="F263" s="101"/>
      <c r="G263" s="101"/>
      <c r="H263" s="101"/>
      <c r="I263" s="28"/>
      <c r="J263" s="28"/>
      <c r="K263" s="28"/>
      <c r="L263" s="28"/>
      <c r="M263" s="28"/>
      <c r="N263" s="28"/>
      <c r="O263" s="28"/>
      <c r="P263" s="3"/>
    </row>
    <row r="264" spans="1:16" ht="15.75" customHeight="1" x14ac:dyDescent="0.3">
      <c r="A264" s="3"/>
      <c r="B264" s="3"/>
      <c r="C264" s="137"/>
      <c r="D264" s="28"/>
      <c r="E264" s="28"/>
      <c r="F264" s="101"/>
      <c r="G264" s="101"/>
      <c r="H264" s="101"/>
      <c r="I264" s="28"/>
      <c r="J264" s="28"/>
      <c r="K264" s="28"/>
      <c r="L264" s="28"/>
      <c r="M264" s="28"/>
      <c r="N264" s="28"/>
      <c r="O264" s="28"/>
      <c r="P264" s="3"/>
    </row>
    <row r="265" spans="1:16" ht="15.75" customHeight="1" x14ac:dyDescent="0.3">
      <c r="A265" s="3"/>
      <c r="B265" s="3"/>
      <c r="C265" s="137"/>
      <c r="D265" s="28"/>
      <c r="E265" s="28"/>
      <c r="F265" s="101"/>
      <c r="G265" s="101"/>
      <c r="H265" s="101"/>
      <c r="I265" s="28"/>
      <c r="J265" s="28"/>
      <c r="K265" s="28"/>
      <c r="L265" s="28"/>
      <c r="M265" s="28"/>
      <c r="N265" s="28"/>
      <c r="O265" s="28"/>
      <c r="P265" s="3"/>
    </row>
    <row r="266" spans="1:16" ht="15.75" customHeight="1" x14ac:dyDescent="0.3">
      <c r="A266" s="3"/>
      <c r="B266" s="3"/>
      <c r="C266" s="137"/>
      <c r="D266" s="28"/>
      <c r="E266" s="28"/>
      <c r="F266" s="101"/>
      <c r="G266" s="101"/>
      <c r="H266" s="101"/>
      <c r="I266" s="28"/>
      <c r="J266" s="28"/>
      <c r="K266" s="28"/>
      <c r="L266" s="28"/>
      <c r="M266" s="28"/>
      <c r="N266" s="28"/>
      <c r="O266" s="28"/>
      <c r="P266" s="3"/>
    </row>
    <row r="267" spans="1:16" ht="15.75" customHeight="1" x14ac:dyDescent="0.3">
      <c r="A267" s="3"/>
      <c r="B267" s="3"/>
      <c r="C267" s="137"/>
      <c r="D267" s="28"/>
      <c r="E267" s="28"/>
      <c r="F267" s="101"/>
      <c r="G267" s="101"/>
      <c r="H267" s="101"/>
      <c r="I267" s="28"/>
      <c r="J267" s="28"/>
      <c r="K267" s="28"/>
      <c r="L267" s="28"/>
      <c r="M267" s="28"/>
      <c r="N267" s="28"/>
      <c r="O267" s="28"/>
      <c r="P267" s="3"/>
    </row>
    <row r="268" spans="1:16" ht="15.75" customHeight="1" x14ac:dyDescent="0.3">
      <c r="A268" s="3"/>
      <c r="B268" s="3"/>
      <c r="C268" s="137"/>
      <c r="D268" s="28"/>
      <c r="E268" s="28"/>
      <c r="F268" s="101"/>
      <c r="G268" s="101"/>
      <c r="H268" s="101"/>
      <c r="I268" s="28"/>
      <c r="J268" s="28"/>
      <c r="K268" s="28"/>
      <c r="L268" s="28"/>
      <c r="M268" s="28"/>
      <c r="N268" s="28"/>
      <c r="O268" s="28"/>
      <c r="P268" s="3"/>
    </row>
    <row r="269" spans="1:16" ht="15.75" customHeight="1" x14ac:dyDescent="0.3">
      <c r="A269" s="3"/>
      <c r="B269" s="3"/>
      <c r="C269" s="137"/>
      <c r="D269" s="28"/>
      <c r="E269" s="28"/>
      <c r="F269" s="101"/>
      <c r="G269" s="101"/>
      <c r="H269" s="101"/>
      <c r="I269" s="28"/>
      <c r="J269" s="28"/>
      <c r="K269" s="28"/>
      <c r="L269" s="28"/>
      <c r="M269" s="28"/>
      <c r="N269" s="28"/>
      <c r="O269" s="28"/>
      <c r="P269" s="3"/>
    </row>
    <row r="270" spans="1:16" ht="15.75" customHeight="1" x14ac:dyDescent="0.3">
      <c r="A270" s="3"/>
      <c r="B270" s="3"/>
      <c r="C270" s="137"/>
      <c r="D270" s="28"/>
      <c r="E270" s="28"/>
      <c r="F270" s="101"/>
      <c r="G270" s="101"/>
      <c r="H270" s="101"/>
      <c r="I270" s="28"/>
      <c r="J270" s="28"/>
      <c r="K270" s="28"/>
      <c r="L270" s="28"/>
      <c r="M270" s="28"/>
      <c r="N270" s="28"/>
      <c r="O270" s="28"/>
      <c r="P270" s="3"/>
    </row>
    <row r="271" spans="1:16" ht="15.75" customHeight="1" x14ac:dyDescent="0.3">
      <c r="A271" s="3"/>
      <c r="B271" s="3"/>
      <c r="C271" s="137"/>
      <c r="D271" s="28"/>
      <c r="E271" s="28"/>
      <c r="F271" s="101"/>
      <c r="G271" s="101"/>
      <c r="H271" s="101"/>
      <c r="I271" s="28"/>
      <c r="J271" s="28"/>
      <c r="K271" s="28"/>
      <c r="L271" s="28"/>
      <c r="M271" s="28"/>
      <c r="N271" s="28"/>
      <c r="O271" s="28"/>
      <c r="P271" s="3"/>
    </row>
    <row r="272" spans="1:16" ht="15.75" customHeight="1" x14ac:dyDescent="0.3">
      <c r="A272" s="3"/>
      <c r="B272" s="3"/>
      <c r="C272" s="137"/>
      <c r="D272" s="28"/>
      <c r="E272" s="28"/>
      <c r="F272" s="101"/>
      <c r="G272" s="101"/>
      <c r="H272" s="101"/>
      <c r="I272" s="28"/>
      <c r="J272" s="28"/>
      <c r="K272" s="28"/>
      <c r="L272" s="28"/>
      <c r="M272" s="28"/>
      <c r="N272" s="28"/>
      <c r="O272" s="28"/>
      <c r="P272" s="3"/>
    </row>
    <row r="273" spans="1:16" ht="15.75" customHeight="1" x14ac:dyDescent="0.3">
      <c r="A273" s="3"/>
      <c r="B273" s="3"/>
      <c r="C273" s="137"/>
      <c r="D273" s="28"/>
      <c r="E273" s="28"/>
      <c r="F273" s="101"/>
      <c r="G273" s="101"/>
      <c r="H273" s="101"/>
      <c r="I273" s="28"/>
      <c r="J273" s="28"/>
      <c r="K273" s="28"/>
      <c r="L273" s="28"/>
      <c r="M273" s="28"/>
      <c r="N273" s="28"/>
      <c r="O273" s="28"/>
      <c r="P273" s="3"/>
    </row>
    <row r="274" spans="1:16" ht="15.75" customHeight="1" x14ac:dyDescent="0.3">
      <c r="A274" s="3"/>
      <c r="B274" s="3"/>
      <c r="C274" s="137"/>
      <c r="D274" s="28"/>
      <c r="E274" s="28"/>
      <c r="F274" s="101"/>
      <c r="G274" s="101"/>
      <c r="H274" s="101"/>
      <c r="I274" s="28"/>
      <c r="J274" s="28"/>
      <c r="K274" s="28"/>
      <c r="L274" s="28"/>
      <c r="M274" s="28"/>
      <c r="N274" s="28"/>
      <c r="O274" s="28"/>
      <c r="P274" s="3"/>
    </row>
    <row r="275" spans="1:16" ht="15.75" customHeight="1" x14ac:dyDescent="0.3">
      <c r="A275" s="3"/>
      <c r="B275" s="3"/>
      <c r="C275" s="137"/>
      <c r="D275" s="28"/>
      <c r="E275" s="28"/>
      <c r="F275" s="101"/>
      <c r="G275" s="101"/>
      <c r="H275" s="101"/>
      <c r="I275" s="28"/>
      <c r="J275" s="28"/>
      <c r="K275" s="28"/>
      <c r="L275" s="28"/>
      <c r="M275" s="28"/>
      <c r="N275" s="28"/>
      <c r="O275" s="28"/>
      <c r="P275" s="3"/>
    </row>
    <row r="276" spans="1:16" ht="15.75" customHeight="1" x14ac:dyDescent="0.3">
      <c r="A276" s="3"/>
      <c r="B276" s="3"/>
      <c r="C276" s="137"/>
      <c r="D276" s="28"/>
      <c r="E276" s="28"/>
      <c r="F276" s="101"/>
      <c r="G276" s="101"/>
      <c r="H276" s="101"/>
      <c r="I276" s="28"/>
      <c r="J276" s="28"/>
      <c r="K276" s="28"/>
      <c r="L276" s="28"/>
      <c r="M276" s="28"/>
      <c r="N276" s="28"/>
      <c r="O276" s="28"/>
      <c r="P276" s="3"/>
    </row>
    <row r="277" spans="1:16" ht="15.75" customHeight="1" x14ac:dyDescent="0.3">
      <c r="A277" s="3"/>
      <c r="B277" s="3"/>
      <c r="C277" s="137"/>
      <c r="D277" s="28"/>
      <c r="E277" s="28"/>
      <c r="F277" s="101"/>
      <c r="G277" s="101"/>
      <c r="H277" s="101"/>
      <c r="I277" s="28"/>
      <c r="J277" s="28"/>
      <c r="K277" s="28"/>
      <c r="L277" s="28"/>
      <c r="M277" s="28"/>
      <c r="N277" s="28"/>
      <c r="O277" s="28"/>
      <c r="P277" s="3"/>
    </row>
    <row r="278" spans="1:16" ht="15.75" customHeight="1" x14ac:dyDescent="0.3">
      <c r="A278" s="3"/>
      <c r="B278" s="3"/>
      <c r="C278" s="137"/>
      <c r="D278" s="28"/>
      <c r="E278" s="28"/>
      <c r="F278" s="101"/>
      <c r="G278" s="101"/>
      <c r="H278" s="101"/>
      <c r="I278" s="28"/>
      <c r="J278" s="28"/>
      <c r="K278" s="28"/>
      <c r="L278" s="28"/>
      <c r="M278" s="28"/>
      <c r="N278" s="28"/>
      <c r="O278" s="28"/>
      <c r="P278" s="3"/>
    </row>
    <row r="279" spans="1:16" ht="15.75" customHeight="1" x14ac:dyDescent="0.3">
      <c r="A279" s="3"/>
      <c r="B279" s="3"/>
      <c r="C279" s="137"/>
      <c r="D279" s="28"/>
      <c r="E279" s="28"/>
      <c r="F279" s="101"/>
      <c r="G279" s="101"/>
      <c r="H279" s="101"/>
      <c r="I279" s="28"/>
      <c r="J279" s="28"/>
      <c r="K279" s="28"/>
      <c r="L279" s="28"/>
      <c r="M279" s="28"/>
      <c r="N279" s="28"/>
      <c r="O279" s="28"/>
      <c r="P279" s="3"/>
    </row>
    <row r="280" spans="1:16" ht="15.75" customHeight="1" x14ac:dyDescent="0.3">
      <c r="A280" s="3"/>
      <c r="B280" s="3"/>
      <c r="C280" s="137"/>
      <c r="D280" s="28"/>
      <c r="E280" s="28"/>
      <c r="F280" s="101"/>
      <c r="G280" s="101"/>
      <c r="H280" s="101"/>
      <c r="I280" s="28"/>
      <c r="J280" s="28"/>
      <c r="K280" s="28"/>
      <c r="L280" s="28"/>
      <c r="M280" s="28"/>
      <c r="N280" s="28"/>
      <c r="O280" s="28"/>
      <c r="P280" s="3"/>
    </row>
    <row r="281" spans="1:16" ht="15.75" customHeight="1" x14ac:dyDescent="0.3">
      <c r="A281" s="3"/>
      <c r="B281" s="3"/>
      <c r="C281" s="137"/>
      <c r="D281" s="28"/>
      <c r="E281" s="28"/>
      <c r="F281" s="101"/>
      <c r="G281" s="101"/>
      <c r="H281" s="101"/>
      <c r="I281" s="28"/>
      <c r="J281" s="28"/>
      <c r="K281" s="28"/>
      <c r="L281" s="28"/>
      <c r="M281" s="28"/>
      <c r="N281" s="28"/>
      <c r="O281" s="28"/>
      <c r="P281" s="3"/>
    </row>
    <row r="282" spans="1:16" ht="15.75" customHeight="1" x14ac:dyDescent="0.3">
      <c r="A282" s="3"/>
      <c r="B282" s="3"/>
      <c r="C282" s="137"/>
      <c r="D282" s="28"/>
      <c r="E282" s="28"/>
      <c r="F282" s="101"/>
      <c r="G282" s="101"/>
      <c r="H282" s="101"/>
      <c r="I282" s="28"/>
      <c r="J282" s="28"/>
      <c r="K282" s="28"/>
      <c r="L282" s="28"/>
      <c r="M282" s="28"/>
      <c r="N282" s="28"/>
      <c r="O282" s="28"/>
      <c r="P282" s="3"/>
    </row>
    <row r="283" spans="1:16" ht="15.75" customHeight="1" x14ac:dyDescent="0.3">
      <c r="A283" s="3"/>
      <c r="B283" s="3"/>
      <c r="C283" s="137"/>
      <c r="D283" s="28"/>
      <c r="E283" s="28"/>
      <c r="F283" s="101"/>
      <c r="G283" s="101"/>
      <c r="H283" s="101"/>
      <c r="I283" s="28"/>
      <c r="J283" s="28"/>
      <c r="K283" s="28"/>
      <c r="L283" s="28"/>
      <c r="M283" s="28"/>
      <c r="N283" s="28"/>
      <c r="O283" s="28"/>
      <c r="P283" s="3"/>
    </row>
    <row r="284" spans="1:16" ht="15.75" customHeight="1" x14ac:dyDescent="0.3">
      <c r="A284" s="3"/>
      <c r="B284" s="3"/>
      <c r="C284" s="137"/>
      <c r="D284" s="28"/>
      <c r="E284" s="28"/>
      <c r="F284" s="101"/>
      <c r="G284" s="101"/>
      <c r="H284" s="101"/>
      <c r="I284" s="28"/>
      <c r="J284" s="28"/>
      <c r="K284" s="28"/>
      <c r="L284" s="28"/>
      <c r="M284" s="28"/>
      <c r="N284" s="28"/>
      <c r="O284" s="28"/>
      <c r="P284" s="3"/>
    </row>
    <row r="285" spans="1:16" ht="15.75" customHeight="1" x14ac:dyDescent="0.3">
      <c r="A285" s="3"/>
      <c r="B285" s="3"/>
      <c r="C285" s="137"/>
      <c r="D285" s="28"/>
      <c r="E285" s="28"/>
      <c r="F285" s="101"/>
      <c r="G285" s="101"/>
      <c r="H285" s="101"/>
      <c r="I285" s="28"/>
      <c r="J285" s="28"/>
      <c r="K285" s="28"/>
      <c r="L285" s="28"/>
      <c r="M285" s="28"/>
      <c r="N285" s="28"/>
      <c r="O285" s="28"/>
      <c r="P285" s="3"/>
    </row>
    <row r="286" spans="1:16" ht="15.75" customHeight="1" x14ac:dyDescent="0.3">
      <c r="A286" s="3"/>
      <c r="B286" s="3"/>
      <c r="C286" s="137"/>
      <c r="D286" s="28"/>
      <c r="E286" s="28"/>
      <c r="F286" s="101"/>
      <c r="G286" s="101"/>
      <c r="H286" s="101"/>
      <c r="I286" s="28"/>
      <c r="J286" s="28"/>
      <c r="K286" s="28"/>
      <c r="L286" s="28"/>
      <c r="M286" s="28"/>
      <c r="N286" s="28"/>
      <c r="O286" s="28"/>
      <c r="P286" s="3"/>
    </row>
    <row r="287" spans="1:16" ht="15.75" customHeight="1" x14ac:dyDescent="0.3">
      <c r="A287" s="3"/>
      <c r="B287" s="3"/>
      <c r="C287" s="137"/>
      <c r="D287" s="28"/>
      <c r="E287" s="28"/>
      <c r="F287" s="101"/>
      <c r="G287" s="101"/>
      <c r="H287" s="101"/>
      <c r="I287" s="28"/>
      <c r="J287" s="28"/>
      <c r="K287" s="28"/>
      <c r="L287" s="28"/>
      <c r="M287" s="28"/>
      <c r="N287" s="28"/>
      <c r="O287" s="28"/>
      <c r="P287" s="3"/>
    </row>
    <row r="288" spans="1:16" ht="15.75" customHeight="1" x14ac:dyDescent="0.3">
      <c r="A288" s="3"/>
      <c r="B288" s="3"/>
      <c r="C288" s="137"/>
      <c r="D288" s="28"/>
      <c r="E288" s="28"/>
      <c r="F288" s="101"/>
      <c r="G288" s="101"/>
      <c r="H288" s="101"/>
      <c r="I288" s="28"/>
      <c r="J288" s="28"/>
      <c r="K288" s="28"/>
      <c r="L288" s="28"/>
      <c r="M288" s="28"/>
      <c r="N288" s="28"/>
      <c r="O288" s="28"/>
      <c r="P288" s="3"/>
    </row>
    <row r="289" spans="1:16" ht="15.75" customHeight="1" x14ac:dyDescent="0.3">
      <c r="A289" s="3"/>
      <c r="B289" s="3"/>
      <c r="C289" s="137"/>
      <c r="D289" s="28"/>
      <c r="E289" s="28"/>
      <c r="F289" s="101"/>
      <c r="G289" s="101"/>
      <c r="H289" s="101"/>
      <c r="I289" s="28"/>
      <c r="J289" s="28"/>
      <c r="K289" s="28"/>
      <c r="L289" s="28"/>
      <c r="M289" s="28"/>
      <c r="N289" s="28"/>
      <c r="O289" s="28"/>
      <c r="P289" s="3"/>
    </row>
    <row r="290" spans="1:16" ht="15.75" customHeight="1" x14ac:dyDescent="0.3">
      <c r="A290" s="3"/>
      <c r="B290" s="3"/>
      <c r="C290" s="137"/>
      <c r="D290" s="28"/>
      <c r="E290" s="28"/>
      <c r="F290" s="101"/>
      <c r="G290" s="101"/>
      <c r="H290" s="101"/>
      <c r="I290" s="28"/>
      <c r="J290" s="28"/>
      <c r="K290" s="28"/>
      <c r="L290" s="28"/>
      <c r="M290" s="28"/>
      <c r="N290" s="28"/>
      <c r="O290" s="28"/>
      <c r="P290" s="3"/>
    </row>
    <row r="291" spans="1:16" ht="15.75" customHeight="1" x14ac:dyDescent="0.3">
      <c r="A291" s="3"/>
      <c r="B291" s="3"/>
      <c r="C291" s="137"/>
      <c r="D291" s="28"/>
      <c r="E291" s="28"/>
      <c r="F291" s="101"/>
      <c r="G291" s="101"/>
      <c r="H291" s="101"/>
      <c r="I291" s="28"/>
      <c r="J291" s="28"/>
      <c r="K291" s="28"/>
      <c r="L291" s="28"/>
      <c r="M291" s="28"/>
      <c r="N291" s="28"/>
      <c r="O291" s="28"/>
      <c r="P291" s="3"/>
    </row>
    <row r="292" spans="1:16" ht="15.75" customHeight="1" x14ac:dyDescent="0.3">
      <c r="A292" s="3"/>
      <c r="B292" s="3"/>
      <c r="C292" s="137"/>
      <c r="D292" s="28"/>
      <c r="E292" s="28"/>
      <c r="F292" s="101"/>
      <c r="G292" s="101"/>
      <c r="H292" s="101"/>
      <c r="I292" s="28"/>
      <c r="J292" s="28"/>
      <c r="K292" s="28"/>
      <c r="L292" s="28"/>
      <c r="M292" s="28"/>
      <c r="N292" s="28"/>
      <c r="O292" s="28"/>
      <c r="P292" s="3"/>
    </row>
    <row r="293" spans="1:16" ht="15.75" customHeight="1" x14ac:dyDescent="0.3">
      <c r="A293" s="3"/>
      <c r="B293" s="3"/>
      <c r="C293" s="137"/>
      <c r="D293" s="28"/>
      <c r="E293" s="28"/>
      <c r="F293" s="101"/>
      <c r="G293" s="101"/>
      <c r="H293" s="101"/>
      <c r="I293" s="28"/>
      <c r="J293" s="28"/>
      <c r="K293" s="28"/>
      <c r="L293" s="28"/>
      <c r="M293" s="28"/>
      <c r="N293" s="28"/>
      <c r="O293" s="28"/>
      <c r="P293" s="3"/>
    </row>
    <row r="294" spans="1:16" ht="15.75" customHeight="1" x14ac:dyDescent="0.3">
      <c r="A294" s="3"/>
      <c r="B294" s="3"/>
      <c r="C294" s="137"/>
      <c r="D294" s="28"/>
      <c r="E294" s="28"/>
      <c r="F294" s="101"/>
      <c r="G294" s="101"/>
      <c r="H294" s="101"/>
      <c r="I294" s="28"/>
      <c r="J294" s="28"/>
      <c r="K294" s="28"/>
      <c r="L294" s="28"/>
      <c r="M294" s="28"/>
      <c r="N294" s="28"/>
      <c r="O294" s="28"/>
      <c r="P294" s="3"/>
    </row>
    <row r="295" spans="1:16" ht="15.75" customHeight="1" x14ac:dyDescent="0.3">
      <c r="A295" s="3"/>
      <c r="B295" s="3"/>
      <c r="C295" s="137"/>
      <c r="D295" s="28"/>
      <c r="E295" s="28"/>
      <c r="F295" s="101"/>
      <c r="G295" s="101"/>
      <c r="H295" s="101"/>
      <c r="I295" s="28"/>
      <c r="J295" s="28"/>
      <c r="K295" s="28"/>
      <c r="L295" s="28"/>
      <c r="M295" s="28"/>
      <c r="N295" s="28"/>
      <c r="O295" s="28"/>
      <c r="P295" s="3"/>
    </row>
    <row r="296" spans="1:16" ht="15.75" customHeight="1" x14ac:dyDescent="0.3">
      <c r="A296" s="3"/>
      <c r="B296" s="3"/>
      <c r="C296" s="137"/>
      <c r="D296" s="28"/>
      <c r="E296" s="28"/>
      <c r="F296" s="101"/>
      <c r="G296" s="101"/>
      <c r="H296" s="101"/>
      <c r="I296" s="28"/>
      <c r="J296" s="28"/>
      <c r="K296" s="28"/>
      <c r="L296" s="28"/>
      <c r="M296" s="28"/>
      <c r="N296" s="28"/>
      <c r="O296" s="28"/>
      <c r="P296" s="3"/>
    </row>
    <row r="297" spans="1:16" ht="15.75" customHeight="1" x14ac:dyDescent="0.3">
      <c r="A297" s="3"/>
      <c r="B297" s="3"/>
      <c r="C297" s="137"/>
      <c r="D297" s="28"/>
      <c r="E297" s="28"/>
      <c r="F297" s="101"/>
      <c r="G297" s="101"/>
      <c r="H297" s="101"/>
      <c r="I297" s="28"/>
      <c r="J297" s="28"/>
      <c r="K297" s="28"/>
      <c r="L297" s="28"/>
      <c r="M297" s="28"/>
      <c r="N297" s="28"/>
      <c r="O297" s="28"/>
      <c r="P297" s="3"/>
    </row>
    <row r="298" spans="1:16" ht="15.75" customHeight="1" x14ac:dyDescent="0.3">
      <c r="A298" s="3"/>
      <c r="B298" s="3"/>
      <c r="C298" s="137"/>
      <c r="D298" s="28"/>
      <c r="E298" s="28"/>
      <c r="F298" s="101"/>
      <c r="G298" s="101"/>
      <c r="H298" s="101"/>
      <c r="I298" s="28"/>
      <c r="J298" s="28"/>
      <c r="K298" s="28"/>
      <c r="L298" s="28"/>
      <c r="M298" s="28"/>
      <c r="N298" s="28"/>
      <c r="O298" s="28"/>
      <c r="P298" s="3"/>
    </row>
    <row r="299" spans="1:16" ht="15.75" customHeight="1" x14ac:dyDescent="0.3">
      <c r="A299" s="3"/>
      <c r="B299" s="3"/>
      <c r="C299" s="137"/>
      <c r="D299" s="28"/>
      <c r="E299" s="28"/>
      <c r="F299" s="101"/>
      <c r="G299" s="101"/>
      <c r="H299" s="101"/>
      <c r="I299" s="28"/>
      <c r="J299" s="28"/>
      <c r="K299" s="28"/>
      <c r="L299" s="28"/>
      <c r="M299" s="28"/>
      <c r="N299" s="28"/>
      <c r="O299" s="28"/>
      <c r="P299" s="3"/>
    </row>
    <row r="300" spans="1:16" ht="15.75" customHeight="1" x14ac:dyDescent="0.3">
      <c r="A300" s="3"/>
      <c r="B300" s="3"/>
      <c r="C300" s="137"/>
      <c r="D300" s="28"/>
      <c r="E300" s="28"/>
      <c r="F300" s="101"/>
      <c r="G300" s="101"/>
      <c r="H300" s="101"/>
      <c r="I300" s="28"/>
      <c r="J300" s="28"/>
      <c r="K300" s="28"/>
      <c r="L300" s="28"/>
      <c r="M300" s="28"/>
      <c r="N300" s="28"/>
      <c r="O300" s="28"/>
      <c r="P300" s="3"/>
    </row>
    <row r="301" spans="1:16" ht="15.75" customHeight="1" x14ac:dyDescent="0.3">
      <c r="A301" s="3"/>
      <c r="B301" s="3"/>
      <c r="C301" s="137"/>
      <c r="D301" s="28"/>
      <c r="E301" s="28"/>
      <c r="F301" s="101"/>
      <c r="G301" s="101"/>
      <c r="H301" s="101"/>
      <c r="I301" s="28"/>
      <c r="J301" s="28"/>
      <c r="K301" s="28"/>
      <c r="L301" s="28"/>
      <c r="M301" s="28"/>
      <c r="N301" s="28"/>
      <c r="O301" s="28"/>
      <c r="P301" s="3"/>
    </row>
    <row r="302" spans="1:16" ht="15.75" customHeight="1" x14ac:dyDescent="0.3">
      <c r="A302" s="3"/>
      <c r="B302" s="3"/>
      <c r="C302" s="137"/>
      <c r="D302" s="28"/>
      <c r="E302" s="28"/>
      <c r="F302" s="101"/>
      <c r="G302" s="101"/>
      <c r="H302" s="101"/>
      <c r="I302" s="28"/>
      <c r="J302" s="28"/>
      <c r="K302" s="28"/>
      <c r="L302" s="28"/>
      <c r="M302" s="28"/>
      <c r="N302" s="28"/>
      <c r="O302" s="28"/>
      <c r="P302" s="3"/>
    </row>
    <row r="303" spans="1:16" ht="15.75" customHeight="1" x14ac:dyDescent="0.3">
      <c r="A303" s="3"/>
      <c r="B303" s="3"/>
      <c r="C303" s="137"/>
      <c r="D303" s="28"/>
      <c r="E303" s="28"/>
      <c r="F303" s="101"/>
      <c r="G303" s="101"/>
      <c r="H303" s="101"/>
      <c r="I303" s="28"/>
      <c r="J303" s="28"/>
      <c r="K303" s="28"/>
      <c r="L303" s="28"/>
      <c r="M303" s="28"/>
      <c r="N303" s="28"/>
      <c r="O303" s="28"/>
      <c r="P303" s="3"/>
    </row>
    <row r="304" spans="1:16" ht="15.75" customHeight="1" x14ac:dyDescent="0.3">
      <c r="A304" s="3"/>
      <c r="B304" s="3"/>
      <c r="C304" s="137"/>
      <c r="D304" s="28"/>
      <c r="E304" s="28"/>
      <c r="F304" s="101"/>
      <c r="G304" s="101"/>
      <c r="H304" s="101"/>
      <c r="I304" s="28"/>
      <c r="J304" s="28"/>
      <c r="K304" s="28"/>
      <c r="L304" s="28"/>
      <c r="M304" s="28"/>
      <c r="N304" s="28"/>
      <c r="O304" s="28"/>
      <c r="P304" s="3"/>
    </row>
    <row r="305" spans="1:16" ht="15.75" customHeight="1" x14ac:dyDescent="0.3">
      <c r="A305" s="3"/>
      <c r="B305" s="3"/>
      <c r="C305" s="137"/>
      <c r="D305" s="28"/>
      <c r="E305" s="28"/>
      <c r="F305" s="101"/>
      <c r="G305" s="101"/>
      <c r="H305" s="101"/>
      <c r="I305" s="28"/>
      <c r="J305" s="28"/>
      <c r="K305" s="28"/>
      <c r="L305" s="28"/>
      <c r="M305" s="28"/>
      <c r="N305" s="28"/>
      <c r="O305" s="28"/>
      <c r="P305" s="3"/>
    </row>
    <row r="306" spans="1:16" ht="15.75" customHeight="1" x14ac:dyDescent="0.3">
      <c r="A306" s="3"/>
      <c r="B306" s="3"/>
      <c r="C306" s="137"/>
      <c r="D306" s="28"/>
      <c r="E306" s="28"/>
      <c r="F306" s="101"/>
      <c r="G306" s="101"/>
      <c r="H306" s="101"/>
      <c r="I306" s="28"/>
      <c r="J306" s="28"/>
      <c r="K306" s="28"/>
      <c r="L306" s="28"/>
      <c r="M306" s="28"/>
      <c r="N306" s="28"/>
      <c r="O306" s="28"/>
      <c r="P306" s="3"/>
    </row>
    <row r="307" spans="1:16" ht="15.75" customHeight="1" x14ac:dyDescent="0.3">
      <c r="A307" s="3"/>
      <c r="B307" s="3"/>
      <c r="C307" s="137"/>
      <c r="D307" s="28"/>
      <c r="E307" s="28"/>
      <c r="F307" s="101"/>
      <c r="G307" s="101"/>
      <c r="H307" s="101"/>
      <c r="I307" s="28"/>
      <c r="J307" s="28"/>
      <c r="K307" s="28"/>
      <c r="L307" s="28"/>
      <c r="M307" s="28"/>
      <c r="N307" s="28"/>
      <c r="O307" s="28"/>
      <c r="P307" s="3"/>
    </row>
    <row r="308" spans="1:16" ht="15.75" customHeight="1" x14ac:dyDescent="0.3">
      <c r="A308" s="3"/>
      <c r="B308" s="3"/>
      <c r="C308" s="137"/>
      <c r="D308" s="28"/>
      <c r="E308" s="28"/>
      <c r="F308" s="101"/>
      <c r="G308" s="101"/>
      <c r="H308" s="101"/>
      <c r="I308" s="28"/>
      <c r="J308" s="28"/>
      <c r="K308" s="28"/>
      <c r="L308" s="28"/>
      <c r="M308" s="28"/>
      <c r="N308" s="28"/>
      <c r="O308" s="28"/>
      <c r="P308" s="3"/>
    </row>
    <row r="309" spans="1:16" ht="15.75" customHeight="1" x14ac:dyDescent="0.3">
      <c r="A309" s="3"/>
      <c r="B309" s="3"/>
      <c r="C309" s="137"/>
      <c r="D309" s="28"/>
      <c r="E309" s="28"/>
      <c r="F309" s="101"/>
      <c r="G309" s="101"/>
      <c r="H309" s="101"/>
      <c r="I309" s="28"/>
      <c r="J309" s="28"/>
      <c r="K309" s="28"/>
      <c r="L309" s="28"/>
      <c r="M309" s="28"/>
      <c r="N309" s="28"/>
      <c r="O309" s="28"/>
      <c r="P309" s="3"/>
    </row>
    <row r="310" spans="1:16" ht="15.75" customHeight="1" x14ac:dyDescent="0.3">
      <c r="A310" s="3"/>
      <c r="B310" s="3"/>
      <c r="C310" s="137"/>
      <c r="D310" s="28"/>
      <c r="E310" s="28"/>
      <c r="F310" s="101"/>
      <c r="G310" s="101"/>
      <c r="H310" s="101"/>
      <c r="I310" s="28"/>
      <c r="J310" s="28"/>
      <c r="K310" s="28"/>
      <c r="L310" s="28"/>
      <c r="M310" s="28"/>
      <c r="N310" s="28"/>
      <c r="O310" s="28"/>
      <c r="P310" s="3"/>
    </row>
    <row r="311" spans="1:16" ht="15.75" customHeight="1" x14ac:dyDescent="0.3">
      <c r="A311" s="3"/>
      <c r="B311" s="3"/>
      <c r="C311" s="137"/>
      <c r="D311" s="28"/>
      <c r="E311" s="28"/>
      <c r="F311" s="101"/>
      <c r="G311" s="101"/>
      <c r="H311" s="101"/>
      <c r="I311" s="28"/>
      <c r="J311" s="28"/>
      <c r="K311" s="28"/>
      <c r="L311" s="28"/>
      <c r="M311" s="28"/>
      <c r="N311" s="28"/>
      <c r="O311" s="28"/>
      <c r="P311" s="3"/>
    </row>
    <row r="312" spans="1:16" ht="15.75" customHeight="1" x14ac:dyDescent="0.3">
      <c r="A312" s="3"/>
      <c r="B312" s="3"/>
      <c r="C312" s="137"/>
      <c r="D312" s="28"/>
      <c r="E312" s="28"/>
      <c r="F312" s="101"/>
      <c r="G312" s="101"/>
      <c r="H312" s="101"/>
      <c r="I312" s="28"/>
      <c r="J312" s="28"/>
      <c r="K312" s="28"/>
      <c r="L312" s="28"/>
      <c r="M312" s="28"/>
      <c r="N312" s="28"/>
      <c r="O312" s="28"/>
      <c r="P312" s="3"/>
    </row>
    <row r="313" spans="1:16" ht="15.75" customHeight="1" x14ac:dyDescent="0.3">
      <c r="A313" s="3"/>
      <c r="B313" s="3"/>
      <c r="C313" s="137"/>
      <c r="D313" s="28"/>
      <c r="E313" s="28"/>
      <c r="F313" s="101"/>
      <c r="G313" s="101"/>
      <c r="H313" s="101"/>
      <c r="I313" s="28"/>
      <c r="J313" s="28"/>
      <c r="K313" s="28"/>
      <c r="L313" s="28"/>
      <c r="M313" s="28"/>
      <c r="N313" s="28"/>
      <c r="O313" s="28"/>
      <c r="P313" s="3"/>
    </row>
    <row r="314" spans="1:16" ht="15.75" customHeight="1" x14ac:dyDescent="0.3">
      <c r="A314" s="3"/>
      <c r="B314" s="3"/>
      <c r="C314" s="137"/>
      <c r="D314" s="28"/>
      <c r="E314" s="28"/>
      <c r="F314" s="101"/>
      <c r="G314" s="101"/>
      <c r="H314" s="101"/>
      <c r="I314" s="28"/>
      <c r="J314" s="28"/>
      <c r="K314" s="28"/>
      <c r="L314" s="28"/>
      <c r="M314" s="28"/>
      <c r="N314" s="28"/>
      <c r="O314" s="28"/>
      <c r="P314" s="3"/>
    </row>
    <row r="315" spans="1:16" ht="15.75" customHeight="1" x14ac:dyDescent="0.3">
      <c r="A315" s="3"/>
      <c r="B315" s="3"/>
      <c r="C315" s="137"/>
      <c r="D315" s="28"/>
      <c r="E315" s="28"/>
      <c r="F315" s="101"/>
      <c r="G315" s="101"/>
      <c r="H315" s="101"/>
      <c r="I315" s="28"/>
      <c r="J315" s="28"/>
      <c r="K315" s="28"/>
      <c r="L315" s="28"/>
      <c r="M315" s="28"/>
      <c r="N315" s="28"/>
      <c r="O315" s="28"/>
      <c r="P315" s="3"/>
    </row>
    <row r="316" spans="1:16" ht="15.75" customHeight="1" x14ac:dyDescent="0.3">
      <c r="A316" s="3"/>
      <c r="B316" s="3"/>
      <c r="C316" s="137"/>
      <c r="D316" s="28"/>
      <c r="E316" s="28"/>
      <c r="F316" s="101"/>
      <c r="G316" s="101"/>
      <c r="H316" s="101"/>
      <c r="I316" s="28"/>
      <c r="J316" s="28"/>
      <c r="K316" s="28"/>
      <c r="L316" s="28"/>
      <c r="M316" s="28"/>
      <c r="N316" s="28"/>
      <c r="O316" s="28"/>
      <c r="P316" s="3"/>
    </row>
    <row r="317" spans="1:16" ht="15.75" customHeight="1" x14ac:dyDescent="0.3">
      <c r="A317" s="3"/>
      <c r="B317" s="3"/>
      <c r="C317" s="137"/>
      <c r="D317" s="28"/>
      <c r="E317" s="28"/>
      <c r="F317" s="101"/>
      <c r="G317" s="101"/>
      <c r="H317" s="101"/>
      <c r="I317" s="28"/>
      <c r="J317" s="28"/>
      <c r="K317" s="28"/>
      <c r="L317" s="28"/>
      <c r="M317" s="28"/>
      <c r="N317" s="28"/>
      <c r="O317" s="28"/>
      <c r="P317" s="3"/>
    </row>
    <row r="318" spans="1:16" ht="15.75" customHeight="1" x14ac:dyDescent="0.3">
      <c r="A318" s="3"/>
      <c r="B318" s="3"/>
      <c r="C318" s="137"/>
      <c r="D318" s="28"/>
      <c r="E318" s="28"/>
      <c r="F318" s="101"/>
      <c r="G318" s="101"/>
      <c r="H318" s="101"/>
      <c r="I318" s="28"/>
      <c r="J318" s="28"/>
      <c r="K318" s="28"/>
      <c r="L318" s="28"/>
      <c r="M318" s="28"/>
      <c r="N318" s="28"/>
      <c r="O318" s="28"/>
      <c r="P318" s="3"/>
    </row>
    <row r="319" spans="1:16" ht="15.75" customHeight="1" x14ac:dyDescent="0.3">
      <c r="A319" s="3"/>
      <c r="B319" s="3"/>
      <c r="C319" s="137"/>
      <c r="D319" s="28"/>
      <c r="E319" s="28"/>
      <c r="F319" s="101"/>
      <c r="G319" s="101"/>
      <c r="H319" s="101"/>
      <c r="I319" s="28"/>
      <c r="J319" s="28"/>
      <c r="K319" s="28"/>
      <c r="L319" s="28"/>
      <c r="M319" s="28"/>
      <c r="N319" s="28"/>
      <c r="O319" s="28"/>
      <c r="P319" s="3"/>
    </row>
    <row r="320" spans="1:16" ht="15.75" customHeight="1" x14ac:dyDescent="0.3">
      <c r="A320" s="3"/>
      <c r="B320" s="3"/>
      <c r="C320" s="137"/>
      <c r="D320" s="28"/>
      <c r="E320" s="28"/>
      <c r="F320" s="101"/>
      <c r="G320" s="101"/>
      <c r="H320" s="101"/>
      <c r="I320" s="28"/>
      <c r="J320" s="28"/>
      <c r="K320" s="28"/>
      <c r="L320" s="28"/>
      <c r="M320" s="28"/>
      <c r="N320" s="28"/>
      <c r="O320" s="28"/>
      <c r="P320" s="3"/>
    </row>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sheetData>
  <mergeCells count="9">
    <mergeCell ref="C44:C45"/>
    <mergeCell ref="D44:O44"/>
    <mergeCell ref="B2:B3"/>
    <mergeCell ref="C2:F2"/>
    <mergeCell ref="C4:F4"/>
    <mergeCell ref="B20:B21"/>
    <mergeCell ref="C20:C21"/>
    <mergeCell ref="D20:O20"/>
    <mergeCell ref="B44:B45"/>
  </mergeCells>
  <conditionalFormatting sqref="C4">
    <cfRule type="cellIs" dxfId="3" priority="1" operator="greaterThan">
      <formula>0</formula>
    </cfRule>
    <cfRule type="cellIs" dxfId="2" priority="2" operator="lessThan">
      <formula>0</formula>
    </cfRule>
  </conditionalFormatting>
  <conditionalFormatting sqref="E5:F16">
    <cfRule type="cellIs" dxfId="1" priority="3" operator="greaterThan">
      <formula>0</formula>
    </cfRule>
    <cfRule type="cellIs" dxfId="0" priority="4" operator="lessThan">
      <formula>0</formula>
    </cfRule>
  </conditionalFormatting>
  <pageMargins left="0.511811024" right="0.511811024" top="0.78740157499999996" bottom="0.78740157499999996" header="0" footer="0"/>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00000"/>
  </sheetPr>
  <dimension ref="A1:Z220"/>
  <sheetViews>
    <sheetView showGridLines="0" workbookViewId="0">
      <selection activeCell="F7" sqref="F7"/>
    </sheetView>
  </sheetViews>
  <sheetFormatPr defaultColWidth="14.44140625" defaultRowHeight="14.4" x14ac:dyDescent="0.3"/>
  <cols>
    <col min="1" max="1" width="36.109375" customWidth="1"/>
    <col min="2" max="2" width="9.109375" customWidth="1"/>
    <col min="3" max="3" width="9.109375" hidden="1" customWidth="1"/>
    <col min="4" max="4" width="10.5546875" hidden="1" customWidth="1"/>
    <col min="5" max="5" width="12.88671875" customWidth="1"/>
    <col min="6" max="6" width="31.77734375" customWidth="1"/>
    <col min="7" max="7" width="14.5546875" bestFit="1" customWidth="1"/>
    <col min="8" max="8" width="45.5546875" customWidth="1"/>
    <col min="9" max="9" width="16" hidden="1" customWidth="1"/>
    <col min="10" max="26" width="8.6640625" customWidth="1"/>
  </cols>
  <sheetData>
    <row r="1" spans="1:26" ht="27.6" x14ac:dyDescent="0.3">
      <c r="A1" s="186" t="s">
        <v>51</v>
      </c>
      <c r="B1" s="186" t="s">
        <v>76</v>
      </c>
      <c r="C1" s="186" t="s">
        <v>77</v>
      </c>
      <c r="D1" s="186" t="s">
        <v>78</v>
      </c>
      <c r="E1" s="186" t="s">
        <v>272</v>
      </c>
      <c r="F1" s="187" t="s">
        <v>80</v>
      </c>
      <c r="G1" s="187" t="s">
        <v>2298</v>
      </c>
      <c r="H1" s="187" t="s">
        <v>2299</v>
      </c>
      <c r="I1" s="169" t="s">
        <v>2300</v>
      </c>
      <c r="J1" s="29"/>
      <c r="K1" s="29"/>
      <c r="L1" s="29"/>
      <c r="M1" s="29"/>
      <c r="N1" s="29"/>
      <c r="O1" s="29"/>
      <c r="P1" s="29"/>
      <c r="Q1" s="29"/>
      <c r="R1" s="29"/>
      <c r="S1" s="29"/>
      <c r="T1" s="29"/>
      <c r="U1" s="29"/>
      <c r="V1" s="29"/>
      <c r="W1" s="29"/>
      <c r="X1" s="29"/>
      <c r="Y1" s="29"/>
      <c r="Z1" s="29"/>
    </row>
    <row r="2" spans="1:26" ht="28.8" x14ac:dyDescent="0.3">
      <c r="A2" s="188" t="str" cm="1">
        <f t="array" ref="A2:I66">_xlfn._xlws.SORT(_xlfn._xlws.FILTER('DEZ-Despesas'!B:J,'DEZ-Despesas'!D:D="OK",""),2,1)</f>
        <v>Salário</v>
      </c>
      <c r="B2" s="189">
        <v>1</v>
      </c>
      <c r="C2" s="190" t="str">
        <v>OK</v>
      </c>
      <c r="D2" s="191">
        <v>0</v>
      </c>
      <c r="E2" s="191">
        <v>757.34</v>
      </c>
      <c r="F2" s="192">
        <v>0</v>
      </c>
      <c r="G2" s="192" t="str">
        <v>Banco - Cora</v>
      </c>
      <c r="H2" s="192" t="str">
        <v>https://drive.google.com/open?id=1xJaB3ek8X6pqfqN8ukoXV_irrcN9dMSa&amp;usp=drive_fs</v>
      </c>
      <c r="I2" s="72">
        <v>0</v>
      </c>
      <c r="J2" s="29"/>
      <c r="K2" s="29"/>
      <c r="L2" s="29"/>
      <c r="M2" s="29"/>
      <c r="N2" s="29"/>
      <c r="O2" s="29"/>
      <c r="P2" s="29"/>
      <c r="Q2" s="29"/>
      <c r="R2" s="29"/>
      <c r="S2" s="29"/>
      <c r="T2" s="29"/>
      <c r="U2" s="29"/>
      <c r="V2" s="29"/>
      <c r="W2" s="29"/>
      <c r="X2" s="29"/>
      <c r="Y2" s="29"/>
      <c r="Z2" s="29"/>
    </row>
    <row r="3" spans="1:26" ht="28.8" x14ac:dyDescent="0.3">
      <c r="A3" s="188" t="str">
        <v>Lanche</v>
      </c>
      <c r="B3" s="189">
        <v>1</v>
      </c>
      <c r="C3" s="190" t="str">
        <v>OK</v>
      </c>
      <c r="D3" s="191">
        <v>0</v>
      </c>
      <c r="E3" s="191">
        <v>30</v>
      </c>
      <c r="F3" s="192" t="str">
        <v>Água de coco</v>
      </c>
      <c r="G3" s="192" t="str">
        <v>Banco - Cora</v>
      </c>
      <c r="H3" s="192" t="str">
        <v>https://drive.google.com/open?id=1MCVI3wsm_Njl4-4oOuwK9Ys0B-og8KU6&amp;usp=drive_fs</v>
      </c>
      <c r="I3" s="72">
        <v>0</v>
      </c>
      <c r="J3" s="29"/>
      <c r="K3" s="29"/>
      <c r="L3" s="29"/>
      <c r="M3" s="29"/>
      <c r="N3" s="29"/>
      <c r="O3" s="29"/>
      <c r="P3" s="29"/>
      <c r="Q3" s="29"/>
      <c r="R3" s="29"/>
      <c r="S3" s="29"/>
      <c r="T3" s="29"/>
      <c r="U3" s="29"/>
      <c r="V3" s="29"/>
      <c r="W3" s="29"/>
      <c r="X3" s="29"/>
      <c r="Y3" s="29"/>
      <c r="Z3" s="29"/>
    </row>
    <row r="4" spans="1:26" ht="28.8" x14ac:dyDescent="0.3">
      <c r="A4" s="188" t="str">
        <v>Lanche</v>
      </c>
      <c r="B4" s="189">
        <v>2</v>
      </c>
      <c r="C4" s="190" t="str">
        <v>OK</v>
      </c>
      <c r="D4" s="191">
        <v>0</v>
      </c>
      <c r="E4" s="191">
        <v>605.6</v>
      </c>
      <c r="F4" s="192">
        <v>0</v>
      </c>
      <c r="G4" s="192" t="str">
        <v>Banco - Cora</v>
      </c>
      <c r="H4" s="192" t="str">
        <v>https://drive.google.com/open?id=1Zm6OmJGSnykG_aNF7wqBaQwzgDdCgGlC&amp;usp=drive_fs</v>
      </c>
      <c r="I4" s="72">
        <v>0</v>
      </c>
      <c r="J4" s="29"/>
      <c r="K4" s="29"/>
      <c r="L4" s="29"/>
      <c r="M4" s="29"/>
      <c r="N4" s="29"/>
      <c r="O4" s="29"/>
      <c r="P4" s="29"/>
      <c r="Q4" s="29"/>
      <c r="R4" s="29"/>
      <c r="S4" s="29"/>
      <c r="T4" s="29"/>
      <c r="U4" s="29"/>
      <c r="V4" s="29"/>
      <c r="W4" s="29"/>
      <c r="X4" s="29"/>
      <c r="Y4" s="29"/>
      <c r="Z4" s="29"/>
    </row>
    <row r="5" spans="1:26" ht="28.8" x14ac:dyDescent="0.3">
      <c r="A5" s="188" t="str">
        <v>Lanche</v>
      </c>
      <c r="B5" s="189">
        <v>2</v>
      </c>
      <c r="C5" s="190" t="str">
        <v>OK</v>
      </c>
      <c r="D5" s="191">
        <v>0</v>
      </c>
      <c r="E5" s="191">
        <v>170</v>
      </c>
      <c r="F5" s="192">
        <v>0</v>
      </c>
      <c r="G5" s="192" t="str">
        <v>Banco - Cora</v>
      </c>
      <c r="H5" s="192" t="str">
        <v>https://drive.google.com/open?id=1xJ7Oj8CbCi7Q6BC6KFFTYnrr_COOX9Dt&amp;usp=drive_fs</v>
      </c>
      <c r="I5" s="72">
        <v>0</v>
      </c>
      <c r="J5" s="29"/>
      <c r="K5" s="29"/>
      <c r="L5" s="29"/>
      <c r="M5" s="29"/>
      <c r="N5" s="29"/>
      <c r="O5" s="29"/>
      <c r="P5" s="29"/>
      <c r="Q5" s="29"/>
      <c r="R5" s="29"/>
      <c r="S5" s="29"/>
      <c r="T5" s="29"/>
      <c r="U5" s="29"/>
      <c r="V5" s="29"/>
      <c r="W5" s="29"/>
      <c r="X5" s="29"/>
      <c r="Y5" s="29"/>
      <c r="Z5" s="29"/>
    </row>
    <row r="6" spans="1:26" ht="28.8" x14ac:dyDescent="0.3">
      <c r="A6" s="188" t="str">
        <v>Acampamento</v>
      </c>
      <c r="B6" s="189">
        <v>2</v>
      </c>
      <c r="C6" s="190" t="str">
        <v>OK</v>
      </c>
      <c r="D6" s="191">
        <v>0</v>
      </c>
      <c r="E6" s="191">
        <v>83.12</v>
      </c>
      <c r="F6" s="192">
        <v>0</v>
      </c>
      <c r="G6" s="192" t="str">
        <v>Banco - Cora</v>
      </c>
      <c r="H6" s="192" t="str">
        <v>https://drive.google.com/open?id=1wjG_Z0VFksZQ9smqXdTOv6grt4nK6v2z&amp;usp=drive_fs</v>
      </c>
      <c r="I6" s="72">
        <v>0</v>
      </c>
      <c r="J6" s="29"/>
      <c r="K6" s="29"/>
      <c r="L6" s="29"/>
      <c r="M6" s="29"/>
      <c r="N6" s="29"/>
      <c r="O6" s="29"/>
      <c r="P6" s="29"/>
      <c r="Q6" s="29"/>
      <c r="R6" s="29"/>
      <c r="S6" s="29"/>
      <c r="T6" s="29"/>
      <c r="U6" s="29"/>
      <c r="V6" s="29"/>
      <c r="W6" s="29"/>
      <c r="X6" s="29"/>
      <c r="Y6" s="29"/>
      <c r="Z6" s="29"/>
    </row>
    <row r="7" spans="1:26" ht="28.8" x14ac:dyDescent="0.3">
      <c r="A7" s="188" t="str">
        <v>Acampamento</v>
      </c>
      <c r="B7" s="189">
        <v>2</v>
      </c>
      <c r="C7" s="190" t="str">
        <v>OK</v>
      </c>
      <c r="D7" s="191">
        <v>0</v>
      </c>
      <c r="E7" s="191">
        <v>53.4</v>
      </c>
      <c r="F7" s="192">
        <v>0</v>
      </c>
      <c r="G7" s="192" t="str">
        <v>Banco - Cora</v>
      </c>
      <c r="H7" s="192" t="str">
        <v>https://drive.google.com/open?id=1AmIq3fMPh9lC3w_QJeJ7IFJmrKRdsZoG&amp;usp=drive_fs</v>
      </c>
      <c r="I7" s="72">
        <v>0</v>
      </c>
      <c r="J7" s="29"/>
      <c r="K7" s="29"/>
      <c r="L7" s="29"/>
      <c r="M7" s="29"/>
      <c r="N7" s="29"/>
      <c r="O7" s="29"/>
      <c r="P7" s="29"/>
      <c r="Q7" s="29"/>
      <c r="R7" s="29"/>
      <c r="S7" s="29"/>
      <c r="T7" s="29"/>
      <c r="U7" s="29"/>
      <c r="V7" s="29"/>
      <c r="W7" s="29"/>
      <c r="X7" s="29"/>
      <c r="Y7" s="29"/>
      <c r="Z7" s="29"/>
    </row>
    <row r="8" spans="1:26" ht="28.8" x14ac:dyDescent="0.3">
      <c r="A8" s="188" t="str">
        <v>Acampamento</v>
      </c>
      <c r="B8" s="189">
        <v>2</v>
      </c>
      <c r="C8" s="190" t="str">
        <v>OK</v>
      </c>
      <c r="D8" s="191">
        <v>0</v>
      </c>
      <c r="E8" s="191">
        <v>229.95</v>
      </c>
      <c r="F8" s="192">
        <v>0</v>
      </c>
      <c r="G8" s="192" t="str">
        <v>Banco - Cora</v>
      </c>
      <c r="H8" s="192" t="str">
        <v>https://drive.google.com/open?id=1eT4M-p7MAPDEBXGInbDzuzLORdTmmaML&amp;usp=drive_fs</v>
      </c>
      <c r="I8" s="72">
        <v>0</v>
      </c>
      <c r="J8" s="29"/>
      <c r="K8" s="29"/>
      <c r="L8" s="29"/>
      <c r="M8" s="29"/>
      <c r="N8" s="29"/>
      <c r="O8" s="29"/>
      <c r="P8" s="29"/>
      <c r="Q8" s="29"/>
      <c r="R8" s="29"/>
      <c r="S8" s="29"/>
      <c r="T8" s="29"/>
      <c r="U8" s="29"/>
      <c r="V8" s="29"/>
      <c r="W8" s="29"/>
      <c r="X8" s="29"/>
      <c r="Y8" s="29"/>
      <c r="Z8" s="29"/>
    </row>
    <row r="9" spans="1:26" ht="28.8" x14ac:dyDescent="0.3">
      <c r="A9" s="188" t="str">
        <v>Acampamento</v>
      </c>
      <c r="B9" s="189">
        <v>2</v>
      </c>
      <c r="C9" s="190" t="str">
        <v>OK</v>
      </c>
      <c r="D9" s="191">
        <v>0</v>
      </c>
      <c r="E9" s="191">
        <v>709.19</v>
      </c>
      <c r="F9" s="192">
        <v>0</v>
      </c>
      <c r="G9" s="192" t="str">
        <v>Banco - Cora</v>
      </c>
      <c r="H9" s="192" t="str">
        <v>https://drive.google.com/open?id=11CSagB7-MTvxYmD7B9lobO9l7F8wUhbj&amp;usp=drive_fs</v>
      </c>
      <c r="I9" s="72">
        <v>0</v>
      </c>
      <c r="J9" s="29"/>
      <c r="K9" s="29"/>
      <c r="L9" s="29"/>
      <c r="M9" s="29"/>
      <c r="N9" s="29"/>
      <c r="O9" s="29"/>
      <c r="P9" s="29"/>
      <c r="Q9" s="29"/>
      <c r="R9" s="29"/>
      <c r="S9" s="29"/>
      <c r="T9" s="29"/>
      <c r="U9" s="29"/>
      <c r="V9" s="29"/>
      <c r="W9" s="29"/>
      <c r="X9" s="29"/>
      <c r="Y9" s="29"/>
      <c r="Z9" s="29"/>
    </row>
    <row r="10" spans="1:26" ht="28.8" x14ac:dyDescent="0.3">
      <c r="A10" s="188" t="str">
        <v>Acampamento</v>
      </c>
      <c r="B10" s="189">
        <v>2</v>
      </c>
      <c r="C10" s="190" t="str">
        <v>OK</v>
      </c>
      <c r="D10" s="191">
        <v>0</v>
      </c>
      <c r="E10" s="191">
        <v>113.9</v>
      </c>
      <c r="F10" s="192">
        <v>0</v>
      </c>
      <c r="G10" s="192" t="str">
        <v>Banco - Cora</v>
      </c>
      <c r="H10" s="192" t="str">
        <v>https://drive.google.com/open?id=19LJpUjJpsQeJbJnOKxbOcAzZNkmAxh4j&amp;usp=drive_fs</v>
      </c>
      <c r="I10" s="72">
        <v>0</v>
      </c>
      <c r="J10" s="29"/>
      <c r="K10" s="29"/>
      <c r="L10" s="29"/>
      <c r="M10" s="29"/>
      <c r="N10" s="29"/>
      <c r="O10" s="29"/>
      <c r="P10" s="29"/>
      <c r="Q10" s="29"/>
      <c r="R10" s="29"/>
      <c r="S10" s="29"/>
      <c r="T10" s="29"/>
      <c r="U10" s="29"/>
      <c r="V10" s="29"/>
      <c r="W10" s="29"/>
      <c r="X10" s="29"/>
      <c r="Y10" s="29"/>
      <c r="Z10" s="29"/>
    </row>
    <row r="11" spans="1:26" ht="28.8" x14ac:dyDescent="0.3">
      <c r="A11" s="188" t="str">
        <v>Acampamento</v>
      </c>
      <c r="B11" s="189">
        <v>2</v>
      </c>
      <c r="C11" s="190" t="str">
        <v>OK</v>
      </c>
      <c r="D11" s="191">
        <v>0</v>
      </c>
      <c r="E11" s="191">
        <v>44</v>
      </c>
      <c r="F11" s="192">
        <v>0</v>
      </c>
      <c r="G11" s="192" t="str">
        <v>Banco - Cora</v>
      </c>
      <c r="H11" s="192" t="str">
        <v>Pendente. Apenas pedido de venda. Aguardando retorno da Sarah.</v>
      </c>
      <c r="I11" s="72">
        <v>0</v>
      </c>
      <c r="J11" s="29"/>
      <c r="K11" s="29"/>
      <c r="L11" s="29"/>
      <c r="M11" s="29"/>
      <c r="N11" s="29"/>
      <c r="O11" s="29"/>
      <c r="P11" s="29"/>
      <c r="Q11" s="29"/>
      <c r="R11" s="29"/>
      <c r="S11" s="29"/>
      <c r="T11" s="29"/>
      <c r="U11" s="29"/>
      <c r="V11" s="29"/>
      <c r="W11" s="29"/>
      <c r="X11" s="29"/>
      <c r="Y11" s="29"/>
      <c r="Z11" s="29"/>
    </row>
    <row r="12" spans="1:26" ht="28.8" x14ac:dyDescent="0.3">
      <c r="A12" s="188" t="str">
        <v>Acampamento</v>
      </c>
      <c r="B12" s="189">
        <v>2</v>
      </c>
      <c r="C12" s="190" t="str">
        <v>OK</v>
      </c>
      <c r="D12" s="191">
        <v>0</v>
      </c>
      <c r="E12" s="191">
        <v>261.64</v>
      </c>
      <c r="F12" s="192">
        <v>0</v>
      </c>
      <c r="G12" s="192" t="str">
        <v>Banco - Cora</v>
      </c>
      <c r="H12" s="192" t="str">
        <v>https://drive.google.com/open?id=1mEbzVG_ZmQd8TdIQjDO9pkW1Xw_GBN4n&amp;usp=drive_fs</v>
      </c>
      <c r="I12" s="72">
        <v>0</v>
      </c>
      <c r="J12" s="29"/>
      <c r="K12" s="29"/>
      <c r="L12" s="29"/>
      <c r="M12" s="29"/>
      <c r="N12" s="29"/>
      <c r="O12" s="29"/>
      <c r="P12" s="29"/>
      <c r="Q12" s="29"/>
      <c r="R12" s="29"/>
      <c r="S12" s="29"/>
      <c r="T12" s="29"/>
      <c r="U12" s="29"/>
      <c r="V12" s="29"/>
      <c r="W12" s="29"/>
      <c r="X12" s="29"/>
      <c r="Y12" s="29"/>
      <c r="Z12" s="29"/>
    </row>
    <row r="13" spans="1:26" x14ac:dyDescent="0.3">
      <c r="A13" s="188" t="str">
        <v>Portão - valor de entrada</v>
      </c>
      <c r="B13" s="189">
        <v>3</v>
      </c>
      <c r="C13" s="190" t="str">
        <v>OK</v>
      </c>
      <c r="D13" s="191">
        <v>0</v>
      </c>
      <c r="E13" s="191">
        <v>1750</v>
      </c>
      <c r="F13" s="192">
        <v>0</v>
      </c>
      <c r="G13" s="192" t="str">
        <v>Banco - Cora</v>
      </c>
      <c r="H13" s="192" t="str">
        <v>Pendente M. Marcelo enviar</v>
      </c>
      <c r="I13" s="72">
        <v>0</v>
      </c>
      <c r="J13" s="29"/>
      <c r="K13" s="29"/>
      <c r="L13" s="29"/>
      <c r="M13" s="29"/>
      <c r="N13" s="29"/>
      <c r="O13" s="29"/>
      <c r="P13" s="29"/>
      <c r="Q13" s="29"/>
      <c r="R13" s="29"/>
      <c r="S13" s="29"/>
      <c r="T13" s="29"/>
      <c r="U13" s="29"/>
      <c r="V13" s="29"/>
      <c r="W13" s="29"/>
      <c r="X13" s="29"/>
      <c r="Y13" s="29"/>
      <c r="Z13" s="29"/>
    </row>
    <row r="14" spans="1:26" ht="28.8" x14ac:dyDescent="0.3">
      <c r="A14" s="188" t="str">
        <v>Gás de cozinha</v>
      </c>
      <c r="B14" s="189">
        <v>6</v>
      </c>
      <c r="C14" s="190" t="str">
        <v>OK</v>
      </c>
      <c r="D14" s="191">
        <v>0</v>
      </c>
      <c r="E14" s="191">
        <v>120</v>
      </c>
      <c r="F14" s="192">
        <v>0</v>
      </c>
      <c r="G14" s="192" t="str">
        <v>Banco - Cora</v>
      </c>
      <c r="H14" s="192" t="str">
        <v>https://drive.google.com/open?id=12TO3LeyMV2s8vKVSuUKrw2Ty84ElqhON&amp;usp=drive_fs</v>
      </c>
      <c r="I14" s="72">
        <v>0</v>
      </c>
      <c r="J14" s="29"/>
      <c r="K14" s="29"/>
      <c r="L14" s="29"/>
      <c r="M14" s="29"/>
      <c r="N14" s="29"/>
      <c r="O14" s="29"/>
      <c r="P14" s="29"/>
      <c r="Q14" s="29"/>
      <c r="R14" s="29"/>
      <c r="S14" s="29"/>
      <c r="T14" s="29"/>
      <c r="U14" s="29"/>
      <c r="V14" s="29"/>
      <c r="W14" s="29"/>
      <c r="X14" s="29"/>
      <c r="Y14" s="29"/>
      <c r="Z14" s="29"/>
    </row>
    <row r="15" spans="1:26" ht="43.2" x14ac:dyDescent="0.3">
      <c r="A15" s="188" t="str">
        <v>Flor Divina</v>
      </c>
      <c r="B15" s="189">
        <v>9</v>
      </c>
      <c r="C15" s="190" t="str">
        <v>OK</v>
      </c>
      <c r="D15" s="191">
        <v>0</v>
      </c>
      <c r="E15" s="191">
        <v>4203.57</v>
      </c>
      <c r="F15" s="192" t="str">
        <v>Novembro. Valor total do repasse: R$ 4.283,57, porém R$ 80 é pago a partir do caixa do plantio.</v>
      </c>
      <c r="G15" s="192" t="str">
        <v>Banco - Cora</v>
      </c>
      <c r="H15" s="192" t="str">
        <v>https://drive.google.com/open?id=1YzSbhF2G76vaDU4kXIE8dtrN8FiV1JnH&amp;usp=drive_fs</v>
      </c>
      <c r="I15" s="72">
        <v>0</v>
      </c>
      <c r="J15" s="29"/>
      <c r="K15" s="29"/>
      <c r="L15" s="29"/>
      <c r="M15" s="29"/>
      <c r="N15" s="29"/>
      <c r="O15" s="29"/>
      <c r="P15" s="29"/>
      <c r="Q15" s="29"/>
      <c r="R15" s="29"/>
      <c r="S15" s="29"/>
      <c r="T15" s="29"/>
      <c r="U15" s="29"/>
      <c r="V15" s="29"/>
      <c r="W15" s="29"/>
      <c r="X15" s="29"/>
      <c r="Y15" s="29"/>
      <c r="Z15" s="29"/>
    </row>
    <row r="16" spans="1:26" ht="28.8" x14ac:dyDescent="0.3">
      <c r="A16" s="188" t="str">
        <v>Câmeras de segurança</v>
      </c>
      <c r="B16" s="189">
        <v>9</v>
      </c>
      <c r="C16" s="190" t="str">
        <v>OK</v>
      </c>
      <c r="D16" s="191">
        <v>0</v>
      </c>
      <c r="E16" s="191">
        <v>264.02</v>
      </c>
      <c r="F16" s="192" t="str">
        <v>Parcela 8 de 10</v>
      </c>
      <c r="G16" s="192" t="str">
        <v>Banco - Cora</v>
      </c>
      <c r="H16" s="192" t="str">
        <v>https://drive.google.com/open?id=1i7I0Z9d3ExTEg__kKmo2TJqQ-WMwb-Qr&amp;usp=drive_fs</v>
      </c>
      <c r="I16" s="72">
        <v>0</v>
      </c>
      <c r="J16" s="29"/>
      <c r="K16" s="29"/>
      <c r="L16" s="29"/>
      <c r="M16" s="29"/>
      <c r="N16" s="29"/>
      <c r="O16" s="29"/>
      <c r="P16" s="29"/>
      <c r="Q16" s="29"/>
      <c r="R16" s="29"/>
      <c r="S16" s="29"/>
      <c r="T16" s="29"/>
      <c r="U16" s="29"/>
      <c r="V16" s="29"/>
      <c r="W16" s="29"/>
      <c r="X16" s="29"/>
      <c r="Y16" s="29"/>
      <c r="Z16" s="29"/>
    </row>
    <row r="17" spans="1:26" ht="28.8" x14ac:dyDescent="0.3">
      <c r="A17" s="188" t="str">
        <v>Mesa ping pong e totó</v>
      </c>
      <c r="B17" s="189">
        <v>9</v>
      </c>
      <c r="C17" s="190" t="str">
        <v>OK</v>
      </c>
      <c r="D17" s="191">
        <v>0</v>
      </c>
      <c r="E17" s="191">
        <v>365.42</v>
      </c>
      <c r="F17" s="192" t="str">
        <v>Parcela 4 de 10</v>
      </c>
      <c r="G17" s="192" t="str">
        <v>Banco - Cora</v>
      </c>
      <c r="H17" s="192" t="str">
        <v>https://drive.google.com/open?id=1ElyhftUr_nqORbXzmbMayNk7N6r2M0AV&amp;usp=drive_fs</v>
      </c>
      <c r="I17" s="72">
        <v>0</v>
      </c>
      <c r="J17" s="29"/>
      <c r="K17" s="29"/>
      <c r="L17" s="29"/>
      <c r="M17" s="29"/>
      <c r="N17" s="29"/>
      <c r="O17" s="29"/>
      <c r="P17" s="29"/>
      <c r="Q17" s="29"/>
      <c r="R17" s="29"/>
      <c r="S17" s="29"/>
      <c r="T17" s="29"/>
      <c r="U17" s="29"/>
      <c r="V17" s="29"/>
      <c r="W17" s="29"/>
      <c r="X17" s="29"/>
      <c r="Y17" s="29"/>
      <c r="Z17" s="29"/>
    </row>
    <row r="18" spans="1:26" ht="28.8" x14ac:dyDescent="0.3">
      <c r="A18" s="188" t="str">
        <v>Coroa de flores Klecius</v>
      </c>
      <c r="B18" s="189">
        <v>9</v>
      </c>
      <c r="C18" s="190" t="str">
        <v>OK</v>
      </c>
      <c r="D18" s="191">
        <v>0</v>
      </c>
      <c r="E18" s="191">
        <v>320</v>
      </c>
      <c r="F18" s="192">
        <v>0</v>
      </c>
      <c r="G18" s="192" t="str">
        <v>Banco - Cora</v>
      </c>
      <c r="H18" s="192" t="str">
        <v>https://drive.google.com/open?id=1WmvktmUBfFS8FP4rGthCGEJVEEspv8us&amp;usp=drive_fs</v>
      </c>
      <c r="I18" s="72">
        <v>0</v>
      </c>
      <c r="J18" s="29"/>
      <c r="K18" s="29"/>
      <c r="L18" s="29"/>
      <c r="M18" s="29"/>
      <c r="N18" s="29"/>
      <c r="O18" s="29"/>
      <c r="P18" s="29"/>
      <c r="Q18" s="29"/>
      <c r="R18" s="29"/>
      <c r="S18" s="29"/>
      <c r="T18" s="29"/>
      <c r="U18" s="29"/>
      <c r="V18" s="29"/>
      <c r="W18" s="29"/>
      <c r="X18" s="29"/>
      <c r="Y18" s="29"/>
      <c r="Z18" s="29"/>
    </row>
    <row r="19" spans="1:26" ht="28.8" x14ac:dyDescent="0.3">
      <c r="A19" s="188" t="str">
        <v>Mercado</v>
      </c>
      <c r="B19" s="189">
        <v>9</v>
      </c>
      <c r="C19" s="190" t="str">
        <v>OK</v>
      </c>
      <c r="D19" s="191">
        <v>0</v>
      </c>
      <c r="E19" s="191">
        <v>179.9</v>
      </c>
      <c r="F19" s="192">
        <v>0</v>
      </c>
      <c r="G19" s="192" t="str">
        <v>Banco - Cora</v>
      </c>
      <c r="H19" s="192" t="str">
        <v>https://drive.google.com/open?id=1OulidxtkKtFSJy75ncjYg2r8Ylhc0sqx&amp;usp=drive_fs</v>
      </c>
      <c r="I19" s="72">
        <v>0</v>
      </c>
      <c r="J19" s="29"/>
      <c r="K19" s="29"/>
      <c r="L19" s="29"/>
      <c r="M19" s="29"/>
      <c r="N19" s="29"/>
      <c r="O19" s="29"/>
      <c r="P19" s="29"/>
      <c r="Q19" s="29"/>
      <c r="R19" s="29"/>
      <c r="S19" s="29"/>
      <c r="T19" s="29"/>
      <c r="U19" s="29"/>
      <c r="V19" s="29"/>
      <c r="W19" s="29"/>
      <c r="X19" s="29"/>
      <c r="Y19" s="29"/>
      <c r="Z19" s="29"/>
    </row>
    <row r="20" spans="1:26" ht="28.8" x14ac:dyDescent="0.3">
      <c r="A20" s="188" t="str">
        <v>Lanche - 1a escala</v>
      </c>
      <c r="B20" s="189">
        <v>9</v>
      </c>
      <c r="C20" s="190" t="str">
        <v>OK</v>
      </c>
      <c r="D20" s="191">
        <v>0</v>
      </c>
      <c r="E20" s="191">
        <v>60</v>
      </c>
      <c r="F20" s="192" t="str">
        <v>Água de coco</v>
      </c>
      <c r="G20" s="192" t="str">
        <v>Banco - Cora</v>
      </c>
      <c r="H20" s="192" t="str">
        <v>https://drive.google.com/open?id=1MCVI3wsm_Njl4-4oOuwK9Ys0B-og8KU6&amp;usp=drive_fs</v>
      </c>
      <c r="I20" s="72">
        <v>0</v>
      </c>
      <c r="J20" s="29"/>
      <c r="K20" s="29"/>
      <c r="L20" s="29"/>
      <c r="M20" s="29"/>
      <c r="N20" s="29"/>
      <c r="O20" s="29"/>
      <c r="P20" s="29"/>
      <c r="Q20" s="29"/>
      <c r="R20" s="29"/>
      <c r="S20" s="29"/>
      <c r="T20" s="29"/>
      <c r="U20" s="29"/>
      <c r="V20" s="29"/>
      <c r="W20" s="29"/>
      <c r="X20" s="29"/>
      <c r="Y20" s="29"/>
      <c r="Z20" s="29"/>
    </row>
    <row r="21" spans="1:26" ht="28.8" x14ac:dyDescent="0.3">
      <c r="A21" s="188" t="str">
        <v>Lanche - 1a escala</v>
      </c>
      <c r="B21" s="189">
        <v>9</v>
      </c>
      <c r="C21" s="190" t="str">
        <v>OK</v>
      </c>
      <c r="D21" s="191">
        <v>0</v>
      </c>
      <c r="E21" s="191">
        <v>172.85</v>
      </c>
      <c r="F21" s="192">
        <v>0</v>
      </c>
      <c r="G21" s="192" t="str">
        <v>Banco - Cora</v>
      </c>
      <c r="H21" s="192" t="str">
        <v>https://drive.google.com/open?id=17pomqv8wWfk4GiY2vzKeUF2H0khH84o7&amp;usp=drive_fs</v>
      </c>
      <c r="I21" s="72">
        <v>0</v>
      </c>
      <c r="J21" s="29"/>
      <c r="K21" s="29"/>
      <c r="L21" s="29"/>
      <c r="M21" s="29"/>
      <c r="N21" s="29"/>
      <c r="O21" s="29"/>
      <c r="P21" s="29"/>
      <c r="Q21" s="29"/>
      <c r="R21" s="29"/>
      <c r="S21" s="29"/>
      <c r="T21" s="29"/>
      <c r="U21" s="29"/>
      <c r="V21" s="29"/>
      <c r="W21" s="29"/>
      <c r="X21" s="29"/>
      <c r="Y21" s="29"/>
      <c r="Z21" s="29"/>
    </row>
    <row r="22" spans="1:26" ht="28.8" x14ac:dyDescent="0.3">
      <c r="A22" s="188" t="str">
        <v>Mercado</v>
      </c>
      <c r="B22" s="189">
        <v>9</v>
      </c>
      <c r="C22" s="190" t="str">
        <v>OK</v>
      </c>
      <c r="D22" s="191">
        <v>0</v>
      </c>
      <c r="E22" s="191">
        <v>277.25</v>
      </c>
      <c r="F22" s="192">
        <v>0</v>
      </c>
      <c r="G22" s="192" t="str">
        <v>Banco - Cora</v>
      </c>
      <c r="H22" s="192" t="str">
        <v>https://drive.google.com/open?id=1eAZvjfd1-EWMPP4XUov-ygluxfxXt9C2&amp;usp=drive_fs</v>
      </c>
      <c r="I22" s="72">
        <v>0</v>
      </c>
      <c r="J22" s="29"/>
      <c r="K22" s="29"/>
      <c r="L22" s="29"/>
      <c r="M22" s="29"/>
      <c r="N22" s="29"/>
      <c r="O22" s="29"/>
      <c r="P22" s="29"/>
      <c r="Q22" s="29"/>
      <c r="R22" s="29"/>
      <c r="S22" s="29"/>
      <c r="T22" s="29"/>
      <c r="U22" s="29"/>
      <c r="V22" s="29"/>
      <c r="W22" s="29"/>
      <c r="X22" s="29"/>
      <c r="Y22" s="29"/>
      <c r="Z22" s="29"/>
    </row>
    <row r="23" spans="1:26" ht="28.8" x14ac:dyDescent="0.3">
      <c r="A23" s="188" t="str">
        <v>Acampamento</v>
      </c>
      <c r="B23" s="189">
        <v>9</v>
      </c>
      <c r="C23" s="190" t="str">
        <v>OK</v>
      </c>
      <c r="D23" s="191">
        <v>0</v>
      </c>
      <c r="E23" s="191">
        <v>97.3</v>
      </c>
      <c r="F23" s="192" t="str">
        <v>Gráfica</v>
      </c>
      <c r="G23" s="192" t="str">
        <v>Banco - Cora</v>
      </c>
      <c r="H23" s="192" t="str">
        <v>https://drive.google.com/open?id=1IzcyuX2m4PUc_01BRMHpO_mjS-iBu40o&amp;usp=drive_fs</v>
      </c>
      <c r="I23" s="72">
        <v>0</v>
      </c>
      <c r="J23" s="29"/>
      <c r="K23" s="29"/>
      <c r="L23" s="29"/>
      <c r="M23" s="29"/>
      <c r="N23" s="29"/>
      <c r="O23" s="29"/>
      <c r="P23" s="29"/>
      <c r="Q23" s="29"/>
      <c r="R23" s="29"/>
      <c r="S23" s="29"/>
      <c r="T23" s="29"/>
      <c r="U23" s="29"/>
      <c r="V23" s="29"/>
      <c r="W23" s="29"/>
      <c r="X23" s="29"/>
      <c r="Y23" s="29"/>
      <c r="Z23" s="29"/>
    </row>
    <row r="24" spans="1:26" ht="43.2" x14ac:dyDescent="0.3">
      <c r="A24" s="188" t="str">
        <v>Compras parceladas no cartão de crédito</v>
      </c>
      <c r="B24" s="189">
        <v>9</v>
      </c>
      <c r="C24" s="190" t="str">
        <v>OK</v>
      </c>
      <c r="D24" s="191">
        <v>0</v>
      </c>
      <c r="E24" s="191">
        <v>1677.11</v>
      </c>
      <c r="F24" s="192" t="str">
        <v>Parcela 3</v>
      </c>
      <c r="G24" s="192" t="str">
        <v>Banco - Cora</v>
      </c>
      <c r="H24" s="192" t="str">
        <v>https://docs.google.com/spreadsheets/d/1Ace-3C_oNrjr7ccZ6w4O0F58nWWQSrkpUNh5zUPLNSI/edit?usp=sharing</v>
      </c>
      <c r="I24" s="72">
        <v>0</v>
      </c>
      <c r="J24" s="29"/>
      <c r="K24" s="29"/>
      <c r="L24" s="29"/>
      <c r="M24" s="29"/>
      <c r="N24" s="29"/>
      <c r="O24" s="29"/>
      <c r="P24" s="29"/>
      <c r="Q24" s="29"/>
      <c r="R24" s="29"/>
      <c r="S24" s="29"/>
      <c r="T24" s="29"/>
      <c r="U24" s="29"/>
      <c r="V24" s="29"/>
      <c r="W24" s="29"/>
      <c r="X24" s="29"/>
      <c r="Y24" s="29"/>
      <c r="Z24" s="29"/>
    </row>
    <row r="25" spans="1:26" ht="28.8" x14ac:dyDescent="0.3">
      <c r="A25" s="188" t="str">
        <v>Café da manhã - Dias de mutirão</v>
      </c>
      <c r="B25" s="189">
        <v>9</v>
      </c>
      <c r="C25" s="190" t="str">
        <v>OK</v>
      </c>
      <c r="D25" s="191">
        <v>0</v>
      </c>
      <c r="E25" s="191">
        <v>80</v>
      </c>
      <c r="F25" s="192" t="str">
        <v>Incluso no pix de R$ 4.283,57 para o Flor divina</v>
      </c>
      <c r="G25" s="192" t="str">
        <v>Banco - Cora</v>
      </c>
      <c r="H25" s="192" t="str">
        <v>https://drive.google.com/open?id=1YzSbhF2G76vaDU4kXIE8dtrN8FiV1JnH&amp;usp=drive_fs</v>
      </c>
      <c r="I25" s="72">
        <v>0</v>
      </c>
      <c r="J25" s="29"/>
      <c r="K25" s="29"/>
      <c r="L25" s="29"/>
      <c r="M25" s="29"/>
      <c r="N25" s="29"/>
      <c r="O25" s="29"/>
      <c r="P25" s="29"/>
      <c r="Q25" s="29"/>
      <c r="R25" s="29"/>
      <c r="S25" s="29"/>
      <c r="T25" s="29"/>
      <c r="U25" s="29"/>
      <c r="V25" s="29"/>
      <c r="W25" s="29"/>
      <c r="X25" s="29"/>
      <c r="Y25" s="29"/>
      <c r="Z25" s="29"/>
    </row>
    <row r="26" spans="1:26" ht="28.8" x14ac:dyDescent="0.3">
      <c r="A26" s="188" t="str">
        <v>Bazar - itens diversos</v>
      </c>
      <c r="B26" s="189">
        <v>9</v>
      </c>
      <c r="C26" s="190" t="str">
        <v>OK</v>
      </c>
      <c r="D26" s="191">
        <v>0</v>
      </c>
      <c r="E26" s="191">
        <v>348.78</v>
      </c>
      <c r="F26" s="192">
        <v>0</v>
      </c>
      <c r="G26" s="192" t="str">
        <v>Banco - Cora</v>
      </c>
      <c r="H26" s="192" t="str">
        <v>https://drive.google.com/open?id=1o7wyaKi1n1FMJlenmGeCwBYfi0UlNTM1&amp;usp=drive_fs</v>
      </c>
      <c r="I26" s="72">
        <v>0</v>
      </c>
      <c r="J26" s="29"/>
      <c r="K26" s="29"/>
      <c r="L26" s="29"/>
      <c r="M26" s="29"/>
      <c r="N26" s="29"/>
      <c r="O26" s="29"/>
      <c r="P26" s="29"/>
      <c r="Q26" s="29"/>
      <c r="R26" s="29"/>
      <c r="S26" s="29"/>
      <c r="T26" s="29"/>
      <c r="U26" s="29"/>
      <c r="V26" s="29"/>
      <c r="W26" s="29"/>
      <c r="X26" s="29"/>
      <c r="Y26" s="29"/>
      <c r="Z26" s="29"/>
    </row>
    <row r="27" spans="1:26" ht="28.8" x14ac:dyDescent="0.3">
      <c r="A27" s="188" t="str">
        <v>Acampamento</v>
      </c>
      <c r="B27" s="189">
        <v>10</v>
      </c>
      <c r="C27" s="190" t="str">
        <v>OK</v>
      </c>
      <c r="D27" s="191">
        <v>0</v>
      </c>
      <c r="E27" s="191">
        <v>26</v>
      </c>
      <c r="F27" s="192">
        <v>0</v>
      </c>
      <c r="G27" s="192" t="str">
        <v>Banco - Cora</v>
      </c>
      <c r="H27" s="192" t="str">
        <v>https://drive.google.com/open?id=1ortp6lK9cATtv9hWyt5k9J8fQtycL0HQ&amp;usp=drive_fs</v>
      </c>
      <c r="I27" s="72">
        <v>0</v>
      </c>
      <c r="J27" s="29"/>
      <c r="K27" s="29"/>
      <c r="L27" s="29"/>
      <c r="M27" s="29"/>
      <c r="N27" s="29"/>
      <c r="O27" s="29"/>
      <c r="P27" s="29"/>
      <c r="Q27" s="29"/>
      <c r="R27" s="29"/>
      <c r="S27" s="29"/>
      <c r="T27" s="29"/>
      <c r="U27" s="29"/>
      <c r="V27" s="29"/>
      <c r="W27" s="29"/>
      <c r="X27" s="29"/>
      <c r="Y27" s="29"/>
      <c r="Z27" s="29"/>
    </row>
    <row r="28" spans="1:26" ht="28.8" x14ac:dyDescent="0.3">
      <c r="A28" s="188" t="str">
        <v>Pagamento mensal CDUCM - Rateio aluguel</v>
      </c>
      <c r="B28" s="189">
        <v>11</v>
      </c>
      <c r="C28" s="190" t="str">
        <v>OK</v>
      </c>
      <c r="D28" s="191">
        <v>0</v>
      </c>
      <c r="E28" s="191">
        <v>100</v>
      </c>
      <c r="F28" s="192">
        <v>0</v>
      </c>
      <c r="G28" s="192" t="str">
        <v>Banco - Cora</v>
      </c>
      <c r="H28" s="192" t="str">
        <v>https://drive.google.com/open?id=1HYebcHYfDoh1f0I_hfGoCXLAy0SY0T1p&amp;usp=drive_fs</v>
      </c>
      <c r="I28" s="72">
        <v>0</v>
      </c>
      <c r="J28" s="29"/>
      <c r="K28" s="29"/>
      <c r="L28" s="29"/>
      <c r="M28" s="29"/>
      <c r="N28" s="29"/>
      <c r="O28" s="29"/>
      <c r="P28" s="29"/>
      <c r="Q28" s="29"/>
      <c r="R28" s="29"/>
      <c r="S28" s="29"/>
      <c r="T28" s="29"/>
      <c r="U28" s="29"/>
      <c r="V28" s="29"/>
      <c r="W28" s="29"/>
      <c r="X28" s="29"/>
      <c r="Y28" s="29"/>
      <c r="Z28" s="29"/>
    </row>
    <row r="29" spans="1:26" ht="28.8" x14ac:dyDescent="0.3">
      <c r="A29" s="188" t="str">
        <v>13° Salário</v>
      </c>
      <c r="B29" s="189">
        <v>16</v>
      </c>
      <c r="C29" s="190" t="str">
        <v>OK</v>
      </c>
      <c r="D29" s="191">
        <v>0</v>
      </c>
      <c r="E29" s="191">
        <v>368.68</v>
      </c>
      <c r="F29" s="192" t="str">
        <v>2a parcela</v>
      </c>
      <c r="G29" s="192" t="str">
        <v>Banco - Cora</v>
      </c>
      <c r="H29" s="192" t="str">
        <v>https://drive.google.com/open?id=1aTec5512pyDmYJys7s7GHJ_3kD0iph0I&amp;usp=drive_fs</v>
      </c>
      <c r="I29" s="72">
        <v>0</v>
      </c>
      <c r="J29" s="29"/>
      <c r="K29" s="29"/>
      <c r="L29" s="29"/>
      <c r="M29" s="29"/>
      <c r="N29" s="29"/>
      <c r="O29" s="29"/>
      <c r="P29" s="29"/>
      <c r="Q29" s="29"/>
      <c r="R29" s="29"/>
      <c r="S29" s="29"/>
      <c r="T29" s="29"/>
      <c r="U29" s="29"/>
      <c r="V29" s="29"/>
      <c r="W29" s="29"/>
      <c r="X29" s="29"/>
      <c r="Y29" s="29"/>
      <c r="Z29" s="29"/>
    </row>
    <row r="30" spans="1:26" ht="28.8" x14ac:dyDescent="0.3">
      <c r="A30" s="188" t="str">
        <v>Encargos sociais</v>
      </c>
      <c r="B30" s="189">
        <v>16</v>
      </c>
      <c r="C30" s="190" t="str">
        <v>OK</v>
      </c>
      <c r="D30" s="191">
        <v>0</v>
      </c>
      <c r="E30" s="191">
        <v>306.18</v>
      </c>
      <c r="F30" s="192">
        <v>0</v>
      </c>
      <c r="G30" s="192" t="str">
        <v>Banco - Cora</v>
      </c>
      <c r="H30" s="192" t="str">
        <v>https://drive.google.com/open?id=1KrbXEpyeXmENEGReeLumfkuIaYVz3K_8&amp;usp=drive_fs</v>
      </c>
      <c r="I30" s="72">
        <v>0</v>
      </c>
      <c r="J30" s="29"/>
      <c r="K30" s="29"/>
      <c r="L30" s="29"/>
      <c r="M30" s="29"/>
      <c r="N30" s="29"/>
      <c r="O30" s="29"/>
      <c r="P30" s="29"/>
      <c r="Q30" s="29"/>
      <c r="R30" s="29"/>
      <c r="S30" s="29"/>
      <c r="T30" s="29"/>
      <c r="U30" s="29"/>
      <c r="V30" s="29"/>
      <c r="W30" s="29"/>
      <c r="X30" s="29"/>
      <c r="Y30" s="29"/>
      <c r="Z30" s="29"/>
    </row>
    <row r="31" spans="1:26" ht="43.2" x14ac:dyDescent="0.3">
      <c r="A31" s="188" t="str">
        <v>Encargos sociais</v>
      </c>
      <c r="B31" s="189">
        <v>16</v>
      </c>
      <c r="C31" s="190" t="str">
        <v>OK</v>
      </c>
      <c r="D31" s="191">
        <v>0</v>
      </c>
      <c r="E31" s="191">
        <v>104.09</v>
      </c>
      <c r="F31" s="192">
        <v>0</v>
      </c>
      <c r="G31" s="192" t="str">
        <v>Banco - Cora</v>
      </c>
      <c r="H31" s="192" t="str">
        <v>https://drive.google.com/open?id=1-8bsnEhhE_p3nY3RWp59pKL8xTmmE27x&amp;usp=drive_fs</v>
      </c>
      <c r="I31" s="72">
        <v>0</v>
      </c>
      <c r="J31" s="29"/>
      <c r="K31" s="29"/>
      <c r="L31" s="29"/>
      <c r="M31" s="29"/>
      <c r="N31" s="29"/>
      <c r="O31" s="29"/>
      <c r="P31" s="29"/>
      <c r="Q31" s="29"/>
      <c r="R31" s="29"/>
      <c r="S31" s="29"/>
      <c r="T31" s="29"/>
      <c r="U31" s="29"/>
      <c r="V31" s="29"/>
      <c r="W31" s="29"/>
      <c r="X31" s="29"/>
      <c r="Y31" s="29"/>
      <c r="Z31" s="29"/>
    </row>
    <row r="32" spans="1:26" ht="28.8" x14ac:dyDescent="0.3">
      <c r="A32" s="188" t="str">
        <v>Encargos sociais</v>
      </c>
      <c r="B32" s="189">
        <v>16</v>
      </c>
      <c r="C32" s="190" t="str">
        <v>OK</v>
      </c>
      <c r="D32" s="191">
        <v>0</v>
      </c>
      <c r="E32" s="191">
        <v>306.18</v>
      </c>
      <c r="F32" s="192" t="str">
        <v>Imposto referente ao 13° salário</v>
      </c>
      <c r="G32" s="192" t="str">
        <v>Banco - Cora</v>
      </c>
      <c r="H32" s="192" t="str">
        <v>https://drive.google.com/open?id=1SqyZEy2slvfCasUbc7Z1UV5FKSfPTJjS&amp;usp=drive_fs</v>
      </c>
      <c r="I32" s="72">
        <v>0</v>
      </c>
      <c r="J32" s="29"/>
      <c r="K32" s="29"/>
      <c r="L32" s="29"/>
      <c r="M32" s="29"/>
      <c r="N32" s="29"/>
      <c r="O32" s="29"/>
      <c r="P32" s="29"/>
      <c r="Q32" s="29"/>
      <c r="R32" s="29"/>
      <c r="S32" s="29"/>
      <c r="T32" s="29"/>
      <c r="U32" s="29"/>
      <c r="V32" s="29"/>
      <c r="W32" s="29"/>
      <c r="X32" s="29"/>
      <c r="Y32" s="29"/>
      <c r="Z32" s="29"/>
    </row>
    <row r="33" spans="1:26" ht="28.8" x14ac:dyDescent="0.3">
      <c r="A33" s="188" t="str">
        <v>Encargos sociais</v>
      </c>
      <c r="B33" s="189">
        <v>16</v>
      </c>
      <c r="C33" s="190" t="str">
        <v>OK</v>
      </c>
      <c r="D33" s="191">
        <v>0</v>
      </c>
      <c r="E33" s="191">
        <v>34.69</v>
      </c>
      <c r="F33" s="192" t="str">
        <v>Imposto referente ao 13° salário</v>
      </c>
      <c r="G33" s="192" t="str">
        <v>Banco - Cora</v>
      </c>
      <c r="H33" s="192" t="str">
        <v>https://drive.google.com/open?id=13KN2_t6Febywk-bzTIHaL8pLIN47qpUG&amp;usp=drive_fs</v>
      </c>
      <c r="I33" s="72">
        <v>0</v>
      </c>
      <c r="J33" s="29"/>
      <c r="K33" s="29"/>
      <c r="L33" s="29"/>
      <c r="M33" s="29"/>
      <c r="N33" s="29"/>
      <c r="O33" s="29"/>
      <c r="P33" s="29"/>
      <c r="Q33" s="29"/>
      <c r="R33" s="29"/>
      <c r="S33" s="29"/>
      <c r="T33" s="29"/>
      <c r="U33" s="29"/>
      <c r="V33" s="29"/>
      <c r="W33" s="29"/>
      <c r="X33" s="29"/>
      <c r="Y33" s="29"/>
      <c r="Z33" s="29"/>
    </row>
    <row r="34" spans="1:26" ht="28.8" x14ac:dyDescent="0.3">
      <c r="A34" s="188" t="str">
        <v>11a Região - Fundo Regional</v>
      </c>
      <c r="B34" s="189">
        <v>16</v>
      </c>
      <c r="C34" s="190" t="str">
        <v>OK</v>
      </c>
      <c r="D34" s="191">
        <v>0</v>
      </c>
      <c r="E34" s="191">
        <v>163.19999999999999</v>
      </c>
      <c r="F34" s="192" t="str">
        <v>Pagamento único de R$ 1.224,00</v>
      </c>
      <c r="G34" s="192" t="str">
        <v>Banco - Cora</v>
      </c>
      <c r="H34" s="192" t="str">
        <v>https://drive.google.com/open?id=1FHHfAIz5kVmp5NitDwOC6bWysTruoMdM&amp;usp=drive_fs</v>
      </c>
      <c r="I34" s="72">
        <v>0</v>
      </c>
      <c r="J34" s="29"/>
      <c r="K34" s="29"/>
      <c r="L34" s="29"/>
      <c r="M34" s="29"/>
      <c r="N34" s="29"/>
      <c r="O34" s="29"/>
      <c r="P34" s="29"/>
      <c r="Q34" s="29"/>
      <c r="R34" s="29"/>
      <c r="S34" s="29"/>
      <c r="T34" s="29"/>
      <c r="U34" s="29"/>
      <c r="V34" s="29"/>
      <c r="W34" s="29"/>
      <c r="X34" s="29"/>
      <c r="Y34" s="29"/>
      <c r="Z34" s="29"/>
    </row>
    <row r="35" spans="1:26" x14ac:dyDescent="0.3">
      <c r="A35" s="188" t="str">
        <v>11a Região - Plantio</v>
      </c>
      <c r="B35" s="189">
        <v>16</v>
      </c>
      <c r="C35" s="190" t="str">
        <v>OK</v>
      </c>
      <c r="D35" s="191">
        <v>0</v>
      </c>
      <c r="E35" s="191">
        <v>489.6</v>
      </c>
      <c r="F35" s="192">
        <v>0</v>
      </c>
      <c r="G35" s="192" t="str">
        <v>Banco - Cora</v>
      </c>
      <c r="H35" s="192">
        <v>0</v>
      </c>
      <c r="I35" s="72">
        <v>0</v>
      </c>
      <c r="J35" s="29"/>
      <c r="K35" s="29"/>
      <c r="L35" s="29"/>
      <c r="M35" s="29"/>
      <c r="N35" s="29"/>
      <c r="O35" s="29"/>
      <c r="P35" s="29"/>
      <c r="Q35" s="29"/>
      <c r="R35" s="29"/>
      <c r="S35" s="29"/>
      <c r="T35" s="29"/>
      <c r="U35" s="29"/>
      <c r="V35" s="29"/>
      <c r="W35" s="29"/>
      <c r="X35" s="29"/>
      <c r="Y35" s="29"/>
      <c r="Z35" s="29"/>
    </row>
    <row r="36" spans="1:26" x14ac:dyDescent="0.3">
      <c r="A36" s="188" t="str">
        <v>11a Região - Fundo de Beneficência</v>
      </c>
      <c r="B36" s="189">
        <v>16</v>
      </c>
      <c r="C36" s="190" t="str">
        <v>OK</v>
      </c>
      <c r="D36" s="191">
        <v>0</v>
      </c>
      <c r="E36" s="191">
        <v>540.6</v>
      </c>
      <c r="F36" s="192">
        <v>0</v>
      </c>
      <c r="G36" s="192" t="str">
        <v>Banco - Cora</v>
      </c>
      <c r="H36" s="192">
        <v>0</v>
      </c>
      <c r="I36" s="72">
        <v>0</v>
      </c>
      <c r="J36" s="29"/>
      <c r="K36" s="29"/>
      <c r="L36" s="29"/>
      <c r="M36" s="29"/>
      <c r="N36" s="29"/>
      <c r="O36" s="29"/>
      <c r="P36" s="29"/>
      <c r="Q36" s="29"/>
      <c r="R36" s="29"/>
      <c r="S36" s="29"/>
      <c r="T36" s="29"/>
      <c r="U36" s="29"/>
      <c r="V36" s="29"/>
      <c r="W36" s="29"/>
      <c r="X36" s="29"/>
      <c r="Y36" s="29"/>
      <c r="Z36" s="29"/>
    </row>
    <row r="37" spans="1:26" x14ac:dyDescent="0.3">
      <c r="A37" s="188" t="str">
        <v>11a Região - Fundo de Reserva</v>
      </c>
      <c r="B37" s="189">
        <v>16</v>
      </c>
      <c r="C37" s="190" t="str">
        <v>OK</v>
      </c>
      <c r="D37" s="191">
        <v>0</v>
      </c>
      <c r="E37" s="191">
        <v>30.6</v>
      </c>
      <c r="F37" s="192">
        <v>0</v>
      </c>
      <c r="G37" s="192" t="str">
        <v>Banco - Cora</v>
      </c>
      <c r="H37" s="192">
        <v>0</v>
      </c>
      <c r="I37" s="72">
        <v>0</v>
      </c>
      <c r="J37" s="29"/>
      <c r="K37" s="29"/>
      <c r="L37" s="29"/>
      <c r="M37" s="29"/>
      <c r="N37" s="29"/>
      <c r="O37" s="29"/>
      <c r="P37" s="29"/>
      <c r="Q37" s="29"/>
      <c r="R37" s="29"/>
      <c r="S37" s="29"/>
      <c r="T37" s="29"/>
      <c r="U37" s="29"/>
      <c r="V37" s="29"/>
      <c r="W37" s="29"/>
      <c r="X37" s="29"/>
      <c r="Y37" s="29"/>
      <c r="Z37" s="29"/>
    </row>
    <row r="38" spans="1:26" ht="28.8" x14ac:dyDescent="0.3">
      <c r="A38" s="188" t="str">
        <v>Internet</v>
      </c>
      <c r="B38" s="189">
        <v>16</v>
      </c>
      <c r="C38" s="190" t="str">
        <v>OK</v>
      </c>
      <c r="D38" s="191">
        <v>0</v>
      </c>
      <c r="E38" s="191">
        <v>84.9</v>
      </c>
      <c r="F38" s="192">
        <v>0</v>
      </c>
      <c r="G38" s="192" t="str">
        <v>Banco - Cora</v>
      </c>
      <c r="H38" s="192" t="str">
        <v>https://drive.google.com/open?id=10Qyly8J1CL61dzyQ-zI5rRP7b--vPGzW&amp;usp=drive_fs</v>
      </c>
      <c r="I38" s="72">
        <v>0</v>
      </c>
      <c r="J38" s="29"/>
      <c r="K38" s="29"/>
      <c r="L38" s="29"/>
      <c r="M38" s="29"/>
      <c r="N38" s="29"/>
      <c r="O38" s="29"/>
      <c r="P38" s="29"/>
      <c r="Q38" s="29"/>
      <c r="R38" s="29"/>
      <c r="S38" s="29"/>
      <c r="T38" s="29"/>
      <c r="U38" s="29"/>
      <c r="V38" s="29"/>
      <c r="W38" s="29"/>
      <c r="X38" s="29"/>
      <c r="Y38" s="29"/>
      <c r="Z38" s="29"/>
    </row>
    <row r="39" spans="1:26" ht="28.8" x14ac:dyDescent="0.3">
      <c r="A39" s="188" t="str">
        <v>Encargos sociais</v>
      </c>
      <c r="B39" s="189">
        <v>17</v>
      </c>
      <c r="C39" s="190" t="str">
        <v>OK</v>
      </c>
      <c r="D39" s="191">
        <v>0</v>
      </c>
      <c r="E39" s="191">
        <v>45.38</v>
      </c>
      <c r="F39" s="192">
        <v>0</v>
      </c>
      <c r="G39" s="192" t="str">
        <v>Banco - Cora</v>
      </c>
      <c r="H39" s="192" t="str">
        <v>https://drive.google.com/open?id=1GDUw5QdZmO5QE7Cv7DWGMdOZV1QVCsHy&amp;usp=drive_fs</v>
      </c>
      <c r="I39" s="72">
        <v>0</v>
      </c>
      <c r="J39" s="29"/>
      <c r="K39" s="29"/>
      <c r="L39" s="29"/>
      <c r="M39" s="29"/>
      <c r="N39" s="29"/>
      <c r="O39" s="29"/>
      <c r="P39" s="29"/>
      <c r="Q39" s="29"/>
      <c r="R39" s="29"/>
      <c r="S39" s="29"/>
      <c r="T39" s="29"/>
      <c r="U39" s="29"/>
      <c r="V39" s="29"/>
      <c r="W39" s="29"/>
      <c r="X39" s="29"/>
      <c r="Y39" s="29"/>
      <c r="Z39" s="29"/>
    </row>
    <row r="40" spans="1:26" ht="28.8" x14ac:dyDescent="0.3">
      <c r="A40" s="188" t="str">
        <v>Diretoria Geral - FP</v>
      </c>
      <c r="B40" s="189">
        <v>17</v>
      </c>
      <c r="C40" s="190" t="str">
        <v>OK</v>
      </c>
      <c r="D40" s="191">
        <v>0</v>
      </c>
      <c r="E40" s="191">
        <v>1466.76</v>
      </c>
      <c r="F40" s="192" t="str">
        <v>Pagamento único de R$ 2.914,14</v>
      </c>
      <c r="G40" s="192" t="str">
        <v>Banco - Cora</v>
      </c>
      <c r="H40" s="192" t="str">
        <v>https://drive.google.com/open?id=1aeGYdAwW1FdjWUMY5_5y3Df6HTfKpBay&amp;usp=drive_fs</v>
      </c>
      <c r="I40" s="72">
        <v>0</v>
      </c>
      <c r="J40" s="29"/>
      <c r="K40" s="29"/>
      <c r="L40" s="29"/>
      <c r="M40" s="29"/>
      <c r="N40" s="29"/>
      <c r="O40" s="29"/>
      <c r="P40" s="29"/>
      <c r="Q40" s="29"/>
      <c r="R40" s="29"/>
      <c r="S40" s="29"/>
      <c r="T40" s="29"/>
      <c r="U40" s="29"/>
      <c r="V40" s="29"/>
      <c r="W40" s="29"/>
      <c r="X40" s="29"/>
      <c r="Y40" s="29"/>
      <c r="Z40" s="29"/>
    </row>
    <row r="41" spans="1:26" x14ac:dyDescent="0.3">
      <c r="A41" s="188" t="str">
        <v>Diretoria Geral - FS</v>
      </c>
      <c r="B41" s="189">
        <v>17</v>
      </c>
      <c r="C41" s="190" t="str">
        <v>OK</v>
      </c>
      <c r="D41" s="191">
        <v>0</v>
      </c>
      <c r="E41" s="191">
        <v>835.38</v>
      </c>
      <c r="F41" s="192">
        <v>0</v>
      </c>
      <c r="G41" s="192" t="str">
        <v>Banco - Cora</v>
      </c>
      <c r="H41" s="192">
        <v>0</v>
      </c>
      <c r="I41" s="72">
        <v>0</v>
      </c>
      <c r="J41" s="29"/>
      <c r="K41" s="29"/>
      <c r="L41" s="29"/>
      <c r="M41" s="29"/>
      <c r="N41" s="29"/>
      <c r="O41" s="29"/>
      <c r="P41" s="29"/>
      <c r="Q41" s="29"/>
      <c r="R41" s="29"/>
      <c r="S41" s="29"/>
      <c r="T41" s="29"/>
      <c r="U41" s="29"/>
      <c r="V41" s="29"/>
      <c r="W41" s="29"/>
      <c r="X41" s="29"/>
      <c r="Y41" s="29"/>
      <c r="Z41" s="29"/>
    </row>
    <row r="42" spans="1:26" x14ac:dyDescent="0.3">
      <c r="A42" s="188" t="str">
        <v>Diretoria Geral - FA</v>
      </c>
      <c r="B42" s="189">
        <v>17</v>
      </c>
      <c r="C42" s="190" t="str">
        <v>OK</v>
      </c>
      <c r="D42" s="191">
        <v>0</v>
      </c>
      <c r="E42" s="191">
        <v>102</v>
      </c>
      <c r="F42" s="192">
        <v>0</v>
      </c>
      <c r="G42" s="192" t="str">
        <v>Banco - Cora</v>
      </c>
      <c r="H42" s="192">
        <v>0</v>
      </c>
      <c r="I42" s="72">
        <v>0</v>
      </c>
      <c r="J42" s="29"/>
      <c r="K42" s="29"/>
      <c r="L42" s="29"/>
      <c r="M42" s="29"/>
      <c r="N42" s="29"/>
      <c r="O42" s="29"/>
      <c r="P42" s="29"/>
      <c r="Q42" s="29"/>
      <c r="R42" s="29"/>
      <c r="S42" s="29"/>
      <c r="T42" s="29"/>
      <c r="U42" s="29"/>
      <c r="V42" s="29"/>
      <c r="W42" s="29"/>
      <c r="X42" s="29"/>
      <c r="Y42" s="29"/>
      <c r="Z42" s="29"/>
    </row>
    <row r="43" spans="1:26" x14ac:dyDescent="0.3">
      <c r="A43" s="188" t="str">
        <v>Diretoria Geral - FB</v>
      </c>
      <c r="B43" s="189">
        <v>17</v>
      </c>
      <c r="C43" s="190" t="str">
        <v>OK</v>
      </c>
      <c r="D43" s="191">
        <v>0</v>
      </c>
      <c r="E43" s="191">
        <v>102</v>
      </c>
      <c r="F43" s="192">
        <v>0</v>
      </c>
      <c r="G43" s="192" t="str">
        <v>Banco - Cora</v>
      </c>
      <c r="H43" s="192">
        <v>0</v>
      </c>
      <c r="I43" s="72">
        <v>0</v>
      </c>
      <c r="J43" s="29"/>
      <c r="K43" s="29"/>
      <c r="L43" s="29"/>
      <c r="M43" s="29"/>
      <c r="N43" s="29"/>
      <c r="O43" s="29"/>
      <c r="P43" s="29"/>
      <c r="Q43" s="29"/>
      <c r="R43" s="29"/>
      <c r="S43" s="29"/>
      <c r="T43" s="29"/>
      <c r="U43" s="29"/>
      <c r="V43" s="29"/>
      <c r="W43" s="29"/>
      <c r="X43" s="29"/>
      <c r="Y43" s="29"/>
      <c r="Z43" s="29"/>
    </row>
    <row r="44" spans="1:26" x14ac:dyDescent="0.3">
      <c r="A44" s="188" t="str">
        <v>Diretoria Geral - SUC</v>
      </c>
      <c r="B44" s="189">
        <v>17</v>
      </c>
      <c r="C44" s="190" t="str">
        <v>OK</v>
      </c>
      <c r="D44" s="191">
        <v>0</v>
      </c>
      <c r="E44" s="191">
        <v>408</v>
      </c>
      <c r="F44" s="192">
        <v>0</v>
      </c>
      <c r="G44" s="192" t="str">
        <v>Banco - Cora</v>
      </c>
      <c r="H44" s="192">
        <v>0</v>
      </c>
      <c r="I44" s="72">
        <v>0</v>
      </c>
      <c r="J44" s="29"/>
      <c r="K44" s="29"/>
      <c r="L44" s="29"/>
      <c r="M44" s="29"/>
      <c r="N44" s="29"/>
      <c r="O44" s="29"/>
      <c r="P44" s="29"/>
      <c r="Q44" s="29"/>
      <c r="R44" s="29"/>
      <c r="S44" s="29"/>
      <c r="T44" s="29"/>
      <c r="U44" s="29"/>
      <c r="V44" s="29"/>
      <c r="W44" s="29"/>
      <c r="X44" s="29"/>
      <c r="Y44" s="29"/>
      <c r="Z44" s="29"/>
    </row>
    <row r="45" spans="1:26" ht="28.8" x14ac:dyDescent="0.3">
      <c r="A45" s="188" t="str">
        <v>IR Rendimento Pagbank</v>
      </c>
      <c r="B45" s="189">
        <v>17</v>
      </c>
      <c r="C45" s="190" t="str">
        <v>OK</v>
      </c>
      <c r="D45" s="191">
        <v>0</v>
      </c>
      <c r="E45" s="191">
        <v>0.05</v>
      </c>
      <c r="F45" s="192">
        <v>0</v>
      </c>
      <c r="G45" s="192" t="str">
        <v>Banco - Pagbank</v>
      </c>
      <c r="H45" s="192" t="str">
        <v>https://drive.google.com/open?id=1gz8LjjeA6A0ePp8d2PTrgeA1nV1mc7WL&amp;usp=drive_fs</v>
      </c>
      <c r="I45" s="72">
        <v>0</v>
      </c>
      <c r="J45" s="29"/>
      <c r="K45" s="29"/>
      <c r="L45" s="29"/>
      <c r="M45" s="29"/>
      <c r="N45" s="29"/>
      <c r="O45" s="29"/>
      <c r="P45" s="29"/>
      <c r="Q45" s="29"/>
      <c r="R45" s="29"/>
      <c r="S45" s="29"/>
      <c r="T45" s="29"/>
      <c r="U45" s="29"/>
      <c r="V45" s="29"/>
      <c r="W45" s="29"/>
      <c r="X45" s="29"/>
      <c r="Y45" s="29"/>
      <c r="Z45" s="29"/>
    </row>
    <row r="46" spans="1:26" ht="28.8" x14ac:dyDescent="0.3">
      <c r="A46" s="188" t="str">
        <v>Confraternização do núcleo</v>
      </c>
      <c r="B46" s="189">
        <v>17</v>
      </c>
      <c r="C46" s="190" t="str">
        <v>OK</v>
      </c>
      <c r="D46" s="191">
        <v>0</v>
      </c>
      <c r="E46" s="191">
        <v>119.6</v>
      </c>
      <c r="F46" s="192" t="str">
        <v>Alimentação</v>
      </c>
      <c r="G46" s="192" t="str">
        <v>Banco - Cora</v>
      </c>
      <c r="H46" s="192" t="str">
        <v>https://drive.google.com/open?id=1oAKY9tvuq1UHfcdliWwfEHuHXKFfnIBo&amp;usp=drive_fs</v>
      </c>
      <c r="I46" s="72">
        <v>0</v>
      </c>
      <c r="J46" s="29"/>
      <c r="K46" s="29"/>
      <c r="L46" s="29"/>
      <c r="M46" s="29"/>
      <c r="N46" s="29"/>
      <c r="O46" s="29"/>
      <c r="P46" s="29"/>
      <c r="Q46" s="29"/>
      <c r="R46" s="29"/>
      <c r="S46" s="29"/>
      <c r="T46" s="29"/>
      <c r="U46" s="29"/>
      <c r="V46" s="29"/>
      <c r="W46" s="29"/>
      <c r="X46" s="29"/>
      <c r="Y46" s="29"/>
      <c r="Z46" s="29"/>
    </row>
    <row r="47" spans="1:26" ht="28.8" x14ac:dyDescent="0.3">
      <c r="A47" s="188" t="str">
        <v>Confraternização do núcleo</v>
      </c>
      <c r="B47" s="189">
        <v>18</v>
      </c>
      <c r="C47" s="190" t="str">
        <v>OK</v>
      </c>
      <c r="D47" s="191">
        <v>0</v>
      </c>
      <c r="E47" s="191">
        <v>250</v>
      </c>
      <c r="F47" s="192" t="str">
        <v>Serviço de diarista</v>
      </c>
      <c r="G47" s="192" t="str">
        <v>Banco - Cora</v>
      </c>
      <c r="H47" s="192" t="str">
        <v>https://drive.google.com/open?id=1-9VT2_0yECvtMXng_4Ytx_o_Hdu9YiOB&amp;usp=drive_fs</v>
      </c>
      <c r="I47" s="72">
        <v>0</v>
      </c>
      <c r="J47" s="29"/>
      <c r="K47" s="29"/>
      <c r="L47" s="29"/>
      <c r="M47" s="29"/>
      <c r="N47" s="29"/>
      <c r="O47" s="29"/>
      <c r="P47" s="29"/>
      <c r="Q47" s="29"/>
      <c r="R47" s="29"/>
      <c r="S47" s="29"/>
      <c r="T47" s="29"/>
      <c r="U47" s="29"/>
      <c r="V47" s="29"/>
      <c r="W47" s="29"/>
      <c r="X47" s="29"/>
      <c r="Y47" s="29"/>
      <c r="Z47" s="29"/>
    </row>
    <row r="48" spans="1:26" ht="28.8" x14ac:dyDescent="0.3">
      <c r="A48" s="188" t="str">
        <v>Confraternização do núcleo</v>
      </c>
      <c r="B48" s="189">
        <v>18</v>
      </c>
      <c r="C48" s="190" t="str">
        <v>OK</v>
      </c>
      <c r="D48" s="191">
        <v>0</v>
      </c>
      <c r="E48" s="191">
        <v>145</v>
      </c>
      <c r="F48" s="192" t="str">
        <v>Auxílio combustível</v>
      </c>
      <c r="G48" s="192" t="str">
        <v>Banco - Cora</v>
      </c>
      <c r="H48" s="192" t="str">
        <v>https://drive.google.com/open?id=1SuttEyEfrYIb7itFeSmeti2EW1OJ4As8&amp;usp=drive_fs</v>
      </c>
      <c r="I48" s="72">
        <v>0</v>
      </c>
      <c r="J48" s="29"/>
      <c r="K48" s="29"/>
      <c r="L48" s="29"/>
      <c r="M48" s="29"/>
      <c r="N48" s="29"/>
      <c r="O48" s="29"/>
      <c r="P48" s="29"/>
      <c r="Q48" s="29"/>
      <c r="R48" s="29"/>
      <c r="S48" s="29"/>
      <c r="T48" s="29"/>
      <c r="U48" s="29"/>
      <c r="V48" s="29"/>
      <c r="W48" s="29"/>
      <c r="X48" s="29"/>
      <c r="Y48" s="29"/>
      <c r="Z48" s="29"/>
    </row>
    <row r="49" spans="1:26" ht="28.8" x14ac:dyDescent="0.3">
      <c r="A49" s="188" t="str">
        <v>Confraternização do núcleo</v>
      </c>
      <c r="B49" s="189">
        <v>18</v>
      </c>
      <c r="C49" s="190" t="str">
        <v>OK</v>
      </c>
      <c r="D49" s="191">
        <v>0</v>
      </c>
      <c r="E49" s="191">
        <v>105.04</v>
      </c>
      <c r="F49" s="192" t="str">
        <v>Alimentação</v>
      </c>
      <c r="G49" s="192" t="str">
        <v>Banco - Cora</v>
      </c>
      <c r="H49" s="192" t="str">
        <v>https://drive.google.com/open?id=13ny3dsN1L_XyItfKatJQhIhew77IsAqO&amp;usp=drive_fs</v>
      </c>
      <c r="I49" s="72">
        <v>0</v>
      </c>
      <c r="J49" s="29"/>
      <c r="K49" s="29"/>
      <c r="L49" s="29"/>
      <c r="M49" s="29"/>
      <c r="N49" s="29"/>
      <c r="O49" s="29"/>
      <c r="P49" s="29"/>
      <c r="Q49" s="29"/>
      <c r="R49" s="29"/>
      <c r="S49" s="29"/>
      <c r="T49" s="29"/>
      <c r="U49" s="29"/>
      <c r="V49" s="29"/>
      <c r="W49" s="29"/>
      <c r="X49" s="29"/>
      <c r="Y49" s="29"/>
      <c r="Z49" s="29"/>
    </row>
    <row r="50" spans="1:26" ht="28.8" x14ac:dyDescent="0.3">
      <c r="A50" s="188" t="str">
        <v>Vigilância - 2a escala</v>
      </c>
      <c r="B50" s="189">
        <v>21</v>
      </c>
      <c r="C50" s="190" t="str">
        <v>OK</v>
      </c>
      <c r="D50" s="191">
        <v>0</v>
      </c>
      <c r="E50" s="191">
        <v>650</v>
      </c>
      <c r="F50" s="192">
        <v>0</v>
      </c>
      <c r="G50" s="192" t="str">
        <v>Banco - Cora</v>
      </c>
      <c r="H50" s="192" t="str">
        <v>https://drive.google.com/open?id=1_zdDayTz-Qn6IROcdfdrr1LwVZ2oOvos&amp;usp=drive_fs</v>
      </c>
      <c r="I50" s="72">
        <v>0</v>
      </c>
      <c r="J50" s="29"/>
      <c r="K50" s="29"/>
      <c r="L50" s="29"/>
      <c r="M50" s="29"/>
      <c r="N50" s="29"/>
      <c r="O50" s="29"/>
      <c r="P50" s="29"/>
      <c r="Q50" s="29"/>
      <c r="R50" s="29"/>
      <c r="S50" s="29"/>
      <c r="T50" s="29"/>
      <c r="U50" s="29"/>
      <c r="V50" s="29"/>
      <c r="W50" s="29"/>
      <c r="X50" s="29"/>
      <c r="Y50" s="29"/>
      <c r="Z50" s="29"/>
    </row>
    <row r="51" spans="1:26" ht="28.8" x14ac:dyDescent="0.3">
      <c r="A51" s="188" t="str">
        <v>Energia Elétrica</v>
      </c>
      <c r="B51" s="189">
        <v>22</v>
      </c>
      <c r="C51" s="190" t="str">
        <v>OK</v>
      </c>
      <c r="D51" s="191">
        <v>0</v>
      </c>
      <c r="E51" s="191">
        <v>1183.82</v>
      </c>
      <c r="F51" s="192">
        <v>0</v>
      </c>
      <c r="G51" s="192" t="str">
        <v>Banco - Cora</v>
      </c>
      <c r="H51" s="192" t="str">
        <v>https://drive.google.com/open?id=1f3ATX7k8xouY0mYG3WPszcOrAhIR2909&amp;usp=drive_fs</v>
      </c>
      <c r="I51" s="72">
        <v>0</v>
      </c>
      <c r="J51" s="29"/>
      <c r="K51" s="29"/>
      <c r="L51" s="29"/>
      <c r="M51" s="29"/>
      <c r="N51" s="29"/>
      <c r="O51" s="29"/>
      <c r="P51" s="29"/>
      <c r="Q51" s="29"/>
      <c r="R51" s="29"/>
      <c r="S51" s="29"/>
      <c r="T51" s="29"/>
      <c r="U51" s="29"/>
      <c r="V51" s="29"/>
      <c r="W51" s="29"/>
      <c r="X51" s="29"/>
      <c r="Y51" s="29"/>
      <c r="Z51" s="29"/>
    </row>
    <row r="52" spans="1:26" ht="28.8" x14ac:dyDescent="0.3">
      <c r="A52" s="188" t="str">
        <v>Lanche - 2a escala</v>
      </c>
      <c r="B52" s="189">
        <v>22</v>
      </c>
      <c r="C52" s="190" t="str">
        <v>OK</v>
      </c>
      <c r="D52" s="191">
        <v>0</v>
      </c>
      <c r="E52" s="191">
        <v>148.18</v>
      </c>
      <c r="F52" s="192">
        <v>0</v>
      </c>
      <c r="G52" s="192" t="str">
        <v>Banco - Cora</v>
      </c>
      <c r="H52" s="192" t="str">
        <v>https://drive.google.com/open?id=1NK6jWk9Ew7r7tjfhw__rIKFDisKnJTde&amp;usp=drive_fs</v>
      </c>
      <c r="I52" s="72">
        <v>0</v>
      </c>
      <c r="J52" s="29"/>
      <c r="K52" s="29"/>
      <c r="L52" s="29"/>
      <c r="M52" s="29"/>
      <c r="N52" s="29"/>
      <c r="O52" s="29"/>
      <c r="P52" s="29"/>
      <c r="Q52" s="29"/>
      <c r="R52" s="29"/>
      <c r="S52" s="29"/>
      <c r="T52" s="29"/>
      <c r="U52" s="29"/>
      <c r="V52" s="29"/>
      <c r="W52" s="29"/>
      <c r="X52" s="29"/>
      <c r="Y52" s="29"/>
      <c r="Z52" s="29"/>
    </row>
    <row r="53" spans="1:26" ht="28.8" x14ac:dyDescent="0.3">
      <c r="A53" s="188" t="str">
        <v>Lanche - 2a escala</v>
      </c>
      <c r="B53" s="189">
        <v>22</v>
      </c>
      <c r="C53" s="190" t="str">
        <v>OK</v>
      </c>
      <c r="D53" s="191">
        <v>0</v>
      </c>
      <c r="E53" s="191">
        <v>141.55000000000001</v>
      </c>
      <c r="F53" s="192">
        <v>0</v>
      </c>
      <c r="G53" s="192" t="str">
        <v>Banco - Cora</v>
      </c>
      <c r="H53" s="192" t="str">
        <v>https://drive.google.com/open?id=1-QbooxcfwHrj5Acc7Pu08dCxj97mzs8s&amp;usp=drive_fs</v>
      </c>
      <c r="I53" s="72">
        <v>0</v>
      </c>
      <c r="J53" s="29"/>
      <c r="K53" s="29"/>
      <c r="L53" s="29"/>
      <c r="M53" s="29"/>
      <c r="N53" s="29"/>
      <c r="O53" s="29"/>
      <c r="P53" s="29"/>
      <c r="Q53" s="29"/>
      <c r="R53" s="29"/>
      <c r="S53" s="29"/>
      <c r="T53" s="29"/>
      <c r="U53" s="29"/>
      <c r="V53" s="29"/>
      <c r="W53" s="29"/>
      <c r="X53" s="29"/>
      <c r="Y53" s="29"/>
      <c r="Z53" s="29"/>
    </row>
    <row r="54" spans="1:26" ht="28.8" x14ac:dyDescent="0.3">
      <c r="A54" s="188" t="str">
        <v>Lanche - 2a escala e Adventícios</v>
      </c>
      <c r="B54" s="189">
        <v>22</v>
      </c>
      <c r="C54" s="190" t="str">
        <v>OK</v>
      </c>
      <c r="D54" s="191">
        <v>0</v>
      </c>
      <c r="E54" s="191">
        <v>185</v>
      </c>
      <c r="F54" s="192">
        <v>0</v>
      </c>
      <c r="G54" s="192" t="str">
        <v>Banco - Cora</v>
      </c>
      <c r="H54" s="192" t="str">
        <v>https://drive.google.com/open?id=1CwcbHFcLs9c5jtMexrk9QAKmM-dk-beA&amp;usp=drive_fs</v>
      </c>
      <c r="I54" s="72">
        <v>0</v>
      </c>
      <c r="J54" s="29"/>
      <c r="K54" s="29"/>
      <c r="L54" s="29"/>
      <c r="M54" s="29"/>
      <c r="N54" s="29"/>
      <c r="O54" s="29"/>
      <c r="P54" s="29"/>
      <c r="Q54" s="29"/>
      <c r="R54" s="29"/>
      <c r="S54" s="29"/>
      <c r="T54" s="29"/>
      <c r="U54" s="29"/>
      <c r="V54" s="29"/>
      <c r="W54" s="29"/>
      <c r="X54" s="29"/>
      <c r="Y54" s="29"/>
      <c r="Z54" s="29"/>
    </row>
    <row r="55" spans="1:26" ht="28.8" x14ac:dyDescent="0.3">
      <c r="A55" s="188" t="str">
        <v>Lanche - 2a escala</v>
      </c>
      <c r="B55" s="189">
        <v>22</v>
      </c>
      <c r="C55" s="190" t="str">
        <v>OK</v>
      </c>
      <c r="D55" s="191">
        <v>0</v>
      </c>
      <c r="E55" s="191">
        <v>100</v>
      </c>
      <c r="F55" s="192">
        <v>0</v>
      </c>
      <c r="G55" s="192" t="str">
        <v>Banco - Cora</v>
      </c>
      <c r="H55" s="192" t="str">
        <v>https://drive.google.com/open?id=1Fo7AehOS62nXD4dwVDgEO6M1KFQk36rr&amp;usp=drive_fs</v>
      </c>
      <c r="I55" s="72">
        <v>0</v>
      </c>
      <c r="J55" s="29"/>
      <c r="K55" s="29"/>
      <c r="L55" s="29"/>
      <c r="M55" s="29"/>
      <c r="N55" s="29"/>
      <c r="O55" s="29"/>
      <c r="P55" s="29"/>
      <c r="Q55" s="29"/>
      <c r="R55" s="29"/>
      <c r="S55" s="29"/>
      <c r="T55" s="29"/>
      <c r="U55" s="29"/>
      <c r="V55" s="29"/>
      <c r="W55" s="29"/>
      <c r="X55" s="29"/>
      <c r="Y55" s="29"/>
      <c r="Z55" s="29"/>
    </row>
    <row r="56" spans="1:26" ht="28.8" x14ac:dyDescent="0.3">
      <c r="A56" s="188" t="str">
        <v>Lanche</v>
      </c>
      <c r="B56" s="189">
        <v>22</v>
      </c>
      <c r="C56" s="190" t="str">
        <v>OK</v>
      </c>
      <c r="D56" s="191">
        <v>0</v>
      </c>
      <c r="E56" s="191">
        <v>55</v>
      </c>
      <c r="F56" s="192">
        <v>0</v>
      </c>
      <c r="G56" s="192" t="str">
        <v>Banco - Cora</v>
      </c>
      <c r="H56" s="192" t="str">
        <v>https://drive.google.com/open?id=1alqkdHoTzN9-gUFesrstqsmHVsOt1kz_&amp;usp=drive_fs</v>
      </c>
      <c r="I56" s="72">
        <v>0</v>
      </c>
      <c r="J56" s="29"/>
      <c r="K56" s="29"/>
      <c r="L56" s="29"/>
      <c r="M56" s="29"/>
      <c r="N56" s="29"/>
      <c r="O56" s="29"/>
      <c r="P56" s="29"/>
      <c r="Q56" s="29"/>
      <c r="R56" s="29"/>
      <c r="S56" s="29"/>
      <c r="T56" s="29"/>
      <c r="U56" s="29"/>
      <c r="V56" s="29"/>
      <c r="W56" s="29"/>
      <c r="X56" s="29"/>
      <c r="Y56" s="29"/>
      <c r="Z56" s="29"/>
    </row>
    <row r="57" spans="1:26" ht="28.8" x14ac:dyDescent="0.3">
      <c r="A57" s="188" t="str">
        <v>Confraternização do núcleo</v>
      </c>
      <c r="B57" s="189">
        <v>22</v>
      </c>
      <c r="C57" s="190" t="str">
        <v>OK</v>
      </c>
      <c r="D57" s="191">
        <v>0</v>
      </c>
      <c r="E57" s="191">
        <v>100</v>
      </c>
      <c r="F57" s="192">
        <v>0</v>
      </c>
      <c r="G57" s="192" t="str">
        <v>Banco - Cora</v>
      </c>
      <c r="H57" s="192" t="str">
        <v>https://drive.google.com/open?id=19ZEYm3HhTtZFpUQX99FGgX5zSeIxvOOb&amp;usp=drive_fs</v>
      </c>
      <c r="I57" s="72">
        <v>0</v>
      </c>
      <c r="J57" s="29"/>
      <c r="K57" s="29"/>
      <c r="L57" s="29"/>
      <c r="M57" s="29"/>
      <c r="N57" s="29"/>
      <c r="O57" s="29"/>
      <c r="P57" s="29"/>
      <c r="Q57" s="29"/>
      <c r="R57" s="29"/>
      <c r="S57" s="29"/>
      <c r="T57" s="29"/>
      <c r="U57" s="29"/>
      <c r="V57" s="29"/>
      <c r="W57" s="29"/>
      <c r="X57" s="29"/>
      <c r="Y57" s="29"/>
      <c r="Z57" s="29"/>
    </row>
    <row r="58" spans="1:26" ht="28.8" x14ac:dyDescent="0.3">
      <c r="A58" s="188" t="str">
        <v>Confraternização do núcleo</v>
      </c>
      <c r="B58" s="189">
        <v>22</v>
      </c>
      <c r="C58" s="190" t="str">
        <v>OK</v>
      </c>
      <c r="D58" s="191">
        <v>0</v>
      </c>
      <c r="E58" s="191">
        <v>100.9</v>
      </c>
      <c r="F58" s="192">
        <v>0</v>
      </c>
      <c r="G58" s="192" t="str">
        <v>Banco - Cora</v>
      </c>
      <c r="H58" s="192" t="str">
        <v>https://drive.google.com/open?id=1cayrb24Kbb38ksa7Qe4vRnMDAEwowWNs&amp;usp=drive_fs</v>
      </c>
      <c r="I58" s="72">
        <v>0</v>
      </c>
      <c r="J58" s="29"/>
      <c r="K58" s="29"/>
      <c r="L58" s="29"/>
      <c r="M58" s="29"/>
      <c r="N58" s="29"/>
      <c r="O58" s="29"/>
      <c r="P58" s="29"/>
      <c r="Q58" s="29"/>
      <c r="R58" s="29"/>
      <c r="S58" s="29"/>
      <c r="T58" s="29"/>
      <c r="U58" s="29"/>
      <c r="V58" s="29"/>
      <c r="W58" s="29"/>
      <c r="X58" s="29"/>
      <c r="Y58" s="29"/>
      <c r="Z58" s="29"/>
    </row>
    <row r="59" spans="1:26" ht="28.8" x14ac:dyDescent="0.3">
      <c r="A59" s="188" t="str">
        <v>Confraternização do núcleo</v>
      </c>
      <c r="B59" s="189">
        <v>22</v>
      </c>
      <c r="C59" s="190" t="str">
        <v>OK</v>
      </c>
      <c r="D59" s="191">
        <v>0</v>
      </c>
      <c r="E59" s="191">
        <v>284.04000000000002</v>
      </c>
      <c r="F59" s="192">
        <v>0</v>
      </c>
      <c r="G59" s="192" t="str">
        <v>Banco - Cora</v>
      </c>
      <c r="H59" s="192" t="str">
        <v>https://drive.google.com/open?id=1pmDzLHCzDw97bqXOpsOUvzimrIcAmGDP&amp;usp=drive_fs</v>
      </c>
      <c r="I59" s="72">
        <v>0</v>
      </c>
      <c r="J59" s="29"/>
      <c r="K59" s="29"/>
      <c r="L59" s="29"/>
      <c r="M59" s="29"/>
      <c r="N59" s="29"/>
      <c r="O59" s="29"/>
      <c r="P59" s="29"/>
      <c r="Q59" s="29"/>
      <c r="R59" s="29"/>
      <c r="S59" s="29"/>
      <c r="T59" s="29"/>
      <c r="U59" s="29"/>
      <c r="V59" s="29"/>
      <c r="W59" s="29"/>
      <c r="X59" s="29"/>
      <c r="Y59" s="29"/>
      <c r="Z59" s="29"/>
    </row>
    <row r="60" spans="1:26" ht="28.8" x14ac:dyDescent="0.3">
      <c r="A60" s="188" t="str">
        <v>Confraternização do núcleo</v>
      </c>
      <c r="B60" s="189">
        <v>22</v>
      </c>
      <c r="C60" s="190" t="str">
        <v>OK</v>
      </c>
      <c r="D60" s="191">
        <v>0</v>
      </c>
      <c r="E60" s="191">
        <v>295.86</v>
      </c>
      <c r="F60" s="192">
        <v>0</v>
      </c>
      <c r="G60" s="192" t="str">
        <v>Banco - Cora</v>
      </c>
      <c r="H60" s="192" t="str">
        <v>https://drive.google.com/open?id=1REKa9gPlZOCTKJltjheiIbvXZwmtCWcU&amp;usp=drive_fs</v>
      </c>
      <c r="I60" s="72">
        <v>0</v>
      </c>
      <c r="J60" s="29"/>
      <c r="K60" s="29"/>
      <c r="L60" s="29"/>
      <c r="M60" s="29"/>
      <c r="N60" s="29"/>
      <c r="O60" s="29"/>
      <c r="P60" s="29"/>
      <c r="Q60" s="29"/>
      <c r="R60" s="29"/>
      <c r="S60" s="29"/>
      <c r="T60" s="29"/>
      <c r="U60" s="29"/>
      <c r="V60" s="29"/>
      <c r="W60" s="29"/>
      <c r="X60" s="29"/>
      <c r="Y60" s="29"/>
      <c r="Z60" s="29"/>
    </row>
    <row r="61" spans="1:26" ht="28.8" x14ac:dyDescent="0.3">
      <c r="A61" s="188" t="str">
        <v>Novo Encanto</v>
      </c>
      <c r="B61" s="189">
        <v>23</v>
      </c>
      <c r="C61" s="190" t="str">
        <v>OK</v>
      </c>
      <c r="D61" s="191">
        <v>0</v>
      </c>
      <c r="E61" s="191">
        <v>114</v>
      </c>
      <c r="F61" s="192">
        <v>0</v>
      </c>
      <c r="G61" s="192" t="str">
        <v>Banco - Cora</v>
      </c>
      <c r="H61" s="192" t="str">
        <v>https://drive.google.com/open?id=1w9tp3UJxmMbQPhXluybUzfIbs-w5kvxw&amp;usp=drive_fs</v>
      </c>
      <c r="I61" s="72">
        <v>0</v>
      </c>
      <c r="J61" s="29"/>
      <c r="K61" s="29"/>
      <c r="L61" s="29"/>
      <c r="M61" s="29"/>
      <c r="N61" s="29"/>
      <c r="O61" s="29"/>
      <c r="P61" s="29"/>
      <c r="Q61" s="29"/>
      <c r="R61" s="29"/>
      <c r="S61" s="29"/>
      <c r="T61" s="29"/>
      <c r="U61" s="29"/>
      <c r="V61" s="29"/>
      <c r="W61" s="29"/>
      <c r="X61" s="29"/>
      <c r="Y61" s="29"/>
      <c r="Z61" s="29"/>
    </row>
    <row r="62" spans="1:26" ht="28.8" x14ac:dyDescent="0.3">
      <c r="A62" s="188" t="str">
        <v>Lanche - 2a escala</v>
      </c>
      <c r="B62" s="189">
        <v>23</v>
      </c>
      <c r="C62" s="190" t="str">
        <v>OK</v>
      </c>
      <c r="D62" s="191">
        <v>0</v>
      </c>
      <c r="E62" s="191">
        <v>30</v>
      </c>
      <c r="F62" s="192" t="str">
        <v>Euzanira</v>
      </c>
      <c r="G62" s="192" t="str">
        <v>Banco - Cora</v>
      </c>
      <c r="H62" s="192" t="str">
        <v>https://drive.google.com/open?id=1MCVI3wsm_Njl4-4oOuwK9Ys0B-og8KU6&amp;usp=drive_fs</v>
      </c>
      <c r="I62" s="72">
        <v>0</v>
      </c>
      <c r="J62" s="29"/>
      <c r="K62" s="29"/>
      <c r="L62" s="29"/>
      <c r="M62" s="29"/>
      <c r="N62" s="29"/>
      <c r="O62" s="29"/>
      <c r="P62" s="29"/>
      <c r="Q62" s="29"/>
      <c r="R62" s="29"/>
      <c r="S62" s="29"/>
      <c r="T62" s="29"/>
      <c r="U62" s="29"/>
      <c r="V62" s="29"/>
      <c r="W62" s="29"/>
      <c r="X62" s="29"/>
      <c r="Y62" s="29"/>
      <c r="Z62" s="29"/>
    </row>
    <row r="63" spans="1:26" ht="28.8" x14ac:dyDescent="0.3">
      <c r="A63" s="188" t="str">
        <v>Água mineral</v>
      </c>
      <c r="B63" s="189">
        <v>23</v>
      </c>
      <c r="C63" s="190" t="str">
        <v>OK</v>
      </c>
      <c r="D63" s="191">
        <v>0</v>
      </c>
      <c r="E63" s="191">
        <v>184</v>
      </c>
      <c r="F63" s="192">
        <v>0</v>
      </c>
      <c r="G63" s="192" t="str">
        <v>Banco - Cora</v>
      </c>
      <c r="H63" s="192" t="str">
        <v>https://drive.google.com/open?id=1I_TjNJAX-vJnSJ1NtvsMoEZj5_JToxiI&amp;usp=drive_fs</v>
      </c>
      <c r="I63" s="72">
        <v>0</v>
      </c>
      <c r="J63" s="29"/>
      <c r="K63" s="29"/>
      <c r="L63" s="29"/>
      <c r="M63" s="29"/>
      <c r="N63" s="29"/>
      <c r="O63" s="29"/>
      <c r="P63" s="29"/>
      <c r="Q63" s="29"/>
      <c r="R63" s="29"/>
      <c r="S63" s="29"/>
      <c r="T63" s="29"/>
      <c r="U63" s="29"/>
      <c r="V63" s="29"/>
      <c r="W63" s="29"/>
      <c r="X63" s="29"/>
      <c r="Y63" s="29"/>
      <c r="Z63" s="29"/>
    </row>
    <row r="64" spans="1:26" ht="28.8" x14ac:dyDescent="0.3">
      <c r="A64" s="188" t="str">
        <v>Outras despesas</v>
      </c>
      <c r="B64" s="189">
        <v>24</v>
      </c>
      <c r="C64" s="190" t="str">
        <v>OK</v>
      </c>
      <c r="D64" s="191">
        <v>0</v>
      </c>
      <c r="E64" s="191">
        <v>700</v>
      </c>
      <c r="F64" s="192" t="str">
        <v>Diárias Evaristo</v>
      </c>
      <c r="G64" s="192" t="str">
        <v>Banco - Cora</v>
      </c>
      <c r="H64" s="192" t="str">
        <v>https://drive.google.com/open?id=1ZUr65mmCG2NqWTsBp2_Za6RmnZ0wNrie&amp;usp=drive_fs</v>
      </c>
      <c r="I64" s="72">
        <v>0</v>
      </c>
      <c r="J64" s="29"/>
      <c r="K64" s="29"/>
      <c r="L64" s="29"/>
      <c r="M64" s="29"/>
      <c r="N64" s="29"/>
      <c r="O64" s="29"/>
      <c r="P64" s="29"/>
      <c r="Q64" s="29"/>
      <c r="R64" s="29"/>
      <c r="S64" s="29"/>
      <c r="T64" s="29"/>
      <c r="U64" s="29"/>
      <c r="V64" s="29"/>
      <c r="W64" s="29"/>
      <c r="X64" s="29"/>
      <c r="Y64" s="29"/>
      <c r="Z64" s="29"/>
    </row>
    <row r="65" spans="1:26" ht="28.8" x14ac:dyDescent="0.3">
      <c r="A65" s="188" t="str">
        <v>Outras despesas</v>
      </c>
      <c r="B65" s="189">
        <v>26</v>
      </c>
      <c r="C65" s="190" t="str">
        <v>OK</v>
      </c>
      <c r="D65" s="191">
        <v>0</v>
      </c>
      <c r="E65" s="191">
        <v>1703.15</v>
      </c>
      <c r="F65" s="192" t="str">
        <v>Rescisão Wesley (multa)</v>
      </c>
      <c r="G65" s="192" t="str">
        <v>Banco - Cora</v>
      </c>
      <c r="H65" s="192" t="str">
        <v>https://drive.google.com/open?id=1oUiibOo7jZvb2NqKOJ7jM5u6IrZDbMr-&amp;usp=drive_fs</v>
      </c>
      <c r="I65" s="72">
        <v>0</v>
      </c>
      <c r="J65" s="29"/>
      <c r="K65" s="29"/>
      <c r="L65" s="29"/>
      <c r="M65" s="29"/>
      <c r="N65" s="29"/>
      <c r="O65" s="29"/>
      <c r="P65" s="29"/>
      <c r="Q65" s="29"/>
      <c r="R65" s="29"/>
      <c r="S65" s="29"/>
      <c r="T65" s="29"/>
      <c r="U65" s="29"/>
      <c r="V65" s="29"/>
      <c r="W65" s="29"/>
      <c r="X65" s="29"/>
      <c r="Y65" s="29"/>
      <c r="Z65" s="29"/>
    </row>
    <row r="66" spans="1:26" ht="28.8" x14ac:dyDescent="0.3">
      <c r="A66" s="188" t="str">
        <v>Sessão ano novo</v>
      </c>
      <c r="B66" s="189">
        <v>31</v>
      </c>
      <c r="C66" s="190" t="str">
        <v>OK</v>
      </c>
      <c r="D66" s="191">
        <v>0</v>
      </c>
      <c r="E66" s="191">
        <v>180.4</v>
      </c>
      <c r="F66" s="192">
        <v>0</v>
      </c>
      <c r="G66" s="192" t="str">
        <v>Banco - Cora</v>
      </c>
      <c r="H66" s="192" t="str">
        <v>https://drive.google.com/open?id=11GGJY96kWwiSsV2bHW0h9smj0taNLD8d&amp;usp=drive_fs</v>
      </c>
      <c r="I66" s="72">
        <v>0</v>
      </c>
      <c r="J66" s="29"/>
      <c r="K66" s="29"/>
      <c r="L66" s="29"/>
      <c r="M66" s="29"/>
      <c r="N66" s="29"/>
      <c r="O66" s="29"/>
      <c r="P66" s="29"/>
      <c r="Q66" s="29"/>
      <c r="R66" s="29"/>
      <c r="S66" s="29"/>
      <c r="T66" s="29"/>
      <c r="U66" s="29"/>
      <c r="V66" s="29"/>
      <c r="W66" s="29"/>
      <c r="X66" s="29"/>
      <c r="Y66" s="29"/>
      <c r="Z66" s="29"/>
    </row>
    <row r="67" spans="1:26" x14ac:dyDescent="0.3">
      <c r="A67" s="29"/>
      <c r="B67" s="30"/>
      <c r="C67" s="130"/>
      <c r="D67" s="161"/>
      <c r="E67" s="161"/>
      <c r="F67" s="72"/>
      <c r="G67" s="72"/>
      <c r="H67" s="72"/>
      <c r="I67" s="72"/>
      <c r="J67" s="29"/>
      <c r="K67" s="29"/>
      <c r="L67" s="29"/>
      <c r="M67" s="29"/>
      <c r="N67" s="29"/>
      <c r="O67" s="29"/>
      <c r="P67" s="29"/>
      <c r="Q67" s="29"/>
      <c r="R67" s="29"/>
      <c r="S67" s="29"/>
      <c r="T67" s="29"/>
      <c r="U67" s="29"/>
      <c r="V67" s="29"/>
      <c r="W67" s="29"/>
      <c r="X67" s="29"/>
      <c r="Y67" s="29"/>
      <c r="Z67" s="29"/>
    </row>
    <row r="68" spans="1:26" x14ac:dyDescent="0.3">
      <c r="A68" s="29"/>
      <c r="B68" s="30"/>
      <c r="C68" s="130"/>
      <c r="D68" s="161"/>
      <c r="E68" s="161"/>
      <c r="F68" s="72"/>
      <c r="G68" s="72"/>
      <c r="H68" s="72"/>
      <c r="I68" s="72"/>
      <c r="J68" s="29"/>
      <c r="K68" s="29"/>
      <c r="L68" s="29"/>
      <c r="M68" s="29"/>
      <c r="N68" s="29"/>
      <c r="O68" s="29"/>
      <c r="P68" s="29"/>
      <c r="Q68" s="29"/>
      <c r="R68" s="29"/>
      <c r="S68" s="29"/>
      <c r="T68" s="29"/>
      <c r="U68" s="29"/>
      <c r="V68" s="29"/>
      <c r="W68" s="29"/>
      <c r="X68" s="29"/>
      <c r="Y68" s="29"/>
      <c r="Z68" s="29"/>
    </row>
    <row r="69" spans="1:26" x14ac:dyDescent="0.3">
      <c r="A69" s="29"/>
      <c r="B69" s="30"/>
      <c r="C69" s="130"/>
      <c r="D69" s="161"/>
      <c r="E69" s="161"/>
      <c r="F69" s="72"/>
      <c r="G69" s="72"/>
      <c r="H69" s="72"/>
      <c r="I69" s="72"/>
      <c r="J69" s="29"/>
      <c r="K69" s="29"/>
      <c r="L69" s="29"/>
      <c r="M69" s="29"/>
      <c r="N69" s="29"/>
      <c r="O69" s="29"/>
      <c r="P69" s="29"/>
      <c r="Q69" s="29"/>
      <c r="R69" s="29"/>
      <c r="S69" s="29"/>
      <c r="T69" s="29"/>
      <c r="U69" s="29"/>
      <c r="V69" s="29"/>
      <c r="W69" s="29"/>
      <c r="X69" s="29"/>
      <c r="Y69" s="29"/>
      <c r="Z69" s="29"/>
    </row>
    <row r="70" spans="1:26" x14ac:dyDescent="0.3">
      <c r="A70" s="29"/>
      <c r="B70" s="30"/>
      <c r="C70" s="130"/>
      <c r="D70" s="161"/>
      <c r="E70" s="161"/>
      <c r="F70" s="72"/>
      <c r="G70" s="72"/>
      <c r="H70" s="72"/>
      <c r="I70" s="72"/>
      <c r="J70" s="29"/>
      <c r="K70" s="29"/>
      <c r="L70" s="29"/>
      <c r="M70" s="29"/>
      <c r="N70" s="29"/>
      <c r="O70" s="29"/>
      <c r="P70" s="29"/>
      <c r="Q70" s="29"/>
      <c r="R70" s="29"/>
      <c r="S70" s="29"/>
      <c r="T70" s="29"/>
      <c r="U70" s="29"/>
      <c r="V70" s="29"/>
      <c r="W70" s="29"/>
      <c r="X70" s="29"/>
      <c r="Y70" s="29"/>
      <c r="Z70" s="29"/>
    </row>
    <row r="71" spans="1:26" x14ac:dyDescent="0.3">
      <c r="A71" s="29"/>
      <c r="B71" s="30"/>
      <c r="C71" s="130"/>
      <c r="D71" s="161"/>
      <c r="E71" s="161"/>
      <c r="F71" s="72"/>
      <c r="G71" s="72"/>
      <c r="H71" s="72"/>
      <c r="I71" s="72"/>
      <c r="J71" s="29"/>
      <c r="K71" s="29"/>
      <c r="L71" s="29"/>
      <c r="M71" s="29"/>
      <c r="N71" s="29"/>
      <c r="O71" s="29"/>
      <c r="P71" s="29"/>
      <c r="Q71" s="29"/>
      <c r="R71" s="29"/>
      <c r="S71" s="29"/>
      <c r="T71" s="29"/>
      <c r="U71" s="29"/>
      <c r="V71" s="29"/>
      <c r="W71" s="29"/>
      <c r="X71" s="29"/>
      <c r="Y71" s="29"/>
      <c r="Z71" s="29"/>
    </row>
    <row r="72" spans="1:26" x14ac:dyDescent="0.3">
      <c r="A72" s="29"/>
      <c r="B72" s="30"/>
      <c r="C72" s="130"/>
      <c r="D72" s="161"/>
      <c r="E72" s="161"/>
      <c r="F72" s="72"/>
      <c r="G72" s="72"/>
      <c r="H72" s="72"/>
      <c r="I72" s="72"/>
      <c r="J72" s="29"/>
      <c r="K72" s="29"/>
      <c r="L72" s="29"/>
      <c r="M72" s="29"/>
      <c r="N72" s="29"/>
      <c r="O72" s="29"/>
      <c r="P72" s="29"/>
      <c r="Q72" s="29"/>
      <c r="R72" s="29"/>
      <c r="S72" s="29"/>
      <c r="T72" s="29"/>
      <c r="U72" s="29"/>
      <c r="V72" s="29"/>
      <c r="W72" s="29"/>
      <c r="X72" s="29"/>
      <c r="Y72" s="29"/>
      <c r="Z72" s="29"/>
    </row>
    <row r="73" spans="1:26" x14ac:dyDescent="0.3">
      <c r="A73" s="29"/>
      <c r="B73" s="30"/>
      <c r="C73" s="130"/>
      <c r="D73" s="161"/>
      <c r="E73" s="161"/>
      <c r="F73" s="72"/>
      <c r="G73" s="72"/>
      <c r="H73" s="72"/>
      <c r="I73" s="72"/>
      <c r="J73" s="29"/>
      <c r="K73" s="29"/>
      <c r="L73" s="29"/>
      <c r="M73" s="29"/>
      <c r="N73" s="29"/>
      <c r="O73" s="29"/>
      <c r="P73" s="29"/>
      <c r="Q73" s="29"/>
      <c r="R73" s="29"/>
      <c r="S73" s="29"/>
      <c r="T73" s="29"/>
      <c r="U73" s="29"/>
      <c r="V73" s="29"/>
      <c r="W73" s="29"/>
      <c r="X73" s="29"/>
      <c r="Y73" s="29"/>
      <c r="Z73" s="29"/>
    </row>
    <row r="74" spans="1:26" x14ac:dyDescent="0.3">
      <c r="A74" s="29"/>
      <c r="B74" s="30"/>
      <c r="C74" s="130"/>
      <c r="D74" s="161"/>
      <c r="E74" s="161"/>
      <c r="F74" s="72"/>
      <c r="G74" s="72"/>
      <c r="H74" s="72"/>
      <c r="I74" s="72"/>
      <c r="J74" s="29"/>
      <c r="K74" s="29"/>
      <c r="L74" s="29"/>
      <c r="M74" s="29"/>
      <c r="N74" s="29"/>
      <c r="O74" s="29"/>
      <c r="P74" s="29"/>
      <c r="Q74" s="29"/>
      <c r="R74" s="29"/>
      <c r="S74" s="29"/>
      <c r="T74" s="29"/>
      <c r="U74" s="29"/>
      <c r="V74" s="29"/>
      <c r="W74" s="29"/>
      <c r="X74" s="29"/>
      <c r="Y74" s="29"/>
      <c r="Z74" s="29"/>
    </row>
    <row r="75" spans="1:26" x14ac:dyDescent="0.3">
      <c r="A75" s="29"/>
      <c r="B75" s="30"/>
      <c r="C75" s="130"/>
      <c r="D75" s="161"/>
      <c r="E75" s="161"/>
      <c r="F75" s="72"/>
      <c r="G75" s="72"/>
      <c r="H75" s="72"/>
      <c r="I75" s="72"/>
      <c r="J75" s="29"/>
      <c r="K75" s="29"/>
      <c r="L75" s="29"/>
      <c r="M75" s="29"/>
      <c r="N75" s="29"/>
      <c r="O75" s="29"/>
      <c r="P75" s="29"/>
      <c r="Q75" s="29"/>
      <c r="R75" s="29"/>
      <c r="S75" s="29"/>
      <c r="T75" s="29"/>
      <c r="U75" s="29"/>
      <c r="V75" s="29"/>
      <c r="W75" s="29"/>
      <c r="X75" s="29"/>
      <c r="Y75" s="29"/>
      <c r="Z75" s="29"/>
    </row>
    <row r="76" spans="1:26" x14ac:dyDescent="0.3">
      <c r="A76" s="29"/>
      <c r="B76" s="30"/>
      <c r="C76" s="130"/>
      <c r="D76" s="161"/>
      <c r="E76" s="161"/>
      <c r="F76" s="72"/>
      <c r="G76" s="72"/>
      <c r="H76" s="72"/>
      <c r="I76" s="72"/>
      <c r="J76" s="29"/>
      <c r="K76" s="29"/>
      <c r="L76" s="29"/>
      <c r="M76" s="29"/>
      <c r="N76" s="29"/>
      <c r="O76" s="29"/>
      <c r="P76" s="29"/>
      <c r="Q76" s="29"/>
      <c r="R76" s="29"/>
      <c r="S76" s="29"/>
      <c r="T76" s="29"/>
      <c r="U76" s="29"/>
      <c r="V76" s="29"/>
      <c r="W76" s="29"/>
      <c r="X76" s="29"/>
      <c r="Y76" s="29"/>
      <c r="Z76" s="29"/>
    </row>
    <row r="77" spans="1:26" x14ac:dyDescent="0.3">
      <c r="A77" s="29"/>
      <c r="B77" s="30"/>
      <c r="C77" s="130"/>
      <c r="D77" s="161"/>
      <c r="E77" s="161"/>
      <c r="F77" s="72"/>
      <c r="G77" s="72"/>
      <c r="H77" s="72"/>
      <c r="I77" s="72"/>
      <c r="J77" s="29"/>
      <c r="K77" s="29"/>
      <c r="L77" s="29"/>
      <c r="M77" s="29"/>
      <c r="N77" s="29"/>
      <c r="O77" s="29"/>
      <c r="P77" s="29"/>
      <c r="Q77" s="29"/>
      <c r="R77" s="29"/>
      <c r="S77" s="29"/>
      <c r="T77" s="29"/>
      <c r="U77" s="29"/>
      <c r="V77" s="29"/>
      <c r="W77" s="29"/>
      <c r="X77" s="29"/>
      <c r="Y77" s="29"/>
      <c r="Z77" s="29"/>
    </row>
    <row r="78" spans="1:26" x14ac:dyDescent="0.3">
      <c r="A78" s="29"/>
      <c r="B78" s="30"/>
      <c r="C78" s="130"/>
      <c r="D78" s="161"/>
      <c r="E78" s="161"/>
      <c r="F78" s="72"/>
      <c r="G78" s="72"/>
      <c r="H78" s="72"/>
      <c r="I78" s="72"/>
      <c r="J78" s="29"/>
      <c r="K78" s="29"/>
      <c r="L78" s="29"/>
      <c r="M78" s="29"/>
      <c r="N78" s="29"/>
      <c r="O78" s="29"/>
      <c r="P78" s="29"/>
      <c r="Q78" s="29"/>
      <c r="R78" s="29"/>
      <c r="S78" s="29"/>
      <c r="T78" s="29"/>
      <c r="U78" s="29"/>
      <c r="V78" s="29"/>
      <c r="W78" s="29"/>
      <c r="X78" s="29"/>
      <c r="Y78" s="29"/>
      <c r="Z78" s="29"/>
    </row>
    <row r="79" spans="1:26" x14ac:dyDescent="0.3">
      <c r="A79" s="29"/>
      <c r="B79" s="30"/>
      <c r="C79" s="130"/>
      <c r="D79" s="161"/>
      <c r="E79" s="161"/>
      <c r="F79" s="72"/>
      <c r="G79" s="72"/>
      <c r="H79" s="72"/>
      <c r="I79" s="72"/>
      <c r="J79" s="29"/>
      <c r="K79" s="29"/>
      <c r="L79" s="29"/>
      <c r="M79" s="29"/>
      <c r="N79" s="29"/>
      <c r="O79" s="29"/>
      <c r="P79" s="29"/>
      <c r="Q79" s="29"/>
      <c r="R79" s="29"/>
      <c r="S79" s="29"/>
      <c r="T79" s="29"/>
      <c r="U79" s="29"/>
      <c r="V79" s="29"/>
      <c r="W79" s="29"/>
      <c r="X79" s="29"/>
      <c r="Y79" s="29"/>
      <c r="Z79" s="29"/>
    </row>
    <row r="80" spans="1:26" x14ac:dyDescent="0.3">
      <c r="A80" s="29"/>
      <c r="B80" s="30"/>
      <c r="C80" s="130"/>
      <c r="D80" s="161"/>
      <c r="E80" s="161"/>
      <c r="F80" s="72"/>
      <c r="G80" s="72"/>
      <c r="H80" s="72"/>
      <c r="I80" s="72"/>
      <c r="J80" s="29"/>
      <c r="K80" s="29"/>
      <c r="L80" s="29"/>
      <c r="M80" s="29"/>
      <c r="N80" s="29"/>
      <c r="O80" s="29"/>
      <c r="P80" s="29"/>
      <c r="Q80" s="29"/>
      <c r="R80" s="29"/>
      <c r="S80" s="29"/>
      <c r="T80" s="29"/>
      <c r="U80" s="29"/>
      <c r="V80" s="29"/>
      <c r="W80" s="29"/>
      <c r="X80" s="29"/>
      <c r="Y80" s="29"/>
      <c r="Z80" s="29"/>
    </row>
    <row r="81" spans="1:26" x14ac:dyDescent="0.3">
      <c r="A81" s="29"/>
      <c r="B81" s="30"/>
      <c r="C81" s="130"/>
      <c r="D81" s="161"/>
      <c r="E81" s="161"/>
      <c r="F81" s="72"/>
      <c r="G81" s="72"/>
      <c r="H81" s="72"/>
      <c r="I81" s="72"/>
      <c r="J81" s="29"/>
      <c r="K81" s="29"/>
      <c r="L81" s="29"/>
      <c r="M81" s="29"/>
      <c r="N81" s="29"/>
      <c r="O81" s="29"/>
      <c r="P81" s="29"/>
      <c r="Q81" s="29"/>
      <c r="R81" s="29"/>
      <c r="S81" s="29"/>
      <c r="T81" s="29"/>
      <c r="U81" s="29"/>
      <c r="V81" s="29"/>
      <c r="W81" s="29"/>
      <c r="X81" s="29"/>
      <c r="Y81" s="29"/>
      <c r="Z81" s="29"/>
    </row>
    <row r="82" spans="1:26" x14ac:dyDescent="0.3">
      <c r="A82" s="29"/>
      <c r="B82" s="30"/>
      <c r="C82" s="130"/>
      <c r="D82" s="161"/>
      <c r="E82" s="161"/>
      <c r="F82" s="72"/>
      <c r="G82" s="72"/>
      <c r="H82" s="72"/>
      <c r="I82" s="72"/>
      <c r="J82" s="29"/>
      <c r="K82" s="29"/>
      <c r="L82" s="29"/>
      <c r="M82" s="29"/>
      <c r="N82" s="29"/>
      <c r="O82" s="29"/>
      <c r="P82" s="29"/>
      <c r="Q82" s="29"/>
      <c r="R82" s="29"/>
      <c r="S82" s="29"/>
      <c r="T82" s="29"/>
      <c r="U82" s="29"/>
      <c r="V82" s="29"/>
      <c r="W82" s="29"/>
      <c r="X82" s="29"/>
      <c r="Y82" s="29"/>
      <c r="Z82" s="29"/>
    </row>
    <row r="83" spans="1:26" x14ac:dyDescent="0.3">
      <c r="A83" s="29"/>
      <c r="B83" s="30"/>
      <c r="C83" s="130"/>
      <c r="D83" s="161"/>
      <c r="E83" s="161"/>
      <c r="F83" s="72"/>
      <c r="G83" s="72"/>
      <c r="H83" s="72"/>
      <c r="I83" s="72"/>
      <c r="J83" s="29"/>
      <c r="K83" s="29"/>
      <c r="L83" s="29"/>
      <c r="M83" s="29"/>
      <c r="N83" s="29"/>
      <c r="O83" s="29"/>
      <c r="P83" s="29"/>
      <c r="Q83" s="29"/>
      <c r="R83" s="29"/>
      <c r="S83" s="29"/>
      <c r="T83" s="29"/>
      <c r="U83" s="29"/>
      <c r="V83" s="29"/>
      <c r="W83" s="29"/>
      <c r="X83" s="29"/>
      <c r="Y83" s="29"/>
      <c r="Z83" s="29"/>
    </row>
    <row r="84" spans="1:26" x14ac:dyDescent="0.3">
      <c r="A84" s="29"/>
      <c r="B84" s="30"/>
      <c r="C84" s="130"/>
      <c r="D84" s="161"/>
      <c r="E84" s="161"/>
      <c r="F84" s="72"/>
      <c r="G84" s="72"/>
      <c r="H84" s="72"/>
      <c r="I84" s="72"/>
      <c r="J84" s="29"/>
      <c r="K84" s="29"/>
      <c r="L84" s="29"/>
      <c r="M84" s="29"/>
      <c r="N84" s="29"/>
      <c r="O84" s="29"/>
      <c r="P84" s="29"/>
      <c r="Q84" s="29"/>
      <c r="R84" s="29"/>
      <c r="S84" s="29"/>
      <c r="T84" s="29"/>
      <c r="U84" s="29"/>
      <c r="V84" s="29"/>
      <c r="W84" s="29"/>
      <c r="X84" s="29"/>
      <c r="Y84" s="29"/>
      <c r="Z84" s="29"/>
    </row>
    <row r="85" spans="1:26" x14ac:dyDescent="0.3">
      <c r="A85" s="29"/>
      <c r="B85" s="30"/>
      <c r="C85" s="130"/>
      <c r="D85" s="161"/>
      <c r="E85" s="161"/>
      <c r="F85" s="72"/>
      <c r="G85" s="72"/>
      <c r="H85" s="72"/>
      <c r="I85" s="72"/>
      <c r="J85" s="29"/>
      <c r="K85" s="29"/>
      <c r="L85" s="29"/>
      <c r="M85" s="29"/>
      <c r="N85" s="29"/>
      <c r="O85" s="29"/>
      <c r="P85" s="29"/>
      <c r="Q85" s="29"/>
      <c r="R85" s="29"/>
      <c r="S85" s="29"/>
      <c r="T85" s="29"/>
      <c r="U85" s="29"/>
      <c r="V85" s="29"/>
      <c r="W85" s="29"/>
      <c r="X85" s="29"/>
      <c r="Y85" s="29"/>
      <c r="Z85" s="29"/>
    </row>
    <row r="86" spans="1:26" x14ac:dyDescent="0.3">
      <c r="A86" s="29"/>
      <c r="B86" s="30"/>
      <c r="C86" s="130"/>
      <c r="D86" s="161"/>
      <c r="E86" s="161"/>
      <c r="F86" s="72"/>
      <c r="G86" s="72"/>
      <c r="H86" s="72"/>
      <c r="I86" s="72"/>
      <c r="J86" s="29"/>
      <c r="K86" s="29"/>
      <c r="L86" s="29"/>
      <c r="M86" s="29"/>
      <c r="N86" s="29"/>
      <c r="O86" s="29"/>
      <c r="P86" s="29"/>
      <c r="Q86" s="29"/>
      <c r="R86" s="29"/>
      <c r="S86" s="29"/>
      <c r="T86" s="29"/>
      <c r="U86" s="29"/>
      <c r="V86" s="29"/>
      <c r="W86" s="29"/>
      <c r="X86" s="29"/>
      <c r="Y86" s="29"/>
      <c r="Z86" s="29"/>
    </row>
    <row r="87" spans="1:26" x14ac:dyDescent="0.3">
      <c r="A87" s="29"/>
      <c r="B87" s="30"/>
      <c r="C87" s="130"/>
      <c r="D87" s="161"/>
      <c r="E87" s="161"/>
      <c r="F87" s="72"/>
      <c r="G87" s="72"/>
      <c r="H87" s="72"/>
      <c r="I87" s="72"/>
      <c r="J87" s="29"/>
      <c r="K87" s="29"/>
      <c r="L87" s="29"/>
      <c r="M87" s="29"/>
      <c r="N87" s="29"/>
      <c r="O87" s="29"/>
      <c r="P87" s="29"/>
      <c r="Q87" s="29"/>
      <c r="R87" s="29"/>
      <c r="S87" s="29"/>
      <c r="T87" s="29"/>
      <c r="U87" s="29"/>
      <c r="V87" s="29"/>
      <c r="W87" s="29"/>
      <c r="X87" s="29"/>
      <c r="Y87" s="29"/>
      <c r="Z87" s="29"/>
    </row>
    <row r="88" spans="1:26" x14ac:dyDescent="0.3">
      <c r="A88" s="29"/>
      <c r="B88" s="30"/>
      <c r="C88" s="130"/>
      <c r="D88" s="161"/>
      <c r="E88" s="161"/>
      <c r="F88" s="72"/>
      <c r="G88" s="72"/>
      <c r="H88" s="72"/>
      <c r="I88" s="72"/>
      <c r="J88" s="29"/>
      <c r="K88" s="29"/>
      <c r="L88" s="29"/>
      <c r="M88" s="29"/>
      <c r="N88" s="29"/>
      <c r="O88" s="29"/>
      <c r="P88" s="29"/>
      <c r="Q88" s="29"/>
      <c r="R88" s="29"/>
      <c r="S88" s="29"/>
      <c r="T88" s="29"/>
      <c r="U88" s="29"/>
      <c r="V88" s="29"/>
      <c r="W88" s="29"/>
      <c r="X88" s="29"/>
      <c r="Y88" s="29"/>
      <c r="Z88" s="29"/>
    </row>
    <row r="89" spans="1:26" x14ac:dyDescent="0.3">
      <c r="A89" s="29"/>
      <c r="B89" s="30"/>
      <c r="C89" s="130"/>
      <c r="D89" s="161"/>
      <c r="E89" s="161"/>
      <c r="F89" s="72"/>
      <c r="G89" s="72"/>
      <c r="H89" s="72"/>
      <c r="I89" s="72"/>
      <c r="J89" s="29"/>
      <c r="K89" s="29"/>
      <c r="L89" s="29"/>
      <c r="M89" s="29"/>
      <c r="N89" s="29"/>
      <c r="O89" s="29"/>
      <c r="P89" s="29"/>
      <c r="Q89" s="29"/>
      <c r="R89" s="29"/>
      <c r="S89" s="29"/>
      <c r="T89" s="29"/>
      <c r="U89" s="29"/>
      <c r="V89" s="29"/>
      <c r="W89" s="29"/>
      <c r="X89" s="29"/>
      <c r="Y89" s="29"/>
      <c r="Z89" s="29"/>
    </row>
    <row r="90" spans="1:26" x14ac:dyDescent="0.3">
      <c r="A90" s="29"/>
      <c r="B90" s="30"/>
      <c r="C90" s="130"/>
      <c r="D90" s="161"/>
      <c r="E90" s="161"/>
      <c r="F90" s="72"/>
      <c r="G90" s="72"/>
      <c r="H90" s="72"/>
      <c r="I90" s="72"/>
      <c r="J90" s="29"/>
      <c r="K90" s="29"/>
      <c r="L90" s="29"/>
      <c r="M90" s="29"/>
      <c r="N90" s="29"/>
      <c r="O90" s="29"/>
      <c r="P90" s="29"/>
      <c r="Q90" s="29"/>
      <c r="R90" s="29"/>
      <c r="S90" s="29"/>
      <c r="T90" s="29"/>
      <c r="U90" s="29"/>
      <c r="V90" s="29"/>
      <c r="W90" s="29"/>
      <c r="X90" s="29"/>
      <c r="Y90" s="29"/>
      <c r="Z90" s="29"/>
    </row>
    <row r="91" spans="1:26" x14ac:dyDescent="0.3">
      <c r="A91" s="29"/>
      <c r="B91" s="30"/>
      <c r="C91" s="130"/>
      <c r="D91" s="161"/>
      <c r="E91" s="161"/>
      <c r="F91" s="72"/>
      <c r="G91" s="72"/>
      <c r="H91" s="72"/>
      <c r="I91" s="72"/>
      <c r="J91" s="29"/>
      <c r="K91" s="29"/>
      <c r="L91" s="29"/>
      <c r="M91" s="29"/>
      <c r="N91" s="29"/>
      <c r="O91" s="29"/>
      <c r="P91" s="29"/>
      <c r="Q91" s="29"/>
      <c r="R91" s="29"/>
      <c r="S91" s="29"/>
      <c r="T91" s="29"/>
      <c r="U91" s="29"/>
      <c r="V91" s="29"/>
      <c r="W91" s="29"/>
      <c r="X91" s="29"/>
      <c r="Y91" s="29"/>
      <c r="Z91" s="29"/>
    </row>
    <row r="92" spans="1:26" x14ac:dyDescent="0.3">
      <c r="A92" s="29"/>
      <c r="B92" s="30"/>
      <c r="C92" s="130"/>
      <c r="D92" s="161"/>
      <c r="E92" s="161"/>
      <c r="F92" s="72"/>
      <c r="G92" s="72"/>
      <c r="H92" s="72"/>
      <c r="I92" s="72"/>
      <c r="J92" s="29"/>
      <c r="K92" s="29"/>
      <c r="L92" s="29"/>
      <c r="M92" s="29"/>
      <c r="N92" s="29"/>
      <c r="O92" s="29"/>
      <c r="P92" s="29"/>
      <c r="Q92" s="29"/>
      <c r="R92" s="29"/>
      <c r="S92" s="29"/>
      <c r="T92" s="29"/>
      <c r="U92" s="29"/>
      <c r="V92" s="29"/>
      <c r="W92" s="29"/>
      <c r="X92" s="29"/>
      <c r="Y92" s="29"/>
      <c r="Z92" s="29"/>
    </row>
    <row r="93" spans="1:26" x14ac:dyDescent="0.3">
      <c r="A93" s="29"/>
      <c r="B93" s="30"/>
      <c r="C93" s="130"/>
      <c r="D93" s="161"/>
      <c r="E93" s="161"/>
      <c r="F93" s="72"/>
      <c r="G93" s="72"/>
      <c r="H93" s="72"/>
      <c r="I93" s="72"/>
      <c r="J93" s="29"/>
      <c r="K93" s="29"/>
      <c r="L93" s="29"/>
      <c r="M93" s="29"/>
      <c r="N93" s="29"/>
      <c r="O93" s="29"/>
      <c r="P93" s="29"/>
      <c r="Q93" s="29"/>
      <c r="R93" s="29"/>
      <c r="S93" s="29"/>
      <c r="T93" s="29"/>
      <c r="U93" s="29"/>
      <c r="V93" s="29"/>
      <c r="W93" s="29"/>
      <c r="X93" s="29"/>
      <c r="Y93" s="29"/>
      <c r="Z93" s="29"/>
    </row>
    <row r="94" spans="1:26" x14ac:dyDescent="0.3">
      <c r="A94" s="29"/>
      <c r="B94" s="30"/>
      <c r="C94" s="130"/>
      <c r="D94" s="161"/>
      <c r="E94" s="161"/>
      <c r="F94" s="72"/>
      <c r="G94" s="72"/>
      <c r="H94" s="72"/>
      <c r="I94" s="72"/>
      <c r="J94" s="29"/>
      <c r="K94" s="29"/>
      <c r="L94" s="29"/>
      <c r="M94" s="29"/>
      <c r="N94" s="29"/>
      <c r="O94" s="29"/>
      <c r="P94" s="29"/>
      <c r="Q94" s="29"/>
      <c r="R94" s="29"/>
      <c r="S94" s="29"/>
      <c r="T94" s="29"/>
      <c r="U94" s="29"/>
      <c r="V94" s="29"/>
      <c r="W94" s="29"/>
      <c r="X94" s="29"/>
      <c r="Y94" s="29"/>
      <c r="Z94" s="29"/>
    </row>
    <row r="95" spans="1:26" x14ac:dyDescent="0.3">
      <c r="A95" s="29"/>
      <c r="B95" s="30"/>
      <c r="C95" s="130"/>
      <c r="D95" s="161"/>
      <c r="E95" s="161"/>
      <c r="F95" s="72"/>
      <c r="G95" s="72"/>
      <c r="H95" s="72"/>
      <c r="I95" s="72"/>
      <c r="J95" s="29"/>
      <c r="K95" s="29"/>
      <c r="L95" s="29"/>
      <c r="M95" s="29"/>
      <c r="N95" s="29"/>
      <c r="O95" s="29"/>
      <c r="P95" s="29"/>
      <c r="Q95" s="29"/>
      <c r="R95" s="29"/>
      <c r="S95" s="29"/>
      <c r="T95" s="29"/>
      <c r="U95" s="29"/>
      <c r="V95" s="29"/>
      <c r="W95" s="29"/>
      <c r="X95" s="29"/>
      <c r="Y95" s="29"/>
      <c r="Z95" s="29"/>
    </row>
    <row r="96" spans="1:26" x14ac:dyDescent="0.3">
      <c r="A96" s="29"/>
      <c r="B96" s="30"/>
      <c r="C96" s="130"/>
      <c r="D96" s="161"/>
      <c r="E96" s="161"/>
      <c r="F96" s="72"/>
      <c r="G96" s="72"/>
      <c r="H96" s="72"/>
      <c r="I96" s="72"/>
      <c r="J96" s="29"/>
      <c r="K96" s="29"/>
      <c r="L96" s="29"/>
      <c r="M96" s="29"/>
      <c r="N96" s="29"/>
      <c r="O96" s="29"/>
      <c r="P96" s="29"/>
      <c r="Q96" s="29"/>
      <c r="R96" s="29"/>
      <c r="S96" s="29"/>
      <c r="T96" s="29"/>
      <c r="U96" s="29"/>
      <c r="V96" s="29"/>
      <c r="W96" s="29"/>
      <c r="X96" s="29"/>
      <c r="Y96" s="29"/>
      <c r="Z96" s="29"/>
    </row>
    <row r="97" spans="1:26" x14ac:dyDescent="0.3">
      <c r="A97" s="29"/>
      <c r="B97" s="30"/>
      <c r="C97" s="130"/>
      <c r="D97" s="161"/>
      <c r="E97" s="161"/>
      <c r="F97" s="72"/>
      <c r="G97" s="72"/>
      <c r="H97" s="72"/>
      <c r="I97" s="72"/>
      <c r="J97" s="29"/>
      <c r="K97" s="29"/>
      <c r="L97" s="29"/>
      <c r="M97" s="29"/>
      <c r="N97" s="29"/>
      <c r="O97" s="29"/>
      <c r="P97" s="29"/>
      <c r="Q97" s="29"/>
      <c r="R97" s="29"/>
      <c r="S97" s="29"/>
      <c r="T97" s="29"/>
      <c r="U97" s="29"/>
      <c r="V97" s="29"/>
      <c r="W97" s="29"/>
      <c r="X97" s="29"/>
      <c r="Y97" s="29"/>
      <c r="Z97" s="29"/>
    </row>
    <row r="98" spans="1:26" x14ac:dyDescent="0.3">
      <c r="A98" s="29"/>
      <c r="B98" s="30"/>
      <c r="C98" s="130"/>
      <c r="D98" s="161"/>
      <c r="E98" s="161"/>
      <c r="F98" s="72"/>
      <c r="G98" s="72"/>
      <c r="H98" s="72"/>
      <c r="I98" s="72"/>
      <c r="J98" s="29"/>
      <c r="K98" s="29"/>
      <c r="L98" s="29"/>
      <c r="M98" s="29"/>
      <c r="N98" s="29"/>
      <c r="O98" s="29"/>
      <c r="P98" s="29"/>
      <c r="Q98" s="29"/>
      <c r="R98" s="29"/>
      <c r="S98" s="29"/>
      <c r="T98" s="29"/>
      <c r="U98" s="29"/>
      <c r="V98" s="29"/>
      <c r="W98" s="29"/>
      <c r="X98" s="29"/>
      <c r="Y98" s="29"/>
      <c r="Z98" s="29"/>
    </row>
    <row r="99" spans="1:26" x14ac:dyDescent="0.3">
      <c r="A99" s="29"/>
      <c r="B99" s="30"/>
      <c r="C99" s="130"/>
      <c r="D99" s="161"/>
      <c r="E99" s="161"/>
      <c r="F99" s="72"/>
      <c r="G99" s="72"/>
      <c r="H99" s="72"/>
      <c r="I99" s="72"/>
      <c r="J99" s="29"/>
      <c r="K99" s="29"/>
      <c r="L99" s="29"/>
      <c r="M99" s="29"/>
      <c r="N99" s="29"/>
      <c r="O99" s="29"/>
      <c r="P99" s="29"/>
      <c r="Q99" s="29"/>
      <c r="R99" s="29"/>
      <c r="S99" s="29"/>
      <c r="T99" s="29"/>
      <c r="U99" s="29"/>
      <c r="V99" s="29"/>
      <c r="W99" s="29"/>
      <c r="X99" s="29"/>
      <c r="Y99" s="29"/>
      <c r="Z99" s="29"/>
    </row>
    <row r="100" spans="1:26" x14ac:dyDescent="0.3">
      <c r="A100" s="29"/>
      <c r="B100" s="30"/>
      <c r="C100" s="130"/>
      <c r="D100" s="161"/>
      <c r="E100" s="161"/>
      <c r="F100" s="72"/>
      <c r="G100" s="72"/>
      <c r="H100" s="72"/>
      <c r="I100" s="72"/>
      <c r="J100" s="29"/>
      <c r="K100" s="29"/>
      <c r="L100" s="29"/>
      <c r="M100" s="29"/>
      <c r="N100" s="29"/>
      <c r="O100" s="29"/>
      <c r="P100" s="29"/>
      <c r="Q100" s="29"/>
      <c r="R100" s="29"/>
      <c r="S100" s="29"/>
      <c r="T100" s="29"/>
      <c r="U100" s="29"/>
      <c r="V100" s="29"/>
      <c r="W100" s="29"/>
      <c r="X100" s="29"/>
      <c r="Y100" s="29"/>
      <c r="Z100" s="29"/>
    </row>
    <row r="101" spans="1:26" x14ac:dyDescent="0.3">
      <c r="A101" s="29"/>
      <c r="B101" s="30"/>
      <c r="C101" s="130"/>
      <c r="D101" s="161"/>
      <c r="E101" s="161"/>
      <c r="F101" s="72"/>
      <c r="G101" s="72"/>
      <c r="H101" s="72"/>
      <c r="I101" s="72"/>
      <c r="J101" s="29"/>
      <c r="K101" s="29"/>
      <c r="L101" s="29"/>
      <c r="M101" s="29"/>
      <c r="N101" s="29"/>
      <c r="O101" s="29"/>
      <c r="P101" s="29"/>
      <c r="Q101" s="29"/>
      <c r="R101" s="29"/>
      <c r="S101" s="29"/>
      <c r="T101" s="29"/>
      <c r="U101" s="29"/>
      <c r="V101" s="29"/>
      <c r="W101" s="29"/>
      <c r="X101" s="29"/>
      <c r="Y101" s="29"/>
      <c r="Z101" s="29"/>
    </row>
    <row r="102" spans="1:26" x14ac:dyDescent="0.3">
      <c r="A102" s="29"/>
      <c r="B102" s="30"/>
      <c r="C102" s="130"/>
      <c r="D102" s="161"/>
      <c r="E102" s="161"/>
      <c r="F102" s="72"/>
      <c r="G102" s="72"/>
      <c r="H102" s="72"/>
      <c r="I102" s="72"/>
      <c r="J102" s="29"/>
      <c r="K102" s="29"/>
      <c r="L102" s="29"/>
      <c r="M102" s="29"/>
      <c r="N102" s="29"/>
      <c r="O102" s="29"/>
      <c r="P102" s="29"/>
      <c r="Q102" s="29"/>
      <c r="R102" s="29"/>
      <c r="S102" s="29"/>
      <c r="T102" s="29"/>
      <c r="U102" s="29"/>
      <c r="V102" s="29"/>
      <c r="W102" s="29"/>
      <c r="X102" s="29"/>
      <c r="Y102" s="29"/>
      <c r="Z102" s="29"/>
    </row>
    <row r="103" spans="1:26" x14ac:dyDescent="0.3">
      <c r="A103" s="29"/>
      <c r="B103" s="30"/>
      <c r="C103" s="130"/>
      <c r="D103" s="161"/>
      <c r="E103" s="161"/>
      <c r="F103" s="72"/>
      <c r="G103" s="72"/>
      <c r="H103" s="72"/>
      <c r="I103" s="72"/>
      <c r="J103" s="29"/>
      <c r="K103" s="29"/>
      <c r="L103" s="29"/>
      <c r="M103" s="29"/>
      <c r="N103" s="29"/>
      <c r="O103" s="29"/>
      <c r="P103" s="29"/>
      <c r="Q103" s="29"/>
      <c r="R103" s="29"/>
      <c r="S103" s="29"/>
      <c r="T103" s="29"/>
      <c r="U103" s="29"/>
      <c r="V103" s="29"/>
      <c r="W103" s="29"/>
      <c r="X103" s="29"/>
      <c r="Y103" s="29"/>
      <c r="Z103" s="29"/>
    </row>
    <row r="104" spans="1:26" x14ac:dyDescent="0.3">
      <c r="A104" s="29"/>
      <c r="B104" s="30"/>
      <c r="C104" s="130"/>
      <c r="D104" s="161"/>
      <c r="E104" s="161"/>
      <c r="F104" s="72"/>
      <c r="G104" s="72"/>
      <c r="H104" s="72"/>
      <c r="I104" s="72"/>
      <c r="J104" s="29"/>
      <c r="K104" s="29"/>
      <c r="L104" s="29"/>
      <c r="M104" s="29"/>
      <c r="N104" s="29"/>
      <c r="O104" s="29"/>
      <c r="P104" s="29"/>
      <c r="Q104" s="29"/>
      <c r="R104" s="29"/>
      <c r="S104" s="29"/>
      <c r="T104" s="29"/>
      <c r="U104" s="29"/>
      <c r="V104" s="29"/>
      <c r="W104" s="29"/>
      <c r="X104" s="29"/>
      <c r="Y104" s="29"/>
      <c r="Z104" s="29"/>
    </row>
    <row r="105" spans="1:26" x14ac:dyDescent="0.3">
      <c r="A105" s="29"/>
      <c r="B105" s="30"/>
      <c r="C105" s="130"/>
      <c r="D105" s="161"/>
      <c r="E105" s="161" t="e">
        <f>SUBTOTAL(9,E2:E96)+'Mov. entre Contas'!#REF!</f>
        <v>#REF!</v>
      </c>
      <c r="F105" s="72"/>
      <c r="G105" s="72"/>
      <c r="H105" s="72"/>
      <c r="I105" s="72"/>
      <c r="J105" s="29"/>
      <c r="K105" s="29"/>
      <c r="L105" s="29"/>
      <c r="M105" s="29"/>
      <c r="N105" s="29"/>
      <c r="O105" s="29"/>
      <c r="P105" s="29"/>
      <c r="Q105" s="29"/>
      <c r="R105" s="29"/>
      <c r="S105" s="29"/>
      <c r="T105" s="29"/>
      <c r="U105" s="29"/>
      <c r="V105" s="29"/>
      <c r="W105" s="29"/>
      <c r="X105" s="29"/>
      <c r="Y105" s="29"/>
      <c r="Z105" s="29"/>
    </row>
    <row r="106" spans="1:26" x14ac:dyDescent="0.3">
      <c r="A106" s="29"/>
      <c r="B106" s="30"/>
      <c r="C106" s="130"/>
      <c r="D106" s="161"/>
      <c r="E106" s="161"/>
      <c r="F106" s="72"/>
      <c r="G106" s="72"/>
      <c r="H106" s="72"/>
      <c r="I106" s="72"/>
      <c r="J106" s="29"/>
      <c r="K106" s="29"/>
      <c r="L106" s="29"/>
      <c r="M106" s="29"/>
      <c r="N106" s="29"/>
      <c r="O106" s="29"/>
      <c r="P106" s="29"/>
      <c r="Q106" s="29"/>
      <c r="R106" s="29"/>
      <c r="S106" s="29"/>
      <c r="T106" s="29"/>
      <c r="U106" s="29"/>
      <c r="V106" s="29"/>
      <c r="W106" s="29"/>
      <c r="X106" s="29"/>
      <c r="Y106" s="29"/>
      <c r="Z106" s="29"/>
    </row>
    <row r="107" spans="1:26" x14ac:dyDescent="0.3">
      <c r="A107" s="29"/>
      <c r="B107" s="30"/>
      <c r="C107" s="130"/>
      <c r="D107" s="161"/>
      <c r="E107" s="161"/>
      <c r="F107" s="72"/>
      <c r="G107" s="72"/>
      <c r="H107" s="72"/>
      <c r="I107" s="72"/>
      <c r="J107" s="29"/>
      <c r="K107" s="29"/>
      <c r="L107" s="29"/>
      <c r="M107" s="29"/>
      <c r="N107" s="29"/>
      <c r="O107" s="29"/>
      <c r="P107" s="29"/>
      <c r="Q107" s="29"/>
      <c r="R107" s="29"/>
      <c r="S107" s="29"/>
      <c r="T107" s="29"/>
      <c r="U107" s="29"/>
      <c r="V107" s="29"/>
      <c r="W107" s="29"/>
      <c r="X107" s="29"/>
      <c r="Y107" s="29"/>
      <c r="Z107" s="29"/>
    </row>
    <row r="108" spans="1:26" x14ac:dyDescent="0.3">
      <c r="A108" s="29"/>
      <c r="B108" s="30"/>
      <c r="C108" s="130"/>
      <c r="D108" s="161"/>
      <c r="E108" s="161"/>
      <c r="F108" s="72"/>
      <c r="G108" s="72"/>
      <c r="H108" s="72"/>
      <c r="I108" s="72"/>
      <c r="J108" s="29"/>
      <c r="K108" s="29"/>
      <c r="L108" s="29"/>
      <c r="M108" s="29"/>
      <c r="N108" s="29"/>
      <c r="O108" s="29"/>
      <c r="P108" s="29"/>
      <c r="Q108" s="29"/>
      <c r="R108" s="29"/>
      <c r="S108" s="29"/>
      <c r="T108" s="29"/>
      <c r="U108" s="29"/>
      <c r="V108" s="29"/>
      <c r="W108" s="29"/>
      <c r="X108" s="29"/>
      <c r="Y108" s="29"/>
      <c r="Z108" s="29"/>
    </row>
    <row r="109" spans="1:26" x14ac:dyDescent="0.3">
      <c r="A109" s="29"/>
      <c r="B109" s="30"/>
      <c r="C109" s="130"/>
      <c r="D109" s="161"/>
      <c r="E109" s="161"/>
      <c r="F109" s="72"/>
      <c r="G109" s="72"/>
      <c r="H109" s="72"/>
      <c r="I109" s="72"/>
      <c r="J109" s="29"/>
      <c r="K109" s="29"/>
      <c r="L109" s="29"/>
      <c r="M109" s="29"/>
      <c r="N109" s="29"/>
      <c r="O109" s="29"/>
      <c r="P109" s="29"/>
      <c r="Q109" s="29"/>
      <c r="R109" s="29"/>
      <c r="S109" s="29"/>
      <c r="T109" s="29"/>
      <c r="U109" s="29"/>
      <c r="V109" s="29"/>
      <c r="W109" s="29"/>
      <c r="X109" s="29"/>
      <c r="Y109" s="29"/>
      <c r="Z109" s="29"/>
    </row>
    <row r="110" spans="1:26" x14ac:dyDescent="0.3">
      <c r="A110" s="29"/>
      <c r="B110" s="30"/>
      <c r="C110" s="130"/>
      <c r="D110" s="161"/>
      <c r="E110" s="161"/>
      <c r="F110" s="72"/>
      <c r="G110" s="72"/>
      <c r="H110" s="72"/>
      <c r="I110" s="72"/>
      <c r="J110" s="29"/>
      <c r="K110" s="29"/>
      <c r="L110" s="29"/>
      <c r="M110" s="29"/>
      <c r="N110" s="29"/>
      <c r="O110" s="29"/>
      <c r="P110" s="29"/>
      <c r="Q110" s="29"/>
      <c r="R110" s="29"/>
      <c r="S110" s="29"/>
      <c r="T110" s="29"/>
      <c r="U110" s="29"/>
      <c r="V110" s="29"/>
      <c r="W110" s="29"/>
      <c r="X110" s="29"/>
      <c r="Y110" s="29"/>
      <c r="Z110" s="29"/>
    </row>
    <row r="111" spans="1:26" x14ac:dyDescent="0.3">
      <c r="A111" s="29"/>
      <c r="B111" s="30"/>
      <c r="C111" s="130"/>
      <c r="D111" s="161"/>
      <c r="E111" s="161"/>
      <c r="F111" s="72"/>
      <c r="G111" s="72"/>
      <c r="H111" s="72"/>
      <c r="I111" s="72"/>
      <c r="J111" s="29"/>
      <c r="K111" s="29"/>
      <c r="L111" s="29"/>
      <c r="M111" s="29"/>
      <c r="N111" s="29"/>
      <c r="O111" s="29"/>
      <c r="P111" s="29"/>
      <c r="Q111" s="29"/>
      <c r="R111" s="29"/>
      <c r="S111" s="29"/>
      <c r="T111" s="29"/>
      <c r="U111" s="29"/>
      <c r="V111" s="29"/>
      <c r="W111" s="29"/>
      <c r="X111" s="29"/>
      <c r="Y111" s="29"/>
      <c r="Z111" s="29"/>
    </row>
    <row r="112" spans="1:26" x14ac:dyDescent="0.3">
      <c r="A112" s="29"/>
      <c r="B112" s="30"/>
      <c r="C112" s="130"/>
      <c r="D112" s="161"/>
      <c r="E112" s="161"/>
      <c r="F112" s="72"/>
      <c r="G112" s="72"/>
      <c r="H112" s="72"/>
      <c r="I112" s="72"/>
      <c r="J112" s="29"/>
      <c r="K112" s="29"/>
      <c r="L112" s="29"/>
      <c r="M112" s="29"/>
      <c r="N112" s="29"/>
      <c r="O112" s="29"/>
      <c r="P112" s="29"/>
      <c r="Q112" s="29"/>
      <c r="R112" s="29"/>
      <c r="S112" s="29"/>
      <c r="T112" s="29"/>
      <c r="U112" s="29"/>
      <c r="V112" s="29"/>
      <c r="W112" s="29"/>
      <c r="X112" s="29"/>
      <c r="Y112" s="29"/>
      <c r="Z112" s="29"/>
    </row>
    <row r="113" spans="1:26" x14ac:dyDescent="0.3">
      <c r="A113" s="29"/>
      <c r="B113" s="30"/>
      <c r="C113" s="130"/>
      <c r="D113" s="161"/>
      <c r="E113" s="161"/>
      <c r="F113" s="72"/>
      <c r="G113" s="72"/>
      <c r="H113" s="72"/>
      <c r="I113" s="72"/>
      <c r="J113" s="29"/>
      <c r="K113" s="29"/>
      <c r="L113" s="29"/>
      <c r="M113" s="29"/>
      <c r="N113" s="29"/>
      <c r="O113" s="29"/>
      <c r="P113" s="29"/>
      <c r="Q113" s="29"/>
      <c r="R113" s="29"/>
      <c r="S113" s="29"/>
      <c r="T113" s="29"/>
      <c r="U113" s="29"/>
      <c r="V113" s="29"/>
      <c r="W113" s="29"/>
      <c r="X113" s="29"/>
      <c r="Y113" s="29"/>
      <c r="Z113" s="29"/>
    </row>
    <row r="114" spans="1:26" x14ac:dyDescent="0.3">
      <c r="A114" s="29"/>
      <c r="B114" s="30"/>
      <c r="C114" s="130"/>
      <c r="D114" s="161"/>
      <c r="E114" s="161"/>
      <c r="F114" s="72"/>
      <c r="G114" s="72"/>
      <c r="H114" s="72"/>
      <c r="I114" s="72"/>
      <c r="J114" s="29"/>
      <c r="K114" s="29"/>
      <c r="L114" s="29"/>
      <c r="M114" s="29"/>
      <c r="N114" s="29"/>
      <c r="O114" s="29"/>
      <c r="P114" s="29"/>
      <c r="Q114" s="29"/>
      <c r="R114" s="29"/>
      <c r="S114" s="29"/>
      <c r="T114" s="29"/>
      <c r="U114" s="29"/>
      <c r="V114" s="29"/>
      <c r="W114" s="29"/>
      <c r="X114" s="29"/>
      <c r="Y114" s="29"/>
      <c r="Z114" s="29"/>
    </row>
    <row r="115" spans="1:26" x14ac:dyDescent="0.3">
      <c r="A115" s="29"/>
      <c r="B115" s="30"/>
      <c r="C115" s="130"/>
      <c r="D115" s="161"/>
      <c r="E115" s="161"/>
      <c r="F115" s="72"/>
      <c r="G115" s="72"/>
      <c r="H115" s="72"/>
      <c r="I115" s="72"/>
      <c r="J115" s="29"/>
      <c r="K115" s="29"/>
      <c r="L115" s="29"/>
      <c r="M115" s="29"/>
      <c r="N115" s="29"/>
      <c r="O115" s="29"/>
      <c r="P115" s="29"/>
      <c r="Q115" s="29"/>
      <c r="R115" s="29"/>
      <c r="S115" s="29"/>
      <c r="T115" s="29"/>
      <c r="U115" s="29"/>
      <c r="V115" s="29"/>
      <c r="W115" s="29"/>
      <c r="X115" s="29"/>
      <c r="Y115" s="29"/>
      <c r="Z115" s="29"/>
    </row>
    <row r="116" spans="1:26" x14ac:dyDescent="0.3">
      <c r="A116" s="29"/>
      <c r="B116" s="30"/>
      <c r="C116" s="130"/>
      <c r="D116" s="161"/>
      <c r="E116" s="161"/>
      <c r="F116" s="72"/>
      <c r="G116" s="72"/>
      <c r="H116" s="72"/>
      <c r="I116" s="72"/>
      <c r="J116" s="29"/>
      <c r="K116" s="29"/>
      <c r="L116" s="29"/>
      <c r="M116" s="29"/>
      <c r="N116" s="29"/>
      <c r="O116" s="29"/>
      <c r="P116" s="29"/>
      <c r="Q116" s="29"/>
      <c r="R116" s="29"/>
      <c r="S116" s="29"/>
      <c r="T116" s="29"/>
      <c r="U116" s="29"/>
      <c r="V116" s="29"/>
      <c r="W116" s="29"/>
      <c r="X116" s="29"/>
      <c r="Y116" s="29"/>
      <c r="Z116" s="29"/>
    </row>
    <row r="117" spans="1:26" x14ac:dyDescent="0.3">
      <c r="A117" s="29"/>
      <c r="B117" s="30"/>
      <c r="C117" s="130"/>
      <c r="D117" s="161"/>
      <c r="E117" s="161"/>
      <c r="F117" s="72"/>
      <c r="G117" s="72"/>
      <c r="H117" s="72"/>
      <c r="I117" s="72"/>
      <c r="J117" s="29"/>
      <c r="K117" s="29"/>
      <c r="L117" s="29"/>
      <c r="M117" s="29"/>
      <c r="N117" s="29"/>
      <c r="O117" s="29"/>
      <c r="P117" s="29"/>
      <c r="Q117" s="29"/>
      <c r="R117" s="29"/>
      <c r="S117" s="29"/>
      <c r="T117" s="29"/>
      <c r="U117" s="29"/>
      <c r="V117" s="29"/>
      <c r="W117" s="29"/>
      <c r="X117" s="29"/>
      <c r="Y117" s="29"/>
      <c r="Z117" s="29"/>
    </row>
    <row r="118" spans="1:26" x14ac:dyDescent="0.3">
      <c r="A118" s="29"/>
      <c r="B118" s="30"/>
      <c r="C118" s="130"/>
      <c r="D118" s="161"/>
      <c r="E118" s="161"/>
      <c r="F118" s="72"/>
      <c r="G118" s="72"/>
      <c r="H118" s="72"/>
      <c r="I118" s="72"/>
      <c r="J118" s="29"/>
      <c r="K118" s="29"/>
      <c r="L118" s="29"/>
      <c r="M118" s="29"/>
      <c r="N118" s="29"/>
      <c r="O118" s="29"/>
      <c r="P118" s="29"/>
      <c r="Q118" s="29"/>
      <c r="R118" s="29"/>
      <c r="S118" s="29"/>
      <c r="T118" s="29"/>
      <c r="U118" s="29"/>
      <c r="V118" s="29"/>
      <c r="W118" s="29"/>
      <c r="X118" s="29"/>
      <c r="Y118" s="29"/>
      <c r="Z118" s="29"/>
    </row>
    <row r="119" spans="1:26" x14ac:dyDescent="0.3">
      <c r="A119" s="29"/>
      <c r="B119" s="30"/>
      <c r="C119" s="130"/>
      <c r="D119" s="161"/>
      <c r="E119" s="161"/>
      <c r="F119" s="72"/>
      <c r="G119" s="72"/>
      <c r="H119" s="72"/>
      <c r="I119" s="72"/>
      <c r="J119" s="29"/>
      <c r="K119" s="29"/>
      <c r="L119" s="29"/>
      <c r="M119" s="29"/>
      <c r="N119" s="29"/>
      <c r="O119" s="29"/>
      <c r="P119" s="29"/>
      <c r="Q119" s="29"/>
      <c r="R119" s="29"/>
      <c r="S119" s="29"/>
      <c r="T119" s="29"/>
      <c r="U119" s="29"/>
      <c r="V119" s="29"/>
      <c r="W119" s="29"/>
      <c r="X119" s="29"/>
      <c r="Y119" s="29"/>
      <c r="Z119" s="29"/>
    </row>
    <row r="120" spans="1:26" x14ac:dyDescent="0.3">
      <c r="A120" s="29"/>
      <c r="B120" s="30"/>
      <c r="C120" s="130"/>
      <c r="D120" s="161"/>
      <c r="E120" s="161"/>
      <c r="F120" s="72"/>
      <c r="G120" s="72"/>
      <c r="H120" s="72"/>
      <c r="I120" s="72"/>
      <c r="J120" s="29"/>
      <c r="K120" s="29"/>
      <c r="L120" s="29"/>
      <c r="M120" s="29"/>
      <c r="N120" s="29"/>
      <c r="O120" s="29"/>
      <c r="P120" s="29"/>
      <c r="Q120" s="29"/>
      <c r="R120" s="29"/>
      <c r="S120" s="29"/>
      <c r="T120" s="29"/>
      <c r="U120" s="29"/>
      <c r="V120" s="29"/>
      <c r="W120" s="29"/>
      <c r="X120" s="29"/>
      <c r="Y120" s="29"/>
      <c r="Z120" s="29"/>
    </row>
    <row r="121" spans="1:26" x14ac:dyDescent="0.3">
      <c r="A121" s="29"/>
      <c r="B121" s="30"/>
      <c r="C121" s="130"/>
      <c r="D121" s="161"/>
      <c r="E121" s="161"/>
      <c r="F121" s="72"/>
      <c r="G121" s="72"/>
      <c r="H121" s="72"/>
      <c r="I121" s="72"/>
      <c r="J121" s="29"/>
      <c r="K121" s="29"/>
      <c r="L121" s="29"/>
      <c r="M121" s="29"/>
      <c r="N121" s="29"/>
      <c r="O121" s="29"/>
      <c r="P121" s="29"/>
      <c r="Q121" s="29"/>
      <c r="R121" s="29"/>
      <c r="S121" s="29"/>
      <c r="T121" s="29"/>
      <c r="U121" s="29"/>
      <c r="V121" s="29"/>
      <c r="W121" s="29"/>
      <c r="X121" s="29"/>
      <c r="Y121" s="29"/>
      <c r="Z121" s="29"/>
    </row>
    <row r="122" spans="1:26" x14ac:dyDescent="0.3">
      <c r="A122" s="29"/>
      <c r="B122" s="30"/>
      <c r="C122" s="130"/>
      <c r="D122" s="161"/>
      <c r="E122" s="161"/>
      <c r="F122" s="72"/>
      <c r="G122" s="72"/>
      <c r="H122" s="72"/>
      <c r="I122" s="72"/>
      <c r="J122" s="29"/>
      <c r="K122" s="29"/>
      <c r="L122" s="29"/>
      <c r="M122" s="29"/>
      <c r="N122" s="29"/>
      <c r="O122" s="29"/>
      <c r="P122" s="29"/>
      <c r="Q122" s="29"/>
      <c r="R122" s="29"/>
      <c r="S122" s="29"/>
      <c r="T122" s="29"/>
      <c r="U122" s="29"/>
      <c r="V122" s="29"/>
      <c r="W122" s="29"/>
      <c r="X122" s="29"/>
      <c r="Y122" s="29"/>
      <c r="Z122" s="29"/>
    </row>
    <row r="123" spans="1:26" x14ac:dyDescent="0.3">
      <c r="A123" s="29"/>
      <c r="B123" s="30"/>
      <c r="C123" s="130"/>
      <c r="D123" s="161"/>
      <c r="E123" s="161"/>
      <c r="F123" s="72"/>
      <c r="G123" s="72"/>
      <c r="H123" s="72"/>
      <c r="I123" s="72"/>
      <c r="J123" s="29"/>
      <c r="K123" s="29"/>
      <c r="L123" s="29"/>
      <c r="M123" s="29"/>
      <c r="N123" s="29"/>
      <c r="O123" s="29"/>
      <c r="P123" s="29"/>
      <c r="Q123" s="29"/>
      <c r="R123" s="29"/>
      <c r="S123" s="29"/>
      <c r="T123" s="29"/>
      <c r="U123" s="29"/>
      <c r="V123" s="29"/>
      <c r="W123" s="29"/>
      <c r="X123" s="29"/>
      <c r="Y123" s="29"/>
      <c r="Z123" s="29"/>
    </row>
    <row r="124" spans="1:26" x14ac:dyDescent="0.3">
      <c r="A124" s="29"/>
      <c r="B124" s="30"/>
      <c r="C124" s="130"/>
      <c r="D124" s="161"/>
      <c r="E124" s="161"/>
      <c r="F124" s="72"/>
      <c r="G124" s="72"/>
      <c r="H124" s="72"/>
      <c r="I124" s="72"/>
      <c r="J124" s="29"/>
      <c r="K124" s="29"/>
      <c r="L124" s="29"/>
      <c r="M124" s="29"/>
      <c r="N124" s="29"/>
      <c r="O124" s="29"/>
      <c r="P124" s="29"/>
      <c r="Q124" s="29"/>
      <c r="R124" s="29"/>
      <c r="S124" s="29"/>
      <c r="T124" s="29"/>
      <c r="U124" s="29"/>
      <c r="V124" s="29"/>
      <c r="W124" s="29"/>
      <c r="X124" s="29"/>
      <c r="Y124" s="29"/>
      <c r="Z124" s="29"/>
    </row>
    <row r="125" spans="1:26" x14ac:dyDescent="0.3">
      <c r="A125" s="29"/>
      <c r="B125" s="30"/>
      <c r="C125" s="130"/>
      <c r="D125" s="161"/>
      <c r="E125" s="161"/>
      <c r="F125" s="72"/>
      <c r="G125" s="72"/>
      <c r="H125" s="72"/>
      <c r="I125" s="72"/>
      <c r="J125" s="29"/>
      <c r="K125" s="29"/>
      <c r="L125" s="29"/>
      <c r="M125" s="29"/>
      <c r="N125" s="29"/>
      <c r="O125" s="29"/>
      <c r="P125" s="29"/>
      <c r="Q125" s="29"/>
      <c r="R125" s="29"/>
      <c r="S125" s="29"/>
      <c r="T125" s="29"/>
      <c r="U125" s="29"/>
      <c r="V125" s="29"/>
      <c r="W125" s="29"/>
      <c r="X125" s="29"/>
      <c r="Y125" s="29"/>
      <c r="Z125" s="29"/>
    </row>
    <row r="126" spans="1:26" x14ac:dyDescent="0.3">
      <c r="A126" s="29"/>
      <c r="B126" s="30"/>
      <c r="C126" s="130"/>
      <c r="D126" s="161"/>
      <c r="E126" s="161"/>
      <c r="F126" s="72"/>
      <c r="G126" s="72"/>
      <c r="H126" s="72"/>
      <c r="I126" s="72"/>
      <c r="J126" s="29"/>
      <c r="K126" s="29"/>
      <c r="L126" s="29"/>
      <c r="M126" s="29"/>
      <c r="N126" s="29"/>
      <c r="O126" s="29"/>
      <c r="P126" s="29"/>
      <c r="Q126" s="29"/>
      <c r="R126" s="29"/>
      <c r="S126" s="29"/>
      <c r="T126" s="29"/>
      <c r="U126" s="29"/>
      <c r="V126" s="29"/>
      <c r="W126" s="29"/>
      <c r="X126" s="29"/>
      <c r="Y126" s="29"/>
      <c r="Z126" s="29"/>
    </row>
    <row r="127" spans="1:26" x14ac:dyDescent="0.3">
      <c r="A127" s="29"/>
      <c r="B127" s="30"/>
      <c r="C127" s="130"/>
      <c r="D127" s="161"/>
      <c r="E127" s="161"/>
      <c r="F127" s="72"/>
      <c r="G127" s="72"/>
      <c r="H127" s="72"/>
      <c r="I127" s="72"/>
      <c r="J127" s="29"/>
      <c r="K127" s="29"/>
      <c r="L127" s="29"/>
      <c r="M127" s="29"/>
      <c r="N127" s="29"/>
      <c r="O127" s="29"/>
      <c r="P127" s="29"/>
      <c r="Q127" s="29"/>
      <c r="R127" s="29"/>
      <c r="S127" s="29"/>
      <c r="T127" s="29"/>
      <c r="U127" s="29"/>
      <c r="V127" s="29"/>
      <c r="W127" s="29"/>
      <c r="X127" s="29"/>
      <c r="Y127" s="29"/>
      <c r="Z127" s="29"/>
    </row>
    <row r="128" spans="1:26" x14ac:dyDescent="0.3">
      <c r="A128" s="29"/>
      <c r="B128" s="30"/>
      <c r="C128" s="130"/>
      <c r="D128" s="161"/>
      <c r="E128" s="161"/>
      <c r="F128" s="72"/>
      <c r="G128" s="72"/>
      <c r="H128" s="72"/>
      <c r="I128" s="72"/>
      <c r="J128" s="29"/>
      <c r="K128" s="29"/>
      <c r="L128" s="29"/>
      <c r="M128" s="29"/>
      <c r="N128" s="29"/>
      <c r="O128" s="29"/>
      <c r="P128" s="29"/>
      <c r="Q128" s="29"/>
      <c r="R128" s="29"/>
      <c r="S128" s="29"/>
      <c r="T128" s="29"/>
      <c r="U128" s="29"/>
      <c r="V128" s="29"/>
      <c r="W128" s="29"/>
      <c r="X128" s="29"/>
      <c r="Y128" s="29"/>
      <c r="Z128" s="29"/>
    </row>
    <row r="129" spans="1:26" x14ac:dyDescent="0.3">
      <c r="A129" s="29"/>
      <c r="B129" s="30"/>
      <c r="C129" s="130"/>
      <c r="D129" s="161"/>
      <c r="E129" s="161"/>
      <c r="F129" s="72"/>
      <c r="G129" s="72"/>
      <c r="H129" s="72"/>
      <c r="I129" s="72"/>
      <c r="J129" s="29"/>
      <c r="K129" s="29"/>
      <c r="L129" s="29"/>
      <c r="M129" s="29"/>
      <c r="N129" s="29"/>
      <c r="O129" s="29"/>
      <c r="P129" s="29"/>
      <c r="Q129" s="29"/>
      <c r="R129" s="29"/>
      <c r="S129" s="29"/>
      <c r="T129" s="29"/>
      <c r="U129" s="29"/>
      <c r="V129" s="29"/>
      <c r="W129" s="29"/>
      <c r="X129" s="29"/>
      <c r="Y129" s="29"/>
      <c r="Z129" s="29"/>
    </row>
    <row r="130" spans="1:26" x14ac:dyDescent="0.3">
      <c r="A130" s="29"/>
      <c r="B130" s="30"/>
      <c r="C130" s="130"/>
      <c r="D130" s="161"/>
      <c r="E130" s="161"/>
      <c r="F130" s="72"/>
      <c r="G130" s="72"/>
      <c r="H130" s="72"/>
      <c r="I130" s="72"/>
      <c r="J130" s="29"/>
      <c r="K130" s="29"/>
      <c r="L130" s="29"/>
      <c r="M130" s="29"/>
      <c r="N130" s="29"/>
      <c r="O130" s="29"/>
      <c r="P130" s="29"/>
      <c r="Q130" s="29"/>
      <c r="R130" s="29"/>
      <c r="S130" s="29"/>
      <c r="T130" s="29"/>
      <c r="U130" s="29"/>
      <c r="V130" s="29"/>
      <c r="W130" s="29"/>
      <c r="X130" s="29"/>
      <c r="Y130" s="29"/>
      <c r="Z130" s="29"/>
    </row>
    <row r="131" spans="1:26" x14ac:dyDescent="0.3">
      <c r="A131" s="29"/>
      <c r="B131" s="30"/>
      <c r="C131" s="130"/>
      <c r="D131" s="161"/>
      <c r="E131" s="161"/>
      <c r="F131" s="72"/>
      <c r="G131" s="72"/>
      <c r="H131" s="72"/>
      <c r="I131" s="72"/>
      <c r="J131" s="29"/>
      <c r="K131" s="29"/>
      <c r="L131" s="29"/>
      <c r="M131" s="29"/>
      <c r="N131" s="29"/>
      <c r="O131" s="29"/>
      <c r="P131" s="29"/>
      <c r="Q131" s="29"/>
      <c r="R131" s="29"/>
      <c r="S131" s="29"/>
      <c r="T131" s="29"/>
      <c r="U131" s="29"/>
      <c r="V131" s="29"/>
      <c r="W131" s="29"/>
      <c r="X131" s="29"/>
      <c r="Y131" s="29"/>
      <c r="Z131" s="29"/>
    </row>
    <row r="132" spans="1:26" x14ac:dyDescent="0.3">
      <c r="A132" s="29"/>
      <c r="B132" s="30"/>
      <c r="C132" s="130"/>
      <c r="D132" s="161"/>
      <c r="E132" s="161"/>
      <c r="F132" s="72"/>
      <c r="G132" s="72"/>
      <c r="H132" s="72"/>
      <c r="I132" s="72"/>
      <c r="J132" s="29"/>
      <c r="K132" s="29"/>
      <c r="L132" s="29"/>
      <c r="M132" s="29"/>
      <c r="N132" s="29"/>
      <c r="O132" s="29"/>
      <c r="P132" s="29"/>
      <c r="Q132" s="29"/>
      <c r="R132" s="29"/>
      <c r="S132" s="29"/>
      <c r="T132" s="29"/>
      <c r="U132" s="29"/>
      <c r="V132" s="29"/>
      <c r="W132" s="29"/>
      <c r="X132" s="29"/>
      <c r="Y132" s="29"/>
      <c r="Z132" s="29"/>
    </row>
    <row r="133" spans="1:26" x14ac:dyDescent="0.3">
      <c r="A133" s="29"/>
      <c r="B133" s="30"/>
      <c r="C133" s="130"/>
      <c r="D133" s="161"/>
      <c r="E133" s="161"/>
      <c r="F133" s="72"/>
      <c r="G133" s="72"/>
      <c r="H133" s="72"/>
      <c r="I133" s="72"/>
      <c r="J133" s="29"/>
      <c r="K133" s="29"/>
      <c r="L133" s="29"/>
      <c r="M133" s="29"/>
      <c r="N133" s="29"/>
      <c r="O133" s="29"/>
      <c r="P133" s="29"/>
      <c r="Q133" s="29"/>
      <c r="R133" s="29"/>
      <c r="S133" s="29"/>
      <c r="T133" s="29"/>
      <c r="U133" s="29"/>
      <c r="V133" s="29"/>
      <c r="W133" s="29"/>
      <c r="X133" s="29"/>
      <c r="Y133" s="29"/>
      <c r="Z133" s="29"/>
    </row>
    <row r="134" spans="1:26" x14ac:dyDescent="0.3">
      <c r="A134" s="29"/>
      <c r="B134" s="30"/>
      <c r="C134" s="130"/>
      <c r="D134" s="161"/>
      <c r="E134" s="161"/>
      <c r="F134" s="72"/>
      <c r="G134" s="72"/>
      <c r="H134" s="72"/>
      <c r="I134" s="72"/>
      <c r="J134" s="29"/>
      <c r="K134" s="29"/>
      <c r="L134" s="29"/>
      <c r="M134" s="29"/>
      <c r="N134" s="29"/>
      <c r="O134" s="29"/>
      <c r="P134" s="29"/>
      <c r="Q134" s="29"/>
      <c r="R134" s="29"/>
      <c r="S134" s="29"/>
      <c r="T134" s="29"/>
      <c r="U134" s="29"/>
      <c r="V134" s="29"/>
      <c r="W134" s="29"/>
      <c r="X134" s="29"/>
      <c r="Y134" s="29"/>
      <c r="Z134" s="29"/>
    </row>
    <row r="135" spans="1:26" x14ac:dyDescent="0.3">
      <c r="A135" s="29"/>
      <c r="B135" s="30"/>
      <c r="C135" s="130"/>
      <c r="D135" s="161"/>
      <c r="E135" s="161"/>
      <c r="F135" s="72"/>
      <c r="G135" s="72"/>
      <c r="H135" s="72"/>
      <c r="I135" s="72"/>
      <c r="J135" s="29"/>
      <c r="K135" s="29"/>
      <c r="L135" s="29"/>
      <c r="M135" s="29"/>
      <c r="N135" s="29"/>
      <c r="O135" s="29"/>
      <c r="P135" s="29"/>
      <c r="Q135" s="29"/>
      <c r="R135" s="29"/>
      <c r="S135" s="29"/>
      <c r="T135" s="29"/>
      <c r="U135" s="29"/>
      <c r="V135" s="29"/>
      <c r="W135" s="29"/>
      <c r="X135" s="29"/>
      <c r="Y135" s="29"/>
      <c r="Z135" s="29"/>
    </row>
    <row r="136" spans="1:26" x14ac:dyDescent="0.3">
      <c r="A136" s="29"/>
      <c r="B136" s="30"/>
      <c r="C136" s="130"/>
      <c r="D136" s="161"/>
      <c r="E136" s="161"/>
      <c r="F136" s="72"/>
      <c r="G136" s="72"/>
      <c r="H136" s="72"/>
      <c r="I136" s="72"/>
      <c r="J136" s="29"/>
      <c r="K136" s="29"/>
      <c r="L136" s="29"/>
      <c r="M136" s="29"/>
      <c r="N136" s="29"/>
      <c r="O136" s="29"/>
      <c r="P136" s="29"/>
      <c r="Q136" s="29"/>
      <c r="R136" s="29"/>
      <c r="S136" s="29"/>
      <c r="T136" s="29"/>
      <c r="U136" s="29"/>
      <c r="V136" s="29"/>
      <c r="W136" s="29"/>
      <c r="X136" s="29"/>
      <c r="Y136" s="29"/>
      <c r="Z136" s="29"/>
    </row>
    <row r="137" spans="1:26" x14ac:dyDescent="0.3">
      <c r="A137" s="29"/>
      <c r="B137" s="30"/>
      <c r="C137" s="130"/>
      <c r="D137" s="161"/>
      <c r="E137" s="161"/>
      <c r="F137" s="72"/>
      <c r="G137" s="72"/>
      <c r="H137" s="72"/>
      <c r="I137" s="72"/>
      <c r="J137" s="29"/>
      <c r="K137" s="29"/>
      <c r="L137" s="29"/>
      <c r="M137" s="29"/>
      <c r="N137" s="29"/>
      <c r="O137" s="29"/>
      <c r="P137" s="29"/>
      <c r="Q137" s="29"/>
      <c r="R137" s="29"/>
      <c r="S137" s="29"/>
      <c r="T137" s="29"/>
      <c r="U137" s="29"/>
      <c r="V137" s="29"/>
      <c r="W137" s="29"/>
      <c r="X137" s="29"/>
      <c r="Y137" s="29"/>
      <c r="Z137" s="29"/>
    </row>
    <row r="138" spans="1:26" x14ac:dyDescent="0.3">
      <c r="A138" s="29"/>
      <c r="B138" s="30"/>
      <c r="C138" s="130"/>
      <c r="D138" s="161"/>
      <c r="E138" s="161"/>
      <c r="F138" s="72"/>
      <c r="G138" s="72"/>
      <c r="H138" s="72"/>
      <c r="I138" s="72"/>
      <c r="J138" s="29"/>
      <c r="K138" s="29"/>
      <c r="L138" s="29"/>
      <c r="M138" s="29"/>
      <c r="N138" s="29"/>
      <c r="O138" s="29"/>
      <c r="P138" s="29"/>
      <c r="Q138" s="29"/>
      <c r="R138" s="29"/>
      <c r="S138" s="29"/>
      <c r="T138" s="29"/>
      <c r="U138" s="29"/>
      <c r="V138" s="29"/>
      <c r="W138" s="29"/>
      <c r="X138" s="29"/>
      <c r="Y138" s="29"/>
      <c r="Z138" s="29"/>
    </row>
    <row r="139" spans="1:26" x14ac:dyDescent="0.3">
      <c r="A139" s="29"/>
      <c r="B139" s="30"/>
      <c r="C139" s="130"/>
      <c r="D139" s="161"/>
      <c r="E139" s="161"/>
      <c r="F139" s="72"/>
      <c r="G139" s="72"/>
      <c r="H139" s="72"/>
      <c r="I139" s="72"/>
      <c r="J139" s="29"/>
      <c r="K139" s="29"/>
      <c r="L139" s="29"/>
      <c r="M139" s="29"/>
      <c r="N139" s="29"/>
      <c r="O139" s="29"/>
      <c r="P139" s="29"/>
      <c r="Q139" s="29"/>
      <c r="R139" s="29"/>
      <c r="S139" s="29"/>
      <c r="T139" s="29"/>
      <c r="U139" s="29"/>
      <c r="V139" s="29"/>
      <c r="W139" s="29"/>
      <c r="X139" s="29"/>
      <c r="Y139" s="29"/>
      <c r="Z139" s="29"/>
    </row>
    <row r="140" spans="1:26" x14ac:dyDescent="0.3">
      <c r="A140" s="29"/>
      <c r="B140" s="30"/>
      <c r="C140" s="130"/>
      <c r="D140" s="161"/>
      <c r="E140" s="161"/>
      <c r="F140" s="72"/>
      <c r="G140" s="72"/>
      <c r="H140" s="72"/>
      <c r="I140" s="72"/>
      <c r="J140" s="29"/>
      <c r="K140" s="29"/>
      <c r="L140" s="29"/>
      <c r="M140" s="29"/>
      <c r="N140" s="29"/>
      <c r="O140" s="29"/>
      <c r="P140" s="29"/>
      <c r="Q140" s="29"/>
      <c r="R140" s="29"/>
      <c r="S140" s="29"/>
      <c r="T140" s="29"/>
      <c r="U140" s="29"/>
      <c r="V140" s="29"/>
      <c r="W140" s="29"/>
      <c r="X140" s="29"/>
      <c r="Y140" s="29"/>
      <c r="Z140" s="29"/>
    </row>
    <row r="141" spans="1:26" x14ac:dyDescent="0.3">
      <c r="A141" s="29"/>
      <c r="B141" s="30"/>
      <c r="C141" s="130"/>
      <c r="D141" s="161"/>
      <c r="E141" s="161"/>
      <c r="F141" s="72"/>
      <c r="G141" s="72"/>
      <c r="H141" s="72"/>
      <c r="I141" s="72"/>
      <c r="J141" s="29"/>
      <c r="K141" s="29"/>
      <c r="L141" s="29"/>
      <c r="M141" s="29"/>
      <c r="N141" s="29"/>
      <c r="O141" s="29"/>
      <c r="P141" s="29"/>
      <c r="Q141" s="29"/>
      <c r="R141" s="29"/>
      <c r="S141" s="29"/>
      <c r="T141" s="29"/>
      <c r="U141" s="29"/>
      <c r="V141" s="29"/>
      <c r="W141" s="29"/>
      <c r="X141" s="29"/>
      <c r="Y141" s="29"/>
      <c r="Z141" s="29"/>
    </row>
    <row r="142" spans="1:26" x14ac:dyDescent="0.3">
      <c r="A142" s="29"/>
      <c r="B142" s="30"/>
      <c r="C142" s="130"/>
      <c r="D142" s="161"/>
      <c r="E142" s="161"/>
      <c r="F142" s="72"/>
      <c r="G142" s="72"/>
      <c r="H142" s="72"/>
      <c r="I142" s="72"/>
      <c r="J142" s="29"/>
      <c r="K142" s="29"/>
      <c r="L142" s="29"/>
      <c r="M142" s="29"/>
      <c r="N142" s="29"/>
      <c r="O142" s="29"/>
      <c r="P142" s="29"/>
      <c r="Q142" s="29"/>
      <c r="R142" s="29"/>
      <c r="S142" s="29"/>
      <c r="T142" s="29"/>
      <c r="U142" s="29"/>
      <c r="V142" s="29"/>
      <c r="W142" s="29"/>
      <c r="X142" s="29"/>
      <c r="Y142" s="29"/>
      <c r="Z142" s="29"/>
    </row>
    <row r="143" spans="1:26" x14ac:dyDescent="0.3">
      <c r="A143" s="29"/>
      <c r="B143" s="30"/>
      <c r="C143" s="130"/>
      <c r="D143" s="161"/>
      <c r="E143" s="161"/>
      <c r="F143" s="72"/>
      <c r="G143" s="72"/>
      <c r="H143" s="72"/>
      <c r="I143" s="72"/>
      <c r="J143" s="29"/>
      <c r="K143" s="29"/>
      <c r="L143" s="29"/>
      <c r="M143" s="29"/>
      <c r="N143" s="29"/>
      <c r="O143" s="29"/>
      <c r="P143" s="29"/>
      <c r="Q143" s="29"/>
      <c r="R143" s="29"/>
      <c r="S143" s="29"/>
      <c r="T143" s="29"/>
      <c r="U143" s="29"/>
      <c r="V143" s="29"/>
      <c r="W143" s="29"/>
      <c r="X143" s="29"/>
      <c r="Y143" s="29"/>
      <c r="Z143" s="29"/>
    </row>
    <row r="144" spans="1:26" x14ac:dyDescent="0.3">
      <c r="A144" s="29"/>
      <c r="B144" s="30"/>
      <c r="C144" s="130"/>
      <c r="D144" s="161"/>
      <c r="E144" s="161"/>
      <c r="F144" s="72"/>
      <c r="G144" s="72"/>
      <c r="H144" s="72"/>
      <c r="I144" s="72"/>
      <c r="J144" s="29"/>
      <c r="K144" s="29"/>
      <c r="L144" s="29"/>
      <c r="M144" s="29"/>
      <c r="N144" s="29"/>
      <c r="O144" s="29"/>
      <c r="P144" s="29"/>
      <c r="Q144" s="29"/>
      <c r="R144" s="29"/>
      <c r="S144" s="29"/>
      <c r="T144" s="29"/>
      <c r="U144" s="29"/>
      <c r="V144" s="29"/>
      <c r="W144" s="29"/>
      <c r="X144" s="29"/>
      <c r="Y144" s="29"/>
      <c r="Z144" s="29"/>
    </row>
    <row r="145" spans="1:26" x14ac:dyDescent="0.3">
      <c r="A145" s="29"/>
      <c r="B145" s="30"/>
      <c r="C145" s="130"/>
      <c r="D145" s="161"/>
      <c r="E145" s="161"/>
      <c r="F145" s="72"/>
      <c r="G145" s="72"/>
      <c r="H145" s="72"/>
      <c r="I145" s="72"/>
      <c r="J145" s="29"/>
      <c r="K145" s="29"/>
      <c r="L145" s="29"/>
      <c r="M145" s="29"/>
      <c r="N145" s="29"/>
      <c r="O145" s="29"/>
      <c r="P145" s="29"/>
      <c r="Q145" s="29"/>
      <c r="R145" s="29"/>
      <c r="S145" s="29"/>
      <c r="T145" s="29"/>
      <c r="U145" s="29"/>
      <c r="V145" s="29"/>
      <c r="W145" s="29"/>
      <c r="X145" s="29"/>
      <c r="Y145" s="29"/>
      <c r="Z145" s="29"/>
    </row>
    <row r="146" spans="1:26" x14ac:dyDescent="0.3">
      <c r="A146" s="29"/>
      <c r="B146" s="30"/>
      <c r="C146" s="130"/>
      <c r="D146" s="161"/>
      <c r="E146" s="161"/>
      <c r="F146" s="72"/>
      <c r="G146" s="72"/>
      <c r="H146" s="72"/>
      <c r="I146" s="72"/>
      <c r="J146" s="29"/>
      <c r="K146" s="29"/>
      <c r="L146" s="29"/>
      <c r="M146" s="29"/>
      <c r="N146" s="29"/>
      <c r="O146" s="29"/>
      <c r="P146" s="29"/>
      <c r="Q146" s="29"/>
      <c r="R146" s="29"/>
      <c r="S146" s="29"/>
      <c r="T146" s="29"/>
      <c r="U146" s="29"/>
      <c r="V146" s="29"/>
      <c r="W146" s="29"/>
      <c r="X146" s="29"/>
      <c r="Y146" s="29"/>
      <c r="Z146" s="29"/>
    </row>
    <row r="147" spans="1:26" x14ac:dyDescent="0.3">
      <c r="A147" s="29"/>
      <c r="B147" s="30"/>
      <c r="C147" s="130"/>
      <c r="D147" s="161"/>
      <c r="E147" s="161"/>
      <c r="F147" s="72"/>
      <c r="G147" s="72"/>
      <c r="H147" s="72"/>
      <c r="I147" s="72"/>
      <c r="J147" s="29"/>
      <c r="K147" s="29"/>
      <c r="L147" s="29"/>
      <c r="M147" s="29"/>
      <c r="N147" s="29"/>
      <c r="O147" s="29"/>
      <c r="P147" s="29"/>
      <c r="Q147" s="29"/>
      <c r="R147" s="29"/>
      <c r="S147" s="29"/>
      <c r="T147" s="29"/>
      <c r="U147" s="29"/>
      <c r="V147" s="29"/>
      <c r="W147" s="29"/>
      <c r="X147" s="29"/>
      <c r="Y147" s="29"/>
      <c r="Z147" s="29"/>
    </row>
    <row r="148" spans="1:26" x14ac:dyDescent="0.3">
      <c r="A148" s="29"/>
      <c r="B148" s="30"/>
      <c r="C148" s="130"/>
      <c r="D148" s="161"/>
      <c r="E148" s="161"/>
      <c r="F148" s="72"/>
      <c r="G148" s="72"/>
      <c r="H148" s="72"/>
      <c r="I148" s="72"/>
      <c r="J148" s="29"/>
      <c r="K148" s="29"/>
      <c r="L148" s="29"/>
      <c r="M148" s="29"/>
      <c r="N148" s="29"/>
      <c r="O148" s="29"/>
      <c r="P148" s="29"/>
      <c r="Q148" s="29"/>
      <c r="R148" s="29"/>
      <c r="S148" s="29"/>
      <c r="T148" s="29"/>
      <c r="U148" s="29"/>
      <c r="V148" s="29"/>
      <c r="W148" s="29"/>
      <c r="X148" s="29"/>
      <c r="Y148" s="29"/>
      <c r="Z148" s="29"/>
    </row>
    <row r="149" spans="1:26" x14ac:dyDescent="0.3">
      <c r="A149" s="29"/>
      <c r="B149" s="30"/>
      <c r="C149" s="130"/>
      <c r="D149" s="161"/>
      <c r="E149" s="161"/>
      <c r="F149" s="72"/>
      <c r="G149" s="72"/>
      <c r="H149" s="72"/>
      <c r="I149" s="72"/>
      <c r="J149" s="29"/>
      <c r="K149" s="29"/>
      <c r="L149" s="29"/>
      <c r="M149" s="29"/>
      <c r="N149" s="29"/>
      <c r="O149" s="29"/>
      <c r="P149" s="29"/>
      <c r="Q149" s="29"/>
      <c r="R149" s="29"/>
      <c r="S149" s="29"/>
      <c r="T149" s="29"/>
      <c r="U149" s="29"/>
      <c r="V149" s="29"/>
      <c r="W149" s="29"/>
      <c r="X149" s="29"/>
      <c r="Y149" s="29"/>
      <c r="Z149" s="29"/>
    </row>
    <row r="150" spans="1:26" x14ac:dyDescent="0.3">
      <c r="A150" s="29"/>
      <c r="B150" s="30"/>
      <c r="C150" s="130"/>
      <c r="D150" s="161"/>
      <c r="E150" s="161"/>
      <c r="F150" s="72"/>
      <c r="G150" s="72"/>
      <c r="H150" s="72"/>
      <c r="I150" s="72"/>
      <c r="J150" s="29"/>
      <c r="K150" s="29"/>
      <c r="L150" s="29"/>
      <c r="M150" s="29"/>
      <c r="N150" s="29"/>
      <c r="O150" s="29"/>
      <c r="P150" s="29"/>
      <c r="Q150" s="29"/>
      <c r="R150" s="29"/>
      <c r="S150" s="29"/>
      <c r="T150" s="29"/>
      <c r="U150" s="29"/>
      <c r="V150" s="29"/>
      <c r="W150" s="29"/>
      <c r="X150" s="29"/>
      <c r="Y150" s="29"/>
      <c r="Z150" s="29"/>
    </row>
    <row r="151" spans="1:26" x14ac:dyDescent="0.3">
      <c r="A151" s="29"/>
      <c r="B151" s="30"/>
      <c r="C151" s="130"/>
      <c r="D151" s="161"/>
      <c r="E151" s="161"/>
      <c r="F151" s="72"/>
      <c r="G151" s="72"/>
      <c r="H151" s="72"/>
      <c r="I151" s="72"/>
      <c r="J151" s="29"/>
      <c r="K151" s="29"/>
      <c r="L151" s="29"/>
      <c r="M151" s="29"/>
      <c r="N151" s="29"/>
      <c r="O151" s="29"/>
      <c r="P151" s="29"/>
      <c r="Q151" s="29"/>
      <c r="R151" s="29"/>
      <c r="S151" s="29"/>
      <c r="T151" s="29"/>
      <c r="U151" s="29"/>
      <c r="V151" s="29"/>
      <c r="W151" s="29"/>
      <c r="X151" s="29"/>
      <c r="Y151" s="29"/>
      <c r="Z151" s="29"/>
    </row>
    <row r="152" spans="1:26" x14ac:dyDescent="0.3">
      <c r="A152" s="29"/>
      <c r="B152" s="30"/>
      <c r="C152" s="130"/>
      <c r="D152" s="161"/>
      <c r="E152" s="161"/>
      <c r="F152" s="72"/>
      <c r="G152" s="72"/>
      <c r="H152" s="72"/>
      <c r="I152" s="72"/>
      <c r="J152" s="29"/>
      <c r="K152" s="29"/>
      <c r="L152" s="29"/>
      <c r="M152" s="29"/>
      <c r="N152" s="29"/>
      <c r="O152" s="29"/>
      <c r="P152" s="29"/>
      <c r="Q152" s="29"/>
      <c r="R152" s="29"/>
      <c r="S152" s="29"/>
      <c r="T152" s="29"/>
      <c r="U152" s="29"/>
      <c r="V152" s="29"/>
      <c r="W152" s="29"/>
      <c r="X152" s="29"/>
      <c r="Y152" s="29"/>
      <c r="Z152" s="29"/>
    </row>
    <row r="153" spans="1:26" x14ac:dyDescent="0.3">
      <c r="A153" s="29"/>
      <c r="B153" s="30"/>
      <c r="C153" s="130"/>
      <c r="D153" s="161"/>
      <c r="E153" s="161"/>
      <c r="F153" s="72"/>
      <c r="G153" s="72"/>
      <c r="H153" s="72"/>
      <c r="I153" s="72"/>
      <c r="J153" s="29"/>
      <c r="K153" s="29"/>
      <c r="L153" s="29"/>
      <c r="M153" s="29"/>
      <c r="N153" s="29"/>
      <c r="O153" s="29"/>
      <c r="P153" s="29"/>
      <c r="Q153" s="29"/>
      <c r="R153" s="29"/>
      <c r="S153" s="29"/>
      <c r="T153" s="29"/>
      <c r="U153" s="29"/>
      <c r="V153" s="29"/>
      <c r="W153" s="29"/>
      <c r="X153" s="29"/>
      <c r="Y153" s="29"/>
      <c r="Z153" s="29"/>
    </row>
    <row r="154" spans="1:26" x14ac:dyDescent="0.3">
      <c r="A154" s="29"/>
      <c r="B154" s="30"/>
      <c r="C154" s="130"/>
      <c r="D154" s="161"/>
      <c r="E154" s="161"/>
      <c r="F154" s="72"/>
      <c r="G154" s="72"/>
      <c r="H154" s="72"/>
      <c r="I154" s="72"/>
      <c r="J154" s="29"/>
      <c r="K154" s="29"/>
      <c r="L154" s="29"/>
      <c r="M154" s="29"/>
      <c r="N154" s="29"/>
      <c r="O154" s="29"/>
      <c r="P154" s="29"/>
      <c r="Q154" s="29"/>
      <c r="R154" s="29"/>
      <c r="S154" s="29"/>
      <c r="T154" s="29"/>
      <c r="U154" s="29"/>
      <c r="V154" s="29"/>
      <c r="W154" s="29"/>
      <c r="X154" s="29"/>
      <c r="Y154" s="29"/>
      <c r="Z154" s="29"/>
    </row>
    <row r="155" spans="1:26" x14ac:dyDescent="0.3">
      <c r="A155" s="29"/>
      <c r="B155" s="30"/>
      <c r="C155" s="130"/>
      <c r="D155" s="161"/>
      <c r="E155" s="161"/>
      <c r="F155" s="72"/>
      <c r="G155" s="72"/>
      <c r="H155" s="72"/>
      <c r="I155" s="72"/>
      <c r="J155" s="29"/>
      <c r="K155" s="29"/>
      <c r="L155" s="29"/>
      <c r="M155" s="29"/>
      <c r="N155" s="29"/>
      <c r="O155" s="29"/>
      <c r="P155" s="29"/>
      <c r="Q155" s="29"/>
      <c r="R155" s="29"/>
      <c r="S155" s="29"/>
      <c r="T155" s="29"/>
      <c r="U155" s="29"/>
      <c r="V155" s="29"/>
      <c r="W155" s="29"/>
      <c r="X155" s="29"/>
      <c r="Y155" s="29"/>
      <c r="Z155" s="29"/>
    </row>
    <row r="156" spans="1:26" x14ac:dyDescent="0.3">
      <c r="A156" s="29"/>
      <c r="B156" s="30"/>
      <c r="C156" s="130"/>
      <c r="D156" s="161"/>
      <c r="E156" s="161"/>
      <c r="F156" s="72"/>
      <c r="G156" s="72"/>
      <c r="H156" s="72"/>
      <c r="I156" s="72"/>
      <c r="J156" s="29"/>
      <c r="K156" s="29"/>
      <c r="L156" s="29"/>
      <c r="M156" s="29"/>
      <c r="N156" s="29"/>
      <c r="O156" s="29"/>
      <c r="P156" s="29"/>
      <c r="Q156" s="29"/>
      <c r="R156" s="29"/>
      <c r="S156" s="29"/>
      <c r="T156" s="29"/>
      <c r="U156" s="29"/>
      <c r="V156" s="29"/>
      <c r="W156" s="29"/>
      <c r="X156" s="29"/>
      <c r="Y156" s="29"/>
      <c r="Z156" s="29"/>
    </row>
    <row r="157" spans="1:26" x14ac:dyDescent="0.3">
      <c r="A157" s="29"/>
      <c r="B157" s="30"/>
      <c r="C157" s="130"/>
      <c r="D157" s="161"/>
      <c r="E157" s="161"/>
      <c r="F157" s="72"/>
      <c r="G157" s="72"/>
      <c r="H157" s="72"/>
      <c r="I157" s="72"/>
      <c r="J157" s="29"/>
      <c r="K157" s="29"/>
      <c r="L157" s="29"/>
      <c r="M157" s="29"/>
      <c r="N157" s="29"/>
      <c r="O157" s="29"/>
      <c r="P157" s="29"/>
      <c r="Q157" s="29"/>
      <c r="R157" s="29"/>
      <c r="S157" s="29"/>
      <c r="T157" s="29"/>
      <c r="U157" s="29"/>
      <c r="V157" s="29"/>
      <c r="W157" s="29"/>
      <c r="X157" s="29"/>
      <c r="Y157" s="29"/>
      <c r="Z157" s="29"/>
    </row>
    <row r="158" spans="1:26" x14ac:dyDescent="0.3">
      <c r="A158" s="29"/>
      <c r="B158" s="30"/>
      <c r="C158" s="130"/>
      <c r="D158" s="161"/>
      <c r="E158" s="161"/>
      <c r="F158" s="72"/>
      <c r="G158" s="72"/>
      <c r="H158" s="72"/>
      <c r="I158" s="72"/>
      <c r="J158" s="29"/>
      <c r="K158" s="29"/>
      <c r="L158" s="29"/>
      <c r="M158" s="29"/>
      <c r="N158" s="29"/>
      <c r="O158" s="29"/>
      <c r="P158" s="29"/>
      <c r="Q158" s="29"/>
      <c r="R158" s="29"/>
      <c r="S158" s="29"/>
      <c r="T158" s="29"/>
      <c r="U158" s="29"/>
      <c r="V158" s="29"/>
      <c r="W158" s="29"/>
      <c r="X158" s="29"/>
      <c r="Y158" s="29"/>
      <c r="Z158" s="29"/>
    </row>
    <row r="159" spans="1:26" x14ac:dyDescent="0.3">
      <c r="A159" s="29"/>
      <c r="B159" s="30"/>
      <c r="C159" s="130"/>
      <c r="D159" s="161"/>
      <c r="E159" s="161"/>
      <c r="F159" s="72"/>
      <c r="G159" s="72"/>
      <c r="H159" s="72"/>
      <c r="I159" s="72"/>
      <c r="J159" s="29"/>
      <c r="K159" s="29"/>
      <c r="L159" s="29"/>
      <c r="M159" s="29"/>
      <c r="N159" s="29"/>
      <c r="O159" s="29"/>
      <c r="P159" s="29"/>
      <c r="Q159" s="29"/>
      <c r="R159" s="29"/>
      <c r="S159" s="29"/>
      <c r="T159" s="29"/>
      <c r="U159" s="29"/>
      <c r="V159" s="29"/>
      <c r="W159" s="29"/>
      <c r="X159" s="29"/>
      <c r="Y159" s="29"/>
      <c r="Z159" s="29"/>
    </row>
    <row r="160" spans="1:26" x14ac:dyDescent="0.3">
      <c r="A160" s="29"/>
      <c r="B160" s="30"/>
      <c r="C160" s="130"/>
      <c r="D160" s="161"/>
      <c r="E160" s="161"/>
      <c r="F160" s="72"/>
      <c r="G160" s="72"/>
      <c r="H160" s="72"/>
      <c r="I160" s="72"/>
      <c r="J160" s="29"/>
      <c r="K160" s="29"/>
      <c r="L160" s="29"/>
      <c r="M160" s="29"/>
      <c r="N160" s="29"/>
      <c r="O160" s="29"/>
      <c r="P160" s="29"/>
      <c r="Q160" s="29"/>
      <c r="R160" s="29"/>
      <c r="S160" s="29"/>
      <c r="T160" s="29"/>
      <c r="U160" s="29"/>
      <c r="V160" s="29"/>
      <c r="W160" s="29"/>
      <c r="X160" s="29"/>
      <c r="Y160" s="29"/>
      <c r="Z160" s="29"/>
    </row>
    <row r="161" spans="1:26" x14ac:dyDescent="0.3">
      <c r="A161" s="29"/>
      <c r="B161" s="30"/>
      <c r="C161" s="130"/>
      <c r="D161" s="161"/>
      <c r="E161" s="161"/>
      <c r="F161" s="72"/>
      <c r="G161" s="72"/>
      <c r="H161" s="72"/>
      <c r="I161" s="72"/>
      <c r="J161" s="29"/>
      <c r="K161" s="29"/>
      <c r="L161" s="29"/>
      <c r="M161" s="29"/>
      <c r="N161" s="29"/>
      <c r="O161" s="29"/>
      <c r="P161" s="29"/>
      <c r="Q161" s="29"/>
      <c r="R161" s="29"/>
      <c r="S161" s="29"/>
      <c r="T161" s="29"/>
      <c r="U161" s="29"/>
      <c r="V161" s="29"/>
      <c r="W161" s="29"/>
      <c r="X161" s="29"/>
      <c r="Y161" s="29"/>
      <c r="Z161" s="29"/>
    </row>
    <row r="162" spans="1:26" x14ac:dyDescent="0.3">
      <c r="A162" s="29"/>
      <c r="B162" s="30"/>
      <c r="C162" s="130"/>
      <c r="D162" s="161"/>
      <c r="E162" s="161"/>
      <c r="F162" s="72"/>
      <c r="G162" s="72"/>
      <c r="H162" s="72"/>
      <c r="I162" s="72"/>
      <c r="J162" s="29"/>
      <c r="K162" s="29"/>
      <c r="L162" s="29"/>
      <c r="M162" s="29"/>
      <c r="N162" s="29"/>
      <c r="O162" s="29"/>
      <c r="P162" s="29"/>
      <c r="Q162" s="29"/>
      <c r="R162" s="29"/>
      <c r="S162" s="29"/>
      <c r="T162" s="29"/>
      <c r="U162" s="29"/>
      <c r="V162" s="29"/>
      <c r="W162" s="29"/>
      <c r="X162" s="29"/>
      <c r="Y162" s="29"/>
      <c r="Z162" s="29"/>
    </row>
    <row r="163" spans="1:26" x14ac:dyDescent="0.3">
      <c r="A163" s="29"/>
      <c r="B163" s="30"/>
      <c r="C163" s="130"/>
      <c r="D163" s="161"/>
      <c r="E163" s="161"/>
      <c r="F163" s="72"/>
      <c r="G163" s="72"/>
      <c r="H163" s="72"/>
      <c r="I163" s="72"/>
      <c r="J163" s="29"/>
      <c r="K163" s="29"/>
      <c r="L163" s="29"/>
      <c r="M163" s="29"/>
      <c r="N163" s="29"/>
      <c r="O163" s="29"/>
      <c r="P163" s="29"/>
      <c r="Q163" s="29"/>
      <c r="R163" s="29"/>
      <c r="S163" s="29"/>
      <c r="T163" s="29"/>
      <c r="U163" s="29"/>
      <c r="V163" s="29"/>
      <c r="W163" s="29"/>
      <c r="X163" s="29"/>
      <c r="Y163" s="29"/>
      <c r="Z163" s="29"/>
    </row>
    <row r="164" spans="1:26" x14ac:dyDescent="0.3">
      <c r="A164" s="29"/>
      <c r="B164" s="30"/>
      <c r="C164" s="130"/>
      <c r="D164" s="161"/>
      <c r="E164" s="161"/>
      <c r="F164" s="72"/>
      <c r="G164" s="72"/>
      <c r="H164" s="72"/>
      <c r="I164" s="72"/>
      <c r="J164" s="29"/>
      <c r="K164" s="29"/>
      <c r="L164" s="29"/>
      <c r="M164" s="29"/>
      <c r="N164" s="29"/>
      <c r="O164" s="29"/>
      <c r="P164" s="29"/>
      <c r="Q164" s="29"/>
      <c r="R164" s="29"/>
      <c r="S164" s="29"/>
      <c r="T164" s="29"/>
      <c r="U164" s="29"/>
      <c r="V164" s="29"/>
      <c r="W164" s="29"/>
      <c r="X164" s="29"/>
      <c r="Y164" s="29"/>
      <c r="Z164" s="29"/>
    </row>
    <row r="165" spans="1:26" x14ac:dyDescent="0.3">
      <c r="A165" s="29"/>
      <c r="B165" s="30"/>
      <c r="C165" s="130"/>
      <c r="D165" s="161"/>
      <c r="E165" s="161"/>
      <c r="F165" s="72"/>
      <c r="G165" s="72"/>
      <c r="H165" s="72"/>
      <c r="I165" s="72"/>
      <c r="J165" s="29"/>
      <c r="K165" s="29"/>
      <c r="L165" s="29"/>
      <c r="M165" s="29"/>
      <c r="N165" s="29"/>
      <c r="O165" s="29"/>
      <c r="P165" s="29"/>
      <c r="Q165" s="29"/>
      <c r="R165" s="29"/>
      <c r="S165" s="29"/>
      <c r="T165" s="29"/>
      <c r="U165" s="29"/>
      <c r="V165" s="29"/>
      <c r="W165" s="29"/>
      <c r="X165" s="29"/>
      <c r="Y165" s="29"/>
      <c r="Z165" s="29"/>
    </row>
    <row r="166" spans="1:26" x14ac:dyDescent="0.3">
      <c r="A166" s="29"/>
      <c r="B166" s="30"/>
      <c r="C166" s="130"/>
      <c r="D166" s="161"/>
      <c r="E166" s="161"/>
      <c r="F166" s="72"/>
      <c r="G166" s="72"/>
      <c r="H166" s="72"/>
      <c r="I166" s="72"/>
      <c r="J166" s="29"/>
      <c r="K166" s="29"/>
      <c r="L166" s="29"/>
      <c r="M166" s="29"/>
      <c r="N166" s="29"/>
      <c r="O166" s="29"/>
      <c r="P166" s="29"/>
      <c r="Q166" s="29"/>
      <c r="R166" s="29"/>
      <c r="S166" s="29"/>
      <c r="T166" s="29"/>
      <c r="U166" s="29"/>
      <c r="V166" s="29"/>
      <c r="W166" s="29"/>
      <c r="X166" s="29"/>
      <c r="Y166" s="29"/>
      <c r="Z166" s="29"/>
    </row>
    <row r="167" spans="1:26" x14ac:dyDescent="0.3">
      <c r="A167" s="29"/>
      <c r="B167" s="30"/>
      <c r="C167" s="130"/>
      <c r="D167" s="161"/>
      <c r="E167" s="161"/>
      <c r="F167" s="72"/>
      <c r="G167" s="72"/>
      <c r="H167" s="72"/>
      <c r="I167" s="72"/>
      <c r="J167" s="29"/>
      <c r="K167" s="29"/>
      <c r="L167" s="29"/>
      <c r="M167" s="29"/>
      <c r="N167" s="29"/>
      <c r="O167" s="29"/>
      <c r="P167" s="29"/>
      <c r="Q167" s="29"/>
      <c r="R167" s="29"/>
      <c r="S167" s="29"/>
      <c r="T167" s="29"/>
      <c r="U167" s="29"/>
      <c r="V167" s="29"/>
      <c r="W167" s="29"/>
      <c r="X167" s="29"/>
      <c r="Y167" s="29"/>
      <c r="Z167" s="29"/>
    </row>
    <row r="168" spans="1:26" x14ac:dyDescent="0.3">
      <c r="A168" s="29"/>
      <c r="B168" s="30"/>
      <c r="C168" s="130"/>
      <c r="D168" s="161"/>
      <c r="E168" s="161"/>
      <c r="F168" s="72"/>
      <c r="G168" s="72"/>
      <c r="H168" s="72"/>
      <c r="I168" s="72"/>
      <c r="J168" s="29"/>
      <c r="K168" s="29"/>
      <c r="L168" s="29"/>
      <c r="M168" s="29"/>
      <c r="N168" s="29"/>
      <c r="O168" s="29"/>
      <c r="P168" s="29"/>
      <c r="Q168" s="29"/>
      <c r="R168" s="29"/>
      <c r="S168" s="29"/>
      <c r="T168" s="29"/>
      <c r="U168" s="29"/>
      <c r="V168" s="29"/>
      <c r="W168" s="29"/>
      <c r="X168" s="29"/>
      <c r="Y168" s="29"/>
      <c r="Z168" s="29"/>
    </row>
    <row r="169" spans="1:26" x14ac:dyDescent="0.3">
      <c r="A169" s="29"/>
      <c r="B169" s="30"/>
      <c r="C169" s="130"/>
      <c r="D169" s="161"/>
      <c r="E169" s="161"/>
      <c r="F169" s="72"/>
      <c r="G169" s="72"/>
      <c r="H169" s="72"/>
      <c r="I169" s="72"/>
      <c r="J169" s="29"/>
      <c r="K169" s="29"/>
      <c r="L169" s="29"/>
      <c r="M169" s="29"/>
      <c r="N169" s="29"/>
      <c r="O169" s="29"/>
      <c r="P169" s="29"/>
      <c r="Q169" s="29"/>
      <c r="R169" s="29"/>
      <c r="S169" s="29"/>
      <c r="T169" s="29"/>
      <c r="U169" s="29"/>
      <c r="V169" s="29"/>
      <c r="W169" s="29"/>
      <c r="X169" s="29"/>
      <c r="Y169" s="29"/>
      <c r="Z169" s="29"/>
    </row>
    <row r="170" spans="1:26" x14ac:dyDescent="0.3">
      <c r="A170" s="29"/>
      <c r="B170" s="30"/>
      <c r="C170" s="130"/>
      <c r="D170" s="161"/>
      <c r="E170" s="161"/>
      <c r="F170" s="72"/>
      <c r="G170" s="72"/>
      <c r="H170" s="72"/>
      <c r="I170" s="72"/>
      <c r="J170" s="29"/>
      <c r="K170" s="29"/>
      <c r="L170" s="29"/>
      <c r="M170" s="29"/>
      <c r="N170" s="29"/>
      <c r="O170" s="29"/>
      <c r="P170" s="29"/>
      <c r="Q170" s="29"/>
      <c r="R170" s="29"/>
      <c r="S170" s="29"/>
      <c r="T170" s="29"/>
      <c r="U170" s="29"/>
      <c r="V170" s="29"/>
      <c r="W170" s="29"/>
      <c r="X170" s="29"/>
      <c r="Y170" s="29"/>
      <c r="Z170" s="29"/>
    </row>
    <row r="171" spans="1:26" x14ac:dyDescent="0.3">
      <c r="A171" s="29"/>
      <c r="B171" s="30"/>
      <c r="C171" s="130"/>
      <c r="D171" s="161"/>
      <c r="E171" s="161"/>
      <c r="F171" s="72"/>
      <c r="G171" s="72"/>
      <c r="H171" s="72"/>
      <c r="I171" s="72"/>
      <c r="J171" s="29"/>
      <c r="K171" s="29"/>
      <c r="L171" s="29"/>
      <c r="M171" s="29"/>
      <c r="N171" s="29"/>
      <c r="O171" s="29"/>
      <c r="P171" s="29"/>
      <c r="Q171" s="29"/>
      <c r="R171" s="29"/>
      <c r="S171" s="29"/>
      <c r="T171" s="29"/>
      <c r="U171" s="29"/>
      <c r="V171" s="29"/>
      <c r="W171" s="29"/>
      <c r="X171" s="29"/>
      <c r="Y171" s="29"/>
      <c r="Z171" s="29"/>
    </row>
    <row r="172" spans="1:26" x14ac:dyDescent="0.3">
      <c r="A172" s="29"/>
      <c r="B172" s="30"/>
      <c r="C172" s="130"/>
      <c r="D172" s="161"/>
      <c r="E172" s="161"/>
      <c r="F172" s="72"/>
      <c r="G172" s="72"/>
      <c r="H172" s="72"/>
      <c r="I172" s="72"/>
      <c r="J172" s="29"/>
      <c r="K172" s="29"/>
      <c r="L172" s="29"/>
      <c r="M172" s="29"/>
      <c r="N172" s="29"/>
      <c r="O172" s="29"/>
      <c r="P172" s="29"/>
      <c r="Q172" s="29"/>
      <c r="R172" s="29"/>
      <c r="S172" s="29"/>
      <c r="T172" s="29"/>
      <c r="U172" s="29"/>
      <c r="V172" s="29"/>
      <c r="W172" s="29"/>
      <c r="X172" s="29"/>
      <c r="Y172" s="29"/>
      <c r="Z172" s="29"/>
    </row>
    <row r="173" spans="1:26" x14ac:dyDescent="0.3">
      <c r="A173" s="29"/>
      <c r="B173" s="30"/>
      <c r="C173" s="130"/>
      <c r="D173" s="161"/>
      <c r="E173" s="161"/>
      <c r="F173" s="72"/>
      <c r="G173" s="72"/>
      <c r="H173" s="72"/>
      <c r="I173" s="72"/>
      <c r="J173" s="29"/>
      <c r="K173" s="29"/>
      <c r="L173" s="29"/>
      <c r="M173" s="29"/>
      <c r="N173" s="29"/>
      <c r="O173" s="29"/>
      <c r="P173" s="29"/>
      <c r="Q173" s="29"/>
      <c r="R173" s="29"/>
      <c r="S173" s="29"/>
      <c r="T173" s="29"/>
      <c r="U173" s="29"/>
      <c r="V173" s="29"/>
      <c r="W173" s="29"/>
      <c r="X173" s="29"/>
      <c r="Y173" s="29"/>
      <c r="Z173" s="29"/>
    </row>
    <row r="174" spans="1:26" x14ac:dyDescent="0.3">
      <c r="A174" s="29"/>
      <c r="B174" s="30"/>
      <c r="C174" s="130"/>
      <c r="D174" s="161"/>
      <c r="E174" s="161"/>
      <c r="F174" s="72"/>
      <c r="G174" s="72"/>
      <c r="H174" s="72"/>
      <c r="I174" s="72"/>
      <c r="J174" s="29"/>
      <c r="K174" s="29"/>
      <c r="L174" s="29"/>
      <c r="M174" s="29"/>
      <c r="N174" s="29"/>
      <c r="O174" s="29"/>
      <c r="P174" s="29"/>
      <c r="Q174" s="29"/>
      <c r="R174" s="29"/>
      <c r="S174" s="29"/>
      <c r="T174" s="29"/>
      <c r="U174" s="29"/>
      <c r="V174" s="29"/>
      <c r="W174" s="29"/>
      <c r="X174" s="29"/>
      <c r="Y174" s="29"/>
      <c r="Z174" s="29"/>
    </row>
    <row r="175" spans="1:26" x14ac:dyDescent="0.3">
      <c r="A175" s="29"/>
      <c r="B175" s="30"/>
      <c r="C175" s="130"/>
      <c r="D175" s="161"/>
      <c r="E175" s="161"/>
      <c r="F175" s="72"/>
      <c r="G175" s="72"/>
      <c r="H175" s="72"/>
      <c r="I175" s="72"/>
      <c r="J175" s="29"/>
      <c r="K175" s="29"/>
      <c r="L175" s="29"/>
      <c r="M175" s="29"/>
      <c r="N175" s="29"/>
      <c r="O175" s="29"/>
      <c r="P175" s="29"/>
      <c r="Q175" s="29"/>
      <c r="R175" s="29"/>
      <c r="S175" s="29"/>
      <c r="T175" s="29"/>
      <c r="U175" s="29"/>
      <c r="V175" s="29"/>
      <c r="W175" s="29"/>
      <c r="X175" s="29"/>
      <c r="Y175" s="29"/>
      <c r="Z175" s="29"/>
    </row>
    <row r="176" spans="1:26" x14ac:dyDescent="0.3">
      <c r="A176" s="29"/>
      <c r="B176" s="30"/>
      <c r="C176" s="130"/>
      <c r="D176" s="161"/>
      <c r="E176" s="161"/>
      <c r="F176" s="72"/>
      <c r="G176" s="72"/>
      <c r="H176" s="72"/>
      <c r="I176" s="72"/>
      <c r="J176" s="29"/>
      <c r="K176" s="29"/>
      <c r="L176" s="29"/>
      <c r="M176" s="29"/>
      <c r="N176" s="29"/>
      <c r="O176" s="29"/>
      <c r="P176" s="29"/>
      <c r="Q176" s="29"/>
      <c r="R176" s="29"/>
      <c r="S176" s="29"/>
      <c r="T176" s="29"/>
      <c r="U176" s="29"/>
      <c r="V176" s="29"/>
      <c r="W176" s="29"/>
      <c r="X176" s="29"/>
      <c r="Y176" s="29"/>
      <c r="Z176" s="29"/>
    </row>
    <row r="177" spans="1:26" x14ac:dyDescent="0.3">
      <c r="A177" s="29"/>
      <c r="B177" s="30"/>
      <c r="C177" s="130"/>
      <c r="D177" s="161"/>
      <c r="E177" s="161"/>
      <c r="F177" s="72"/>
      <c r="G177" s="72"/>
      <c r="H177" s="72"/>
      <c r="I177" s="72"/>
      <c r="J177" s="29"/>
      <c r="K177" s="29"/>
      <c r="L177" s="29"/>
      <c r="M177" s="29"/>
      <c r="N177" s="29"/>
      <c r="O177" s="29"/>
      <c r="P177" s="29"/>
      <c r="Q177" s="29"/>
      <c r="R177" s="29"/>
      <c r="S177" s="29"/>
      <c r="T177" s="29"/>
      <c r="U177" s="29"/>
      <c r="V177" s="29"/>
      <c r="W177" s="29"/>
      <c r="X177" s="29"/>
      <c r="Y177" s="29"/>
      <c r="Z177" s="29"/>
    </row>
    <row r="178" spans="1:26" x14ac:dyDescent="0.3">
      <c r="A178" s="29"/>
      <c r="B178" s="30"/>
      <c r="C178" s="130"/>
      <c r="D178" s="161"/>
      <c r="E178" s="161"/>
      <c r="F178" s="72"/>
      <c r="G178" s="72"/>
      <c r="H178" s="72"/>
      <c r="I178" s="72"/>
      <c r="J178" s="29"/>
      <c r="K178" s="29"/>
      <c r="L178" s="29"/>
      <c r="M178" s="29"/>
      <c r="N178" s="29"/>
      <c r="O178" s="29"/>
      <c r="P178" s="29"/>
      <c r="Q178" s="29"/>
      <c r="R178" s="29"/>
      <c r="S178" s="29"/>
      <c r="T178" s="29"/>
      <c r="U178" s="29"/>
      <c r="V178" s="29"/>
      <c r="W178" s="29"/>
      <c r="X178" s="29"/>
      <c r="Y178" s="29"/>
      <c r="Z178" s="29"/>
    </row>
    <row r="179" spans="1:26" x14ac:dyDescent="0.3">
      <c r="A179" s="29"/>
      <c r="B179" s="30"/>
      <c r="C179" s="130"/>
      <c r="D179" s="161"/>
      <c r="E179" s="161"/>
      <c r="F179" s="72"/>
      <c r="G179" s="72"/>
      <c r="H179" s="72"/>
      <c r="I179" s="72"/>
      <c r="J179" s="29"/>
      <c r="K179" s="29"/>
      <c r="L179" s="29"/>
      <c r="M179" s="29"/>
      <c r="N179" s="29"/>
      <c r="O179" s="29"/>
      <c r="P179" s="29"/>
      <c r="Q179" s="29"/>
      <c r="R179" s="29"/>
      <c r="S179" s="29"/>
      <c r="T179" s="29"/>
      <c r="U179" s="29"/>
      <c r="V179" s="29"/>
      <c r="W179" s="29"/>
      <c r="X179" s="29"/>
      <c r="Y179" s="29"/>
      <c r="Z179" s="29"/>
    </row>
    <row r="180" spans="1:26" x14ac:dyDescent="0.3">
      <c r="A180" s="29"/>
      <c r="B180" s="30"/>
      <c r="C180" s="130"/>
      <c r="D180" s="161"/>
      <c r="E180" s="161"/>
      <c r="F180" s="72"/>
      <c r="G180" s="72"/>
      <c r="H180" s="72"/>
      <c r="I180" s="72"/>
      <c r="J180" s="29"/>
      <c r="K180" s="29"/>
      <c r="L180" s="29"/>
      <c r="M180" s="29"/>
      <c r="N180" s="29"/>
      <c r="O180" s="29"/>
      <c r="P180" s="29"/>
      <c r="Q180" s="29"/>
      <c r="R180" s="29"/>
      <c r="S180" s="29"/>
      <c r="T180" s="29"/>
      <c r="U180" s="29"/>
      <c r="V180" s="29"/>
      <c r="W180" s="29"/>
      <c r="X180" s="29"/>
      <c r="Y180" s="29"/>
      <c r="Z180" s="29"/>
    </row>
    <row r="181" spans="1:26" x14ac:dyDescent="0.3">
      <c r="A181" s="29"/>
      <c r="B181" s="30"/>
      <c r="C181" s="130"/>
      <c r="D181" s="161"/>
      <c r="E181" s="161"/>
      <c r="F181" s="72"/>
      <c r="G181" s="72"/>
      <c r="H181" s="72"/>
      <c r="I181" s="72"/>
      <c r="J181" s="29"/>
      <c r="K181" s="29"/>
      <c r="L181" s="29"/>
      <c r="M181" s="29"/>
      <c r="N181" s="29"/>
      <c r="O181" s="29"/>
      <c r="P181" s="29"/>
      <c r="Q181" s="29"/>
      <c r="R181" s="29"/>
      <c r="S181" s="29"/>
      <c r="T181" s="29"/>
      <c r="U181" s="29"/>
      <c r="V181" s="29"/>
      <c r="W181" s="29"/>
      <c r="X181" s="29"/>
      <c r="Y181" s="29"/>
      <c r="Z181" s="29"/>
    </row>
    <row r="182" spans="1:26" x14ac:dyDescent="0.3">
      <c r="A182" s="29"/>
      <c r="B182" s="30"/>
      <c r="C182" s="130"/>
      <c r="D182" s="161"/>
      <c r="E182" s="161"/>
      <c r="F182" s="72"/>
      <c r="G182" s="72"/>
      <c r="H182" s="72"/>
      <c r="I182" s="72"/>
      <c r="J182" s="29"/>
      <c r="K182" s="29"/>
      <c r="L182" s="29"/>
      <c r="M182" s="29"/>
      <c r="N182" s="29"/>
      <c r="O182" s="29"/>
      <c r="P182" s="29"/>
      <c r="Q182" s="29"/>
      <c r="R182" s="29"/>
      <c r="S182" s="29"/>
      <c r="T182" s="29"/>
      <c r="U182" s="29"/>
      <c r="V182" s="29"/>
      <c r="W182" s="29"/>
      <c r="X182" s="29"/>
      <c r="Y182" s="29"/>
      <c r="Z182" s="29"/>
    </row>
    <row r="183" spans="1:26" x14ac:dyDescent="0.3">
      <c r="A183" s="29"/>
      <c r="B183" s="30"/>
      <c r="C183" s="130"/>
      <c r="D183" s="161"/>
      <c r="E183" s="161"/>
      <c r="F183" s="72"/>
      <c r="G183" s="72"/>
      <c r="H183" s="72"/>
      <c r="I183" s="72"/>
      <c r="J183" s="29"/>
      <c r="K183" s="29"/>
      <c r="L183" s="29"/>
      <c r="M183" s="29"/>
      <c r="N183" s="29"/>
      <c r="O183" s="29"/>
      <c r="P183" s="29"/>
      <c r="Q183" s="29"/>
      <c r="R183" s="29"/>
      <c r="S183" s="29"/>
      <c r="T183" s="29"/>
      <c r="U183" s="29"/>
      <c r="V183" s="29"/>
      <c r="W183" s="29"/>
      <c r="X183" s="29"/>
      <c r="Y183" s="29"/>
      <c r="Z183" s="29"/>
    </row>
    <row r="184" spans="1:26" x14ac:dyDescent="0.3">
      <c r="A184" s="29"/>
      <c r="B184" s="30"/>
      <c r="C184" s="130"/>
      <c r="D184" s="161"/>
      <c r="E184" s="161"/>
      <c r="F184" s="72"/>
      <c r="G184" s="72"/>
      <c r="H184" s="72"/>
      <c r="I184" s="72"/>
      <c r="J184" s="29"/>
      <c r="K184" s="29"/>
      <c r="L184" s="29"/>
      <c r="M184" s="29"/>
      <c r="N184" s="29"/>
      <c r="O184" s="29"/>
      <c r="P184" s="29"/>
      <c r="Q184" s="29"/>
      <c r="R184" s="29"/>
      <c r="S184" s="29"/>
      <c r="T184" s="29"/>
      <c r="U184" s="29"/>
      <c r="V184" s="29"/>
      <c r="W184" s="29"/>
      <c r="X184" s="29"/>
      <c r="Y184" s="29"/>
      <c r="Z184" s="29"/>
    </row>
    <row r="185" spans="1:26" x14ac:dyDescent="0.3">
      <c r="A185" s="29"/>
      <c r="B185" s="30"/>
      <c r="C185" s="130"/>
      <c r="D185" s="161"/>
      <c r="E185" s="161"/>
      <c r="F185" s="72"/>
      <c r="G185" s="72"/>
      <c r="H185" s="72"/>
      <c r="I185" s="72"/>
      <c r="J185" s="29"/>
      <c r="K185" s="29"/>
      <c r="L185" s="29"/>
      <c r="M185" s="29"/>
      <c r="N185" s="29"/>
      <c r="O185" s="29"/>
      <c r="P185" s="29"/>
      <c r="Q185" s="29"/>
      <c r="R185" s="29"/>
      <c r="S185" s="29"/>
      <c r="T185" s="29"/>
      <c r="U185" s="29"/>
      <c r="V185" s="29"/>
      <c r="W185" s="29"/>
      <c r="X185" s="29"/>
      <c r="Y185" s="29"/>
      <c r="Z185" s="29"/>
    </row>
    <row r="186" spans="1:26" x14ac:dyDescent="0.3">
      <c r="A186" s="29"/>
      <c r="B186" s="30"/>
      <c r="C186" s="130"/>
      <c r="D186" s="161"/>
      <c r="E186" s="161"/>
      <c r="F186" s="72"/>
      <c r="G186" s="72"/>
      <c r="H186" s="72"/>
      <c r="I186" s="72"/>
      <c r="J186" s="29"/>
      <c r="K186" s="29"/>
      <c r="L186" s="29"/>
      <c r="M186" s="29"/>
      <c r="N186" s="29"/>
      <c r="O186" s="29"/>
      <c r="P186" s="29"/>
      <c r="Q186" s="29"/>
      <c r="R186" s="29"/>
      <c r="S186" s="29"/>
      <c r="T186" s="29"/>
      <c r="U186" s="29"/>
      <c r="V186" s="29"/>
      <c r="W186" s="29"/>
      <c r="X186" s="29"/>
      <c r="Y186" s="29"/>
      <c r="Z186" s="29"/>
    </row>
    <row r="187" spans="1:26" x14ac:dyDescent="0.3">
      <c r="A187" s="29"/>
      <c r="B187" s="30"/>
      <c r="C187" s="130"/>
      <c r="D187" s="161"/>
      <c r="E187" s="161"/>
      <c r="F187" s="72"/>
      <c r="G187" s="72"/>
      <c r="H187" s="72"/>
      <c r="I187" s="72"/>
      <c r="J187" s="29"/>
      <c r="K187" s="29"/>
      <c r="L187" s="29"/>
      <c r="M187" s="29"/>
      <c r="N187" s="29"/>
      <c r="O187" s="29"/>
      <c r="P187" s="29"/>
      <c r="Q187" s="29"/>
      <c r="R187" s="29"/>
      <c r="S187" s="29"/>
      <c r="T187" s="29"/>
      <c r="U187" s="29"/>
      <c r="V187" s="29"/>
      <c r="W187" s="29"/>
      <c r="X187" s="29"/>
      <c r="Y187" s="29"/>
      <c r="Z187" s="29"/>
    </row>
    <row r="188" spans="1:26" x14ac:dyDescent="0.3">
      <c r="A188" s="29"/>
      <c r="B188" s="30"/>
      <c r="C188" s="130"/>
      <c r="D188" s="161"/>
      <c r="E188" s="161"/>
      <c r="F188" s="72"/>
      <c r="G188" s="72"/>
      <c r="H188" s="72"/>
      <c r="I188" s="72"/>
      <c r="J188" s="29"/>
      <c r="K188" s="29"/>
      <c r="L188" s="29"/>
      <c r="M188" s="29"/>
      <c r="N188" s="29"/>
      <c r="O188" s="29"/>
      <c r="P188" s="29"/>
      <c r="Q188" s="29"/>
      <c r="R188" s="29"/>
      <c r="S188" s="29"/>
      <c r="T188" s="29"/>
      <c r="U188" s="29"/>
      <c r="V188" s="29"/>
      <c r="W188" s="29"/>
      <c r="X188" s="29"/>
      <c r="Y188" s="29"/>
      <c r="Z188" s="29"/>
    </row>
    <row r="189" spans="1:26" x14ac:dyDescent="0.3">
      <c r="A189" s="29"/>
      <c r="B189" s="30"/>
      <c r="C189" s="130"/>
      <c r="D189" s="161"/>
      <c r="E189" s="161"/>
      <c r="F189" s="72"/>
      <c r="G189" s="72"/>
      <c r="H189" s="72"/>
      <c r="I189" s="72"/>
      <c r="J189" s="29"/>
      <c r="K189" s="29"/>
      <c r="L189" s="29"/>
      <c r="M189" s="29"/>
      <c r="N189" s="29"/>
      <c r="O189" s="29"/>
      <c r="P189" s="29"/>
      <c r="Q189" s="29"/>
      <c r="R189" s="29"/>
      <c r="S189" s="29"/>
      <c r="T189" s="29"/>
      <c r="U189" s="29"/>
      <c r="V189" s="29"/>
      <c r="W189" s="29"/>
      <c r="X189" s="29"/>
      <c r="Y189" s="29"/>
      <c r="Z189" s="29"/>
    </row>
    <row r="190" spans="1:26" x14ac:dyDescent="0.3">
      <c r="A190" s="29"/>
      <c r="B190" s="30"/>
      <c r="C190" s="130"/>
      <c r="D190" s="161"/>
      <c r="E190" s="161"/>
      <c r="F190" s="72"/>
      <c r="G190" s="72"/>
      <c r="H190" s="72"/>
      <c r="I190" s="72"/>
      <c r="J190" s="29"/>
      <c r="K190" s="29"/>
      <c r="L190" s="29"/>
      <c r="M190" s="29"/>
      <c r="N190" s="29"/>
      <c r="O190" s="29"/>
      <c r="P190" s="29"/>
      <c r="Q190" s="29"/>
      <c r="R190" s="29"/>
      <c r="S190" s="29"/>
      <c r="T190" s="29"/>
      <c r="U190" s="29"/>
      <c r="V190" s="29"/>
      <c r="W190" s="29"/>
      <c r="X190" s="29"/>
      <c r="Y190" s="29"/>
      <c r="Z190" s="29"/>
    </row>
    <row r="191" spans="1:26" x14ac:dyDescent="0.3">
      <c r="A191" s="29"/>
      <c r="B191" s="30"/>
      <c r="C191" s="130"/>
      <c r="D191" s="161"/>
      <c r="E191" s="161"/>
      <c r="F191" s="72"/>
      <c r="G191" s="72"/>
      <c r="H191" s="72"/>
      <c r="I191" s="72"/>
      <c r="J191" s="29"/>
      <c r="K191" s="29"/>
      <c r="L191" s="29"/>
      <c r="M191" s="29"/>
      <c r="N191" s="29"/>
      <c r="O191" s="29"/>
      <c r="P191" s="29"/>
      <c r="Q191" s="29"/>
      <c r="R191" s="29"/>
      <c r="S191" s="29"/>
      <c r="T191" s="29"/>
      <c r="U191" s="29"/>
      <c r="V191" s="29"/>
      <c r="W191" s="29"/>
      <c r="X191" s="29"/>
      <c r="Y191" s="29"/>
      <c r="Z191" s="29"/>
    </row>
    <row r="192" spans="1:26" x14ac:dyDescent="0.3">
      <c r="A192" s="29"/>
      <c r="B192" s="30"/>
      <c r="C192" s="130"/>
      <c r="D192" s="161"/>
      <c r="E192" s="161"/>
      <c r="F192" s="72"/>
      <c r="G192" s="72"/>
      <c r="H192" s="72"/>
      <c r="I192" s="72"/>
      <c r="J192" s="29"/>
      <c r="K192" s="29"/>
      <c r="L192" s="29"/>
      <c r="M192" s="29"/>
      <c r="N192" s="29"/>
      <c r="O192" s="29"/>
      <c r="P192" s="29"/>
      <c r="Q192" s="29"/>
      <c r="R192" s="29"/>
      <c r="S192" s="29"/>
      <c r="T192" s="29"/>
      <c r="U192" s="29"/>
      <c r="V192" s="29"/>
      <c r="W192" s="29"/>
      <c r="X192" s="29"/>
      <c r="Y192" s="29"/>
      <c r="Z192" s="29"/>
    </row>
    <row r="193" spans="1:26" x14ac:dyDescent="0.3">
      <c r="A193" s="29"/>
      <c r="B193" s="30"/>
      <c r="C193" s="130"/>
      <c r="D193" s="161"/>
      <c r="E193" s="161"/>
      <c r="F193" s="72"/>
      <c r="G193" s="72"/>
      <c r="H193" s="72"/>
      <c r="I193" s="72"/>
      <c r="J193" s="29"/>
      <c r="K193" s="29"/>
      <c r="L193" s="29"/>
      <c r="M193" s="29"/>
      <c r="N193" s="29"/>
      <c r="O193" s="29"/>
      <c r="P193" s="29"/>
      <c r="Q193" s="29"/>
      <c r="R193" s="29"/>
      <c r="S193" s="29"/>
      <c r="T193" s="29"/>
      <c r="U193" s="29"/>
      <c r="V193" s="29"/>
      <c r="W193" s="29"/>
      <c r="X193" s="29"/>
      <c r="Y193" s="29"/>
      <c r="Z193" s="29"/>
    </row>
    <row r="194" spans="1:26" x14ac:dyDescent="0.3">
      <c r="A194" s="29"/>
      <c r="B194" s="30"/>
      <c r="C194" s="130"/>
      <c r="D194" s="161"/>
      <c r="E194" s="161"/>
      <c r="F194" s="72"/>
      <c r="G194" s="72"/>
      <c r="H194" s="72"/>
      <c r="I194" s="72"/>
      <c r="J194" s="29"/>
      <c r="K194" s="29"/>
      <c r="L194" s="29"/>
      <c r="M194" s="29"/>
      <c r="N194" s="29"/>
      <c r="O194" s="29"/>
      <c r="P194" s="29"/>
      <c r="Q194" s="29"/>
      <c r="R194" s="29"/>
      <c r="S194" s="29"/>
      <c r="T194" s="29"/>
      <c r="U194" s="29"/>
      <c r="V194" s="29"/>
      <c r="W194" s="29"/>
      <c r="X194" s="29"/>
      <c r="Y194" s="29"/>
      <c r="Z194" s="29"/>
    </row>
    <row r="195" spans="1:26" x14ac:dyDescent="0.3">
      <c r="A195" s="29"/>
      <c r="B195" s="30"/>
      <c r="C195" s="130"/>
      <c r="D195" s="161"/>
      <c r="E195" s="161"/>
      <c r="F195" s="72"/>
      <c r="G195" s="72"/>
      <c r="H195" s="72"/>
      <c r="I195" s="72"/>
      <c r="J195" s="29"/>
      <c r="K195" s="29"/>
      <c r="L195" s="29"/>
      <c r="M195" s="29"/>
      <c r="N195" s="29"/>
      <c r="O195" s="29"/>
      <c r="P195" s="29"/>
      <c r="Q195" s="29"/>
      <c r="R195" s="29"/>
      <c r="S195" s="29"/>
      <c r="T195" s="29"/>
      <c r="U195" s="29"/>
      <c r="V195" s="29"/>
      <c r="W195" s="29"/>
      <c r="X195" s="29"/>
      <c r="Y195" s="29"/>
      <c r="Z195" s="29"/>
    </row>
    <row r="196" spans="1:26" x14ac:dyDescent="0.3">
      <c r="A196" s="29"/>
      <c r="B196" s="30"/>
      <c r="C196" s="130"/>
      <c r="D196" s="161"/>
      <c r="E196" s="161"/>
      <c r="F196" s="72"/>
      <c r="G196" s="72"/>
      <c r="H196" s="72"/>
      <c r="I196" s="72"/>
      <c r="J196" s="29"/>
      <c r="K196" s="29"/>
      <c r="L196" s="29"/>
      <c r="M196" s="29"/>
      <c r="N196" s="29"/>
      <c r="O196" s="29"/>
      <c r="P196" s="29"/>
      <c r="Q196" s="29"/>
      <c r="R196" s="29"/>
      <c r="S196" s="29"/>
      <c r="T196" s="29"/>
      <c r="U196" s="29"/>
      <c r="V196" s="29"/>
      <c r="W196" s="29"/>
      <c r="X196" s="29"/>
      <c r="Y196" s="29"/>
      <c r="Z196" s="29"/>
    </row>
    <row r="197" spans="1:26" x14ac:dyDescent="0.3">
      <c r="A197" s="29"/>
      <c r="B197" s="30"/>
      <c r="C197" s="130"/>
      <c r="D197" s="161"/>
      <c r="E197" s="161"/>
      <c r="F197" s="72"/>
      <c r="G197" s="72"/>
      <c r="H197" s="72"/>
      <c r="I197" s="72"/>
      <c r="J197" s="29"/>
      <c r="K197" s="29"/>
      <c r="L197" s="29"/>
      <c r="M197" s="29"/>
      <c r="N197" s="29"/>
      <c r="O197" s="29"/>
      <c r="P197" s="29"/>
      <c r="Q197" s="29"/>
      <c r="R197" s="29"/>
      <c r="S197" s="29"/>
      <c r="T197" s="29"/>
      <c r="U197" s="29"/>
      <c r="V197" s="29"/>
      <c r="W197" s="29"/>
      <c r="X197" s="29"/>
      <c r="Y197" s="29"/>
      <c r="Z197" s="29"/>
    </row>
    <row r="198" spans="1:26" x14ac:dyDescent="0.3">
      <c r="A198" s="29"/>
      <c r="B198" s="30"/>
      <c r="C198" s="130"/>
      <c r="D198" s="161"/>
      <c r="E198" s="161"/>
      <c r="F198" s="72"/>
      <c r="G198" s="72"/>
      <c r="H198" s="72"/>
      <c r="I198" s="72"/>
      <c r="J198" s="29"/>
      <c r="K198" s="29"/>
      <c r="L198" s="29"/>
      <c r="M198" s="29"/>
      <c r="N198" s="29"/>
      <c r="O198" s="29"/>
      <c r="P198" s="29"/>
      <c r="Q198" s="29"/>
      <c r="R198" s="29"/>
      <c r="S198" s="29"/>
      <c r="T198" s="29"/>
      <c r="U198" s="29"/>
      <c r="V198" s="29"/>
      <c r="W198" s="29"/>
      <c r="X198" s="29"/>
      <c r="Y198" s="29"/>
      <c r="Z198" s="29"/>
    </row>
    <row r="199" spans="1:26" x14ac:dyDescent="0.3">
      <c r="A199" s="29"/>
      <c r="B199" s="30"/>
      <c r="C199" s="130"/>
      <c r="D199" s="161"/>
      <c r="E199" s="161"/>
      <c r="F199" s="72"/>
      <c r="G199" s="72"/>
      <c r="H199" s="72"/>
      <c r="I199" s="72"/>
      <c r="J199" s="29"/>
      <c r="K199" s="29"/>
      <c r="L199" s="29"/>
      <c r="M199" s="29"/>
      <c r="N199" s="29"/>
      <c r="O199" s="29"/>
      <c r="P199" s="29"/>
      <c r="Q199" s="29"/>
      <c r="R199" s="29"/>
      <c r="S199" s="29"/>
      <c r="T199" s="29"/>
      <c r="U199" s="29"/>
      <c r="V199" s="29"/>
      <c r="W199" s="29"/>
      <c r="X199" s="29"/>
      <c r="Y199" s="29"/>
      <c r="Z199" s="29"/>
    </row>
    <row r="200" spans="1:26" x14ac:dyDescent="0.3">
      <c r="A200" s="29"/>
      <c r="B200" s="30"/>
      <c r="C200" s="130"/>
      <c r="D200" s="161"/>
      <c r="E200" s="161"/>
      <c r="F200" s="72"/>
      <c r="G200" s="72"/>
      <c r="H200" s="72"/>
      <c r="I200" s="72"/>
      <c r="J200" s="29"/>
      <c r="K200" s="29"/>
      <c r="L200" s="29"/>
      <c r="M200" s="29"/>
      <c r="N200" s="29"/>
      <c r="O200" s="29"/>
      <c r="P200" s="29"/>
      <c r="Q200" s="29"/>
      <c r="R200" s="29"/>
      <c r="S200" s="29"/>
      <c r="T200" s="29"/>
      <c r="U200" s="29"/>
      <c r="V200" s="29"/>
      <c r="W200" s="29"/>
      <c r="X200" s="29"/>
      <c r="Y200" s="29"/>
      <c r="Z200" s="29"/>
    </row>
    <row r="201" spans="1:26" x14ac:dyDescent="0.3">
      <c r="A201" s="29"/>
      <c r="B201" s="30"/>
      <c r="C201" s="130"/>
      <c r="D201" s="161"/>
      <c r="E201" s="161"/>
      <c r="F201" s="72"/>
      <c r="G201" s="72"/>
      <c r="H201" s="72"/>
      <c r="I201" s="72"/>
      <c r="J201" s="29"/>
      <c r="K201" s="29"/>
      <c r="L201" s="29"/>
      <c r="M201" s="29"/>
      <c r="N201" s="29"/>
      <c r="O201" s="29"/>
      <c r="P201" s="29"/>
      <c r="Q201" s="29"/>
      <c r="R201" s="29"/>
      <c r="S201" s="29"/>
      <c r="T201" s="29"/>
      <c r="U201" s="29"/>
      <c r="V201" s="29"/>
      <c r="W201" s="29"/>
      <c r="X201" s="29"/>
      <c r="Y201" s="29"/>
      <c r="Z201" s="29"/>
    </row>
    <row r="202" spans="1:26" x14ac:dyDescent="0.3">
      <c r="A202" s="29"/>
      <c r="B202" s="30"/>
      <c r="C202" s="130"/>
      <c r="D202" s="161"/>
      <c r="E202" s="161"/>
      <c r="F202" s="72"/>
      <c r="G202" s="72"/>
      <c r="H202" s="72"/>
      <c r="I202" s="72"/>
      <c r="J202" s="29"/>
      <c r="K202" s="29"/>
      <c r="L202" s="29"/>
      <c r="M202" s="29"/>
      <c r="N202" s="29"/>
      <c r="O202" s="29"/>
      <c r="P202" s="29"/>
      <c r="Q202" s="29"/>
      <c r="R202" s="29"/>
      <c r="S202" s="29"/>
      <c r="T202" s="29"/>
      <c r="U202" s="29"/>
      <c r="V202" s="29"/>
      <c r="W202" s="29"/>
      <c r="X202" s="29"/>
      <c r="Y202" s="29"/>
      <c r="Z202" s="29"/>
    </row>
    <row r="203" spans="1:26" x14ac:dyDescent="0.3">
      <c r="A203" s="29"/>
      <c r="B203" s="30"/>
      <c r="C203" s="130"/>
      <c r="D203" s="161"/>
      <c r="E203" s="161"/>
      <c r="F203" s="72"/>
      <c r="G203" s="72"/>
      <c r="H203" s="72"/>
      <c r="I203" s="72"/>
      <c r="J203" s="29"/>
      <c r="K203" s="29"/>
      <c r="L203" s="29"/>
      <c r="M203" s="29"/>
      <c r="N203" s="29"/>
      <c r="O203" s="29"/>
      <c r="P203" s="29"/>
      <c r="Q203" s="29"/>
      <c r="R203" s="29"/>
      <c r="S203" s="29"/>
      <c r="T203" s="29"/>
      <c r="U203" s="29"/>
      <c r="V203" s="29"/>
      <c r="W203" s="29"/>
      <c r="X203" s="29"/>
      <c r="Y203" s="29"/>
      <c r="Z203" s="29"/>
    </row>
    <row r="204" spans="1:26" x14ac:dyDescent="0.3">
      <c r="A204" s="29"/>
      <c r="B204" s="30"/>
      <c r="C204" s="130"/>
      <c r="D204" s="161"/>
      <c r="E204" s="161"/>
      <c r="F204" s="72"/>
      <c r="G204" s="72"/>
      <c r="H204" s="72"/>
      <c r="I204" s="72"/>
      <c r="J204" s="29"/>
      <c r="K204" s="29"/>
      <c r="L204" s="29"/>
      <c r="M204" s="29"/>
      <c r="N204" s="29"/>
      <c r="O204" s="29"/>
      <c r="P204" s="29"/>
      <c r="Q204" s="29"/>
      <c r="R204" s="29"/>
      <c r="S204" s="29"/>
      <c r="T204" s="29"/>
      <c r="U204" s="29"/>
      <c r="V204" s="29"/>
      <c r="W204" s="29"/>
      <c r="X204" s="29"/>
      <c r="Y204" s="29"/>
      <c r="Z204" s="29"/>
    </row>
    <row r="205" spans="1:26" x14ac:dyDescent="0.3">
      <c r="A205" s="29"/>
      <c r="B205" s="30"/>
      <c r="C205" s="130"/>
      <c r="D205" s="161"/>
      <c r="E205" s="161"/>
      <c r="F205" s="72"/>
      <c r="G205" s="72"/>
      <c r="H205" s="72"/>
      <c r="I205" s="72"/>
      <c r="J205" s="29"/>
      <c r="K205" s="29"/>
      <c r="L205" s="29"/>
      <c r="M205" s="29"/>
      <c r="N205" s="29"/>
      <c r="O205" s="29"/>
      <c r="P205" s="29"/>
      <c r="Q205" s="29"/>
      <c r="R205" s="29"/>
      <c r="S205" s="29"/>
      <c r="T205" s="29"/>
      <c r="U205" s="29"/>
      <c r="V205" s="29"/>
      <c r="W205" s="29"/>
      <c r="X205" s="29"/>
      <c r="Y205" s="29"/>
      <c r="Z205" s="29"/>
    </row>
    <row r="206" spans="1:26" x14ac:dyDescent="0.3">
      <c r="A206" s="29"/>
      <c r="B206" s="30"/>
      <c r="C206" s="130"/>
      <c r="D206" s="161"/>
      <c r="E206" s="161"/>
      <c r="F206" s="72"/>
      <c r="G206" s="72"/>
      <c r="H206" s="72"/>
      <c r="I206" s="72"/>
      <c r="J206" s="29"/>
      <c r="K206" s="29"/>
      <c r="L206" s="29"/>
      <c r="M206" s="29"/>
      <c r="N206" s="29"/>
      <c r="O206" s="29"/>
      <c r="P206" s="29"/>
      <c r="Q206" s="29"/>
      <c r="R206" s="29"/>
      <c r="S206" s="29"/>
      <c r="T206" s="29"/>
      <c r="U206" s="29"/>
      <c r="V206" s="29"/>
      <c r="W206" s="29"/>
      <c r="X206" s="29"/>
      <c r="Y206" s="29"/>
      <c r="Z206" s="29"/>
    </row>
    <row r="207" spans="1:26" x14ac:dyDescent="0.3">
      <c r="A207" s="29"/>
      <c r="B207" s="30"/>
      <c r="C207" s="130"/>
      <c r="D207" s="161"/>
      <c r="E207" s="161"/>
      <c r="F207" s="72"/>
      <c r="G207" s="72"/>
      <c r="H207" s="72"/>
      <c r="I207" s="72"/>
      <c r="J207" s="29"/>
      <c r="K207" s="29"/>
      <c r="L207" s="29"/>
      <c r="M207" s="29"/>
      <c r="N207" s="29"/>
      <c r="O207" s="29"/>
      <c r="P207" s="29"/>
      <c r="Q207" s="29"/>
      <c r="R207" s="29"/>
      <c r="S207" s="29"/>
      <c r="T207" s="29"/>
      <c r="U207" s="29"/>
      <c r="V207" s="29"/>
      <c r="W207" s="29"/>
      <c r="X207" s="29"/>
      <c r="Y207" s="29"/>
      <c r="Z207" s="29"/>
    </row>
    <row r="208" spans="1:26" x14ac:dyDescent="0.3">
      <c r="A208" s="29"/>
      <c r="B208" s="30"/>
      <c r="C208" s="130"/>
      <c r="D208" s="161"/>
      <c r="E208" s="161"/>
      <c r="F208" s="72"/>
      <c r="G208" s="72"/>
      <c r="H208" s="72"/>
      <c r="I208" s="72"/>
      <c r="J208" s="29"/>
      <c r="K208" s="29"/>
      <c r="L208" s="29"/>
      <c r="M208" s="29"/>
      <c r="N208" s="29"/>
      <c r="O208" s="29"/>
      <c r="P208" s="29"/>
      <c r="Q208" s="29"/>
      <c r="R208" s="29"/>
      <c r="S208" s="29"/>
      <c r="T208" s="29"/>
      <c r="U208" s="29"/>
      <c r="V208" s="29"/>
      <c r="W208" s="29"/>
      <c r="X208" s="29"/>
      <c r="Y208" s="29"/>
      <c r="Z208" s="29"/>
    </row>
    <row r="209" spans="1:26" x14ac:dyDescent="0.3">
      <c r="A209" s="29"/>
      <c r="B209" s="30"/>
      <c r="C209" s="130"/>
      <c r="D209" s="161"/>
      <c r="E209" s="161"/>
      <c r="F209" s="72"/>
      <c r="G209" s="72"/>
      <c r="H209" s="72"/>
      <c r="I209" s="72"/>
      <c r="J209" s="29"/>
      <c r="K209" s="29"/>
      <c r="L209" s="29"/>
      <c r="M209" s="29"/>
      <c r="N209" s="29"/>
      <c r="O209" s="29"/>
      <c r="P209" s="29"/>
      <c r="Q209" s="29"/>
      <c r="R209" s="29"/>
      <c r="S209" s="29"/>
      <c r="T209" s="29"/>
      <c r="U209" s="29"/>
      <c r="V209" s="29"/>
      <c r="W209" s="29"/>
      <c r="X209" s="29"/>
      <c r="Y209" s="29"/>
      <c r="Z209" s="29"/>
    </row>
    <row r="210" spans="1:26" x14ac:dyDescent="0.3">
      <c r="A210" s="29"/>
      <c r="B210" s="30"/>
      <c r="C210" s="130"/>
      <c r="D210" s="161"/>
      <c r="E210" s="161"/>
      <c r="F210" s="72"/>
      <c r="G210" s="72"/>
      <c r="H210" s="72"/>
      <c r="I210" s="72"/>
      <c r="J210" s="29"/>
      <c r="K210" s="29"/>
      <c r="L210" s="29"/>
      <c r="M210" s="29"/>
      <c r="N210" s="29"/>
      <c r="O210" s="29"/>
      <c r="P210" s="29"/>
      <c r="Q210" s="29"/>
      <c r="R210" s="29"/>
      <c r="S210" s="29"/>
      <c r="T210" s="29"/>
      <c r="U210" s="29"/>
      <c r="V210" s="29"/>
      <c r="W210" s="29"/>
      <c r="X210" s="29"/>
      <c r="Y210" s="29"/>
      <c r="Z210" s="29"/>
    </row>
    <row r="211" spans="1:26" x14ac:dyDescent="0.3">
      <c r="A211" s="29"/>
      <c r="B211" s="30"/>
      <c r="C211" s="130"/>
      <c r="D211" s="161"/>
      <c r="E211" s="161"/>
      <c r="F211" s="72"/>
      <c r="G211" s="72"/>
      <c r="H211" s="72"/>
      <c r="I211" s="72"/>
      <c r="J211" s="29"/>
      <c r="K211" s="29"/>
      <c r="L211" s="29"/>
      <c r="M211" s="29"/>
      <c r="N211" s="29"/>
      <c r="O211" s="29"/>
      <c r="P211" s="29"/>
      <c r="Q211" s="29"/>
      <c r="R211" s="29"/>
      <c r="S211" s="29"/>
      <c r="T211" s="29"/>
      <c r="U211" s="29"/>
      <c r="V211" s="29"/>
      <c r="W211" s="29"/>
      <c r="X211" s="29"/>
      <c r="Y211" s="29"/>
      <c r="Z211" s="29"/>
    </row>
    <row r="212" spans="1:26" x14ac:dyDescent="0.3">
      <c r="A212" s="29"/>
      <c r="B212" s="30"/>
      <c r="C212" s="130"/>
      <c r="D212" s="161"/>
      <c r="E212" s="161"/>
      <c r="F212" s="72"/>
      <c r="G212" s="72"/>
      <c r="H212" s="72"/>
      <c r="I212" s="72"/>
      <c r="J212" s="29"/>
      <c r="K212" s="29"/>
      <c r="L212" s="29"/>
      <c r="M212" s="29"/>
      <c r="N212" s="29"/>
      <c r="O212" s="29"/>
      <c r="P212" s="29"/>
      <c r="Q212" s="29"/>
      <c r="R212" s="29"/>
      <c r="S212" s="29"/>
      <c r="T212" s="29"/>
      <c r="U212" s="29"/>
      <c r="V212" s="29"/>
      <c r="W212" s="29"/>
      <c r="X212" s="29"/>
      <c r="Y212" s="29"/>
      <c r="Z212" s="29"/>
    </row>
    <row r="213" spans="1:26" x14ac:dyDescent="0.3">
      <c r="A213" s="29"/>
      <c r="B213" s="30"/>
      <c r="C213" s="130"/>
      <c r="D213" s="161"/>
      <c r="E213" s="161"/>
      <c r="F213" s="72"/>
      <c r="G213" s="72"/>
      <c r="H213" s="72"/>
      <c r="I213" s="72"/>
      <c r="J213" s="29"/>
      <c r="K213" s="29"/>
      <c r="L213" s="29"/>
      <c r="M213" s="29"/>
      <c r="N213" s="29"/>
      <c r="O213" s="29"/>
      <c r="P213" s="29"/>
      <c r="Q213" s="29"/>
      <c r="R213" s="29"/>
      <c r="S213" s="29"/>
      <c r="T213" s="29"/>
      <c r="U213" s="29"/>
      <c r="V213" s="29"/>
      <c r="W213" s="29"/>
      <c r="X213" s="29"/>
      <c r="Y213" s="29"/>
      <c r="Z213" s="29"/>
    </row>
    <row r="214" spans="1:26" x14ac:dyDescent="0.3">
      <c r="A214" s="29"/>
      <c r="B214" s="30"/>
      <c r="C214" s="130"/>
      <c r="D214" s="161"/>
      <c r="E214" s="161"/>
      <c r="F214" s="72"/>
      <c r="G214" s="72"/>
      <c r="H214" s="72"/>
      <c r="I214" s="72"/>
      <c r="J214" s="29"/>
      <c r="K214" s="29"/>
      <c r="L214" s="29"/>
      <c r="M214" s="29"/>
      <c r="N214" s="29"/>
      <c r="O214" s="29"/>
      <c r="P214" s="29"/>
      <c r="Q214" s="29"/>
      <c r="R214" s="29"/>
      <c r="S214" s="29"/>
      <c r="T214" s="29"/>
      <c r="U214" s="29"/>
      <c r="V214" s="29"/>
      <c r="W214" s="29"/>
      <c r="X214" s="29"/>
      <c r="Y214" s="29"/>
      <c r="Z214" s="29"/>
    </row>
    <row r="215" spans="1:26" x14ac:dyDescent="0.3">
      <c r="A215" s="29"/>
      <c r="B215" s="30"/>
      <c r="C215" s="130"/>
      <c r="D215" s="161"/>
      <c r="E215" s="161"/>
      <c r="F215" s="72"/>
      <c r="G215" s="72"/>
      <c r="H215" s="72"/>
      <c r="I215" s="72"/>
      <c r="J215" s="29"/>
      <c r="K215" s="29"/>
      <c r="L215" s="29"/>
      <c r="M215" s="29"/>
      <c r="N215" s="29"/>
      <c r="O215" s="29"/>
      <c r="P215" s="29"/>
      <c r="Q215" s="29"/>
      <c r="R215" s="29"/>
      <c r="S215" s="29"/>
      <c r="T215" s="29"/>
      <c r="U215" s="29"/>
      <c r="V215" s="29"/>
      <c r="W215" s="29"/>
      <c r="X215" s="29"/>
      <c r="Y215" s="29"/>
      <c r="Z215" s="29"/>
    </row>
    <row r="216" spans="1:26" x14ac:dyDescent="0.3">
      <c r="A216" s="29"/>
      <c r="B216" s="30"/>
      <c r="C216" s="130"/>
      <c r="D216" s="161"/>
      <c r="E216" s="161"/>
      <c r="F216" s="72"/>
      <c r="G216" s="72"/>
      <c r="H216" s="72"/>
      <c r="I216" s="72"/>
      <c r="J216" s="29"/>
      <c r="K216" s="29"/>
      <c r="L216" s="29"/>
      <c r="M216" s="29"/>
      <c r="N216" s="29"/>
      <c r="O216" s="29"/>
      <c r="P216" s="29"/>
      <c r="Q216" s="29"/>
      <c r="R216" s="29"/>
      <c r="S216" s="29"/>
      <c r="T216" s="29"/>
      <c r="U216" s="29"/>
      <c r="V216" s="29"/>
      <c r="W216" s="29"/>
      <c r="X216" s="29"/>
      <c r="Y216" s="29"/>
      <c r="Z216" s="29"/>
    </row>
    <row r="217" spans="1:26" x14ac:dyDescent="0.3">
      <c r="A217" s="29"/>
      <c r="B217" s="30"/>
      <c r="C217" s="130"/>
      <c r="D217" s="161"/>
      <c r="E217" s="161"/>
      <c r="F217" s="72"/>
      <c r="G217" s="72"/>
      <c r="H217" s="72"/>
      <c r="I217" s="72"/>
      <c r="J217" s="29"/>
      <c r="K217" s="29"/>
      <c r="L217" s="29"/>
      <c r="M217" s="29"/>
      <c r="N217" s="29"/>
      <c r="O217" s="29"/>
      <c r="P217" s="29"/>
      <c r="Q217" s="29"/>
      <c r="R217" s="29"/>
      <c r="S217" s="29"/>
      <c r="T217" s="29"/>
      <c r="U217" s="29"/>
      <c r="V217" s="29"/>
      <c r="W217" s="29"/>
      <c r="X217" s="29"/>
      <c r="Y217" s="29"/>
      <c r="Z217" s="29"/>
    </row>
    <row r="218" spans="1:26" x14ac:dyDescent="0.3">
      <c r="A218" s="29"/>
      <c r="B218" s="30"/>
      <c r="C218" s="130"/>
      <c r="D218" s="161"/>
      <c r="E218" s="161"/>
      <c r="F218" s="72"/>
      <c r="G218" s="72"/>
      <c r="H218" s="72"/>
      <c r="I218" s="72"/>
      <c r="J218" s="29"/>
      <c r="K218" s="29"/>
      <c r="L218" s="29"/>
      <c r="M218" s="29"/>
      <c r="N218" s="29"/>
      <c r="O218" s="29"/>
      <c r="P218" s="29"/>
      <c r="Q218" s="29"/>
      <c r="R218" s="29"/>
      <c r="S218" s="29"/>
      <c r="T218" s="29"/>
      <c r="U218" s="29"/>
      <c r="V218" s="29"/>
      <c r="W218" s="29"/>
      <c r="X218" s="29"/>
      <c r="Y218" s="29"/>
      <c r="Z218" s="29"/>
    </row>
    <row r="219" spans="1:26" x14ac:dyDescent="0.3">
      <c r="A219" s="29"/>
      <c r="B219" s="30"/>
      <c r="C219" s="130"/>
      <c r="D219" s="161"/>
      <c r="E219" s="161"/>
      <c r="F219" s="72"/>
      <c r="G219" s="72"/>
      <c r="H219" s="72"/>
      <c r="I219" s="72"/>
      <c r="J219" s="29"/>
      <c r="K219" s="29"/>
      <c r="L219" s="29"/>
      <c r="M219" s="29"/>
      <c r="N219" s="29"/>
      <c r="O219" s="29"/>
      <c r="P219" s="29"/>
      <c r="Q219" s="29"/>
      <c r="R219" s="29"/>
      <c r="S219" s="29"/>
      <c r="T219" s="29"/>
      <c r="U219" s="29"/>
      <c r="V219" s="29"/>
      <c r="W219" s="29"/>
      <c r="X219" s="29"/>
      <c r="Y219" s="29"/>
      <c r="Z219" s="29"/>
    </row>
    <row r="220" spans="1:26" x14ac:dyDescent="0.3">
      <c r="A220" s="29"/>
      <c r="B220" s="30"/>
      <c r="C220" s="130"/>
      <c r="D220" s="161"/>
      <c r="E220" s="161"/>
      <c r="F220" s="72"/>
      <c r="G220" s="72"/>
      <c r="H220" s="72"/>
      <c r="I220" s="72"/>
      <c r="J220" s="29"/>
      <c r="K220" s="29"/>
      <c r="L220" s="29"/>
      <c r="M220" s="29"/>
      <c r="N220" s="29"/>
      <c r="O220" s="29"/>
      <c r="P220" s="29"/>
      <c r="Q220" s="29"/>
      <c r="R220" s="29"/>
      <c r="S220" s="29"/>
      <c r="T220" s="29"/>
      <c r="U220" s="29"/>
      <c r="V220" s="29"/>
      <c r="W220" s="29"/>
      <c r="X220" s="29"/>
      <c r="Y220" s="29"/>
      <c r="Z220" s="29"/>
    </row>
  </sheetData>
  <autoFilter ref="A1:I102" xr:uid="{00000000-0009-0000-0000-000023000000}"/>
  <pageMargins left="0.23622047244094491" right="0.23622047244094491" top="0.74803149606299213" bottom="0.74803149606299213" header="0.31496062992125984" footer="0.31496062992125984"/>
  <pageSetup paperSize="9" scale="9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26DA-0793-46CF-B822-E7B143822324}">
  <sheetPr>
    <tabColor rgb="FF44546A"/>
  </sheetPr>
  <dimension ref="A1:Z296"/>
  <sheetViews>
    <sheetView showGridLines="0" tabSelected="1" topLeftCell="A83" workbookViewId="0">
      <selection activeCell="L77" sqref="L77:O77"/>
    </sheetView>
  </sheetViews>
  <sheetFormatPr defaultColWidth="14.44140625" defaultRowHeight="14.4" x14ac:dyDescent="0.3"/>
  <cols>
    <col min="1" max="1" width="1.33203125" style="275" customWidth="1"/>
    <col min="2" max="7" width="9" style="275" customWidth="1"/>
    <col min="8" max="8" width="9.77734375" style="275" customWidth="1"/>
    <col min="9" max="22" width="9" style="275" customWidth="1"/>
    <col min="23" max="23" width="1.33203125" style="275" customWidth="1"/>
    <col min="24" max="26" width="8.6640625" style="275" customWidth="1"/>
    <col min="27" max="16384" width="14.44140625" style="275"/>
  </cols>
  <sheetData>
    <row r="1" spans="1:26" x14ac:dyDescent="0.3">
      <c r="A1" s="273"/>
      <c r="B1" s="273"/>
      <c r="C1" s="273"/>
      <c r="D1" s="273"/>
      <c r="E1" s="273"/>
      <c r="F1" s="273"/>
      <c r="G1" s="273"/>
      <c r="H1" s="273"/>
      <c r="I1" s="273"/>
      <c r="J1" s="273"/>
      <c r="K1" s="273"/>
      <c r="L1" s="273"/>
      <c r="M1" s="273"/>
      <c r="N1" s="273"/>
      <c r="O1" s="273"/>
      <c r="P1" s="273"/>
      <c r="Q1" s="273"/>
      <c r="R1" s="273"/>
      <c r="S1" s="273"/>
      <c r="T1" s="273"/>
      <c r="U1" s="273"/>
      <c r="V1" s="273"/>
      <c r="W1" s="273"/>
      <c r="X1" s="274"/>
      <c r="Y1" s="274"/>
      <c r="Z1" s="274"/>
    </row>
    <row r="2" spans="1:26" x14ac:dyDescent="0.3">
      <c r="A2" s="273"/>
      <c r="B2" s="273"/>
      <c r="C2" s="273"/>
      <c r="D2" s="273"/>
      <c r="E2" s="273"/>
      <c r="F2" s="273"/>
      <c r="G2" s="273"/>
      <c r="H2" s="273"/>
      <c r="I2" s="273"/>
      <c r="J2" s="273"/>
      <c r="K2" s="273"/>
      <c r="L2" s="273"/>
      <c r="M2" s="273"/>
      <c r="N2" s="273"/>
      <c r="O2" s="273"/>
      <c r="P2" s="273"/>
      <c r="Q2" s="273"/>
      <c r="R2" s="273"/>
      <c r="S2" s="273"/>
      <c r="T2" s="273"/>
      <c r="U2" s="273"/>
      <c r="V2" s="273"/>
      <c r="W2" s="273"/>
      <c r="X2" s="274"/>
      <c r="Y2" s="274"/>
      <c r="Z2" s="274"/>
    </row>
    <row r="3" spans="1:26" x14ac:dyDescent="0.3">
      <c r="A3" s="273"/>
      <c r="B3" s="273"/>
      <c r="C3" s="273"/>
      <c r="D3" s="273"/>
      <c r="E3" s="273"/>
      <c r="F3" s="273"/>
      <c r="G3" s="273"/>
      <c r="H3" s="273"/>
      <c r="I3" s="273"/>
      <c r="J3" s="273"/>
      <c r="K3" s="273"/>
      <c r="L3" s="273"/>
      <c r="M3" s="273"/>
      <c r="N3" s="273"/>
      <c r="O3" s="273"/>
      <c r="P3" s="273"/>
      <c r="Q3" s="273"/>
      <c r="R3" s="273"/>
      <c r="S3" s="273"/>
      <c r="T3" s="273"/>
      <c r="U3" s="273"/>
      <c r="V3" s="273"/>
      <c r="W3" s="273"/>
      <c r="X3" s="274"/>
      <c r="Y3" s="274"/>
      <c r="Z3" s="274"/>
    </row>
    <row r="4" spans="1:26" x14ac:dyDescent="0.3">
      <c r="A4" s="273"/>
      <c r="B4" s="273"/>
      <c r="C4" s="273"/>
      <c r="D4" s="273"/>
      <c r="E4" s="273"/>
      <c r="F4" s="273"/>
      <c r="G4" s="273"/>
      <c r="H4" s="273"/>
      <c r="I4" s="273"/>
      <c r="J4" s="273"/>
      <c r="K4" s="273"/>
      <c r="L4" s="273"/>
      <c r="M4" s="273"/>
      <c r="N4" s="273"/>
      <c r="O4" s="273"/>
      <c r="P4" s="273"/>
      <c r="Q4" s="273"/>
      <c r="R4" s="273"/>
      <c r="S4" s="273"/>
      <c r="T4" s="273"/>
      <c r="U4" s="273"/>
      <c r="V4" s="273"/>
      <c r="W4" s="273"/>
      <c r="X4" s="274"/>
      <c r="Y4" s="274"/>
      <c r="Z4" s="274"/>
    </row>
    <row r="5" spans="1:26" x14ac:dyDescent="0.3">
      <c r="A5" s="273"/>
      <c r="B5" s="273"/>
      <c r="C5" s="273"/>
      <c r="D5" s="273"/>
      <c r="E5" s="273"/>
      <c r="F5" s="273"/>
      <c r="G5" s="273"/>
      <c r="H5" s="273"/>
      <c r="I5" s="273"/>
      <c r="J5" s="273"/>
      <c r="K5" s="273"/>
      <c r="L5" s="273"/>
      <c r="M5" s="273"/>
      <c r="N5" s="273"/>
      <c r="O5" s="273"/>
      <c r="P5" s="273"/>
      <c r="Q5" s="273"/>
      <c r="R5" s="273"/>
      <c r="S5" s="273"/>
      <c r="T5" s="273"/>
      <c r="U5" s="273"/>
      <c r="V5" s="273"/>
      <c r="W5" s="273"/>
      <c r="X5" s="274"/>
      <c r="Y5" s="274"/>
      <c r="Z5" s="274"/>
    </row>
    <row r="6" spans="1:26" x14ac:dyDescent="0.3">
      <c r="A6" s="273"/>
      <c r="B6" s="273"/>
      <c r="C6" s="273"/>
      <c r="D6" s="273"/>
      <c r="E6" s="273"/>
      <c r="F6" s="273"/>
      <c r="G6" s="273"/>
      <c r="H6" s="273"/>
      <c r="I6" s="273"/>
      <c r="J6" s="273"/>
      <c r="K6" s="273"/>
      <c r="L6" s="273"/>
      <c r="M6" s="273"/>
      <c r="N6" s="273"/>
      <c r="O6" s="273"/>
      <c r="P6" s="273"/>
      <c r="Q6" s="273"/>
      <c r="R6" s="273"/>
      <c r="S6" s="273"/>
      <c r="T6" s="273"/>
      <c r="U6" s="273"/>
      <c r="V6" s="273"/>
      <c r="W6" s="273"/>
      <c r="X6" s="274"/>
      <c r="Y6" s="274"/>
      <c r="Z6" s="274"/>
    </row>
    <row r="7" spans="1:26" x14ac:dyDescent="0.3">
      <c r="A7" s="273"/>
      <c r="B7" s="273"/>
      <c r="C7" s="273"/>
      <c r="D7" s="273"/>
      <c r="E7" s="273"/>
      <c r="F7" s="273"/>
      <c r="G7" s="273"/>
      <c r="H7" s="273"/>
      <c r="I7" s="273"/>
      <c r="J7" s="273"/>
      <c r="K7" s="273"/>
      <c r="L7" s="273"/>
      <c r="M7" s="273"/>
      <c r="N7" s="273"/>
      <c r="O7" s="273"/>
      <c r="P7" s="273"/>
      <c r="Q7" s="273"/>
      <c r="R7" s="273"/>
      <c r="S7" s="273"/>
      <c r="T7" s="273"/>
      <c r="U7" s="273"/>
      <c r="V7" s="273"/>
      <c r="W7" s="273"/>
      <c r="X7" s="274"/>
      <c r="Y7" s="274"/>
      <c r="Z7" s="274"/>
    </row>
    <row r="8" spans="1:26" x14ac:dyDescent="0.3">
      <c r="A8" s="273"/>
      <c r="B8" s="273"/>
      <c r="C8" s="273"/>
      <c r="D8" s="273"/>
      <c r="E8" s="273"/>
      <c r="F8" s="273"/>
      <c r="G8" s="273"/>
      <c r="H8" s="273"/>
      <c r="I8" s="273"/>
      <c r="J8" s="273"/>
      <c r="K8" s="273"/>
      <c r="L8" s="273"/>
      <c r="M8" s="273"/>
      <c r="N8" s="273"/>
      <c r="O8" s="273"/>
      <c r="P8" s="273"/>
      <c r="Q8" s="273"/>
      <c r="R8" s="273"/>
      <c r="S8" s="273"/>
      <c r="T8" s="273"/>
      <c r="U8" s="273"/>
      <c r="V8" s="273"/>
      <c r="W8" s="273"/>
      <c r="X8" s="274"/>
      <c r="Y8" s="274"/>
      <c r="Z8" s="274"/>
    </row>
    <row r="9" spans="1:26" x14ac:dyDescent="0.3">
      <c r="A9" s="273"/>
      <c r="B9" s="273"/>
      <c r="C9" s="273"/>
      <c r="D9" s="273"/>
      <c r="E9" s="273"/>
      <c r="F9" s="273"/>
      <c r="G9" s="273"/>
      <c r="H9" s="273"/>
      <c r="I9" s="273"/>
      <c r="J9" s="273"/>
      <c r="K9" s="273"/>
      <c r="L9" s="273"/>
      <c r="M9" s="273"/>
      <c r="N9" s="273"/>
      <c r="O9" s="273"/>
      <c r="P9" s="273"/>
      <c r="Q9" s="273"/>
      <c r="R9" s="273"/>
      <c r="S9" s="273"/>
      <c r="T9" s="273"/>
      <c r="U9" s="273"/>
      <c r="V9" s="273"/>
      <c r="W9" s="273"/>
      <c r="X9" s="274"/>
      <c r="Y9" s="274"/>
      <c r="Z9" s="274"/>
    </row>
    <row r="10" spans="1:26" x14ac:dyDescent="0.3">
      <c r="A10" s="273"/>
      <c r="B10" s="273"/>
      <c r="C10" s="273"/>
      <c r="D10" s="273"/>
      <c r="E10" s="273"/>
      <c r="F10" s="273"/>
      <c r="G10" s="273"/>
      <c r="H10" s="273"/>
      <c r="I10" s="273"/>
      <c r="J10" s="273"/>
      <c r="K10" s="273"/>
      <c r="L10" s="273"/>
      <c r="M10" s="273"/>
      <c r="N10" s="273"/>
      <c r="O10" s="273"/>
      <c r="P10" s="273"/>
      <c r="Q10" s="273"/>
      <c r="R10" s="273"/>
      <c r="S10" s="273"/>
      <c r="T10" s="273"/>
      <c r="U10" s="273"/>
      <c r="V10" s="273"/>
      <c r="W10" s="273"/>
      <c r="X10" s="274"/>
      <c r="Y10" s="274"/>
      <c r="Z10" s="274"/>
    </row>
    <row r="11" spans="1:26" ht="48.6" customHeight="1" x14ac:dyDescent="0.3">
      <c r="A11" s="276" t="s">
        <v>2241</v>
      </c>
      <c r="B11" s="277"/>
      <c r="C11" s="277"/>
      <c r="D11" s="277"/>
      <c r="E11" s="277"/>
      <c r="F11" s="277"/>
      <c r="G11" s="277"/>
      <c r="H11" s="277"/>
      <c r="I11" s="277"/>
      <c r="J11" s="277"/>
      <c r="K11" s="277"/>
      <c r="L11" s="277"/>
      <c r="M11" s="277"/>
      <c r="N11" s="277"/>
      <c r="O11" s="277"/>
      <c r="P11" s="277"/>
      <c r="Q11" s="277"/>
      <c r="R11" s="277"/>
      <c r="S11" s="277"/>
      <c r="T11" s="277"/>
      <c r="U11" s="277"/>
      <c r="V11" s="277"/>
      <c r="W11" s="277"/>
      <c r="X11" s="274"/>
      <c r="Y11" s="274"/>
      <c r="Z11" s="274"/>
    </row>
    <row r="12" spans="1:26" x14ac:dyDescent="0.3">
      <c r="A12" s="277"/>
      <c r="B12" s="278"/>
      <c r="C12" s="278"/>
      <c r="D12" s="278"/>
      <c r="E12" s="278"/>
      <c r="F12" s="278"/>
      <c r="G12" s="278"/>
      <c r="H12" s="278"/>
      <c r="I12" s="278"/>
      <c r="J12" s="278"/>
      <c r="K12" s="278"/>
      <c r="L12" s="278"/>
      <c r="M12" s="278"/>
      <c r="N12" s="278"/>
      <c r="O12" s="278"/>
      <c r="P12" s="278"/>
      <c r="Q12" s="278"/>
      <c r="R12" s="278"/>
      <c r="S12" s="278"/>
      <c r="T12" s="278"/>
      <c r="U12" s="278"/>
      <c r="V12" s="278"/>
      <c r="W12" s="277"/>
      <c r="X12" s="274"/>
      <c r="Y12" s="274"/>
      <c r="Z12" s="274"/>
    </row>
    <row r="13" spans="1:26" x14ac:dyDescent="0.3">
      <c r="A13" s="277"/>
      <c r="B13" s="278"/>
      <c r="C13" s="278"/>
      <c r="D13" s="278"/>
      <c r="E13" s="278"/>
      <c r="F13" s="278"/>
      <c r="G13" s="278"/>
      <c r="H13" s="278"/>
      <c r="I13" s="278"/>
      <c r="J13" s="278"/>
      <c r="K13" s="278"/>
      <c r="L13" s="278"/>
      <c r="M13" s="278"/>
      <c r="N13" s="278"/>
      <c r="O13" s="278"/>
      <c r="P13" s="278"/>
      <c r="Q13" s="278"/>
      <c r="R13" s="278"/>
      <c r="S13" s="278"/>
      <c r="T13" s="278"/>
      <c r="U13" s="278"/>
      <c r="V13" s="278"/>
      <c r="W13" s="277"/>
      <c r="X13" s="274"/>
      <c r="Y13" s="274"/>
      <c r="Z13" s="274"/>
    </row>
    <row r="14" spans="1:26" x14ac:dyDescent="0.3">
      <c r="A14" s="277"/>
      <c r="B14" s="278"/>
      <c r="C14" s="278"/>
      <c r="D14" s="278"/>
      <c r="E14" s="278"/>
      <c r="F14" s="278"/>
      <c r="G14" s="278"/>
      <c r="H14" s="278"/>
      <c r="I14" s="278"/>
      <c r="J14" s="278"/>
      <c r="K14" s="278"/>
      <c r="L14" s="278"/>
      <c r="M14" s="278"/>
      <c r="N14" s="278"/>
      <c r="O14" s="278"/>
      <c r="P14" s="278"/>
      <c r="Q14" s="278"/>
      <c r="R14" s="278"/>
      <c r="S14" s="278"/>
      <c r="T14" s="278"/>
      <c r="U14" s="278"/>
      <c r="V14" s="278"/>
      <c r="W14" s="277"/>
      <c r="X14" s="274"/>
      <c r="Y14" s="274"/>
      <c r="Z14" s="274"/>
    </row>
    <row r="15" spans="1:26" x14ac:dyDescent="0.3">
      <c r="A15" s="277"/>
      <c r="B15" s="278"/>
      <c r="C15" s="278"/>
      <c r="D15" s="278"/>
      <c r="E15" s="278"/>
      <c r="F15" s="278"/>
      <c r="G15" s="278"/>
      <c r="H15" s="278"/>
      <c r="I15" s="278"/>
      <c r="J15" s="278"/>
      <c r="K15" s="278"/>
      <c r="L15" s="278"/>
      <c r="M15" s="278"/>
      <c r="N15" s="278"/>
      <c r="O15" s="278"/>
      <c r="P15" s="278"/>
      <c r="Q15" s="278"/>
      <c r="R15" s="278"/>
      <c r="S15" s="278"/>
      <c r="T15" s="278"/>
      <c r="U15" s="278"/>
      <c r="V15" s="278"/>
      <c r="W15" s="277"/>
      <c r="X15" s="274"/>
      <c r="Y15" s="274"/>
      <c r="Z15" s="274"/>
    </row>
    <row r="16" spans="1:26" x14ac:dyDescent="0.3">
      <c r="A16" s="277"/>
      <c r="B16" s="277"/>
      <c r="C16" s="277"/>
      <c r="D16" s="277"/>
      <c r="E16" s="277"/>
      <c r="F16" s="277"/>
      <c r="G16" s="277"/>
      <c r="H16" s="277"/>
      <c r="I16" s="277"/>
      <c r="J16" s="277"/>
      <c r="K16" s="277"/>
      <c r="L16" s="277"/>
      <c r="M16" s="277"/>
      <c r="N16" s="277"/>
      <c r="O16" s="277"/>
      <c r="P16" s="277"/>
      <c r="Q16" s="277"/>
      <c r="R16" s="277"/>
      <c r="S16" s="277"/>
      <c r="T16" s="277"/>
      <c r="U16" s="277"/>
      <c r="V16" s="277"/>
      <c r="W16" s="277"/>
      <c r="X16" s="274"/>
      <c r="Y16" s="274"/>
      <c r="Z16" s="274"/>
    </row>
    <row r="17" spans="1:26" x14ac:dyDescent="0.3">
      <c r="A17" s="273"/>
      <c r="B17" s="273"/>
      <c r="C17" s="273"/>
      <c r="D17" s="273"/>
      <c r="E17" s="273"/>
      <c r="F17" s="273"/>
      <c r="G17" s="273"/>
      <c r="H17" s="273"/>
      <c r="I17" s="273"/>
      <c r="J17" s="273"/>
      <c r="K17" s="273"/>
      <c r="L17" s="273"/>
      <c r="M17" s="273"/>
      <c r="N17" s="273"/>
      <c r="O17" s="273"/>
      <c r="P17" s="273"/>
      <c r="Q17" s="273"/>
      <c r="R17" s="273"/>
      <c r="S17" s="273"/>
      <c r="T17" s="273"/>
      <c r="U17" s="273"/>
      <c r="V17" s="273"/>
      <c r="W17" s="273"/>
      <c r="X17" s="274"/>
      <c r="Y17" s="274"/>
      <c r="Z17" s="274"/>
    </row>
    <row r="18" spans="1:26" x14ac:dyDescent="0.3">
      <c r="A18" s="273"/>
      <c r="B18" s="273"/>
      <c r="C18" s="273"/>
      <c r="D18" s="273"/>
      <c r="E18" s="273"/>
      <c r="F18" s="273"/>
      <c r="G18" s="273"/>
      <c r="H18" s="273"/>
      <c r="I18" s="273"/>
      <c r="J18" s="273"/>
      <c r="K18" s="273"/>
      <c r="L18" s="273"/>
      <c r="M18" s="273"/>
      <c r="N18" s="273"/>
      <c r="O18" s="273"/>
      <c r="P18" s="273"/>
      <c r="Q18" s="273"/>
      <c r="R18" s="273"/>
      <c r="S18" s="273"/>
      <c r="T18" s="273"/>
      <c r="U18" s="273"/>
      <c r="V18" s="273"/>
      <c r="W18" s="273"/>
      <c r="X18" s="274"/>
      <c r="Y18" s="274"/>
      <c r="Z18" s="274"/>
    </row>
    <row r="19" spans="1:26" x14ac:dyDescent="0.3">
      <c r="A19" s="279" t="s">
        <v>2629</v>
      </c>
      <c r="B19" s="277"/>
      <c r="C19" s="277"/>
      <c r="D19" s="277"/>
      <c r="E19" s="277"/>
      <c r="F19" s="277"/>
      <c r="G19" s="277"/>
      <c r="H19" s="277"/>
      <c r="I19" s="277"/>
      <c r="J19" s="277"/>
      <c r="K19" s="277"/>
      <c r="L19" s="277"/>
      <c r="M19" s="277"/>
      <c r="N19" s="277"/>
      <c r="O19" s="277"/>
      <c r="P19" s="277"/>
      <c r="Q19" s="277"/>
      <c r="R19" s="277"/>
      <c r="S19" s="277"/>
      <c r="T19" s="277"/>
      <c r="U19" s="277"/>
      <c r="V19" s="277"/>
      <c r="W19" s="277"/>
      <c r="X19" s="274"/>
      <c r="Y19" s="274"/>
      <c r="Z19" s="274"/>
    </row>
    <row r="20" spans="1:26" x14ac:dyDescent="0.3">
      <c r="A20" s="277"/>
      <c r="B20" s="278"/>
      <c r="C20" s="278"/>
      <c r="D20" s="278"/>
      <c r="E20" s="278"/>
      <c r="F20" s="278"/>
      <c r="G20" s="278"/>
      <c r="H20" s="278"/>
      <c r="I20" s="278"/>
      <c r="J20" s="278"/>
      <c r="K20" s="278"/>
      <c r="L20" s="278"/>
      <c r="M20" s="278"/>
      <c r="N20" s="278"/>
      <c r="O20" s="278"/>
      <c r="P20" s="278"/>
      <c r="Q20" s="278"/>
      <c r="R20" s="278"/>
      <c r="S20" s="278"/>
      <c r="T20" s="278"/>
      <c r="U20" s="278"/>
      <c r="V20" s="278"/>
      <c r="W20" s="277"/>
      <c r="X20" s="274"/>
      <c r="Y20" s="274"/>
      <c r="Z20" s="274"/>
    </row>
    <row r="21" spans="1:26" x14ac:dyDescent="0.3">
      <c r="A21" s="277"/>
      <c r="B21" s="278"/>
      <c r="C21" s="278"/>
      <c r="D21" s="278"/>
      <c r="E21" s="278"/>
      <c r="F21" s="278"/>
      <c r="G21" s="278"/>
      <c r="H21" s="278"/>
      <c r="I21" s="278"/>
      <c r="J21" s="278"/>
      <c r="K21" s="278"/>
      <c r="L21" s="278"/>
      <c r="M21" s="278"/>
      <c r="N21" s="278"/>
      <c r="O21" s="278"/>
      <c r="P21" s="278"/>
      <c r="Q21" s="278"/>
      <c r="R21" s="278"/>
      <c r="S21" s="278"/>
      <c r="T21" s="278"/>
      <c r="U21" s="278"/>
      <c r="V21" s="278"/>
      <c r="W21" s="277"/>
      <c r="X21" s="274"/>
      <c r="Y21" s="274"/>
      <c r="Z21" s="274"/>
    </row>
    <row r="22" spans="1:26" x14ac:dyDescent="0.3">
      <c r="A22" s="277"/>
      <c r="B22" s="277"/>
      <c r="C22" s="277"/>
      <c r="D22" s="277"/>
      <c r="E22" s="277"/>
      <c r="F22" s="277"/>
      <c r="G22" s="277"/>
      <c r="H22" s="277"/>
      <c r="I22" s="277"/>
      <c r="J22" s="277"/>
      <c r="K22" s="277"/>
      <c r="L22" s="277"/>
      <c r="M22" s="277"/>
      <c r="N22" s="277"/>
      <c r="O22" s="277"/>
      <c r="P22" s="277"/>
      <c r="Q22" s="277"/>
      <c r="R22" s="277"/>
      <c r="S22" s="277"/>
      <c r="T22" s="277"/>
      <c r="U22" s="277"/>
      <c r="V22" s="277"/>
      <c r="W22" s="277"/>
      <c r="X22" s="274"/>
      <c r="Y22" s="274"/>
      <c r="Z22" s="274"/>
    </row>
    <row r="23" spans="1:26" x14ac:dyDescent="0.3">
      <c r="A23" s="273"/>
      <c r="B23" s="273"/>
      <c r="C23" s="273"/>
      <c r="D23" s="273"/>
      <c r="E23" s="273"/>
      <c r="F23" s="273"/>
      <c r="G23" s="273"/>
      <c r="H23" s="273"/>
      <c r="I23" s="273"/>
      <c r="J23" s="273"/>
      <c r="K23" s="273"/>
      <c r="L23" s="273"/>
      <c r="M23" s="273"/>
      <c r="N23" s="273"/>
      <c r="O23" s="273"/>
      <c r="P23" s="273"/>
      <c r="Q23" s="273"/>
      <c r="R23" s="273"/>
      <c r="S23" s="273"/>
      <c r="T23" s="273"/>
      <c r="U23" s="273"/>
      <c r="V23" s="273"/>
      <c r="W23" s="273"/>
      <c r="X23" s="274"/>
      <c r="Y23" s="274"/>
      <c r="Z23" s="274"/>
    </row>
    <row r="24" spans="1:26" x14ac:dyDescent="0.3">
      <c r="A24" s="273"/>
      <c r="B24" s="273"/>
      <c r="C24" s="273"/>
      <c r="D24" s="273"/>
      <c r="E24" s="273"/>
      <c r="F24" s="273"/>
      <c r="G24" s="273"/>
      <c r="H24" s="273"/>
      <c r="I24" s="273"/>
      <c r="J24" s="273"/>
      <c r="K24" s="273"/>
      <c r="L24" s="273"/>
      <c r="M24" s="273"/>
      <c r="N24" s="273"/>
      <c r="O24" s="273"/>
      <c r="P24" s="273"/>
      <c r="Q24" s="273"/>
      <c r="R24" s="273"/>
      <c r="S24" s="273"/>
      <c r="T24" s="273"/>
      <c r="U24" s="273"/>
      <c r="V24" s="273"/>
      <c r="W24" s="273"/>
      <c r="X24" s="274"/>
      <c r="Y24" s="274"/>
      <c r="Z24" s="274"/>
    </row>
    <row r="25" spans="1:26" x14ac:dyDescent="0.3">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4"/>
      <c r="Y25" s="274"/>
      <c r="Z25" s="274"/>
    </row>
    <row r="26" spans="1:26" x14ac:dyDescent="0.3">
      <c r="A26" s="273"/>
      <c r="B26" s="273"/>
      <c r="C26" s="273"/>
      <c r="D26" s="273"/>
      <c r="E26" s="273"/>
      <c r="F26" s="273"/>
      <c r="G26" s="273"/>
      <c r="H26" s="273"/>
      <c r="I26" s="273"/>
      <c r="J26" s="273"/>
      <c r="K26" s="273"/>
      <c r="L26" s="273"/>
      <c r="M26" s="273"/>
      <c r="N26" s="273"/>
      <c r="O26" s="273"/>
      <c r="P26" s="273"/>
      <c r="Q26" s="273"/>
      <c r="R26" s="273"/>
      <c r="S26" s="273"/>
      <c r="T26" s="273"/>
      <c r="U26" s="273"/>
      <c r="V26" s="273"/>
      <c r="W26" s="273"/>
      <c r="X26" s="274"/>
      <c r="Y26" s="274"/>
      <c r="Z26" s="274"/>
    </row>
    <row r="27" spans="1:26" x14ac:dyDescent="0.3">
      <c r="A27" s="273"/>
      <c r="B27" s="273"/>
      <c r="C27" s="273"/>
      <c r="D27" s="273"/>
      <c r="E27" s="273"/>
      <c r="F27" s="273"/>
      <c r="G27" s="273"/>
      <c r="H27" s="273"/>
      <c r="I27" s="273"/>
      <c r="J27" s="273"/>
      <c r="K27" s="273"/>
      <c r="L27" s="273"/>
      <c r="M27" s="273"/>
      <c r="N27" s="273"/>
      <c r="O27" s="273"/>
      <c r="P27" s="273"/>
      <c r="Q27" s="273"/>
      <c r="R27" s="273"/>
      <c r="S27" s="273"/>
      <c r="T27" s="273"/>
      <c r="U27" s="273"/>
      <c r="V27" s="273"/>
      <c r="W27" s="273"/>
      <c r="X27" s="274"/>
      <c r="Y27" s="274"/>
      <c r="Z27" s="274"/>
    </row>
    <row r="28" spans="1:26" x14ac:dyDescent="0.3">
      <c r="A28" s="273"/>
      <c r="B28" s="273"/>
      <c r="C28" s="273"/>
      <c r="D28" s="273"/>
      <c r="E28" s="273"/>
      <c r="F28" s="273"/>
      <c r="G28" s="273"/>
      <c r="H28" s="273"/>
      <c r="I28" s="273"/>
      <c r="J28" s="273"/>
      <c r="K28" s="273"/>
      <c r="L28" s="273"/>
      <c r="M28" s="273"/>
      <c r="N28" s="273"/>
      <c r="O28" s="273"/>
      <c r="P28" s="273"/>
      <c r="Q28" s="273"/>
      <c r="R28" s="273"/>
      <c r="S28" s="273"/>
      <c r="T28" s="273"/>
      <c r="U28" s="273"/>
      <c r="V28" s="273"/>
      <c r="W28" s="273"/>
      <c r="X28" s="274"/>
      <c r="Y28" s="274"/>
      <c r="Z28" s="274"/>
    </row>
    <row r="29" spans="1:26" x14ac:dyDescent="0.3">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4"/>
      <c r="Y29" s="274"/>
      <c r="Z29" s="274"/>
    </row>
    <row r="30" spans="1:26" x14ac:dyDescent="0.3">
      <c r="A30" s="280"/>
      <c r="B30" s="280"/>
      <c r="C30" s="280"/>
      <c r="D30" s="280"/>
      <c r="E30" s="280"/>
      <c r="F30" s="280"/>
      <c r="G30" s="280"/>
      <c r="H30" s="280"/>
      <c r="I30" s="280"/>
      <c r="J30" s="280"/>
      <c r="K30" s="280"/>
      <c r="L30" s="280"/>
      <c r="M30" s="280"/>
      <c r="N30" s="280"/>
      <c r="O30" s="280"/>
      <c r="P30" s="280"/>
      <c r="Q30" s="280"/>
      <c r="R30" s="280"/>
      <c r="S30" s="280"/>
      <c r="T30" s="280"/>
      <c r="U30" s="280"/>
      <c r="V30" s="280"/>
      <c r="W30" s="280"/>
      <c r="X30" s="281"/>
      <c r="Y30" s="281"/>
      <c r="Z30" s="281"/>
    </row>
    <row r="31" spans="1:26" x14ac:dyDescent="0.3">
      <c r="A31" s="273"/>
      <c r="B31" s="273"/>
      <c r="C31" s="273"/>
      <c r="D31" s="273"/>
      <c r="E31" s="273"/>
      <c r="F31" s="273"/>
      <c r="G31" s="273"/>
      <c r="H31" s="273"/>
      <c r="I31" s="273"/>
      <c r="J31" s="273"/>
      <c r="K31" s="273"/>
      <c r="L31" s="273"/>
      <c r="M31" s="273"/>
      <c r="N31" s="273"/>
      <c r="O31" s="273"/>
      <c r="P31" s="273"/>
      <c r="Q31" s="273"/>
      <c r="R31" s="273"/>
      <c r="S31" s="273"/>
      <c r="T31" s="273"/>
      <c r="U31" s="273"/>
      <c r="V31" s="273"/>
      <c r="W31" s="273"/>
      <c r="X31" s="274"/>
      <c r="Y31" s="274"/>
      <c r="Z31" s="274"/>
    </row>
    <row r="32" spans="1:26" ht="33" x14ac:dyDescent="0.3">
      <c r="A32" s="273"/>
      <c r="B32" s="273"/>
      <c r="C32" s="273"/>
      <c r="D32" s="273"/>
      <c r="E32" s="273"/>
      <c r="F32" s="273"/>
      <c r="G32" s="273"/>
      <c r="H32" s="273"/>
      <c r="I32" s="273"/>
      <c r="J32" s="273"/>
      <c r="K32" s="282" t="s">
        <v>2242</v>
      </c>
      <c r="L32" s="283">
        <v>14913.03</v>
      </c>
      <c r="M32" s="277"/>
      <c r="N32" s="277"/>
      <c r="O32" s="277"/>
      <c r="P32" s="273"/>
      <c r="Q32" s="273"/>
      <c r="R32" s="273"/>
      <c r="S32" s="273"/>
      <c r="T32" s="273"/>
      <c r="U32" s="273"/>
      <c r="V32" s="273"/>
      <c r="W32" s="273"/>
      <c r="X32" s="274"/>
      <c r="Y32" s="274"/>
      <c r="Z32" s="274"/>
    </row>
    <row r="33" spans="1:26" x14ac:dyDescent="0.3">
      <c r="A33" s="273"/>
      <c r="B33" s="273"/>
      <c r="C33" s="273"/>
      <c r="D33" s="273"/>
      <c r="E33" s="273"/>
      <c r="F33" s="273"/>
      <c r="G33" s="273"/>
      <c r="H33" s="273"/>
      <c r="I33" s="273"/>
      <c r="J33" s="273"/>
      <c r="K33" s="273"/>
      <c r="L33" s="273"/>
      <c r="M33" s="273"/>
      <c r="N33" s="273"/>
      <c r="O33" s="273"/>
      <c r="P33" s="273"/>
      <c r="Q33" s="273"/>
      <c r="R33" s="273"/>
      <c r="S33" s="273"/>
      <c r="T33" s="273"/>
      <c r="U33" s="273"/>
      <c r="V33" s="273"/>
      <c r="W33" s="273"/>
      <c r="X33" s="274"/>
      <c r="Y33" s="274"/>
      <c r="Z33" s="274"/>
    </row>
    <row r="34" spans="1:26" x14ac:dyDescent="0.3">
      <c r="A34" s="273"/>
      <c r="B34" s="273"/>
      <c r="C34" s="273"/>
      <c r="D34" s="273"/>
      <c r="E34" s="273"/>
      <c r="F34" s="273"/>
      <c r="G34" s="273"/>
      <c r="H34" s="273"/>
      <c r="I34" s="273"/>
      <c r="J34" s="273"/>
      <c r="K34" s="273"/>
      <c r="L34" s="273"/>
      <c r="M34" s="273"/>
      <c r="N34" s="273"/>
      <c r="O34" s="273"/>
      <c r="P34" s="273"/>
      <c r="Q34" s="273"/>
      <c r="R34" s="273"/>
      <c r="S34" s="273"/>
      <c r="T34" s="273"/>
      <c r="U34" s="273"/>
      <c r="V34" s="273"/>
      <c r="W34" s="273"/>
      <c r="X34" s="274"/>
      <c r="Y34" s="274"/>
      <c r="Z34" s="274"/>
    </row>
    <row r="35" spans="1:26" ht="25.2" x14ac:dyDescent="0.3">
      <c r="A35" s="273"/>
      <c r="B35" s="273"/>
      <c r="C35" s="273"/>
      <c r="D35" s="273"/>
      <c r="E35" s="273"/>
      <c r="F35" s="273"/>
      <c r="G35" s="273"/>
      <c r="H35" s="273"/>
      <c r="I35" s="273"/>
      <c r="J35" s="273"/>
      <c r="K35" s="273"/>
      <c r="L35" s="284"/>
      <c r="M35" s="273"/>
      <c r="N35" s="273"/>
      <c r="O35" s="273"/>
      <c r="P35" s="273"/>
      <c r="Q35" s="273"/>
      <c r="R35" s="273"/>
      <c r="S35" s="273"/>
      <c r="T35" s="273"/>
      <c r="U35" s="273"/>
      <c r="V35" s="273"/>
      <c r="W35" s="273"/>
      <c r="X35" s="274"/>
      <c r="Y35" s="274"/>
      <c r="Z35" s="274"/>
    </row>
    <row r="36" spans="1:26" x14ac:dyDescent="0.3">
      <c r="A36" s="273"/>
      <c r="B36" s="273"/>
      <c r="C36" s="273"/>
      <c r="D36" s="273"/>
      <c r="E36" s="273"/>
      <c r="F36" s="273"/>
      <c r="G36" s="273"/>
      <c r="H36" s="273"/>
      <c r="I36" s="273"/>
      <c r="J36" s="273"/>
      <c r="K36" s="273"/>
      <c r="L36" s="273"/>
      <c r="M36" s="273"/>
      <c r="N36" s="273"/>
      <c r="O36" s="273"/>
      <c r="P36" s="273"/>
      <c r="Q36" s="273"/>
      <c r="R36" s="273"/>
      <c r="S36" s="273"/>
      <c r="T36" s="273"/>
      <c r="U36" s="273"/>
      <c r="V36" s="273"/>
      <c r="W36" s="273"/>
      <c r="X36" s="274"/>
      <c r="Y36" s="274"/>
      <c r="Z36" s="274"/>
    </row>
    <row r="37" spans="1:26" x14ac:dyDescent="0.3">
      <c r="A37" s="273"/>
      <c r="B37" s="273"/>
      <c r="C37" s="273"/>
      <c r="D37" s="273"/>
      <c r="E37" s="273"/>
      <c r="F37" s="273"/>
      <c r="G37" s="273"/>
      <c r="H37" s="273"/>
      <c r="I37" s="273"/>
      <c r="J37" s="273"/>
      <c r="K37" s="273"/>
      <c r="L37" s="273"/>
      <c r="M37" s="273"/>
      <c r="N37" s="273"/>
      <c r="O37" s="273"/>
      <c r="P37" s="273"/>
      <c r="Q37" s="273"/>
      <c r="R37" s="273"/>
      <c r="S37" s="273"/>
      <c r="T37" s="273"/>
      <c r="U37" s="273"/>
      <c r="V37" s="273"/>
      <c r="W37" s="273"/>
      <c r="X37" s="274"/>
      <c r="Y37" s="274"/>
      <c r="Z37" s="274"/>
    </row>
    <row r="38" spans="1:26" ht="25.2" x14ac:dyDescent="0.3">
      <c r="A38" s="285"/>
      <c r="B38" s="286" t="s">
        <v>2243</v>
      </c>
      <c r="C38" s="285"/>
      <c r="D38" s="285"/>
      <c r="E38" s="285"/>
      <c r="F38" s="285"/>
      <c r="G38" s="285"/>
      <c r="H38" s="285"/>
      <c r="I38" s="287">
        <f>SUM(I39:K47)</f>
        <v>19388.830000000005</v>
      </c>
      <c r="J38" s="277"/>
      <c r="K38" s="277"/>
      <c r="L38" s="285"/>
      <c r="M38" s="286" t="s">
        <v>2244</v>
      </c>
      <c r="N38" s="285"/>
      <c r="O38" s="285"/>
      <c r="P38" s="285"/>
      <c r="Q38" s="285"/>
      <c r="R38" s="285"/>
      <c r="S38" s="285"/>
      <c r="T38" s="287">
        <f>SUM(T39:V41)</f>
        <v>902.89</v>
      </c>
      <c r="U38" s="277"/>
      <c r="V38" s="277"/>
      <c r="W38" s="285"/>
      <c r="X38" s="288"/>
      <c r="Y38" s="288"/>
      <c r="Z38" s="288"/>
    </row>
    <row r="39" spans="1:26" ht="23.4" x14ac:dyDescent="0.3">
      <c r="A39" s="289"/>
      <c r="B39" s="290" t="s">
        <v>2245</v>
      </c>
      <c r="C39" s="289"/>
      <c r="D39" s="289"/>
      <c r="E39" s="289"/>
      <c r="F39" s="289"/>
      <c r="G39" s="289"/>
      <c r="H39" s="289"/>
      <c r="I39" s="291">
        <f>'DEZ-Receitas'!M6</f>
        <v>10438.080000000005</v>
      </c>
      <c r="J39" s="277"/>
      <c r="K39" s="277"/>
      <c r="L39" s="289"/>
      <c r="M39" s="290" t="s">
        <v>2628</v>
      </c>
      <c r="N39" s="289"/>
      <c r="O39" s="289"/>
      <c r="P39" s="289"/>
      <c r="Q39" s="289"/>
      <c r="R39" s="289"/>
      <c r="S39" s="289"/>
      <c r="T39" s="291">
        <f>'DEZ-Receitas'!F9</f>
        <v>360.39</v>
      </c>
      <c r="U39" s="277"/>
      <c r="V39" s="277"/>
      <c r="W39" s="289"/>
      <c r="X39" s="292"/>
      <c r="Y39" s="292"/>
      <c r="Z39" s="292"/>
    </row>
    <row r="40" spans="1:26" ht="23.4" x14ac:dyDescent="0.3">
      <c r="A40" s="289"/>
      <c r="B40" s="290" t="s">
        <v>2247</v>
      </c>
      <c r="C40" s="289"/>
      <c r="D40" s="289"/>
      <c r="E40" s="289"/>
      <c r="F40" s="289"/>
      <c r="G40" s="289"/>
      <c r="H40" s="289"/>
      <c r="I40" s="291">
        <f>'DEZ-Receitas'!N6</f>
        <v>1916.4599999999991</v>
      </c>
      <c r="J40" s="277"/>
      <c r="K40" s="277"/>
      <c r="L40" s="289"/>
      <c r="M40" s="290" t="s">
        <v>2246</v>
      </c>
      <c r="N40" s="289"/>
      <c r="O40" s="289"/>
      <c r="P40" s="289"/>
      <c r="Q40" s="289"/>
      <c r="R40" s="289"/>
      <c r="S40" s="289"/>
      <c r="T40" s="291">
        <f>'DEZ-Receitas'!F13</f>
        <v>130</v>
      </c>
      <c r="U40" s="277"/>
      <c r="V40" s="277"/>
      <c r="W40" s="289"/>
      <c r="X40" s="292"/>
      <c r="Y40" s="292"/>
      <c r="Z40" s="292"/>
    </row>
    <row r="41" spans="1:26" ht="23.4" x14ac:dyDescent="0.3">
      <c r="A41" s="289"/>
      <c r="B41" s="290" t="s">
        <v>2249</v>
      </c>
      <c r="C41" s="289"/>
      <c r="D41" s="289"/>
      <c r="E41" s="289"/>
      <c r="F41" s="289"/>
      <c r="G41" s="289"/>
      <c r="H41" s="289"/>
      <c r="I41" s="291">
        <f>'DEZ-Receitas'!O6</f>
        <v>936</v>
      </c>
      <c r="J41" s="277"/>
      <c r="K41" s="277"/>
      <c r="L41" s="289"/>
      <c r="M41" s="290" t="s">
        <v>2627</v>
      </c>
      <c r="N41" s="289"/>
      <c r="O41" s="289"/>
      <c r="P41" s="289"/>
      <c r="Q41" s="289"/>
      <c r="R41" s="289"/>
      <c r="S41" s="289"/>
      <c r="T41" s="291">
        <f>'DEZ-Receitas'!F10</f>
        <v>412.5</v>
      </c>
      <c r="U41" s="277"/>
      <c r="V41" s="277"/>
      <c r="W41" s="289"/>
      <c r="X41" s="292"/>
      <c r="Y41" s="292"/>
      <c r="Z41" s="292"/>
    </row>
    <row r="42" spans="1:26" ht="25.2" x14ac:dyDescent="0.3">
      <c r="A42" s="289"/>
      <c r="B42" s="290" t="s">
        <v>2251</v>
      </c>
      <c r="C42" s="289"/>
      <c r="D42" s="289"/>
      <c r="E42" s="289"/>
      <c r="F42" s="289"/>
      <c r="G42" s="289"/>
      <c r="H42" s="289"/>
      <c r="I42" s="291">
        <f>'DEZ-Receitas'!P6</f>
        <v>141.59999999999997</v>
      </c>
      <c r="J42" s="277"/>
      <c r="K42" s="277"/>
      <c r="L42" s="289"/>
      <c r="M42" s="286" t="s">
        <v>2248</v>
      </c>
      <c r="N42" s="285"/>
      <c r="O42" s="285"/>
      <c r="P42" s="285"/>
      <c r="Q42" s="285"/>
      <c r="R42" s="285"/>
      <c r="S42" s="285"/>
      <c r="T42" s="287">
        <f>SUM(T43:V45)</f>
        <v>5323.77</v>
      </c>
      <c r="U42" s="277"/>
      <c r="V42" s="277"/>
      <c r="W42" s="289"/>
      <c r="X42" s="292"/>
      <c r="Y42" s="292"/>
      <c r="Z42" s="292"/>
    </row>
    <row r="43" spans="1:26" ht="23.4" x14ac:dyDescent="0.3">
      <c r="A43" s="289"/>
      <c r="B43" s="290" t="s">
        <v>2253</v>
      </c>
      <c r="C43" s="289"/>
      <c r="D43" s="289"/>
      <c r="E43" s="289"/>
      <c r="F43" s="289"/>
      <c r="G43" s="289"/>
      <c r="H43" s="289"/>
      <c r="I43" s="291">
        <f>'DEZ-Receitas'!Q6</f>
        <v>174.4</v>
      </c>
      <c r="J43" s="277"/>
      <c r="K43" s="277"/>
      <c r="L43" s="289"/>
      <c r="M43" s="290" t="s">
        <v>2250</v>
      </c>
      <c r="N43" s="289"/>
      <c r="O43" s="289"/>
      <c r="P43" s="289"/>
      <c r="Q43" s="289"/>
      <c r="R43" s="289"/>
      <c r="S43" s="289"/>
      <c r="T43" s="291">
        <f>'DEZ-Receitas'!F15</f>
        <v>833.77</v>
      </c>
      <c r="U43" s="277"/>
      <c r="V43" s="277"/>
      <c r="W43" s="289"/>
      <c r="X43" s="292"/>
      <c r="Y43" s="292"/>
      <c r="Z43" s="292"/>
    </row>
    <row r="44" spans="1:26" ht="23.4" x14ac:dyDescent="0.3">
      <c r="A44" s="289"/>
      <c r="B44" s="290" t="s">
        <v>2254</v>
      </c>
      <c r="C44" s="289"/>
      <c r="D44" s="289"/>
      <c r="E44" s="289"/>
      <c r="F44" s="289"/>
      <c r="G44" s="289"/>
      <c r="H44" s="289"/>
      <c r="I44" s="291">
        <f>'DEZ-Receitas'!R6</f>
        <v>130</v>
      </c>
      <c r="J44" s="277"/>
      <c r="K44" s="277"/>
      <c r="L44" s="289"/>
      <c r="M44" s="290" t="s">
        <v>2252</v>
      </c>
      <c r="N44" s="289"/>
      <c r="O44" s="289"/>
      <c r="P44" s="289"/>
      <c r="Q44" s="289"/>
      <c r="R44" s="289"/>
      <c r="S44" s="289"/>
      <c r="T44" s="291">
        <f>'DEZ-Receitas'!F18</f>
        <v>490</v>
      </c>
      <c r="U44" s="277"/>
      <c r="V44" s="277"/>
      <c r="W44" s="289"/>
      <c r="X44" s="292"/>
      <c r="Y44" s="292"/>
      <c r="Z44" s="292"/>
    </row>
    <row r="45" spans="1:26" ht="23.4" x14ac:dyDescent="0.3">
      <c r="A45" s="289"/>
      <c r="B45" s="290" t="s">
        <v>2255</v>
      </c>
      <c r="C45" s="289"/>
      <c r="D45" s="289"/>
      <c r="E45" s="289"/>
      <c r="F45" s="289"/>
      <c r="G45" s="289"/>
      <c r="H45" s="289"/>
      <c r="I45" s="291">
        <f>'DEZ-Receitas'!S6</f>
        <v>235</v>
      </c>
      <c r="J45" s="277"/>
      <c r="K45" s="277"/>
      <c r="L45" s="289"/>
      <c r="M45" s="290" t="s">
        <v>2632</v>
      </c>
      <c r="N45" s="289"/>
      <c r="O45" s="289"/>
      <c r="P45" s="289"/>
      <c r="Q45" s="289"/>
      <c r="R45" s="289"/>
      <c r="S45" s="289"/>
      <c r="T45" s="291">
        <f>'DEZ-Receitas'!F20</f>
        <v>4000</v>
      </c>
      <c r="U45" s="277"/>
      <c r="V45" s="277"/>
      <c r="W45" s="289"/>
      <c r="X45" s="292"/>
      <c r="Y45" s="292"/>
      <c r="Z45" s="292"/>
    </row>
    <row r="46" spans="1:26" ht="25.2" x14ac:dyDescent="0.3">
      <c r="A46" s="289"/>
      <c r="B46" s="290" t="s">
        <v>2256</v>
      </c>
      <c r="C46" s="289"/>
      <c r="D46" s="289"/>
      <c r="E46" s="289"/>
      <c r="F46" s="289"/>
      <c r="G46" s="289"/>
      <c r="H46" s="289"/>
      <c r="I46" s="291">
        <f>'DEZ-Receitas'!T6</f>
        <v>330</v>
      </c>
      <c r="J46" s="277"/>
      <c r="K46" s="277"/>
      <c r="L46" s="289"/>
      <c r="M46" s="286" t="s">
        <v>2258</v>
      </c>
      <c r="N46" s="285"/>
      <c r="O46" s="285"/>
      <c r="P46" s="285"/>
      <c r="Q46" s="285"/>
      <c r="R46" s="285"/>
      <c r="S46" s="285"/>
      <c r="T46" s="287">
        <f>SUM(T47)</f>
        <v>0.21</v>
      </c>
      <c r="U46" s="277"/>
      <c r="V46" s="277"/>
      <c r="W46" s="289"/>
      <c r="X46" s="292"/>
      <c r="Y46" s="292"/>
      <c r="Z46" s="292"/>
    </row>
    <row r="47" spans="1:26" ht="23.4" x14ac:dyDescent="0.3">
      <c r="A47" s="289"/>
      <c r="B47" s="290" t="s">
        <v>2257</v>
      </c>
      <c r="C47" s="289"/>
      <c r="D47" s="289"/>
      <c r="E47" s="289"/>
      <c r="F47" s="289"/>
      <c r="G47" s="289"/>
      <c r="H47" s="289"/>
      <c r="I47" s="291">
        <f>'DEZ-Receitas'!U6</f>
        <v>5087.29</v>
      </c>
      <c r="J47" s="277"/>
      <c r="K47" s="277"/>
      <c r="L47" s="289"/>
      <c r="M47" s="290" t="s">
        <v>2260</v>
      </c>
      <c r="N47" s="289"/>
      <c r="O47" s="289"/>
      <c r="P47" s="289"/>
      <c r="Q47" s="289"/>
      <c r="R47" s="289"/>
      <c r="S47" s="289"/>
      <c r="T47" s="291">
        <f>'DEZ-Receitas'!F24</f>
        <v>0.21</v>
      </c>
      <c r="U47" s="277"/>
      <c r="V47" s="277"/>
      <c r="W47" s="289"/>
      <c r="X47" s="292"/>
      <c r="Y47" s="292"/>
      <c r="Z47" s="292"/>
    </row>
    <row r="48" spans="1:26" ht="25.2" x14ac:dyDescent="0.3">
      <c r="A48" s="285"/>
      <c r="B48" s="286" t="s">
        <v>2259</v>
      </c>
      <c r="C48" s="285"/>
      <c r="D48" s="285"/>
      <c r="E48" s="285"/>
      <c r="F48" s="285"/>
      <c r="G48" s="285"/>
      <c r="H48" s="285"/>
      <c r="I48" s="287">
        <f>SUM(I49)</f>
        <v>250</v>
      </c>
      <c r="J48" s="277"/>
      <c r="K48" s="277"/>
      <c r="L48" s="285"/>
      <c r="M48" s="294"/>
      <c r="N48" s="289"/>
      <c r="O48" s="289"/>
      <c r="P48" s="289"/>
      <c r="Q48" s="289"/>
      <c r="R48" s="289"/>
      <c r="S48" s="289"/>
      <c r="T48" s="291"/>
      <c r="U48" s="277"/>
      <c r="V48" s="277"/>
      <c r="W48" s="285"/>
      <c r="X48" s="288"/>
      <c r="Y48" s="288"/>
      <c r="Z48" s="288"/>
    </row>
    <row r="49" spans="1:26" ht="23.4" x14ac:dyDescent="0.3">
      <c r="A49" s="289"/>
      <c r="B49" s="293" t="s">
        <v>2626</v>
      </c>
      <c r="C49" s="289"/>
      <c r="D49" s="289"/>
      <c r="E49" s="289"/>
      <c r="F49" s="289"/>
      <c r="G49" s="289"/>
      <c r="H49" s="289"/>
      <c r="I49" s="291">
        <f>'DEZ-Receitas'!F23</f>
        <v>250</v>
      </c>
      <c r="J49" s="277"/>
      <c r="K49" s="277"/>
      <c r="L49" s="289"/>
      <c r="M49" s="294"/>
      <c r="N49" s="289"/>
      <c r="O49" s="289"/>
      <c r="P49" s="289"/>
      <c r="Q49" s="289"/>
      <c r="R49" s="289"/>
      <c r="S49" s="289"/>
      <c r="T49" s="291"/>
      <c r="U49" s="277"/>
      <c r="V49" s="277"/>
      <c r="W49" s="289"/>
      <c r="X49" s="292"/>
      <c r="Y49" s="292"/>
      <c r="Z49" s="292"/>
    </row>
    <row r="50" spans="1:26" x14ac:dyDescent="0.3">
      <c r="A50" s="273"/>
      <c r="B50" s="273"/>
      <c r="C50" s="273"/>
      <c r="D50" s="273"/>
      <c r="E50" s="273"/>
      <c r="F50" s="273"/>
      <c r="G50" s="273"/>
      <c r="H50" s="273"/>
      <c r="I50" s="273"/>
      <c r="J50" s="273"/>
      <c r="K50" s="273"/>
      <c r="L50" s="273"/>
      <c r="M50" s="273"/>
      <c r="N50" s="273"/>
      <c r="O50" s="273"/>
      <c r="P50" s="273"/>
      <c r="Q50" s="273"/>
      <c r="R50" s="273"/>
      <c r="S50" s="273"/>
      <c r="T50" s="273"/>
      <c r="U50" s="273"/>
      <c r="V50" s="273"/>
      <c r="W50" s="273"/>
      <c r="X50" s="274"/>
      <c r="Y50" s="274"/>
      <c r="Z50" s="274"/>
    </row>
    <row r="51" spans="1:26" x14ac:dyDescent="0.3">
      <c r="A51" s="273"/>
      <c r="B51" s="273"/>
      <c r="C51" s="273"/>
      <c r="D51" s="273"/>
      <c r="E51" s="273"/>
      <c r="F51" s="273"/>
      <c r="G51" s="273"/>
      <c r="H51" s="273"/>
      <c r="I51" s="273"/>
      <c r="J51" s="273"/>
      <c r="K51" s="273"/>
      <c r="L51" s="273"/>
      <c r="M51" s="273"/>
      <c r="N51" s="273"/>
      <c r="O51" s="273"/>
      <c r="P51" s="273"/>
      <c r="Q51" s="273"/>
      <c r="R51" s="273"/>
      <c r="S51" s="273"/>
      <c r="T51" s="273"/>
      <c r="U51" s="273"/>
      <c r="V51" s="273"/>
      <c r="W51" s="273"/>
      <c r="X51" s="274"/>
      <c r="Y51" s="274"/>
      <c r="Z51" s="274"/>
    </row>
    <row r="52" spans="1:26" ht="36" x14ac:dyDescent="0.3">
      <c r="A52" s="280"/>
      <c r="B52" s="280"/>
      <c r="C52" s="280"/>
      <c r="D52" s="280"/>
      <c r="E52" s="280"/>
      <c r="F52" s="280"/>
      <c r="G52" s="280"/>
      <c r="H52" s="280"/>
      <c r="I52" s="280"/>
      <c r="J52" s="280"/>
      <c r="K52" s="295" t="s">
        <v>2261</v>
      </c>
      <c r="L52" s="296">
        <f>'DEZ-Receitas'!F4</f>
        <v>25865.699999999997</v>
      </c>
      <c r="M52" s="297"/>
      <c r="N52" s="297"/>
      <c r="O52" s="297"/>
      <c r="P52" s="280"/>
      <c r="Q52" s="280"/>
      <c r="R52" s="280"/>
      <c r="S52" s="280"/>
      <c r="T52" s="280"/>
      <c r="U52" s="280"/>
      <c r="V52" s="280"/>
      <c r="W52" s="280"/>
      <c r="X52" s="281"/>
      <c r="Y52" s="281"/>
      <c r="Z52" s="281"/>
    </row>
    <row r="53" spans="1:26" x14ac:dyDescent="0.3">
      <c r="A53" s="273"/>
      <c r="B53" s="273"/>
      <c r="C53" s="273"/>
      <c r="D53" s="273"/>
      <c r="E53" s="273"/>
      <c r="F53" s="273"/>
      <c r="G53" s="273"/>
      <c r="H53" s="273"/>
      <c r="I53" s="273"/>
      <c r="J53" s="273"/>
      <c r="K53" s="273"/>
      <c r="L53" s="273"/>
      <c r="M53" s="273"/>
      <c r="N53" s="273"/>
      <c r="O53" s="273"/>
      <c r="P53" s="273"/>
      <c r="Q53" s="273"/>
      <c r="R53" s="273"/>
      <c r="S53" s="273"/>
      <c r="T53" s="273"/>
      <c r="U53" s="273"/>
      <c r="V53" s="273"/>
      <c r="W53" s="273"/>
      <c r="X53" s="274"/>
      <c r="Y53" s="274"/>
      <c r="Z53" s="274"/>
    </row>
    <row r="54" spans="1:26" ht="25.2" x14ac:dyDescent="0.3">
      <c r="A54" s="273"/>
      <c r="B54" s="273"/>
      <c r="C54" s="273"/>
      <c r="D54" s="273"/>
      <c r="E54" s="273"/>
      <c r="F54" s="273"/>
      <c r="G54" s="273"/>
      <c r="H54" s="273"/>
      <c r="I54" s="273"/>
      <c r="J54" s="273"/>
      <c r="K54" s="273"/>
      <c r="L54" s="284"/>
      <c r="M54" s="273"/>
      <c r="N54" s="273"/>
      <c r="O54" s="273"/>
      <c r="P54" s="273"/>
      <c r="Q54" s="273"/>
      <c r="R54" s="273"/>
      <c r="S54" s="273"/>
      <c r="T54" s="273"/>
      <c r="U54" s="273"/>
      <c r="V54" s="273"/>
      <c r="W54" s="273"/>
      <c r="X54" s="274"/>
      <c r="Y54" s="274"/>
      <c r="Z54" s="274"/>
    </row>
    <row r="55" spans="1:26" x14ac:dyDescent="0.3">
      <c r="A55" s="273"/>
      <c r="B55" s="273"/>
      <c r="C55" s="273"/>
      <c r="D55" s="273"/>
      <c r="E55" s="273"/>
      <c r="F55" s="273"/>
      <c r="G55" s="273"/>
      <c r="H55" s="273"/>
      <c r="I55" s="273"/>
      <c r="J55" s="273"/>
      <c r="K55" s="273"/>
      <c r="L55" s="273"/>
      <c r="M55" s="273"/>
      <c r="N55" s="273"/>
      <c r="O55" s="273"/>
      <c r="P55" s="273"/>
      <c r="Q55" s="273"/>
      <c r="R55" s="273"/>
      <c r="S55" s="273"/>
      <c r="T55" s="273"/>
      <c r="U55" s="273"/>
      <c r="V55" s="273"/>
      <c r="W55" s="273"/>
      <c r="X55" s="274"/>
      <c r="Y55" s="274"/>
      <c r="Z55" s="274"/>
    </row>
    <row r="56" spans="1:26" x14ac:dyDescent="0.3">
      <c r="A56" s="273"/>
      <c r="B56" s="273"/>
      <c r="C56" s="273"/>
      <c r="D56" s="273"/>
      <c r="E56" s="273"/>
      <c r="F56" s="273"/>
      <c r="G56" s="273"/>
      <c r="H56" s="273"/>
      <c r="I56" s="273"/>
      <c r="J56" s="273"/>
      <c r="K56" s="273"/>
      <c r="L56" s="273"/>
      <c r="M56" s="273"/>
      <c r="N56" s="273"/>
      <c r="O56" s="273"/>
      <c r="P56" s="273"/>
      <c r="Q56" s="273"/>
      <c r="R56" s="273"/>
      <c r="S56" s="273"/>
      <c r="T56" s="273"/>
      <c r="U56" s="273"/>
      <c r="V56" s="273"/>
      <c r="W56" s="273"/>
      <c r="X56" s="274"/>
      <c r="Y56" s="274"/>
      <c r="Z56" s="274"/>
    </row>
    <row r="57" spans="1:26" ht="25.2" x14ac:dyDescent="0.3">
      <c r="A57" s="285"/>
      <c r="B57" s="286" t="s">
        <v>2262</v>
      </c>
      <c r="C57" s="285"/>
      <c r="D57" s="285"/>
      <c r="E57" s="285"/>
      <c r="F57" s="285"/>
      <c r="G57" s="285"/>
      <c r="H57" s="285"/>
      <c r="I57" s="287">
        <f>SUM(I58:K67)</f>
        <v>6564.46</v>
      </c>
      <c r="J57" s="277"/>
      <c r="K57" s="277"/>
      <c r="L57" s="285"/>
      <c r="M57" s="286" t="s">
        <v>2263</v>
      </c>
      <c r="N57" s="285"/>
      <c r="O57" s="285"/>
      <c r="P57" s="285"/>
      <c r="Q57" s="285"/>
      <c r="R57" s="285"/>
      <c r="S57" s="285"/>
      <c r="T57" s="287">
        <f>SUM(T58:V62)</f>
        <v>4040.17</v>
      </c>
      <c r="U57" s="277"/>
      <c r="V57" s="277"/>
      <c r="W57" s="285"/>
      <c r="X57" s="288"/>
      <c r="Y57" s="288"/>
      <c r="Z57" s="288"/>
    </row>
    <row r="58" spans="1:26" ht="23.4" x14ac:dyDescent="0.3">
      <c r="A58" s="289"/>
      <c r="B58" s="290" t="s">
        <v>2264</v>
      </c>
      <c r="C58" s="289"/>
      <c r="D58" s="289"/>
      <c r="E58" s="289"/>
      <c r="F58" s="289"/>
      <c r="G58" s="289"/>
      <c r="H58" s="289"/>
      <c r="I58" s="291">
        <f>'DEZ-Despesas'!F7</f>
        <v>757.34</v>
      </c>
      <c r="J58" s="277"/>
      <c r="K58" s="277"/>
      <c r="L58" s="289"/>
      <c r="M58" s="290" t="s">
        <v>2267</v>
      </c>
      <c r="N58" s="289"/>
      <c r="O58" s="289"/>
      <c r="P58" s="289"/>
      <c r="Q58" s="289"/>
      <c r="R58" s="289"/>
      <c r="S58" s="289"/>
      <c r="T58" s="291">
        <f>SUM('DEZ-Despesas'!F39:F45)+'DEZ-Despesas'!F73</f>
        <v>1017.9799999999999</v>
      </c>
      <c r="U58" s="277"/>
      <c r="V58" s="277"/>
      <c r="W58" s="289"/>
      <c r="X58" s="292"/>
      <c r="Y58" s="292"/>
      <c r="Z58" s="292"/>
    </row>
    <row r="59" spans="1:26" ht="23.4" x14ac:dyDescent="0.3">
      <c r="A59" s="289"/>
      <c r="B59" s="290" t="s">
        <v>2625</v>
      </c>
      <c r="C59" s="289"/>
      <c r="D59" s="289"/>
      <c r="E59" s="289"/>
      <c r="F59" s="289"/>
      <c r="G59" s="289"/>
      <c r="H59" s="289"/>
      <c r="I59" s="291">
        <f>'DEZ-Despesas'!F8</f>
        <v>368.68</v>
      </c>
      <c r="J59" s="277"/>
      <c r="K59" s="277"/>
      <c r="L59" s="289"/>
      <c r="M59" s="290" t="s">
        <v>2265</v>
      </c>
      <c r="N59" s="289"/>
      <c r="O59" s="289"/>
      <c r="P59" s="289"/>
      <c r="Q59" s="289"/>
      <c r="R59" s="289"/>
      <c r="S59" s="289"/>
      <c r="T59" s="291">
        <f>'DEZ-Despesas'!F38+'DEZ-Despesas'!F46+'DEZ-Despesas'!F48</f>
        <v>577.15</v>
      </c>
      <c r="U59" s="277"/>
      <c r="V59" s="277"/>
      <c r="W59" s="289"/>
      <c r="X59" s="292"/>
      <c r="Y59" s="292"/>
      <c r="Z59" s="292"/>
    </row>
    <row r="60" spans="1:26" ht="23.4" x14ac:dyDescent="0.3">
      <c r="A60" s="289"/>
      <c r="B60" s="290" t="s">
        <v>2266</v>
      </c>
      <c r="C60" s="289"/>
      <c r="D60" s="289"/>
      <c r="E60" s="289"/>
      <c r="F60" s="289"/>
      <c r="G60" s="289"/>
      <c r="H60" s="289"/>
      <c r="I60" s="291">
        <f>SUM('DEZ-Despesas'!F9:F13)</f>
        <v>796.5200000000001</v>
      </c>
      <c r="J60" s="277"/>
      <c r="K60" s="277"/>
      <c r="L60" s="289"/>
      <c r="M60" s="290" t="s">
        <v>2268</v>
      </c>
      <c r="N60" s="289"/>
      <c r="O60" s="289"/>
      <c r="P60" s="289"/>
      <c r="Q60" s="289"/>
      <c r="R60" s="289"/>
      <c r="S60" s="289"/>
      <c r="T60" s="291">
        <f>'DEZ-Despesas'!F47</f>
        <v>184</v>
      </c>
      <c r="U60" s="277"/>
      <c r="V60" s="277"/>
      <c r="W60" s="289"/>
      <c r="X60" s="292"/>
      <c r="Y60" s="292"/>
      <c r="Z60" s="292"/>
    </row>
    <row r="61" spans="1:26" ht="23.4" x14ac:dyDescent="0.3">
      <c r="A61" s="289"/>
      <c r="B61" s="290" t="s">
        <v>2633</v>
      </c>
      <c r="C61" s="289"/>
      <c r="D61" s="289"/>
      <c r="E61" s="289"/>
      <c r="F61" s="289"/>
      <c r="G61" s="289"/>
      <c r="H61" s="289"/>
      <c r="I61" s="291">
        <f>'DEZ-Despesas'!F15</f>
        <v>1703.15</v>
      </c>
      <c r="J61" s="277"/>
      <c r="K61" s="277"/>
      <c r="L61" s="289"/>
      <c r="M61" s="290" t="s">
        <v>2624</v>
      </c>
      <c r="N61" s="289"/>
      <c r="O61" s="289"/>
      <c r="P61" s="289"/>
      <c r="Q61" s="289"/>
      <c r="R61" s="289"/>
      <c r="S61" s="289"/>
      <c r="T61" s="291">
        <f>'DEZ-Despesas'!F50</f>
        <v>860.6</v>
      </c>
      <c r="U61" s="277"/>
      <c r="V61" s="277"/>
      <c r="W61" s="289"/>
      <c r="X61" s="292"/>
      <c r="Y61" s="292"/>
      <c r="Z61" s="292"/>
    </row>
    <row r="62" spans="1:26" ht="23.4" x14ac:dyDescent="0.3">
      <c r="A62" s="289"/>
      <c r="B62" s="290" t="s">
        <v>2634</v>
      </c>
      <c r="C62" s="289"/>
      <c r="D62" s="289"/>
      <c r="E62" s="289"/>
      <c r="F62" s="289"/>
      <c r="G62" s="289"/>
      <c r="H62" s="289"/>
      <c r="I62" s="291">
        <v>700</v>
      </c>
      <c r="J62" s="277"/>
      <c r="K62" s="277"/>
      <c r="L62" s="289"/>
      <c r="M62" s="290" t="s">
        <v>2639</v>
      </c>
      <c r="N62" s="289"/>
      <c r="O62" s="289"/>
      <c r="P62" s="289"/>
      <c r="Q62" s="289"/>
      <c r="R62" s="289"/>
      <c r="S62" s="289"/>
      <c r="T62" s="291">
        <f>SUM('DEZ-Despesas'!F65:F72)</f>
        <v>1400.44</v>
      </c>
      <c r="U62" s="277"/>
      <c r="V62" s="277"/>
      <c r="W62" s="289"/>
      <c r="X62" s="292"/>
      <c r="Y62" s="292"/>
      <c r="Z62" s="292"/>
    </row>
    <row r="63" spans="1:26" ht="25.2" x14ac:dyDescent="0.3">
      <c r="A63" s="289"/>
      <c r="B63" s="290" t="s">
        <v>2635</v>
      </c>
      <c r="C63" s="289"/>
      <c r="D63" s="289"/>
      <c r="E63" s="289"/>
      <c r="F63" s="289"/>
      <c r="G63" s="289"/>
      <c r="H63" s="289"/>
      <c r="I63" s="291">
        <f>'DEZ-Despesas'!F29</f>
        <v>0.05</v>
      </c>
      <c r="J63" s="277"/>
      <c r="K63" s="277"/>
      <c r="L63" s="289"/>
      <c r="M63" s="286" t="s">
        <v>2271</v>
      </c>
      <c r="N63" s="285"/>
      <c r="O63" s="285"/>
      <c r="P63" s="285"/>
      <c r="Q63" s="285"/>
      <c r="R63" s="285"/>
      <c r="S63" s="285"/>
      <c r="T63" s="287">
        <f>SUM(T64:V67)</f>
        <v>8455.7099999999991</v>
      </c>
      <c r="U63" s="277"/>
      <c r="V63" s="277"/>
      <c r="W63" s="289"/>
      <c r="X63" s="292"/>
      <c r="Y63" s="292"/>
      <c r="Z63" s="292"/>
    </row>
    <row r="64" spans="1:26" ht="23.4" x14ac:dyDescent="0.3">
      <c r="A64" s="289"/>
      <c r="B64" s="290" t="s">
        <v>2269</v>
      </c>
      <c r="C64" s="289"/>
      <c r="D64" s="289"/>
      <c r="E64" s="289"/>
      <c r="F64" s="289"/>
      <c r="G64" s="289"/>
      <c r="H64" s="289"/>
      <c r="I64" s="291">
        <f>'DEZ-Despesas'!F31</f>
        <v>1183.82</v>
      </c>
      <c r="J64" s="277"/>
      <c r="K64" s="277"/>
      <c r="L64" s="289"/>
      <c r="M64" s="290" t="s">
        <v>2272</v>
      </c>
      <c r="N64" s="289"/>
      <c r="O64" s="289"/>
      <c r="P64" s="289"/>
      <c r="Q64" s="289"/>
      <c r="R64" s="289"/>
      <c r="S64" s="289"/>
      <c r="T64" s="291">
        <f>SUM('DEZ-Despesas'!F17:F21)</f>
        <v>2914.14</v>
      </c>
      <c r="U64" s="277"/>
      <c r="V64" s="277"/>
      <c r="W64" s="289"/>
      <c r="X64" s="292"/>
      <c r="Y64" s="292"/>
      <c r="Z64" s="292"/>
    </row>
    <row r="65" spans="1:26" ht="23.4" x14ac:dyDescent="0.3">
      <c r="A65" s="289"/>
      <c r="B65" s="290" t="s">
        <v>2270</v>
      </c>
      <c r="C65" s="289"/>
      <c r="D65" s="289"/>
      <c r="E65" s="289"/>
      <c r="F65" s="289"/>
      <c r="G65" s="289"/>
      <c r="H65" s="289"/>
      <c r="I65" s="291">
        <f>'DEZ-Despesas'!F32</f>
        <v>650</v>
      </c>
      <c r="J65" s="277"/>
      <c r="K65" s="277"/>
      <c r="L65" s="289"/>
      <c r="M65" s="290" t="s">
        <v>2274</v>
      </c>
      <c r="N65" s="289"/>
      <c r="O65" s="289"/>
      <c r="P65" s="289"/>
      <c r="Q65" s="289"/>
      <c r="R65" s="289"/>
      <c r="S65" s="289"/>
      <c r="T65" s="291">
        <f>SUM('DEZ-Despesas'!F22:F25)</f>
        <v>1224</v>
      </c>
      <c r="U65" s="277"/>
      <c r="V65" s="277"/>
      <c r="W65" s="289"/>
      <c r="X65" s="292"/>
      <c r="Y65" s="292"/>
      <c r="Z65" s="292"/>
    </row>
    <row r="66" spans="1:26" ht="23.4" x14ac:dyDescent="0.3">
      <c r="A66" s="289"/>
      <c r="B66" s="290" t="s">
        <v>2273</v>
      </c>
      <c r="C66" s="289"/>
      <c r="D66" s="289"/>
      <c r="E66" s="289"/>
      <c r="F66" s="289"/>
      <c r="G66" s="289"/>
      <c r="H66" s="289"/>
      <c r="I66" s="291">
        <f>'DEZ-Despesas'!F33</f>
        <v>84.9</v>
      </c>
      <c r="J66" s="277"/>
      <c r="K66" s="277"/>
      <c r="L66" s="289"/>
      <c r="M66" s="290" t="s">
        <v>2275</v>
      </c>
      <c r="N66" s="289"/>
      <c r="O66" s="289"/>
      <c r="P66" s="289"/>
      <c r="Q66" s="289"/>
      <c r="R66" s="289"/>
      <c r="S66" s="289"/>
      <c r="T66" s="291">
        <f>'DEZ-Despesas'!F26</f>
        <v>114</v>
      </c>
      <c r="U66" s="277"/>
      <c r="V66" s="277"/>
      <c r="W66" s="289"/>
      <c r="X66" s="292"/>
      <c r="Y66" s="292"/>
      <c r="Z66" s="292"/>
    </row>
    <row r="67" spans="1:26" ht="23.4" x14ac:dyDescent="0.3">
      <c r="A67" s="289"/>
      <c r="B67" s="290" t="s">
        <v>2636</v>
      </c>
      <c r="C67" s="289"/>
      <c r="D67" s="289"/>
      <c r="E67" s="289"/>
      <c r="F67" s="289"/>
      <c r="G67" s="289"/>
      <c r="H67" s="289"/>
      <c r="I67" s="291">
        <f>'DEZ-Despesas'!F36</f>
        <v>320</v>
      </c>
      <c r="J67" s="277"/>
      <c r="K67" s="277"/>
      <c r="L67" s="289"/>
      <c r="M67" s="290" t="s">
        <v>2277</v>
      </c>
      <c r="N67" s="289"/>
      <c r="O67" s="289"/>
      <c r="P67" s="289"/>
      <c r="Q67" s="289"/>
      <c r="R67" s="289"/>
      <c r="S67" s="289"/>
      <c r="T67" s="291">
        <f>'DEZ-Despesas'!F27</f>
        <v>4203.57</v>
      </c>
      <c r="U67" s="277"/>
      <c r="V67" s="277"/>
      <c r="W67" s="289"/>
      <c r="X67" s="292"/>
      <c r="Y67" s="292"/>
      <c r="Z67" s="292"/>
    </row>
    <row r="68" spans="1:26" ht="25.2" x14ac:dyDescent="0.3">
      <c r="A68" s="289"/>
      <c r="B68" s="286" t="s">
        <v>2276</v>
      </c>
      <c r="C68" s="285"/>
      <c r="D68" s="285"/>
      <c r="E68" s="285"/>
      <c r="F68" s="285"/>
      <c r="G68" s="285"/>
      <c r="H68" s="285"/>
      <c r="I68" s="287">
        <f>SUM(I69:K70)</f>
        <v>629.44000000000005</v>
      </c>
      <c r="J68" s="277"/>
      <c r="K68" s="277"/>
      <c r="L68" s="289"/>
      <c r="M68" s="286" t="s">
        <v>2278</v>
      </c>
      <c r="N68" s="289"/>
      <c r="O68" s="289"/>
      <c r="P68" s="289"/>
      <c r="Q68" s="289"/>
      <c r="R68" s="289"/>
      <c r="S68" s="289"/>
      <c r="T68" s="287">
        <f>SUM(T69:V71)</f>
        <v>1798.5000000000002</v>
      </c>
      <c r="U68" s="277"/>
      <c r="V68" s="277"/>
      <c r="W68" s="289"/>
      <c r="X68" s="292"/>
      <c r="Y68" s="292"/>
      <c r="Z68" s="292"/>
    </row>
    <row r="69" spans="1:26" ht="23.4" x14ac:dyDescent="0.3">
      <c r="A69" s="289"/>
      <c r="B69" s="290" t="s">
        <v>2637</v>
      </c>
      <c r="C69" s="289"/>
      <c r="D69" s="289"/>
      <c r="E69" s="289"/>
      <c r="F69" s="289"/>
      <c r="G69" s="289"/>
      <c r="H69" s="289"/>
      <c r="I69" s="291">
        <f>'DEZ-Despesas'!F34</f>
        <v>264.02</v>
      </c>
      <c r="J69" s="291"/>
      <c r="K69" s="291"/>
      <c r="L69" s="289"/>
      <c r="M69" s="290" t="s">
        <v>2279</v>
      </c>
      <c r="N69" s="289"/>
      <c r="O69" s="289"/>
      <c r="P69" s="289"/>
      <c r="Q69" s="289"/>
      <c r="R69" s="289"/>
      <c r="S69" s="289"/>
      <c r="T69" s="291">
        <f>'DEZ-Despesas'!F80</f>
        <v>100</v>
      </c>
      <c r="U69" s="277"/>
      <c r="V69" s="277"/>
      <c r="W69" s="289"/>
      <c r="X69" s="292"/>
      <c r="Y69" s="292"/>
      <c r="Z69" s="292"/>
    </row>
    <row r="70" spans="1:26" ht="23.4" x14ac:dyDescent="0.3">
      <c r="A70" s="289"/>
      <c r="B70" s="293" t="s">
        <v>2638</v>
      </c>
      <c r="C70" s="289"/>
      <c r="D70" s="289"/>
      <c r="E70" s="289"/>
      <c r="F70" s="289"/>
      <c r="G70" s="289"/>
      <c r="H70" s="289"/>
      <c r="I70" s="291">
        <f>'DEZ-Despesas'!F35</f>
        <v>365.42</v>
      </c>
      <c r="J70" s="291"/>
      <c r="K70" s="291"/>
      <c r="L70" s="289"/>
      <c r="M70" s="290" t="s">
        <v>2280</v>
      </c>
      <c r="N70" s="289"/>
      <c r="O70" s="289"/>
      <c r="P70" s="289"/>
      <c r="Q70" s="289"/>
      <c r="R70" s="289"/>
      <c r="S70" s="289"/>
      <c r="T70" s="291">
        <f>'DEZ-Despesas'!F82</f>
        <v>80</v>
      </c>
      <c r="U70" s="277"/>
      <c r="V70" s="277"/>
      <c r="W70" s="289"/>
      <c r="X70" s="292"/>
      <c r="Y70" s="292"/>
      <c r="Z70" s="292"/>
    </row>
    <row r="71" spans="1:26" ht="25.2" x14ac:dyDescent="0.3">
      <c r="A71" s="289"/>
      <c r="B71" s="286" t="s">
        <v>2281</v>
      </c>
      <c r="C71" s="285"/>
      <c r="D71" s="285"/>
      <c r="E71" s="285"/>
      <c r="F71" s="285"/>
      <c r="G71" s="285"/>
      <c r="H71" s="285"/>
      <c r="I71" s="287">
        <f>SUM(I72)</f>
        <v>1750</v>
      </c>
      <c r="J71" s="277"/>
      <c r="K71" s="277"/>
      <c r="L71" s="289"/>
      <c r="M71" s="290" t="s">
        <v>2640</v>
      </c>
      <c r="N71" s="289"/>
      <c r="O71" s="289"/>
      <c r="P71" s="289"/>
      <c r="Q71" s="289"/>
      <c r="R71" s="289"/>
      <c r="S71" s="289"/>
      <c r="T71" s="291">
        <f>SUM('DEZ-Despesas'!F56:F64)</f>
        <v>1618.5000000000002</v>
      </c>
      <c r="U71" s="277"/>
      <c r="V71" s="277"/>
      <c r="W71" s="289"/>
      <c r="X71" s="292"/>
      <c r="Y71" s="292"/>
      <c r="Z71" s="292"/>
    </row>
    <row r="72" spans="1:26" ht="25.2" x14ac:dyDescent="0.3">
      <c r="A72" s="289"/>
      <c r="B72" s="290" t="s">
        <v>2641</v>
      </c>
      <c r="C72" s="289"/>
      <c r="D72" s="289"/>
      <c r="E72" s="289"/>
      <c r="F72" s="289"/>
      <c r="G72" s="289"/>
      <c r="H72" s="289"/>
      <c r="I72" s="291">
        <f>'DEZ-Despesas'!F78</f>
        <v>1750</v>
      </c>
      <c r="J72" s="291"/>
      <c r="K72" s="291"/>
      <c r="L72" s="289"/>
      <c r="M72" s="286" t="s">
        <v>2244</v>
      </c>
      <c r="N72" s="289"/>
      <c r="O72" s="289"/>
      <c r="P72" s="289"/>
      <c r="Q72" s="289"/>
      <c r="R72" s="289"/>
      <c r="S72" s="289"/>
      <c r="T72" s="287">
        <f>SUM(T73)</f>
        <v>348.78</v>
      </c>
      <c r="U72" s="277"/>
      <c r="V72" s="277"/>
      <c r="W72" s="289"/>
      <c r="X72" s="292"/>
      <c r="Y72" s="292"/>
      <c r="Z72" s="292"/>
    </row>
    <row r="73" spans="1:26" ht="25.2" x14ac:dyDescent="0.3">
      <c r="A73" s="285"/>
      <c r="B73" s="286" t="s">
        <v>2282</v>
      </c>
      <c r="C73" s="285"/>
      <c r="D73" s="285"/>
      <c r="E73" s="285"/>
      <c r="F73" s="285"/>
      <c r="G73" s="285"/>
      <c r="H73" s="285"/>
      <c r="I73" s="287">
        <f>SUM(I74)</f>
        <v>1677.11</v>
      </c>
      <c r="J73" s="277"/>
      <c r="K73" s="277"/>
      <c r="L73" s="285"/>
      <c r="M73" s="290" t="s">
        <v>2623</v>
      </c>
      <c r="N73" s="289"/>
      <c r="O73" s="289"/>
      <c r="P73" s="289"/>
      <c r="Q73" s="289"/>
      <c r="R73" s="289"/>
      <c r="S73" s="289"/>
      <c r="T73" s="291">
        <f>'DEZ-Despesas'!F85</f>
        <v>348.78</v>
      </c>
      <c r="U73" s="277"/>
      <c r="V73" s="277"/>
      <c r="W73" s="285"/>
      <c r="X73" s="288"/>
      <c r="Y73" s="288"/>
      <c r="Z73" s="288"/>
    </row>
    <row r="74" spans="1:26" ht="23.4" x14ac:dyDescent="0.3">
      <c r="A74" s="289"/>
      <c r="B74" s="290" t="s">
        <v>2622</v>
      </c>
      <c r="C74" s="289"/>
      <c r="D74" s="289"/>
      <c r="E74" s="289"/>
      <c r="F74" s="289"/>
      <c r="G74" s="289"/>
      <c r="H74" s="289"/>
      <c r="I74" s="291">
        <f>'DEZ-Despesas'!F76</f>
        <v>1677.11</v>
      </c>
      <c r="J74" s="291"/>
      <c r="K74" s="291"/>
      <c r="L74" s="289"/>
      <c r="M74" s="290"/>
      <c r="N74" s="289"/>
      <c r="O74" s="289"/>
      <c r="P74" s="289"/>
      <c r="Q74" s="289"/>
      <c r="R74" s="289"/>
      <c r="S74" s="289"/>
      <c r="T74" s="304"/>
      <c r="U74" s="273"/>
      <c r="V74" s="273"/>
      <c r="W74" s="289"/>
      <c r="X74" s="292"/>
      <c r="Y74" s="292"/>
      <c r="Z74" s="292"/>
    </row>
    <row r="75" spans="1:26" ht="23.4" x14ac:dyDescent="0.3">
      <c r="A75" s="289"/>
      <c r="B75" s="290"/>
      <c r="C75" s="289"/>
      <c r="D75" s="289"/>
      <c r="E75" s="289"/>
      <c r="F75" s="289"/>
      <c r="G75" s="289"/>
      <c r="H75" s="289"/>
      <c r="I75" s="291"/>
      <c r="J75" s="291"/>
      <c r="K75" s="291"/>
      <c r="L75" s="289"/>
      <c r="M75" s="273"/>
      <c r="N75" s="273"/>
      <c r="O75" s="273"/>
      <c r="P75" s="273"/>
      <c r="Q75" s="273"/>
      <c r="R75" s="273"/>
      <c r="S75" s="273"/>
      <c r="T75" s="273"/>
      <c r="U75" s="273"/>
      <c r="V75" s="273"/>
      <c r="W75" s="289"/>
      <c r="X75" s="292"/>
      <c r="Y75" s="292"/>
      <c r="Z75" s="292"/>
    </row>
    <row r="76" spans="1:26" x14ac:dyDescent="0.3">
      <c r="A76" s="273"/>
      <c r="B76" s="273"/>
      <c r="C76" s="273"/>
      <c r="D76" s="273"/>
      <c r="E76" s="273"/>
      <c r="F76" s="273"/>
      <c r="G76" s="273"/>
      <c r="H76" s="273"/>
      <c r="I76" s="273"/>
      <c r="J76" s="273"/>
      <c r="K76" s="273"/>
      <c r="L76" s="273"/>
      <c r="M76" s="273"/>
      <c r="N76" s="273"/>
      <c r="O76" s="273"/>
      <c r="P76" s="273"/>
      <c r="Q76" s="273"/>
      <c r="R76" s="273"/>
      <c r="S76" s="273"/>
      <c r="T76" s="273"/>
      <c r="U76" s="273"/>
      <c r="V76" s="273"/>
      <c r="W76" s="273"/>
      <c r="X76" s="274"/>
      <c r="Y76" s="274"/>
      <c r="Z76" s="274"/>
    </row>
    <row r="77" spans="1:26" ht="33" x14ac:dyDescent="0.3">
      <c r="A77" s="280"/>
      <c r="B77" s="280"/>
      <c r="C77" s="280"/>
      <c r="D77" s="280"/>
      <c r="E77" s="280"/>
      <c r="F77" s="280"/>
      <c r="G77" s="280"/>
      <c r="H77" s="280"/>
      <c r="I77" s="280"/>
      <c r="J77" s="280"/>
      <c r="K77" s="295" t="s">
        <v>2283</v>
      </c>
      <c r="L77" s="298">
        <f>'DEZ-Despesas'!F4</f>
        <v>25264.17</v>
      </c>
      <c r="M77" s="297"/>
      <c r="N77" s="297"/>
      <c r="O77" s="297"/>
      <c r="P77" s="280"/>
      <c r="Q77" s="280"/>
      <c r="R77" s="280"/>
      <c r="S77" s="280"/>
      <c r="T77" s="280"/>
      <c r="U77" s="280"/>
      <c r="V77" s="280"/>
      <c r="W77" s="280"/>
      <c r="X77" s="281"/>
      <c r="Y77" s="281"/>
      <c r="Z77" s="281"/>
    </row>
    <row r="78" spans="1:26" x14ac:dyDescent="0.3">
      <c r="A78" s="273"/>
      <c r="B78" s="273"/>
      <c r="C78" s="273"/>
      <c r="D78" s="273"/>
      <c r="E78" s="273"/>
      <c r="F78" s="273"/>
      <c r="G78" s="273"/>
      <c r="H78" s="273"/>
      <c r="I78" s="273"/>
      <c r="J78" s="273"/>
      <c r="K78" s="273"/>
      <c r="L78" s="273"/>
      <c r="M78" s="273"/>
      <c r="N78" s="273"/>
      <c r="O78" s="273"/>
      <c r="P78" s="273"/>
      <c r="Q78" s="273"/>
      <c r="R78" s="273"/>
      <c r="S78" s="273"/>
      <c r="T78" s="273"/>
      <c r="U78" s="273"/>
      <c r="V78" s="273"/>
      <c r="W78" s="273"/>
      <c r="X78" s="274"/>
      <c r="Y78" s="274"/>
      <c r="Z78" s="274"/>
    </row>
    <row r="79" spans="1:26" x14ac:dyDescent="0.3">
      <c r="A79" s="273"/>
      <c r="B79" s="273"/>
      <c r="C79" s="273"/>
      <c r="D79" s="273"/>
      <c r="E79" s="273"/>
      <c r="F79" s="273"/>
      <c r="G79" s="273"/>
      <c r="H79" s="273"/>
      <c r="I79" s="273"/>
      <c r="J79" s="273"/>
      <c r="K79" s="273"/>
      <c r="L79" s="273"/>
      <c r="M79" s="273"/>
      <c r="N79" s="273"/>
      <c r="O79" s="273"/>
      <c r="P79" s="273"/>
      <c r="Q79" s="273"/>
      <c r="R79" s="273"/>
      <c r="S79" s="273"/>
      <c r="T79" s="273"/>
      <c r="U79" s="273"/>
      <c r="V79" s="273"/>
      <c r="W79" s="273"/>
      <c r="X79" s="274"/>
      <c r="Y79" s="274"/>
      <c r="Z79" s="274"/>
    </row>
    <row r="80" spans="1:26" x14ac:dyDescent="0.3">
      <c r="A80" s="273"/>
      <c r="B80" s="273"/>
      <c r="C80" s="273"/>
      <c r="D80" s="273"/>
      <c r="E80" s="273"/>
      <c r="F80" s="273"/>
      <c r="G80" s="273"/>
      <c r="H80" s="273"/>
      <c r="I80" s="273"/>
      <c r="J80" s="273"/>
      <c r="K80" s="273"/>
      <c r="L80" s="273"/>
      <c r="M80" s="273"/>
      <c r="N80" s="273"/>
      <c r="O80" s="273"/>
      <c r="P80" s="273"/>
      <c r="Q80" s="273"/>
      <c r="R80" s="273"/>
      <c r="S80" s="273"/>
      <c r="T80" s="273"/>
      <c r="U80" s="273"/>
      <c r="V80" s="273"/>
      <c r="W80" s="273"/>
      <c r="X80" s="274"/>
      <c r="Y80" s="274"/>
      <c r="Z80" s="274"/>
    </row>
    <row r="81" spans="1:26" x14ac:dyDescent="0.3">
      <c r="A81" s="273"/>
      <c r="B81" s="273"/>
      <c r="C81" s="273"/>
      <c r="D81" s="273"/>
      <c r="E81" s="273"/>
      <c r="F81" s="273"/>
      <c r="G81" s="273"/>
      <c r="H81" s="273"/>
      <c r="I81" s="273"/>
      <c r="J81" s="273"/>
      <c r="K81" s="273"/>
      <c r="L81" s="273"/>
      <c r="M81" s="273"/>
      <c r="N81" s="273"/>
      <c r="O81" s="273"/>
      <c r="P81" s="273"/>
      <c r="Q81" s="273"/>
      <c r="R81" s="273"/>
      <c r="S81" s="273"/>
      <c r="T81" s="273"/>
      <c r="U81" s="273"/>
      <c r="V81" s="273"/>
      <c r="W81" s="273"/>
      <c r="X81" s="274"/>
      <c r="Y81" s="274"/>
      <c r="Z81" s="274"/>
    </row>
    <row r="82" spans="1:26" x14ac:dyDescent="0.3">
      <c r="A82" s="273"/>
      <c r="B82" s="273"/>
      <c r="C82" s="273"/>
      <c r="D82" s="273"/>
      <c r="E82" s="273"/>
      <c r="F82" s="273"/>
      <c r="G82" s="273"/>
      <c r="H82" s="273"/>
      <c r="I82" s="273"/>
      <c r="J82" s="273"/>
      <c r="K82" s="273"/>
      <c r="L82" s="273"/>
      <c r="M82" s="273"/>
      <c r="N82" s="273"/>
      <c r="O82" s="273"/>
      <c r="P82" s="273"/>
      <c r="Q82" s="273"/>
      <c r="R82" s="273"/>
      <c r="S82" s="273"/>
      <c r="T82" s="273"/>
      <c r="U82" s="273"/>
      <c r="V82" s="273"/>
      <c r="W82" s="273"/>
      <c r="X82" s="274"/>
      <c r="Y82" s="274"/>
      <c r="Z82" s="274"/>
    </row>
    <row r="83" spans="1:26" ht="25.2" x14ac:dyDescent="0.3">
      <c r="A83" s="285"/>
      <c r="B83" s="286" t="s">
        <v>2284</v>
      </c>
      <c r="C83" s="285"/>
      <c r="D83" s="285"/>
      <c r="E83" s="285"/>
      <c r="F83" s="285"/>
      <c r="G83" s="285"/>
      <c r="H83" s="285"/>
      <c r="I83" s="285"/>
      <c r="J83" s="285"/>
      <c r="K83" s="285"/>
      <c r="L83" s="285"/>
      <c r="M83" s="286" t="s">
        <v>2285</v>
      </c>
      <c r="N83" s="285"/>
      <c r="O83" s="285"/>
      <c r="P83" s="285"/>
      <c r="Q83" s="285"/>
      <c r="R83" s="285"/>
      <c r="S83" s="285"/>
      <c r="T83" s="285"/>
      <c r="U83" s="285"/>
      <c r="V83" s="285"/>
      <c r="W83" s="285"/>
      <c r="X83" s="288"/>
      <c r="Y83" s="288"/>
      <c r="Z83" s="288"/>
    </row>
    <row r="84" spans="1:26" ht="23.4" x14ac:dyDescent="0.3">
      <c r="A84" s="289"/>
      <c r="B84" s="290" t="s">
        <v>2286</v>
      </c>
      <c r="C84" s="289"/>
      <c r="D84" s="289"/>
      <c r="E84" s="289"/>
      <c r="F84" s="289"/>
      <c r="G84" s="289"/>
      <c r="H84" s="289"/>
      <c r="I84" s="291">
        <f>L32</f>
        <v>14913.03</v>
      </c>
      <c r="J84" s="277"/>
      <c r="K84" s="277"/>
      <c r="L84" s="289"/>
      <c r="M84" s="290" t="s">
        <v>2287</v>
      </c>
      <c r="N84" s="289"/>
      <c r="O84" s="289"/>
      <c r="P84" s="289"/>
      <c r="Q84" s="289"/>
      <c r="R84" s="289"/>
      <c r="S84" s="289"/>
      <c r="T84" s="291">
        <f>SUM(Caixa!D6:D9)</f>
        <v>12457.359999999942</v>
      </c>
      <c r="U84" s="277"/>
      <c r="V84" s="277"/>
      <c r="W84" s="289"/>
      <c r="X84" s="292"/>
      <c r="Y84" s="292"/>
      <c r="Z84" s="292"/>
    </row>
    <row r="85" spans="1:26" ht="23.4" x14ac:dyDescent="0.3">
      <c r="A85" s="289"/>
      <c r="B85" s="290" t="s">
        <v>2288</v>
      </c>
      <c r="C85" s="289"/>
      <c r="D85" s="289"/>
      <c r="E85" s="289"/>
      <c r="F85" s="289"/>
      <c r="G85" s="289"/>
      <c r="H85" s="289"/>
      <c r="I85" s="291">
        <f>'DEZ-Receitas'!F4</f>
        <v>25865.699999999997</v>
      </c>
      <c r="J85" s="277"/>
      <c r="K85" s="277"/>
      <c r="L85" s="289"/>
      <c r="M85" s="290" t="s">
        <v>2289</v>
      </c>
      <c r="N85" s="289"/>
      <c r="O85" s="289"/>
      <c r="P85" s="289"/>
      <c r="Q85" s="289"/>
      <c r="R85" s="289"/>
      <c r="S85" s="289"/>
      <c r="T85" s="291">
        <f>Caixa!D5</f>
        <v>3057.2</v>
      </c>
      <c r="U85" s="277"/>
      <c r="V85" s="277"/>
      <c r="W85" s="289"/>
      <c r="X85" s="292"/>
      <c r="Y85" s="292"/>
      <c r="Z85" s="292"/>
    </row>
    <row r="86" spans="1:26" ht="23.4" x14ac:dyDescent="0.3">
      <c r="A86" s="289"/>
      <c r="B86" s="290" t="s">
        <v>2290</v>
      </c>
      <c r="C86" s="289"/>
      <c r="D86" s="289"/>
      <c r="E86" s="289"/>
      <c r="F86" s="289"/>
      <c r="G86" s="289"/>
      <c r="H86" s="289"/>
      <c r="I86" s="291">
        <f>'DEZ-Despesas'!F4</f>
        <v>25264.17</v>
      </c>
      <c r="J86" s="277"/>
      <c r="K86" s="277"/>
      <c r="L86" s="289"/>
      <c r="M86" s="290"/>
      <c r="N86" s="289"/>
      <c r="O86" s="289"/>
      <c r="P86" s="289"/>
      <c r="Q86" s="289"/>
      <c r="R86" s="289"/>
      <c r="S86" s="289"/>
      <c r="T86" s="299"/>
      <c r="U86" s="277"/>
      <c r="V86" s="277"/>
      <c r="W86" s="289"/>
      <c r="X86" s="292"/>
      <c r="Y86" s="292"/>
      <c r="Z86" s="292"/>
    </row>
    <row r="87" spans="1:26" ht="23.4" x14ac:dyDescent="0.3">
      <c r="A87" s="289"/>
      <c r="B87" s="290" t="s">
        <v>2291</v>
      </c>
      <c r="C87" s="289"/>
      <c r="D87" s="289"/>
      <c r="E87" s="289"/>
      <c r="F87" s="289"/>
      <c r="G87" s="289"/>
      <c r="H87" s="289"/>
      <c r="I87" s="291">
        <f>I85-I86</f>
        <v>601.52999999999884</v>
      </c>
      <c r="J87" s="300"/>
      <c r="K87" s="300"/>
      <c r="L87" s="289"/>
      <c r="M87" s="290"/>
      <c r="N87" s="289"/>
      <c r="O87" s="289"/>
      <c r="P87" s="289"/>
      <c r="Q87" s="289"/>
      <c r="R87" s="289"/>
      <c r="S87" s="289"/>
      <c r="T87" s="301"/>
      <c r="U87" s="301"/>
      <c r="V87" s="301"/>
      <c r="W87" s="289"/>
      <c r="X87" s="292"/>
      <c r="Y87" s="292"/>
      <c r="Z87" s="292"/>
    </row>
    <row r="88" spans="1:26" ht="23.4" x14ac:dyDescent="0.3">
      <c r="A88" s="289"/>
      <c r="B88" s="290" t="s">
        <v>2630</v>
      </c>
      <c r="C88" s="289"/>
      <c r="D88" s="289"/>
      <c r="E88" s="289"/>
      <c r="F88" s="289"/>
      <c r="G88" s="289"/>
      <c r="H88" s="289"/>
      <c r="I88" s="287">
        <f>I84+I87</f>
        <v>15514.56</v>
      </c>
      <c r="J88" s="277"/>
      <c r="K88" s="277"/>
      <c r="L88" s="289"/>
      <c r="M88" s="289"/>
      <c r="N88" s="289"/>
      <c r="O88" s="289"/>
      <c r="P88" s="289"/>
      <c r="Q88" s="289"/>
      <c r="R88" s="289"/>
      <c r="S88" s="289"/>
      <c r="T88" s="289"/>
      <c r="U88" s="289"/>
      <c r="V88" s="289"/>
      <c r="W88" s="289"/>
      <c r="X88" s="292"/>
      <c r="Y88" s="292"/>
      <c r="Z88" s="292"/>
    </row>
    <row r="89" spans="1:26" x14ac:dyDescent="0.3">
      <c r="A89" s="273"/>
      <c r="B89" s="273"/>
      <c r="C89" s="273"/>
      <c r="D89" s="273"/>
      <c r="E89" s="273"/>
      <c r="F89" s="273"/>
      <c r="G89" s="273"/>
      <c r="H89" s="273"/>
      <c r="I89" s="273"/>
      <c r="J89" s="273"/>
      <c r="K89" s="273"/>
      <c r="L89" s="273"/>
      <c r="M89" s="273"/>
      <c r="N89" s="273"/>
      <c r="O89" s="273"/>
      <c r="P89" s="273"/>
      <c r="Q89" s="273"/>
      <c r="R89" s="273"/>
      <c r="S89" s="273"/>
      <c r="T89" s="273"/>
      <c r="U89" s="273"/>
      <c r="V89" s="273"/>
      <c r="W89" s="273"/>
      <c r="X89" s="274"/>
      <c r="Y89" s="274"/>
      <c r="Z89" s="274"/>
    </row>
    <row r="90" spans="1:26" ht="25.2" x14ac:dyDescent="0.3">
      <c r="A90" s="285"/>
      <c r="B90" s="286" t="s">
        <v>13</v>
      </c>
      <c r="C90" s="285"/>
      <c r="D90" s="285"/>
      <c r="E90" s="285"/>
      <c r="F90" s="285"/>
      <c r="G90" s="285"/>
      <c r="H90" s="285"/>
      <c r="I90" s="285"/>
      <c r="J90" s="285"/>
      <c r="K90" s="285"/>
      <c r="L90" s="285"/>
      <c r="M90" s="286" t="s">
        <v>2292</v>
      </c>
      <c r="N90" s="285"/>
      <c r="O90" s="285"/>
      <c r="P90" s="285"/>
      <c r="Q90" s="285"/>
      <c r="R90" s="285"/>
      <c r="S90" s="285"/>
      <c r="T90" s="285"/>
      <c r="U90" s="285"/>
      <c r="V90" s="285"/>
      <c r="W90" s="285"/>
      <c r="X90" s="288"/>
      <c r="Y90" s="288"/>
      <c r="Z90" s="288"/>
    </row>
    <row r="91" spans="1:26" ht="23.4" x14ac:dyDescent="0.3">
      <c r="A91" s="289"/>
      <c r="B91" s="290" t="s">
        <v>2293</v>
      </c>
      <c r="C91" s="289"/>
      <c r="D91" s="289"/>
      <c r="E91" s="289"/>
      <c r="F91" s="289"/>
      <c r="G91" s="289"/>
      <c r="H91" s="289"/>
      <c r="I91" s="302">
        <f>'DEZ-Receitas'!J6</f>
        <v>0.19230769230769232</v>
      </c>
      <c r="J91" s="277"/>
      <c r="K91" s="277"/>
      <c r="L91" s="289"/>
      <c r="M91" s="290" t="s">
        <v>2294</v>
      </c>
      <c r="N91" s="289"/>
      <c r="O91" s="289"/>
      <c r="P91" s="289"/>
      <c r="Q91" s="289"/>
      <c r="R91" s="289"/>
      <c r="S91" s="289"/>
      <c r="T91" s="291">
        <f>'Distrib. Valores'!C6</f>
        <v>10138.279999999992</v>
      </c>
      <c r="U91" s="277"/>
      <c r="V91" s="277"/>
      <c r="W91" s="289"/>
      <c r="X91" s="292"/>
      <c r="Y91" s="292"/>
      <c r="Z91" s="292"/>
    </row>
    <row r="92" spans="1:26" ht="23.4" x14ac:dyDescent="0.3">
      <c r="A92" s="289"/>
      <c r="B92" s="290" t="s">
        <v>2295</v>
      </c>
      <c r="C92" s="289"/>
      <c r="D92" s="289"/>
      <c r="E92" s="289"/>
      <c r="F92" s="289"/>
      <c r="G92" s="289"/>
      <c r="H92" s="289"/>
      <c r="I92" s="302">
        <f>'DEZ-Receitas'!L6</f>
        <v>0.21649484536082475</v>
      </c>
      <c r="J92" s="277"/>
      <c r="K92" s="277"/>
      <c r="L92" s="289"/>
      <c r="M92" s="290" t="s">
        <v>2279</v>
      </c>
      <c r="N92" s="289"/>
      <c r="O92" s="289"/>
      <c r="P92" s="289"/>
      <c r="Q92" s="289"/>
      <c r="R92" s="289"/>
      <c r="S92" s="289"/>
      <c r="T92" s="291">
        <f>'Distrib. Valores'!C7</f>
        <v>790.28999999999814</v>
      </c>
      <c r="U92" s="277"/>
      <c r="V92" s="277"/>
      <c r="W92" s="289"/>
      <c r="X92" s="292"/>
      <c r="Y92" s="292"/>
      <c r="Z92" s="292"/>
    </row>
    <row r="93" spans="1:26" ht="23.4" x14ac:dyDescent="0.3">
      <c r="A93" s="289"/>
      <c r="B93" s="290" t="s">
        <v>2631</v>
      </c>
      <c r="C93" s="289"/>
      <c r="D93" s="289"/>
      <c r="E93" s="289"/>
      <c r="F93" s="289"/>
      <c r="G93" s="289"/>
      <c r="H93" s="289"/>
      <c r="I93" s="302"/>
      <c r="J93" s="277"/>
      <c r="K93" s="277"/>
      <c r="L93" s="289"/>
      <c r="M93" s="290" t="s">
        <v>2275</v>
      </c>
      <c r="N93" s="289"/>
      <c r="O93" s="289"/>
      <c r="P93" s="289"/>
      <c r="Q93" s="289"/>
      <c r="R93" s="289"/>
      <c r="S93" s="289"/>
      <c r="T93" s="291">
        <f>'Distrib. Valores'!C8</f>
        <v>1460.81</v>
      </c>
      <c r="U93" s="277"/>
      <c r="V93" s="277"/>
      <c r="W93" s="289"/>
      <c r="X93" s="292"/>
      <c r="Y93" s="292"/>
      <c r="Z93" s="292"/>
    </row>
    <row r="94" spans="1:26" ht="23.4" x14ac:dyDescent="0.3">
      <c r="A94" s="289"/>
      <c r="B94" s="289"/>
      <c r="C94" s="289"/>
      <c r="D94" s="289"/>
      <c r="E94" s="289"/>
      <c r="F94" s="289"/>
      <c r="G94" s="289"/>
      <c r="H94" s="289"/>
      <c r="I94" s="289"/>
      <c r="J94" s="289"/>
      <c r="K94" s="289"/>
      <c r="L94" s="289"/>
      <c r="M94" s="290" t="s">
        <v>2296</v>
      </c>
      <c r="N94" s="289"/>
      <c r="O94" s="289"/>
      <c r="P94" s="289"/>
      <c r="Q94" s="289"/>
      <c r="R94" s="289"/>
      <c r="S94" s="289"/>
      <c r="T94" s="291">
        <f>'Distrib. Valores'!C9</f>
        <v>1527.5300000000007</v>
      </c>
      <c r="U94" s="277"/>
      <c r="V94" s="277"/>
      <c r="W94" s="289"/>
      <c r="X94" s="292"/>
      <c r="Y94" s="292"/>
      <c r="Z94" s="292"/>
    </row>
    <row r="95" spans="1:26" ht="23.4" x14ac:dyDescent="0.3">
      <c r="A95" s="289"/>
      <c r="B95" s="289"/>
      <c r="C95" s="289"/>
      <c r="D95" s="289"/>
      <c r="E95" s="289"/>
      <c r="F95" s="289"/>
      <c r="G95" s="289"/>
      <c r="H95" s="289"/>
      <c r="I95" s="289"/>
      <c r="J95" s="289"/>
      <c r="K95" s="289"/>
      <c r="L95" s="289"/>
      <c r="M95" s="290" t="s">
        <v>2255</v>
      </c>
      <c r="N95" s="289"/>
      <c r="O95" s="289"/>
      <c r="P95" s="289"/>
      <c r="Q95" s="289"/>
      <c r="R95" s="289"/>
      <c r="S95" s="289"/>
      <c r="T95" s="291">
        <f>'Distrib. Valores'!C10</f>
        <v>1597.6499999999996</v>
      </c>
      <c r="U95" s="277"/>
      <c r="V95" s="277"/>
      <c r="W95" s="289"/>
      <c r="X95" s="292"/>
      <c r="Y95" s="292"/>
      <c r="Z95" s="292"/>
    </row>
    <row r="96" spans="1:26" ht="23.4" x14ac:dyDescent="0.3">
      <c r="A96" s="289"/>
      <c r="B96" s="289"/>
      <c r="C96" s="289"/>
      <c r="D96" s="289"/>
      <c r="E96" s="289"/>
      <c r="F96" s="289"/>
      <c r="G96" s="289"/>
      <c r="H96" s="289"/>
      <c r="I96" s="289"/>
      <c r="J96" s="289"/>
      <c r="K96" s="289"/>
      <c r="L96" s="289"/>
      <c r="M96" s="290" t="s">
        <v>2297</v>
      </c>
      <c r="N96" s="289"/>
      <c r="O96" s="289"/>
      <c r="P96" s="289"/>
      <c r="Q96" s="289"/>
      <c r="R96" s="289"/>
      <c r="S96" s="289"/>
      <c r="T96" s="291">
        <v>0</v>
      </c>
      <c r="U96" s="277"/>
      <c r="V96" s="277"/>
      <c r="W96" s="289"/>
      <c r="X96" s="292"/>
      <c r="Y96" s="292"/>
      <c r="Z96" s="292"/>
    </row>
    <row r="97" spans="1:26" ht="23.4" x14ac:dyDescent="0.3">
      <c r="A97" s="289"/>
      <c r="B97" s="289"/>
      <c r="C97" s="289"/>
      <c r="D97" s="289"/>
      <c r="E97" s="289"/>
      <c r="F97" s="289"/>
      <c r="G97" s="289"/>
      <c r="H97" s="289"/>
      <c r="I97" s="289"/>
      <c r="J97" s="289"/>
      <c r="K97" s="289"/>
      <c r="L97" s="289"/>
      <c r="M97" s="303"/>
      <c r="N97" s="277"/>
      <c r="O97" s="277"/>
      <c r="P97" s="277"/>
      <c r="Q97" s="277"/>
      <c r="R97" s="277"/>
      <c r="S97" s="277"/>
      <c r="T97" s="277"/>
      <c r="U97" s="277"/>
      <c r="V97" s="277"/>
      <c r="W97" s="289"/>
      <c r="X97" s="292"/>
      <c r="Y97" s="292"/>
      <c r="Z97" s="292"/>
    </row>
    <row r="98" spans="1:26" x14ac:dyDescent="0.3">
      <c r="A98" s="274"/>
      <c r="B98" s="274"/>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row>
    <row r="99" spans="1:26" x14ac:dyDescent="0.3">
      <c r="A99" s="274"/>
      <c r="B99" s="274"/>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row>
    <row r="100" spans="1:26" x14ac:dyDescent="0.3">
      <c r="A100" s="274"/>
      <c r="B100" s="274"/>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row>
    <row r="101" spans="1:26" x14ac:dyDescent="0.3">
      <c r="A101" s="274"/>
      <c r="B101" s="274"/>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row>
    <row r="102" spans="1:26" x14ac:dyDescent="0.3">
      <c r="A102" s="274"/>
      <c r="B102" s="274"/>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row>
    <row r="103" spans="1:26" x14ac:dyDescent="0.3">
      <c r="A103" s="274"/>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row>
    <row r="104" spans="1:26" x14ac:dyDescent="0.3">
      <c r="A104" s="274"/>
      <c r="B104" s="274"/>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row>
    <row r="105" spans="1:26" x14ac:dyDescent="0.3">
      <c r="A105" s="274"/>
      <c r="B105" s="274"/>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row>
    <row r="106" spans="1:26" x14ac:dyDescent="0.3">
      <c r="A106" s="274"/>
      <c r="B106" s="274"/>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row>
    <row r="107" spans="1:26" x14ac:dyDescent="0.3">
      <c r="A107" s="274"/>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row>
    <row r="108" spans="1:26" x14ac:dyDescent="0.3">
      <c r="A108" s="274"/>
      <c r="B108" s="274"/>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row>
    <row r="109" spans="1:26" x14ac:dyDescent="0.3">
      <c r="A109" s="274"/>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row>
    <row r="110" spans="1:26" x14ac:dyDescent="0.3">
      <c r="A110" s="274"/>
      <c r="B110" s="274"/>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row>
    <row r="111" spans="1:26" x14ac:dyDescent="0.3">
      <c r="A111" s="274"/>
      <c r="B111" s="274"/>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c r="Z111" s="274"/>
    </row>
    <row r="112" spans="1:26" x14ac:dyDescent="0.3">
      <c r="A112" s="274"/>
      <c r="B112" s="274"/>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c r="Z112" s="274"/>
    </row>
    <row r="113" spans="1:26" x14ac:dyDescent="0.3">
      <c r="A113" s="274"/>
      <c r="B113" s="274"/>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c r="Z113" s="274"/>
    </row>
    <row r="114" spans="1:26" x14ac:dyDescent="0.3">
      <c r="A114" s="274"/>
      <c r="B114" s="274"/>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c r="Z114" s="274"/>
    </row>
    <row r="115" spans="1:26" x14ac:dyDescent="0.3">
      <c r="A115" s="274"/>
      <c r="B115" s="274"/>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c r="Z115" s="274"/>
    </row>
    <row r="116" spans="1:26" x14ac:dyDescent="0.3">
      <c r="A116" s="274"/>
      <c r="B116" s="274"/>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c r="Z116" s="274"/>
    </row>
    <row r="117" spans="1:26" x14ac:dyDescent="0.3">
      <c r="A117" s="274"/>
      <c r="B117" s="274"/>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row>
    <row r="118" spans="1:26" x14ac:dyDescent="0.3">
      <c r="A118" s="274"/>
      <c r="B118" s="27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c r="Z118" s="274"/>
    </row>
    <row r="119" spans="1:26" x14ac:dyDescent="0.3">
      <c r="A119" s="274"/>
      <c r="B119" s="274"/>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c r="Z119" s="274"/>
    </row>
    <row r="120" spans="1:26" x14ac:dyDescent="0.3">
      <c r="A120" s="274"/>
      <c r="B120" s="274"/>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c r="Z120" s="274"/>
    </row>
    <row r="121" spans="1:26" x14ac:dyDescent="0.3">
      <c r="A121" s="274"/>
      <c r="B121" s="274"/>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c r="Y121" s="274"/>
      <c r="Z121" s="274"/>
    </row>
    <row r="122" spans="1:26" x14ac:dyDescent="0.3">
      <c r="A122" s="274"/>
      <c r="B122" s="274"/>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c r="Z122" s="274"/>
    </row>
    <row r="123" spans="1:26" x14ac:dyDescent="0.3">
      <c r="A123" s="274"/>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row>
    <row r="124" spans="1:26" x14ac:dyDescent="0.3">
      <c r="A124" s="274"/>
      <c r="B124" s="274"/>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c r="Z124" s="274"/>
    </row>
    <row r="125" spans="1:26" x14ac:dyDescent="0.3">
      <c r="A125" s="274"/>
      <c r="B125" s="274"/>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row>
    <row r="126" spans="1:26" x14ac:dyDescent="0.3">
      <c r="A126" s="274"/>
      <c r="B126" s="274"/>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row>
    <row r="127" spans="1:26" x14ac:dyDescent="0.3">
      <c r="A127" s="274"/>
      <c r="B127" s="274"/>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c r="Z127" s="274"/>
    </row>
    <row r="128" spans="1:26" x14ac:dyDescent="0.3">
      <c r="A128" s="274"/>
      <c r="B128" s="274"/>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c r="Z128" s="274"/>
    </row>
    <row r="129" spans="1:26" x14ac:dyDescent="0.3">
      <c r="A129" s="274"/>
      <c r="B129" s="274"/>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c r="Z129" s="274"/>
    </row>
    <row r="130" spans="1:26" x14ac:dyDescent="0.3">
      <c r="A130" s="274"/>
      <c r="B130" s="274"/>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c r="Z130" s="274"/>
    </row>
    <row r="131" spans="1:26" x14ac:dyDescent="0.3">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row>
    <row r="132" spans="1:26" x14ac:dyDescent="0.3">
      <c r="A132" s="274"/>
      <c r="B132" s="274"/>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row>
    <row r="133" spans="1:26" x14ac:dyDescent="0.3">
      <c r="A133" s="274"/>
      <c r="B133" s="274"/>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c r="Y133" s="274"/>
      <c r="Z133" s="274"/>
    </row>
    <row r="134" spans="1:26" x14ac:dyDescent="0.3">
      <c r="A134" s="274"/>
      <c r="B134" s="274"/>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c r="Y134" s="274"/>
      <c r="Z134" s="274"/>
    </row>
    <row r="135" spans="1:26" x14ac:dyDescent="0.3">
      <c r="A135" s="274"/>
      <c r="B135" s="274"/>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c r="Y135" s="274"/>
      <c r="Z135" s="274"/>
    </row>
    <row r="136" spans="1:26" x14ac:dyDescent="0.3">
      <c r="A136" s="274"/>
      <c r="B136" s="274"/>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c r="Z136" s="274"/>
    </row>
    <row r="137" spans="1:26" x14ac:dyDescent="0.3">
      <c r="A137" s="274"/>
      <c r="B137" s="274"/>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c r="Y137" s="274"/>
      <c r="Z137" s="274"/>
    </row>
    <row r="138" spans="1:26" x14ac:dyDescent="0.3">
      <c r="A138" s="274"/>
      <c r="B138" s="274"/>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c r="Y138" s="274"/>
      <c r="Z138" s="274"/>
    </row>
    <row r="139" spans="1:26" x14ac:dyDescent="0.3">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row>
    <row r="140" spans="1:26" x14ac:dyDescent="0.3">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c r="Z140" s="274"/>
    </row>
    <row r="141" spans="1:26" x14ac:dyDescent="0.3">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row>
    <row r="142" spans="1:26" x14ac:dyDescent="0.3">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c r="Z142" s="274"/>
    </row>
    <row r="143" spans="1:26" x14ac:dyDescent="0.3">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c r="Z143" s="274"/>
    </row>
    <row r="144" spans="1:26" x14ac:dyDescent="0.3">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c r="Z144" s="274"/>
    </row>
    <row r="145" spans="1:26" x14ac:dyDescent="0.3">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c r="Z145" s="274"/>
    </row>
    <row r="146" spans="1:26" x14ac:dyDescent="0.3">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c r="Z146" s="274"/>
    </row>
    <row r="147" spans="1:26" x14ac:dyDescent="0.3">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c r="Z147" s="274"/>
    </row>
    <row r="148" spans="1:26" x14ac:dyDescent="0.3">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c r="Z148" s="274"/>
    </row>
    <row r="149" spans="1:26" x14ac:dyDescent="0.3">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row>
    <row r="150" spans="1:26" x14ac:dyDescent="0.3">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c r="Z150" s="274"/>
    </row>
    <row r="151" spans="1:26" x14ac:dyDescent="0.3">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row>
    <row r="152" spans="1:26" x14ac:dyDescent="0.3">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c r="Z152" s="274"/>
    </row>
    <row r="153" spans="1:26" x14ac:dyDescent="0.3">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c r="Z153" s="274"/>
    </row>
    <row r="154" spans="1:26" x14ac:dyDescent="0.3">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c r="Z154" s="274"/>
    </row>
    <row r="155" spans="1:26" x14ac:dyDescent="0.3">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c r="Z155" s="274"/>
    </row>
    <row r="156" spans="1:26" x14ac:dyDescent="0.3">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row>
    <row r="157" spans="1:26" x14ac:dyDescent="0.3">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c r="Z157" s="274"/>
    </row>
    <row r="158" spans="1:26" x14ac:dyDescent="0.3">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c r="Z158" s="274"/>
    </row>
    <row r="159" spans="1:26" x14ac:dyDescent="0.3">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row>
    <row r="160" spans="1:26" x14ac:dyDescent="0.3">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row>
    <row r="161" spans="1:26" x14ac:dyDescent="0.3">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row>
    <row r="162" spans="1:26" x14ac:dyDescent="0.3">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row>
    <row r="163" spans="1:26" x14ac:dyDescent="0.3">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row>
    <row r="164" spans="1:26" x14ac:dyDescent="0.3">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row>
    <row r="165" spans="1:26" x14ac:dyDescent="0.3">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row>
    <row r="166" spans="1:26" x14ac:dyDescent="0.3">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row>
    <row r="167" spans="1:26" x14ac:dyDescent="0.3">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row>
    <row r="168" spans="1:26" x14ac:dyDescent="0.3">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row>
    <row r="169" spans="1:26" x14ac:dyDescent="0.3">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row>
    <row r="170" spans="1:26" x14ac:dyDescent="0.3">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row>
    <row r="171" spans="1:26" x14ac:dyDescent="0.3">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row>
    <row r="172" spans="1:26" x14ac:dyDescent="0.3">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row>
    <row r="173" spans="1:26" x14ac:dyDescent="0.3">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row>
    <row r="174" spans="1:26" x14ac:dyDescent="0.3">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row>
    <row r="175" spans="1:26" x14ac:dyDescent="0.3">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row>
    <row r="176" spans="1:26" x14ac:dyDescent="0.3">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row>
    <row r="177" spans="1:26" x14ac:dyDescent="0.3">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row>
    <row r="178" spans="1:26" x14ac:dyDescent="0.3">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row>
    <row r="179" spans="1:26" x14ac:dyDescent="0.3">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row>
    <row r="180" spans="1:26" x14ac:dyDescent="0.3">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row>
    <row r="181" spans="1:26" x14ac:dyDescent="0.3">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row>
    <row r="182" spans="1:26" x14ac:dyDescent="0.3">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row>
    <row r="183" spans="1:26" x14ac:dyDescent="0.3">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row>
    <row r="184" spans="1:26" x14ac:dyDescent="0.3">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row>
    <row r="185" spans="1:26" x14ac:dyDescent="0.3">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row>
    <row r="186" spans="1:26" x14ac:dyDescent="0.3">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row>
    <row r="187" spans="1:26" x14ac:dyDescent="0.3">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row>
    <row r="188" spans="1:26" x14ac:dyDescent="0.3">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row>
    <row r="189" spans="1:26" x14ac:dyDescent="0.3">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row>
    <row r="190" spans="1:26" x14ac:dyDescent="0.3">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row>
    <row r="191" spans="1:26" x14ac:dyDescent="0.3">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row>
    <row r="192" spans="1:26" x14ac:dyDescent="0.3">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row>
    <row r="193" spans="1:26" x14ac:dyDescent="0.3">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row>
    <row r="194" spans="1:26" x14ac:dyDescent="0.3">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row>
    <row r="195" spans="1:26" x14ac:dyDescent="0.3">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row>
    <row r="196" spans="1:26" x14ac:dyDescent="0.3">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row>
    <row r="197" spans="1:26" x14ac:dyDescent="0.3">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row>
    <row r="198" spans="1:26" x14ac:dyDescent="0.3">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row>
    <row r="199" spans="1:26" x14ac:dyDescent="0.3">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row>
    <row r="200" spans="1:26" x14ac:dyDescent="0.3">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row>
    <row r="201" spans="1:26" x14ac:dyDescent="0.3">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row>
    <row r="202" spans="1:26" x14ac:dyDescent="0.3">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row>
    <row r="203" spans="1:26" x14ac:dyDescent="0.3">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row>
    <row r="204" spans="1:26" x14ac:dyDescent="0.3">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row>
    <row r="205" spans="1:26" x14ac:dyDescent="0.3">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row>
    <row r="206" spans="1:26" x14ac:dyDescent="0.3">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row>
    <row r="207" spans="1:26" x14ac:dyDescent="0.3">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row>
    <row r="208" spans="1:26" x14ac:dyDescent="0.3">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row>
    <row r="209" spans="1:26" x14ac:dyDescent="0.3">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row>
    <row r="210" spans="1:26" x14ac:dyDescent="0.3">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row>
    <row r="211" spans="1:26" x14ac:dyDescent="0.3">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row>
    <row r="212" spans="1:26" x14ac:dyDescent="0.3">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row>
    <row r="213" spans="1:26" x14ac:dyDescent="0.3">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row>
    <row r="214" spans="1:26" x14ac:dyDescent="0.3">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row>
    <row r="215" spans="1:26" x14ac:dyDescent="0.3">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row>
    <row r="216" spans="1:26" x14ac:dyDescent="0.3">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row>
    <row r="217" spans="1:26" x14ac:dyDescent="0.3">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row>
    <row r="218" spans="1:26" x14ac:dyDescent="0.3">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row>
    <row r="219" spans="1:26" x14ac:dyDescent="0.3">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row>
    <row r="220" spans="1:26" x14ac:dyDescent="0.3">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row>
    <row r="221" spans="1:26" x14ac:dyDescent="0.3">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row>
    <row r="222" spans="1:26" x14ac:dyDescent="0.3">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row>
    <row r="223" spans="1:26" x14ac:dyDescent="0.3">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row>
    <row r="224" spans="1:26" x14ac:dyDescent="0.3">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row>
    <row r="225" spans="1:26" x14ac:dyDescent="0.3">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row>
    <row r="226" spans="1:26" x14ac:dyDescent="0.3">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row>
    <row r="227" spans="1:26" x14ac:dyDescent="0.3">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row>
    <row r="228" spans="1:26" x14ac:dyDescent="0.3">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row>
    <row r="229" spans="1:26" x14ac:dyDescent="0.3">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row>
    <row r="230" spans="1:26" x14ac:dyDescent="0.3">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row>
    <row r="231" spans="1:26" x14ac:dyDescent="0.3">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row>
    <row r="232" spans="1:26" x14ac:dyDescent="0.3">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row>
    <row r="233" spans="1:26" x14ac:dyDescent="0.3">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row>
    <row r="234" spans="1:26" x14ac:dyDescent="0.3">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row>
    <row r="235" spans="1:26" x14ac:dyDescent="0.3">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row>
    <row r="236" spans="1:26" x14ac:dyDescent="0.3">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row>
    <row r="237" spans="1:26" x14ac:dyDescent="0.3">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row>
    <row r="238" spans="1:26" x14ac:dyDescent="0.3">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row>
    <row r="239" spans="1:26" x14ac:dyDescent="0.3">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row>
    <row r="240" spans="1:26" x14ac:dyDescent="0.3">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row>
    <row r="241" spans="1:26" x14ac:dyDescent="0.3">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row>
    <row r="242" spans="1:26" x14ac:dyDescent="0.3">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row>
    <row r="243" spans="1:26" x14ac:dyDescent="0.3">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row>
    <row r="244" spans="1:26" x14ac:dyDescent="0.3">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row>
    <row r="245" spans="1:26" x14ac:dyDescent="0.3">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row>
    <row r="246" spans="1:26" x14ac:dyDescent="0.3">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row>
    <row r="247" spans="1:26" x14ac:dyDescent="0.3">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row>
    <row r="248" spans="1:26" x14ac:dyDescent="0.3">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row>
    <row r="249" spans="1:26" x14ac:dyDescent="0.3">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row>
    <row r="250" spans="1:26" x14ac:dyDescent="0.3">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row>
    <row r="251" spans="1:26" x14ac:dyDescent="0.3">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row>
    <row r="252" spans="1:26" x14ac:dyDescent="0.3">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row>
    <row r="253" spans="1:26" x14ac:dyDescent="0.3">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row>
    <row r="254" spans="1:26" x14ac:dyDescent="0.3">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row>
    <row r="255" spans="1:26" x14ac:dyDescent="0.3">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row>
    <row r="256" spans="1:26" x14ac:dyDescent="0.3">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row>
    <row r="257" spans="1:26" x14ac:dyDescent="0.3">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row>
    <row r="258" spans="1:26" x14ac:dyDescent="0.3">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row>
    <row r="259" spans="1:26" x14ac:dyDescent="0.3">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row>
    <row r="260" spans="1:26" x14ac:dyDescent="0.3">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row>
    <row r="261" spans="1:26" x14ac:dyDescent="0.3">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row>
    <row r="262" spans="1:26" x14ac:dyDescent="0.3">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row>
    <row r="263" spans="1:26" x14ac:dyDescent="0.3">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row>
    <row r="264" spans="1:26" x14ac:dyDescent="0.3">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row>
    <row r="265" spans="1:26" x14ac:dyDescent="0.3">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row>
    <row r="266" spans="1:26" x14ac:dyDescent="0.3">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row>
    <row r="267" spans="1:26" x14ac:dyDescent="0.3">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row>
    <row r="268" spans="1:26" x14ac:dyDescent="0.3">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row>
    <row r="269" spans="1:26" x14ac:dyDescent="0.3">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row>
    <row r="270" spans="1:26" x14ac:dyDescent="0.3">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row>
    <row r="271" spans="1:26" x14ac:dyDescent="0.3">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row>
    <row r="272" spans="1:26" x14ac:dyDescent="0.3">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row>
    <row r="273" spans="1:26" x14ac:dyDescent="0.3">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row>
    <row r="274" spans="1:26" x14ac:dyDescent="0.3">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row>
    <row r="275" spans="1:26" x14ac:dyDescent="0.3">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row>
    <row r="276" spans="1:26" x14ac:dyDescent="0.3">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row>
    <row r="277" spans="1:26" x14ac:dyDescent="0.3">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row>
    <row r="278" spans="1:26" x14ac:dyDescent="0.3">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row>
    <row r="279" spans="1:26" x14ac:dyDescent="0.3">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row>
    <row r="280" spans="1:26" x14ac:dyDescent="0.3">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row>
    <row r="281" spans="1:26" x14ac:dyDescent="0.3">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row>
    <row r="282" spans="1:26" x14ac:dyDescent="0.3">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row>
    <row r="283" spans="1:26" x14ac:dyDescent="0.3">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row>
    <row r="284" spans="1:26" x14ac:dyDescent="0.3">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row>
    <row r="285" spans="1:26" x14ac:dyDescent="0.3">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row>
    <row r="286" spans="1:26" x14ac:dyDescent="0.3">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row>
    <row r="287" spans="1:26" x14ac:dyDescent="0.3">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row>
    <row r="288" spans="1:26" x14ac:dyDescent="0.3">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row>
    <row r="289" spans="1:26" x14ac:dyDescent="0.3">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row>
    <row r="290" spans="1:26" x14ac:dyDescent="0.3">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row>
    <row r="291" spans="1:26" x14ac:dyDescent="0.3">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row>
    <row r="292" spans="1:26" x14ac:dyDescent="0.3">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row>
    <row r="293" spans="1:26" x14ac:dyDescent="0.3">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row>
    <row r="294" spans="1:26" x14ac:dyDescent="0.3">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row>
    <row r="295" spans="1:26" x14ac:dyDescent="0.3">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row>
    <row r="296" spans="1:26" x14ac:dyDescent="0.3">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row>
  </sheetData>
  <mergeCells count="83">
    <mergeCell ref="T69:V69"/>
    <mergeCell ref="T72:V72"/>
    <mergeCell ref="M97:V97"/>
    <mergeCell ref="I93:K93"/>
    <mergeCell ref="T45:V45"/>
    <mergeCell ref="T43:V43"/>
    <mergeCell ref="T48:V48"/>
    <mergeCell ref="I61:K61"/>
    <mergeCell ref="T67:V67"/>
    <mergeCell ref="I69:K69"/>
    <mergeCell ref="I71:K71"/>
    <mergeCell ref="I92:K92"/>
    <mergeCell ref="T92:V92"/>
    <mergeCell ref="T93:V93"/>
    <mergeCell ref="T94:V94"/>
    <mergeCell ref="T95:V95"/>
    <mergeCell ref="T96:V96"/>
    <mergeCell ref="I86:K86"/>
    <mergeCell ref="T86:V86"/>
    <mergeCell ref="I87:K87"/>
    <mergeCell ref="I88:K88"/>
    <mergeCell ref="I91:K91"/>
    <mergeCell ref="T91:V91"/>
    <mergeCell ref="I75:K75"/>
    <mergeCell ref="L77:O77"/>
    <mergeCell ref="I84:K84"/>
    <mergeCell ref="T84:V84"/>
    <mergeCell ref="I85:K85"/>
    <mergeCell ref="T85:V85"/>
    <mergeCell ref="I72:K72"/>
    <mergeCell ref="T73:V73"/>
    <mergeCell ref="I73:K73"/>
    <mergeCell ref="I74:K74"/>
    <mergeCell ref="I70:K70"/>
    <mergeCell ref="T70:V70"/>
    <mergeCell ref="T71:V71"/>
    <mergeCell ref="I67:K67"/>
    <mergeCell ref="T68:V68"/>
    <mergeCell ref="I68:K68"/>
    <mergeCell ref="I64:K64"/>
    <mergeCell ref="T64:V64"/>
    <mergeCell ref="I65:K65"/>
    <mergeCell ref="T65:V65"/>
    <mergeCell ref="I66:K66"/>
    <mergeCell ref="T66:V66"/>
    <mergeCell ref="I63:K63"/>
    <mergeCell ref="T61:V61"/>
    <mergeCell ref="I62:K62"/>
    <mergeCell ref="T62:V62"/>
    <mergeCell ref="T63:V63"/>
    <mergeCell ref="I58:K58"/>
    <mergeCell ref="T58:V58"/>
    <mergeCell ref="I59:K59"/>
    <mergeCell ref="T59:V59"/>
    <mergeCell ref="I60:K60"/>
    <mergeCell ref="T60:V60"/>
    <mergeCell ref="I49:K49"/>
    <mergeCell ref="T49:V49"/>
    <mergeCell ref="L52:O52"/>
    <mergeCell ref="I57:K57"/>
    <mergeCell ref="T57:V57"/>
    <mergeCell ref="I46:K46"/>
    <mergeCell ref="T46:V46"/>
    <mergeCell ref="I47:K47"/>
    <mergeCell ref="I48:K48"/>
    <mergeCell ref="T47:V47"/>
    <mergeCell ref="I43:K43"/>
    <mergeCell ref="T42:V42"/>
    <mergeCell ref="I44:K44"/>
    <mergeCell ref="T44:V44"/>
    <mergeCell ref="I45:K45"/>
    <mergeCell ref="I40:K40"/>
    <mergeCell ref="T40:V40"/>
    <mergeCell ref="I41:K41"/>
    <mergeCell ref="T41:V41"/>
    <mergeCell ref="I42:K42"/>
    <mergeCell ref="A11:W16"/>
    <mergeCell ref="A19:W22"/>
    <mergeCell ref="L32:O32"/>
    <mergeCell ref="I38:K38"/>
    <mergeCell ref="T38:V38"/>
    <mergeCell ref="I39:K39"/>
    <mergeCell ref="T39:V39"/>
  </mergeCells>
  <pageMargins left="0.23622047244094491" right="0.23622047244094491" top="0.74803149606299213" bottom="0.74803149606299213" header="0" footer="0"/>
  <pageSetup orientation="landscape" r:id="rId1"/>
  <rowBreaks count="3" manualBreakCount="3">
    <brk id="77" man="1"/>
    <brk id="52" man="1"/>
    <brk id="30"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Z1000"/>
  <sheetViews>
    <sheetView workbookViewId="0"/>
  </sheetViews>
  <sheetFormatPr defaultColWidth="14.44140625" defaultRowHeight="15" customHeight="1" x14ac:dyDescent="0.3"/>
  <cols>
    <col min="1" max="1" width="12.33203125" customWidth="1"/>
    <col min="2" max="2" width="35.6640625" customWidth="1"/>
    <col min="3" max="3" width="9.5546875" customWidth="1"/>
    <col min="4" max="23" width="8.6640625" customWidth="1"/>
  </cols>
  <sheetData>
    <row r="1" spans="1:26" ht="14.4" x14ac:dyDescent="0.3">
      <c r="A1" s="170">
        <v>1</v>
      </c>
      <c r="B1" s="171" t="s">
        <v>2301</v>
      </c>
      <c r="C1" s="171"/>
      <c r="D1" s="171"/>
      <c r="E1" s="171"/>
      <c r="F1" s="171"/>
      <c r="G1" s="171"/>
      <c r="H1" s="171"/>
      <c r="I1" s="171"/>
      <c r="J1" s="171"/>
      <c r="K1" s="171"/>
      <c r="L1" s="171"/>
      <c r="M1" s="171"/>
      <c r="N1" s="171"/>
      <c r="O1" s="171"/>
      <c r="P1" s="171"/>
      <c r="Q1" s="171"/>
      <c r="R1" s="171"/>
      <c r="S1" s="171"/>
      <c r="T1" s="171"/>
      <c r="U1" s="171"/>
      <c r="V1" s="171"/>
      <c r="W1" s="171"/>
      <c r="X1" s="171"/>
      <c r="Y1" s="171"/>
      <c r="Z1" s="171"/>
    </row>
    <row r="2" spans="1:26" ht="14.4" x14ac:dyDescent="0.3">
      <c r="A2" s="171" t="s">
        <v>2302</v>
      </c>
      <c r="B2" s="171" t="s">
        <v>73</v>
      </c>
      <c r="C2" s="171"/>
      <c r="D2" s="171"/>
      <c r="E2" s="171"/>
      <c r="F2" s="171"/>
      <c r="G2" s="171"/>
      <c r="H2" s="171"/>
      <c r="I2" s="171"/>
      <c r="J2" s="171"/>
      <c r="K2" s="171"/>
      <c r="L2" s="171"/>
      <c r="M2" s="171"/>
      <c r="N2" s="171"/>
      <c r="O2" s="171"/>
      <c r="P2" s="171"/>
      <c r="Q2" s="171"/>
      <c r="R2" s="171"/>
      <c r="S2" s="171"/>
      <c r="T2" s="171"/>
      <c r="U2" s="171"/>
      <c r="V2" s="171"/>
      <c r="W2" s="171"/>
      <c r="X2" s="171"/>
      <c r="Y2" s="171"/>
      <c r="Z2" s="171"/>
    </row>
    <row r="3" spans="1:26" ht="14.4" x14ac:dyDescent="0.3">
      <c r="A3" s="171" t="s">
        <v>2303</v>
      </c>
      <c r="B3" s="171" t="s">
        <v>2304</v>
      </c>
      <c r="C3" s="171"/>
      <c r="D3" s="171"/>
      <c r="E3" s="171"/>
      <c r="F3" s="171"/>
      <c r="G3" s="171"/>
      <c r="H3" s="171"/>
      <c r="I3" s="171"/>
      <c r="J3" s="171"/>
      <c r="K3" s="171"/>
      <c r="L3" s="171"/>
      <c r="M3" s="171"/>
      <c r="N3" s="171"/>
      <c r="O3" s="171"/>
      <c r="P3" s="171"/>
      <c r="Q3" s="171"/>
      <c r="R3" s="171"/>
      <c r="S3" s="171"/>
      <c r="T3" s="171"/>
      <c r="U3" s="171"/>
      <c r="V3" s="171"/>
      <c r="W3" s="171"/>
      <c r="X3" s="171"/>
      <c r="Y3" s="171"/>
      <c r="Z3" s="171"/>
    </row>
    <row r="4" spans="1:26" ht="14.4" x14ac:dyDescent="0.3">
      <c r="A4" s="171" t="s">
        <v>2305</v>
      </c>
      <c r="B4" s="171" t="s">
        <v>2306</v>
      </c>
      <c r="C4" s="171"/>
      <c r="D4" s="171"/>
      <c r="E4" s="171"/>
      <c r="F4" s="171"/>
      <c r="G4" s="171"/>
      <c r="H4" s="171"/>
      <c r="I4" s="171"/>
      <c r="J4" s="171"/>
      <c r="K4" s="171"/>
      <c r="L4" s="171"/>
      <c r="M4" s="171"/>
      <c r="N4" s="171"/>
      <c r="O4" s="171"/>
      <c r="P4" s="171"/>
      <c r="Q4" s="171"/>
      <c r="R4" s="171"/>
      <c r="S4" s="171"/>
      <c r="T4" s="171"/>
      <c r="U4" s="171"/>
      <c r="V4" s="171"/>
      <c r="W4" s="171"/>
      <c r="X4" s="171"/>
      <c r="Y4" s="171"/>
      <c r="Z4" s="171"/>
    </row>
    <row r="5" spans="1:26" ht="14.4" x14ac:dyDescent="0.3">
      <c r="A5" s="16" t="s">
        <v>2307</v>
      </c>
      <c r="B5" s="16" t="s">
        <v>2308</v>
      </c>
      <c r="C5" s="16" t="str">
        <f t="shared" ref="C5:C13" si="0">A5&amp;" - "&amp;B5</f>
        <v>1.1.1.01.0001 - Mensalidades</v>
      </c>
    </row>
    <row r="6" spans="1:26" ht="14.4" x14ac:dyDescent="0.3">
      <c r="A6" s="16" t="s">
        <v>2309</v>
      </c>
      <c r="B6" s="16" t="s">
        <v>1744</v>
      </c>
      <c r="C6" s="16" t="str">
        <f t="shared" si="0"/>
        <v>1.1.1.01.0002 - Doações</v>
      </c>
    </row>
    <row r="7" spans="1:26" ht="14.4" x14ac:dyDescent="0.3">
      <c r="A7" s="16" t="s">
        <v>2310</v>
      </c>
      <c r="B7" s="16" t="s">
        <v>2311</v>
      </c>
      <c r="C7" s="16" t="str">
        <f t="shared" si="0"/>
        <v>1.1.1.01.0003 - Dízimos</v>
      </c>
    </row>
    <row r="8" spans="1:26" ht="14.4" x14ac:dyDescent="0.3">
      <c r="A8" s="16" t="s">
        <v>2312</v>
      </c>
      <c r="B8" s="16" t="s">
        <v>2313</v>
      </c>
      <c r="C8" s="16" t="str">
        <f t="shared" si="0"/>
        <v>1.1.1.01.0004 - Contribuição Plantio</v>
      </c>
    </row>
    <row r="9" spans="1:26" ht="14.4" x14ac:dyDescent="0.3">
      <c r="A9" s="16" t="s">
        <v>2314</v>
      </c>
      <c r="B9" s="16" t="s">
        <v>2315</v>
      </c>
      <c r="C9" s="16" t="str">
        <f t="shared" si="0"/>
        <v>1.1.1.01.0005 - Contribuição Festividades</v>
      </c>
    </row>
    <row r="10" spans="1:26" ht="14.4" x14ac:dyDescent="0.3">
      <c r="A10" s="16" t="s">
        <v>2316</v>
      </c>
      <c r="B10" s="16" t="s">
        <v>2317</v>
      </c>
      <c r="C10" s="16" t="str">
        <f t="shared" si="0"/>
        <v>1.1.1.01.0006 - Contribuição Alimentação</v>
      </c>
    </row>
    <row r="11" spans="1:26" ht="14.4" x14ac:dyDescent="0.3">
      <c r="A11" s="16" t="s">
        <v>2318</v>
      </c>
      <c r="B11" s="16" t="s">
        <v>2319</v>
      </c>
      <c r="C11" s="16" t="str">
        <f t="shared" si="0"/>
        <v>1.1.1.01.0007 - Contribuição Preparo</v>
      </c>
    </row>
    <row r="12" spans="1:26" ht="14.4" x14ac:dyDescent="0.3">
      <c r="A12" s="16" t="s">
        <v>2320</v>
      </c>
      <c r="B12" s="16" t="s">
        <v>2321</v>
      </c>
      <c r="C12" s="16" t="str">
        <f t="shared" si="0"/>
        <v>1.1.1.01.0008 - Contribuição Segurança</v>
      </c>
    </row>
    <row r="13" spans="1:26" ht="14.4" x14ac:dyDescent="0.3">
      <c r="A13" s="16" t="s">
        <v>2322</v>
      </c>
      <c r="B13" s="16" t="s">
        <v>2323</v>
      </c>
      <c r="C13" s="16" t="str">
        <f t="shared" si="0"/>
        <v>1.1.1.01.0009 - Outras Receitas de Associados</v>
      </c>
    </row>
    <row r="14" spans="1:26" ht="14.4" x14ac:dyDescent="0.3">
      <c r="A14" s="171" t="s">
        <v>2324</v>
      </c>
      <c r="B14" s="171" t="s">
        <v>2325</v>
      </c>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row>
    <row r="15" spans="1:26" ht="14.4" x14ac:dyDescent="0.3">
      <c r="A15" s="16" t="s">
        <v>2326</v>
      </c>
      <c r="B15" s="16" t="s">
        <v>2327</v>
      </c>
      <c r="C15" s="16" t="str">
        <f t="shared" ref="C15:C22" si="1">A15&amp;" - "&amp;B15</f>
        <v>1.1.1.02.0001 - Fundo Participação</v>
      </c>
    </row>
    <row r="16" spans="1:26" ht="14.4" x14ac:dyDescent="0.3">
      <c r="A16" s="16" t="s">
        <v>2328</v>
      </c>
      <c r="B16" s="16" t="s">
        <v>2329</v>
      </c>
      <c r="C16" s="16" t="str">
        <f t="shared" si="1"/>
        <v>1.1.1.02.0002 - Fundo de Saúde</v>
      </c>
    </row>
    <row r="17" spans="1:26" ht="14.4" x14ac:dyDescent="0.3">
      <c r="A17" s="16" t="s">
        <v>2330</v>
      </c>
      <c r="B17" s="16" t="s">
        <v>2331</v>
      </c>
      <c r="C17" s="16" t="str">
        <f t="shared" si="1"/>
        <v>1.1.1.02.0003 - Fundo Ambiental</v>
      </c>
    </row>
    <row r="18" spans="1:26" ht="14.4" x14ac:dyDescent="0.3">
      <c r="A18" s="16" t="s">
        <v>2332</v>
      </c>
      <c r="B18" s="16" t="s">
        <v>2333</v>
      </c>
      <c r="C18" s="16" t="str">
        <f t="shared" si="1"/>
        <v>1.1.1.02.0004 - Fundo Beneficente</v>
      </c>
    </row>
    <row r="19" spans="1:26" ht="14.4" x14ac:dyDescent="0.3">
      <c r="A19" s="16" t="s">
        <v>2334</v>
      </c>
      <c r="B19" s="16" t="s">
        <v>2335</v>
      </c>
      <c r="C19" s="16" t="str">
        <f t="shared" si="1"/>
        <v>1.1.1.02.0005 - Fundo Regional</v>
      </c>
    </row>
    <row r="20" spans="1:26" ht="14.4" x14ac:dyDescent="0.3">
      <c r="A20" s="16" t="s">
        <v>2336</v>
      </c>
      <c r="B20" s="16" t="s">
        <v>2337</v>
      </c>
      <c r="C20" s="16" t="str">
        <f t="shared" si="1"/>
        <v>1.1.1.02.0006 - Mensalidades Novo Encanto</v>
      </c>
    </row>
    <row r="21" spans="1:26" ht="15.75" customHeight="1" x14ac:dyDescent="0.3">
      <c r="A21" s="16" t="s">
        <v>2338</v>
      </c>
      <c r="B21" s="16" t="s">
        <v>2339</v>
      </c>
      <c r="C21" s="16" t="str">
        <f t="shared" si="1"/>
        <v>1.1.1.02.0007 - Mensalidades Casa da União</v>
      </c>
    </row>
    <row r="22" spans="1:26" ht="15.75" customHeight="1" x14ac:dyDescent="0.3">
      <c r="A22" s="16" t="s">
        <v>2340</v>
      </c>
      <c r="B22" s="16" t="s">
        <v>2341</v>
      </c>
      <c r="C22" s="16" t="str">
        <f t="shared" si="1"/>
        <v>1.1.1.02.0008 - Contribuição Eventos/Encontros</v>
      </c>
    </row>
    <row r="23" spans="1:26" ht="15.75" customHeight="1" x14ac:dyDescent="0.3">
      <c r="A23" s="171" t="s">
        <v>2342</v>
      </c>
      <c r="B23" s="171" t="s">
        <v>2343</v>
      </c>
      <c r="C23" s="171"/>
      <c r="D23" s="171"/>
      <c r="E23" s="171"/>
      <c r="F23" s="171"/>
      <c r="G23" s="171"/>
      <c r="H23" s="171"/>
      <c r="I23" s="171"/>
      <c r="J23" s="171"/>
      <c r="K23" s="171"/>
      <c r="L23" s="171"/>
      <c r="M23" s="171"/>
      <c r="N23" s="171"/>
      <c r="O23" s="171"/>
      <c r="P23" s="171"/>
      <c r="Q23" s="171"/>
      <c r="R23" s="171"/>
      <c r="S23" s="171"/>
      <c r="T23" s="171"/>
      <c r="U23" s="171"/>
      <c r="V23" s="171"/>
      <c r="W23" s="171"/>
      <c r="X23" s="171"/>
      <c r="Y23" s="171"/>
      <c r="Z23" s="171"/>
    </row>
    <row r="24" spans="1:26" ht="15.75" customHeight="1" x14ac:dyDescent="0.3">
      <c r="A24" s="16" t="s">
        <v>2344</v>
      </c>
      <c r="B24" s="16" t="s">
        <v>2345</v>
      </c>
      <c r="C24" s="16" t="str">
        <f t="shared" ref="C24:C29" si="2">A24&amp;" - "&amp;B24</f>
        <v>1.1.1.03.0001 - Bazar</v>
      </c>
    </row>
    <row r="25" spans="1:26" ht="15.75" customHeight="1" x14ac:dyDescent="0.3">
      <c r="A25" s="16" t="s">
        <v>2346</v>
      </c>
      <c r="B25" s="16" t="s">
        <v>2347</v>
      </c>
      <c r="C25" s="16" t="str">
        <f t="shared" si="2"/>
        <v>1.1.1.03.0002 - Alugueis</v>
      </c>
    </row>
    <row r="26" spans="1:26" ht="15.75" customHeight="1" x14ac:dyDescent="0.3">
      <c r="A26" s="16" t="s">
        <v>2348</v>
      </c>
      <c r="B26" s="16" t="s">
        <v>2349</v>
      </c>
      <c r="C26" s="16" t="str">
        <f t="shared" si="2"/>
        <v>1.1.1.03.0003 - Encontros</v>
      </c>
    </row>
    <row r="27" spans="1:26" ht="15.75" customHeight="1" x14ac:dyDescent="0.3">
      <c r="A27" s="16" t="s">
        <v>2350</v>
      </c>
      <c r="B27" s="16" t="s">
        <v>2351</v>
      </c>
      <c r="C27" s="16" t="str">
        <f t="shared" si="2"/>
        <v>1.1.1.03.0004 - Promoções</v>
      </c>
    </row>
    <row r="28" spans="1:26" ht="15.75" customHeight="1" x14ac:dyDescent="0.3">
      <c r="A28" s="16" t="s">
        <v>2352</v>
      </c>
      <c r="B28" s="16" t="s">
        <v>2353</v>
      </c>
      <c r="C28" s="16" t="str">
        <f t="shared" si="2"/>
        <v>1.1.1.03.0005 - Cantina</v>
      </c>
    </row>
    <row r="29" spans="1:26" ht="15.75" customHeight="1" x14ac:dyDescent="0.3">
      <c r="A29" s="16" t="s">
        <v>2354</v>
      </c>
      <c r="B29" s="16" t="s">
        <v>2355</v>
      </c>
      <c r="C29" s="16" t="str">
        <f t="shared" si="2"/>
        <v>1.1.1.03.0006 - Outras Receitas Administrativas</v>
      </c>
    </row>
    <row r="30" spans="1:26" ht="15.75" customHeight="1" x14ac:dyDescent="0.3">
      <c r="A30" s="171" t="s">
        <v>2356</v>
      </c>
      <c r="B30" s="171" t="s">
        <v>2357</v>
      </c>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row>
    <row r="31" spans="1:26" ht="15.75" customHeight="1" x14ac:dyDescent="0.3">
      <c r="A31" s="16" t="s">
        <v>2358</v>
      </c>
      <c r="B31" s="16" t="s">
        <v>2359</v>
      </c>
      <c r="C31" s="16" t="str">
        <f t="shared" ref="C31:C33" si="3">A31&amp;" - "&amp;B31</f>
        <v>1.1.1.04.0001 - Reembolso de Funcionários</v>
      </c>
    </row>
    <row r="32" spans="1:26" ht="15.75" customHeight="1" x14ac:dyDescent="0.3">
      <c r="A32" s="16" t="s">
        <v>2360</v>
      </c>
      <c r="B32" s="16" t="s">
        <v>2361</v>
      </c>
      <c r="C32" s="16" t="str">
        <f t="shared" si="3"/>
        <v>1.1.1.04.0002 - Desconto de Faltas</v>
      </c>
    </row>
    <row r="33" spans="1:26" ht="15.75" customHeight="1" x14ac:dyDescent="0.3">
      <c r="A33" s="16" t="s">
        <v>2362</v>
      </c>
      <c r="B33" s="16" t="s">
        <v>2363</v>
      </c>
      <c r="C33" s="16" t="str">
        <f t="shared" si="3"/>
        <v>1.1.1.04.0003 - Desconto de Aviso Prévio</v>
      </c>
    </row>
    <row r="34" spans="1:26" ht="15.75" customHeight="1" x14ac:dyDescent="0.3">
      <c r="A34" s="171" t="s">
        <v>2364</v>
      </c>
      <c r="B34" s="171" t="s">
        <v>2365</v>
      </c>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row>
    <row r="35" spans="1:26" ht="15.75" customHeight="1" x14ac:dyDescent="0.3">
      <c r="A35" s="16" t="s">
        <v>2366</v>
      </c>
      <c r="B35" s="16" t="s">
        <v>2367</v>
      </c>
      <c r="C35" s="16" t="str">
        <f t="shared" ref="C35:C36" si="4">A35&amp;" - "&amp;B35</f>
        <v>1.1.1.05.0001 - Rendimentos de Poupança</v>
      </c>
    </row>
    <row r="36" spans="1:26" ht="15.75" customHeight="1" x14ac:dyDescent="0.3">
      <c r="A36" s="16" t="s">
        <v>2368</v>
      </c>
      <c r="B36" s="16" t="s">
        <v>2369</v>
      </c>
      <c r="C36" s="16" t="str">
        <f t="shared" si="4"/>
        <v>1.1.1.05.0002 - Rendimentos de Aplicações</v>
      </c>
    </row>
    <row r="37" spans="1:26" ht="15.75" customHeight="1" x14ac:dyDescent="0.3">
      <c r="A37" s="171" t="s">
        <v>2370</v>
      </c>
      <c r="B37" s="171" t="s">
        <v>2248</v>
      </c>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row>
    <row r="38" spans="1:26" ht="15.75" customHeight="1" x14ac:dyDescent="0.3">
      <c r="A38" s="16" t="s">
        <v>2371</v>
      </c>
      <c r="B38" s="16" t="s">
        <v>2372</v>
      </c>
      <c r="C38" s="16" t="str">
        <f>A38&amp;" - "&amp;B38</f>
        <v>1.1.1.06.0001 - Empréstimos</v>
      </c>
    </row>
    <row r="39" spans="1:26" ht="15.75" customHeight="1" x14ac:dyDescent="0.3">
      <c r="A39" s="170">
        <v>2</v>
      </c>
      <c r="B39" s="171" t="s">
        <v>2373</v>
      </c>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row>
    <row r="40" spans="1:26" ht="15.75" customHeight="1" x14ac:dyDescent="0.3">
      <c r="A40" s="171" t="s">
        <v>2374</v>
      </c>
      <c r="B40" s="171" t="s">
        <v>270</v>
      </c>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row>
    <row r="41" spans="1:26" ht="15.75" customHeight="1" x14ac:dyDescent="0.3">
      <c r="A41" s="171" t="s">
        <v>2375</v>
      </c>
      <c r="B41" s="171" t="s">
        <v>2376</v>
      </c>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row>
    <row r="42" spans="1:26" ht="15.75" customHeight="1" x14ac:dyDescent="0.3">
      <c r="A42" s="171" t="s">
        <v>2377</v>
      </c>
      <c r="B42" s="171" t="s">
        <v>2378</v>
      </c>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spans="1:26" ht="15.75" customHeight="1" x14ac:dyDescent="0.3">
      <c r="A43" s="16" t="s">
        <v>2379</v>
      </c>
      <c r="B43" s="16" t="s">
        <v>2380</v>
      </c>
      <c r="C43" s="16" t="str">
        <f t="shared" ref="C43:C64" si="5">A43&amp;" - "&amp;B43</f>
        <v>2.1.1.01.0001 - Salários e Ordenados</v>
      </c>
    </row>
    <row r="44" spans="1:26" ht="15.75" customHeight="1" x14ac:dyDescent="0.3">
      <c r="A44" s="16" t="s">
        <v>2381</v>
      </c>
      <c r="B44" s="16" t="s">
        <v>281</v>
      </c>
      <c r="C44" s="16" t="str">
        <f t="shared" si="5"/>
        <v>2.1.1.01.0002 - Férias</v>
      </c>
    </row>
    <row r="45" spans="1:26" ht="15.75" customHeight="1" x14ac:dyDescent="0.3">
      <c r="A45" s="16" t="s">
        <v>2382</v>
      </c>
      <c r="B45" s="16" t="s">
        <v>2103</v>
      </c>
      <c r="C45" s="16" t="str">
        <f t="shared" si="5"/>
        <v>2.1.1.01.0003 - 13° Salário</v>
      </c>
    </row>
    <row r="46" spans="1:26" ht="15.75" customHeight="1" x14ac:dyDescent="0.3">
      <c r="A46" s="16" t="s">
        <v>2383</v>
      </c>
      <c r="B46" s="16" t="s">
        <v>2384</v>
      </c>
      <c r="C46" s="16" t="str">
        <f t="shared" si="5"/>
        <v>2.1.1.01.0004 - PIS sobre Folha</v>
      </c>
    </row>
    <row r="47" spans="1:26" ht="15.75" customHeight="1" x14ac:dyDescent="0.3">
      <c r="A47" s="16" t="s">
        <v>2385</v>
      </c>
      <c r="B47" s="16" t="s">
        <v>2386</v>
      </c>
      <c r="C47" s="16" t="str">
        <f t="shared" si="5"/>
        <v>2.1.1.01.0005 - Indenizações e Aviso Prévio</v>
      </c>
    </row>
    <row r="48" spans="1:26" ht="15.75" customHeight="1" x14ac:dyDescent="0.3">
      <c r="A48" s="16" t="s">
        <v>2387</v>
      </c>
      <c r="B48" s="16" t="s">
        <v>2388</v>
      </c>
      <c r="C48" s="16" t="str">
        <f t="shared" si="5"/>
        <v>2.1.1.01.0006 - Plano de Saúde</v>
      </c>
    </row>
    <row r="49" spans="1:3" ht="15.75" customHeight="1" x14ac:dyDescent="0.3">
      <c r="A49" s="16" t="s">
        <v>2389</v>
      </c>
      <c r="B49" s="16" t="s">
        <v>2390</v>
      </c>
      <c r="C49" s="16" t="str">
        <f t="shared" si="5"/>
        <v>2.1.1.01.0007 - Plano Odontológico</v>
      </c>
    </row>
    <row r="50" spans="1:3" ht="15.75" customHeight="1" x14ac:dyDescent="0.3">
      <c r="A50" s="16" t="s">
        <v>2391</v>
      </c>
      <c r="B50" s="16" t="s">
        <v>2392</v>
      </c>
      <c r="C50" s="16" t="str">
        <f t="shared" si="5"/>
        <v>2.1.1.01.0008 - Seguro de Vida</v>
      </c>
    </row>
    <row r="51" spans="1:3" ht="15.75" customHeight="1" x14ac:dyDescent="0.3">
      <c r="A51" s="16" t="s">
        <v>2393</v>
      </c>
      <c r="B51" s="16" t="s">
        <v>738</v>
      </c>
      <c r="C51" s="16" t="str">
        <f t="shared" si="5"/>
        <v>2.1.1.01.0009 - FGTS</v>
      </c>
    </row>
    <row r="52" spans="1:3" ht="15.75" customHeight="1" x14ac:dyDescent="0.3">
      <c r="A52" s="16" t="s">
        <v>2394</v>
      </c>
      <c r="B52" s="16" t="s">
        <v>1918</v>
      </c>
      <c r="C52" s="16" t="str">
        <f t="shared" si="5"/>
        <v>2.1.1.01.0010 - INSS</v>
      </c>
    </row>
    <row r="53" spans="1:3" ht="15.75" customHeight="1" x14ac:dyDescent="0.3">
      <c r="A53" s="16" t="s">
        <v>2395</v>
      </c>
      <c r="B53" s="16" t="s">
        <v>2396</v>
      </c>
      <c r="C53" s="16" t="str">
        <f t="shared" si="5"/>
        <v>2.1.1.01.0011 - FGTS Rescisório</v>
      </c>
    </row>
    <row r="54" spans="1:3" ht="15.75" customHeight="1" x14ac:dyDescent="0.3">
      <c r="A54" s="16" t="s">
        <v>2397</v>
      </c>
      <c r="B54" s="16" t="s">
        <v>2398</v>
      </c>
      <c r="C54" s="16" t="str">
        <f t="shared" si="5"/>
        <v>2.1.1.01.0012 - INSS Patronal</v>
      </c>
    </row>
    <row r="55" spans="1:3" ht="15.75" customHeight="1" x14ac:dyDescent="0.3">
      <c r="A55" s="16" t="s">
        <v>2399</v>
      </c>
      <c r="B55" s="16" t="s">
        <v>2400</v>
      </c>
      <c r="C55" s="16" t="str">
        <f t="shared" si="5"/>
        <v>2.1.1.01.0013 - FGTS s/ Férias</v>
      </c>
    </row>
    <row r="56" spans="1:3" ht="15.75" customHeight="1" x14ac:dyDescent="0.3">
      <c r="A56" s="16" t="s">
        <v>2401</v>
      </c>
      <c r="B56" s="16" t="s">
        <v>2402</v>
      </c>
      <c r="C56" s="16" t="str">
        <f t="shared" si="5"/>
        <v>2.1.1.01.0014 - INSS s/ Férias</v>
      </c>
    </row>
    <row r="57" spans="1:3" ht="15.75" customHeight="1" x14ac:dyDescent="0.3">
      <c r="A57" s="16" t="s">
        <v>2403</v>
      </c>
      <c r="B57" s="16" t="s">
        <v>2404</v>
      </c>
      <c r="C57" s="16" t="str">
        <f t="shared" si="5"/>
        <v>2.1.1.01.0015 - FGTS s/ 13° Salário</v>
      </c>
    </row>
    <row r="58" spans="1:3" ht="15.75" customHeight="1" x14ac:dyDescent="0.3">
      <c r="A58" s="16" t="s">
        <v>2405</v>
      </c>
      <c r="B58" s="16" t="s">
        <v>2406</v>
      </c>
      <c r="C58" s="16" t="str">
        <f t="shared" si="5"/>
        <v>2.1.1.01.0016 - INSS s/ 13° Salário</v>
      </c>
    </row>
    <row r="59" spans="1:3" ht="15.75" customHeight="1" x14ac:dyDescent="0.3">
      <c r="A59" s="16" t="s">
        <v>2407</v>
      </c>
      <c r="B59" s="16" t="s">
        <v>2408</v>
      </c>
      <c r="C59" s="16" t="str">
        <f t="shared" si="5"/>
        <v>2.1.1.01.0017 - Vale Alimentação</v>
      </c>
    </row>
    <row r="60" spans="1:3" ht="15.75" customHeight="1" x14ac:dyDescent="0.3">
      <c r="A60" s="16" t="s">
        <v>2409</v>
      </c>
      <c r="B60" s="16" t="s">
        <v>2410</v>
      </c>
      <c r="C60" s="16" t="str">
        <f t="shared" si="5"/>
        <v>2.1.1.01.0018 - Vale Transporte</v>
      </c>
    </row>
    <row r="61" spans="1:3" ht="15.75" customHeight="1" x14ac:dyDescent="0.3">
      <c r="A61" s="16" t="s">
        <v>2411</v>
      </c>
      <c r="B61" s="16" t="s">
        <v>2412</v>
      </c>
      <c r="C61" s="16" t="str">
        <f t="shared" si="5"/>
        <v>2.1.1.01.0019 - Contribuição Sindical</v>
      </c>
    </row>
    <row r="62" spans="1:3" ht="15.75" customHeight="1" x14ac:dyDescent="0.3">
      <c r="A62" s="16" t="s">
        <v>2413</v>
      </c>
      <c r="B62" s="16" t="s">
        <v>2414</v>
      </c>
      <c r="C62" s="16" t="str">
        <f t="shared" si="5"/>
        <v>2.1.1.01.0020 - Prêmios e Gratificações</v>
      </c>
    </row>
    <row r="63" spans="1:3" ht="15.75" customHeight="1" x14ac:dyDescent="0.3">
      <c r="A63" s="16" t="s">
        <v>2415</v>
      </c>
      <c r="B63" s="16" t="s">
        <v>2416</v>
      </c>
      <c r="C63" s="16" t="str">
        <f t="shared" si="5"/>
        <v>2.1.1.01.0021 - Bolsa Auxílio</v>
      </c>
    </row>
    <row r="64" spans="1:3" ht="15.75" customHeight="1" x14ac:dyDescent="0.3">
      <c r="A64" s="16" t="s">
        <v>2417</v>
      </c>
      <c r="B64" s="16" t="s">
        <v>2418</v>
      </c>
      <c r="C64" s="16" t="str">
        <f t="shared" si="5"/>
        <v>2.1.1.01.0022 - IRRF</v>
      </c>
    </row>
    <row r="65" spans="1:26" ht="15.75" customHeight="1" x14ac:dyDescent="0.3">
      <c r="A65" s="171" t="s">
        <v>2419</v>
      </c>
      <c r="B65" s="171" t="s">
        <v>2420</v>
      </c>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spans="1:26" ht="15.75" customHeight="1" x14ac:dyDescent="0.3">
      <c r="A66" s="16" t="s">
        <v>2421</v>
      </c>
      <c r="B66" s="16" t="s">
        <v>2327</v>
      </c>
      <c r="C66" s="16" t="str">
        <f t="shared" ref="C66:C77" si="6">A66&amp;" - "&amp;B66</f>
        <v>2.1.1.02.0001 - Fundo Participação</v>
      </c>
    </row>
    <row r="67" spans="1:26" ht="15.75" customHeight="1" x14ac:dyDescent="0.3">
      <c r="A67" s="16" t="s">
        <v>2422</v>
      </c>
      <c r="B67" s="16" t="s">
        <v>2329</v>
      </c>
      <c r="C67" s="16" t="str">
        <f t="shared" si="6"/>
        <v>2.1.1.02.0002 - Fundo de Saúde</v>
      </c>
    </row>
    <row r="68" spans="1:26" ht="15.75" customHeight="1" x14ac:dyDescent="0.3">
      <c r="A68" s="16" t="s">
        <v>2423</v>
      </c>
      <c r="B68" s="16" t="s">
        <v>2331</v>
      </c>
      <c r="C68" s="16" t="str">
        <f t="shared" si="6"/>
        <v>2.1.1.02.0003 - Fundo Ambiental</v>
      </c>
    </row>
    <row r="69" spans="1:26" ht="15.75" customHeight="1" x14ac:dyDescent="0.3">
      <c r="A69" s="16" t="s">
        <v>2424</v>
      </c>
      <c r="B69" s="16" t="s">
        <v>2333</v>
      </c>
      <c r="C69" s="16" t="str">
        <f t="shared" si="6"/>
        <v>2.1.1.02.0004 - Fundo Beneficente</v>
      </c>
    </row>
    <row r="70" spans="1:26" ht="15.75" customHeight="1" x14ac:dyDescent="0.3">
      <c r="A70" s="16" t="s">
        <v>2425</v>
      </c>
      <c r="B70" s="16" t="s">
        <v>2335</v>
      </c>
      <c r="C70" s="16" t="str">
        <f t="shared" si="6"/>
        <v>2.1.1.02.0005 - Fundo Regional</v>
      </c>
    </row>
    <row r="71" spans="1:26" ht="15.75" customHeight="1" x14ac:dyDescent="0.3">
      <c r="A71" s="16" t="s">
        <v>2426</v>
      </c>
      <c r="B71" s="16" t="s">
        <v>2337</v>
      </c>
      <c r="C71" s="16" t="str">
        <f t="shared" si="6"/>
        <v>2.1.1.02.0006 - Mensalidades Novo Encanto</v>
      </c>
    </row>
    <row r="72" spans="1:26" ht="15.75" customHeight="1" x14ac:dyDescent="0.3">
      <c r="A72" s="16" t="s">
        <v>2427</v>
      </c>
      <c r="B72" s="16" t="s">
        <v>2339</v>
      </c>
      <c r="C72" s="16" t="str">
        <f t="shared" si="6"/>
        <v>2.1.1.02.0007 - Mensalidades Casa da União</v>
      </c>
    </row>
    <row r="73" spans="1:26" ht="15.75" customHeight="1" x14ac:dyDescent="0.3">
      <c r="A73" s="16" t="s">
        <v>2428</v>
      </c>
      <c r="B73" s="16" t="s">
        <v>1744</v>
      </c>
      <c r="C73" s="16" t="str">
        <f t="shared" si="6"/>
        <v>2.1.1.02.0008 - Doações</v>
      </c>
    </row>
    <row r="74" spans="1:26" ht="15.75" customHeight="1" x14ac:dyDescent="0.3">
      <c r="A74" s="16" t="s">
        <v>2429</v>
      </c>
      <c r="B74" s="16" t="s">
        <v>2430</v>
      </c>
      <c r="C74" s="16" t="str">
        <f t="shared" si="6"/>
        <v>2.1.1.02.0009 - Repasses</v>
      </c>
    </row>
    <row r="75" spans="1:26" ht="15.75" customHeight="1" x14ac:dyDescent="0.3">
      <c r="A75" s="16" t="s">
        <v>2431</v>
      </c>
      <c r="B75" s="16" t="s">
        <v>2432</v>
      </c>
      <c r="C75" s="16" t="str">
        <f t="shared" si="6"/>
        <v>2.1.1.02.0010 - Associação Prosperar</v>
      </c>
    </row>
    <row r="76" spans="1:26" ht="15.75" customHeight="1" x14ac:dyDescent="0.3">
      <c r="A76" s="16" t="s">
        <v>2433</v>
      </c>
      <c r="B76" s="16" t="s">
        <v>2434</v>
      </c>
      <c r="C76" s="16" t="str">
        <f t="shared" si="6"/>
        <v>2.1.1.02.0011 - Eventos/Encontros</v>
      </c>
    </row>
    <row r="77" spans="1:26" ht="15.75" customHeight="1" x14ac:dyDescent="0.3">
      <c r="A77" s="16" t="s">
        <v>2435</v>
      </c>
      <c r="B77" s="16" t="s">
        <v>2436</v>
      </c>
      <c r="C77" s="16" t="str">
        <f t="shared" si="6"/>
        <v>2.1.1.02.0012 - Departamentos</v>
      </c>
    </row>
    <row r="78" spans="1:26" ht="15.75" customHeight="1" x14ac:dyDescent="0.3">
      <c r="A78" s="171" t="s">
        <v>2437</v>
      </c>
      <c r="B78" s="171" t="s">
        <v>2438</v>
      </c>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row>
    <row r="79" spans="1:26" ht="15.75" customHeight="1" x14ac:dyDescent="0.3">
      <c r="A79" s="16" t="s">
        <v>2439</v>
      </c>
      <c r="B79" s="16" t="s">
        <v>308</v>
      </c>
      <c r="C79" s="16" t="str">
        <f t="shared" ref="C79:C117" si="7">A79&amp;" - "&amp;B79</f>
        <v>2.1.1.03.0001 - Energia Elétrica</v>
      </c>
    </row>
    <row r="80" spans="1:26" ht="15.75" customHeight="1" x14ac:dyDescent="0.3">
      <c r="A80" s="16" t="s">
        <v>2440</v>
      </c>
      <c r="B80" s="16" t="s">
        <v>2441</v>
      </c>
      <c r="C80" s="16" t="str">
        <f t="shared" si="7"/>
        <v>2.1.1.03.0002 - Água</v>
      </c>
    </row>
    <row r="81" spans="1:3" ht="15.75" customHeight="1" x14ac:dyDescent="0.3">
      <c r="A81" s="16" t="s">
        <v>2442</v>
      </c>
      <c r="B81" s="16" t="s">
        <v>2443</v>
      </c>
      <c r="C81" s="16" t="str">
        <f t="shared" si="7"/>
        <v>2.1.1.03.0003 - Telefone</v>
      </c>
    </row>
    <row r="82" spans="1:3" ht="15.75" customHeight="1" x14ac:dyDescent="0.3">
      <c r="A82" s="16" t="s">
        <v>2444</v>
      </c>
      <c r="B82" s="16" t="s">
        <v>2445</v>
      </c>
      <c r="C82" s="16" t="str">
        <f t="shared" si="7"/>
        <v>2.1.1.03.0004 - Celular</v>
      </c>
    </row>
    <row r="83" spans="1:3" ht="15.75" customHeight="1" x14ac:dyDescent="0.3">
      <c r="A83" s="16" t="s">
        <v>2446</v>
      </c>
      <c r="B83" s="16" t="s">
        <v>315</v>
      </c>
      <c r="C83" s="16" t="str">
        <f t="shared" si="7"/>
        <v>2.1.1.03.0005 - Internet</v>
      </c>
    </row>
    <row r="84" spans="1:3" ht="15.75" customHeight="1" x14ac:dyDescent="0.3">
      <c r="A84" s="16" t="s">
        <v>2447</v>
      </c>
      <c r="B84" s="16" t="s">
        <v>2448</v>
      </c>
      <c r="C84" s="16" t="str">
        <f t="shared" si="7"/>
        <v>2.1.1.03.0006 - Combustíveis e Lubrificantes</v>
      </c>
    </row>
    <row r="85" spans="1:3" ht="15.75" customHeight="1" x14ac:dyDescent="0.3">
      <c r="A85" s="16" t="s">
        <v>2449</v>
      </c>
      <c r="B85" s="16" t="s">
        <v>2450</v>
      </c>
      <c r="C85" s="16" t="str">
        <f t="shared" si="7"/>
        <v>2.1.1.03.0007 - Material de Expediente</v>
      </c>
    </row>
    <row r="86" spans="1:3" ht="15.75" customHeight="1" x14ac:dyDescent="0.3">
      <c r="A86" s="16" t="s">
        <v>2451</v>
      </c>
      <c r="B86" s="16" t="s">
        <v>2452</v>
      </c>
      <c r="C86" s="16" t="str">
        <f t="shared" si="7"/>
        <v>2.1.1.03.0008 - Despesas Postais</v>
      </c>
    </row>
    <row r="87" spans="1:3" ht="15.75" customHeight="1" x14ac:dyDescent="0.3">
      <c r="A87" s="16" t="s">
        <v>2453</v>
      </c>
      <c r="B87" s="16" t="s">
        <v>2454</v>
      </c>
      <c r="C87" s="16" t="str">
        <f t="shared" si="7"/>
        <v>2.1.1.03.0009 - Despesas c/Cartório</v>
      </c>
    </row>
    <row r="88" spans="1:3" ht="15.75" customHeight="1" x14ac:dyDescent="0.3">
      <c r="A88" s="16" t="s">
        <v>2455</v>
      </c>
      <c r="B88" s="16" t="s">
        <v>2456</v>
      </c>
      <c r="C88" s="16" t="str">
        <f t="shared" si="7"/>
        <v>2.1.1.03.0010 - Despesas Gráficas</v>
      </c>
    </row>
    <row r="89" spans="1:3" ht="15.75" customHeight="1" x14ac:dyDescent="0.3">
      <c r="A89" s="16" t="s">
        <v>2457</v>
      </c>
      <c r="B89" s="16" t="s">
        <v>2458</v>
      </c>
      <c r="C89" s="16" t="str">
        <f t="shared" si="7"/>
        <v>2.1.1.03.0011 - Fretes</v>
      </c>
    </row>
    <row r="90" spans="1:3" ht="15.75" customHeight="1" x14ac:dyDescent="0.3">
      <c r="A90" s="16" t="s">
        <v>2459</v>
      </c>
      <c r="B90" s="16" t="s">
        <v>818</v>
      </c>
      <c r="C90" s="16" t="str">
        <f t="shared" si="7"/>
        <v>2.1.1.03.0012 - Segurança</v>
      </c>
    </row>
    <row r="91" spans="1:3" ht="15.75" customHeight="1" x14ac:dyDescent="0.3">
      <c r="A91" s="16" t="s">
        <v>2460</v>
      </c>
      <c r="B91" s="16" t="s">
        <v>2461</v>
      </c>
      <c r="C91" s="16" t="str">
        <f t="shared" si="7"/>
        <v>2.1.1.03.0013 - Aluguel ou Arrendamento</v>
      </c>
    </row>
    <row r="92" spans="1:3" ht="15.75" customHeight="1" x14ac:dyDescent="0.3">
      <c r="A92" s="16" t="s">
        <v>2462</v>
      </c>
      <c r="B92" s="16" t="s">
        <v>2463</v>
      </c>
      <c r="C92" s="16" t="str">
        <f t="shared" si="7"/>
        <v>2.1.1.03.0014 - Honorários Contábeis</v>
      </c>
    </row>
    <row r="93" spans="1:3" ht="15.75" customHeight="1" x14ac:dyDescent="0.3">
      <c r="A93" s="16" t="s">
        <v>2464</v>
      </c>
      <c r="B93" s="16" t="s">
        <v>2465</v>
      </c>
      <c r="C93" s="16" t="str">
        <f t="shared" si="7"/>
        <v>2.1.1.03.0015 - Serviços Prestados PJ</v>
      </c>
    </row>
    <row r="94" spans="1:3" ht="15.75" customHeight="1" x14ac:dyDescent="0.3">
      <c r="A94" s="16" t="s">
        <v>2466</v>
      </c>
      <c r="B94" s="16" t="s">
        <v>2467</v>
      </c>
      <c r="C94" s="16" t="str">
        <f t="shared" si="7"/>
        <v>2.1.1.03.0016 - Serviços Prestados PF</v>
      </c>
    </row>
    <row r="95" spans="1:3" ht="15.75" customHeight="1" x14ac:dyDescent="0.3">
      <c r="A95" s="16" t="s">
        <v>2468</v>
      </c>
      <c r="B95" s="16" t="s">
        <v>2469</v>
      </c>
      <c r="C95" s="16" t="str">
        <f t="shared" si="7"/>
        <v>2.1.1.03.0017 - ISS Autônomos</v>
      </c>
    </row>
    <row r="96" spans="1:3" ht="15.75" customHeight="1" x14ac:dyDescent="0.3">
      <c r="A96" s="16" t="s">
        <v>2470</v>
      </c>
      <c r="B96" s="16" t="s">
        <v>2471</v>
      </c>
      <c r="C96" s="16" t="str">
        <f t="shared" si="7"/>
        <v>2.1.1.03.0018 - Manutenção Predial</v>
      </c>
    </row>
    <row r="97" spans="1:3" ht="15.75" customHeight="1" x14ac:dyDescent="0.3">
      <c r="A97" s="16" t="s">
        <v>2472</v>
      </c>
      <c r="B97" s="16" t="s">
        <v>2473</v>
      </c>
      <c r="C97" s="16" t="str">
        <f t="shared" si="7"/>
        <v>2.1.1.03.0019 - Manutenção de Sistemas</v>
      </c>
    </row>
    <row r="98" spans="1:3" ht="15.75" customHeight="1" x14ac:dyDescent="0.3">
      <c r="A98" s="16" t="s">
        <v>2474</v>
      </c>
      <c r="B98" s="16" t="s">
        <v>2475</v>
      </c>
      <c r="C98" s="16" t="str">
        <f t="shared" si="7"/>
        <v>2.1.1.03.0020 - Manuntenção de Máq e Equipamentos</v>
      </c>
    </row>
    <row r="99" spans="1:3" ht="15.75" customHeight="1" x14ac:dyDescent="0.3">
      <c r="A99" s="16" t="s">
        <v>2476</v>
      </c>
      <c r="B99" s="16" t="s">
        <v>2477</v>
      </c>
      <c r="C99" s="16" t="str">
        <f t="shared" si="7"/>
        <v>2.1.1.03.0021 - Equipamento de Informática</v>
      </c>
    </row>
    <row r="100" spans="1:3" ht="15.75" customHeight="1" x14ac:dyDescent="0.3">
      <c r="A100" s="16" t="s">
        <v>2478</v>
      </c>
      <c r="B100" s="16" t="s">
        <v>2479</v>
      </c>
      <c r="C100" s="16" t="str">
        <f t="shared" si="7"/>
        <v>2.1.1.03.0022 - Material Uso e Consumo</v>
      </c>
    </row>
    <row r="101" spans="1:3" ht="15.75" customHeight="1" x14ac:dyDescent="0.3">
      <c r="A101" s="16" t="s">
        <v>2480</v>
      </c>
      <c r="B101" s="16" t="s">
        <v>2481</v>
      </c>
      <c r="C101" s="16" t="str">
        <f t="shared" si="7"/>
        <v>2.1.1.03.0023 - Material de Limpeza e Conservação</v>
      </c>
    </row>
    <row r="102" spans="1:3" ht="15.75" customHeight="1" x14ac:dyDescent="0.3">
      <c r="A102" s="16" t="s">
        <v>2482</v>
      </c>
      <c r="B102" s="16" t="s">
        <v>363</v>
      </c>
      <c r="C102" s="16" t="str">
        <f t="shared" si="7"/>
        <v>2.1.1.03.0024 - Alimentação</v>
      </c>
    </row>
    <row r="103" spans="1:3" ht="15.75" customHeight="1" x14ac:dyDescent="0.3">
      <c r="A103" s="16" t="s">
        <v>2483</v>
      </c>
      <c r="B103" s="16" t="s">
        <v>2484</v>
      </c>
      <c r="C103" s="16" t="str">
        <f t="shared" si="7"/>
        <v>2.1.1.03.0025 - Viagens e Estadias</v>
      </c>
    </row>
    <row r="104" spans="1:3" ht="15.75" customHeight="1" x14ac:dyDescent="0.3">
      <c r="A104" s="16" t="s">
        <v>2485</v>
      </c>
      <c r="B104" s="16" t="s">
        <v>2486</v>
      </c>
      <c r="C104" s="16" t="str">
        <f t="shared" si="7"/>
        <v>2.1.1.03.0026 - Plantio</v>
      </c>
    </row>
    <row r="105" spans="1:3" ht="15.75" customHeight="1" x14ac:dyDescent="0.3">
      <c r="A105" s="16" t="s">
        <v>2487</v>
      </c>
      <c r="B105" s="16" t="s">
        <v>2488</v>
      </c>
      <c r="C105" s="16" t="str">
        <f t="shared" si="7"/>
        <v>2.1.1.03.0027 - Preparo</v>
      </c>
    </row>
    <row r="106" spans="1:3" ht="15.75" customHeight="1" x14ac:dyDescent="0.3">
      <c r="A106" s="16" t="s">
        <v>2489</v>
      </c>
      <c r="B106" s="16" t="s">
        <v>2490</v>
      </c>
      <c r="C106" s="16" t="str">
        <f t="shared" si="7"/>
        <v>2.1.1.03.0028 - Consórcios</v>
      </c>
    </row>
    <row r="107" spans="1:3" ht="15.75" customHeight="1" x14ac:dyDescent="0.3">
      <c r="A107" s="16" t="s">
        <v>2491</v>
      </c>
      <c r="B107" s="16" t="s">
        <v>247</v>
      </c>
      <c r="C107" s="16" t="str">
        <f t="shared" si="7"/>
        <v>2.1.1.03.0029 - Festividades</v>
      </c>
    </row>
    <row r="108" spans="1:3" ht="15.75" customHeight="1" x14ac:dyDescent="0.3">
      <c r="A108" s="16" t="s">
        <v>2492</v>
      </c>
      <c r="B108" s="16" t="s">
        <v>2351</v>
      </c>
      <c r="C108" s="16" t="str">
        <f t="shared" si="7"/>
        <v>2.1.1.03.0030 - Promoções</v>
      </c>
    </row>
    <row r="109" spans="1:3" ht="15.75" customHeight="1" x14ac:dyDescent="0.3">
      <c r="A109" s="16" t="s">
        <v>2493</v>
      </c>
      <c r="B109" s="16" t="s">
        <v>2494</v>
      </c>
      <c r="C109" s="16" t="str">
        <f t="shared" si="7"/>
        <v>2.1.1.03.0031 - Depreciação</v>
      </c>
    </row>
    <row r="110" spans="1:3" ht="15.75" customHeight="1" x14ac:dyDescent="0.3">
      <c r="A110" s="16" t="s">
        <v>2495</v>
      </c>
      <c r="B110" s="16" t="s">
        <v>2496</v>
      </c>
      <c r="C110" s="16" t="str">
        <f t="shared" si="7"/>
        <v>2.1.1.03.0032 - Amortização</v>
      </c>
    </row>
    <row r="111" spans="1:3" ht="15.75" customHeight="1" x14ac:dyDescent="0.3">
      <c r="A111" s="16" t="s">
        <v>2497</v>
      </c>
      <c r="B111" s="16" t="s">
        <v>2498</v>
      </c>
      <c r="C111" s="16" t="str">
        <f t="shared" si="7"/>
        <v>2.1.1.03.0033 - Custas Processuais</v>
      </c>
    </row>
    <row r="112" spans="1:3" ht="15.75" customHeight="1" x14ac:dyDescent="0.3">
      <c r="A112" s="16" t="s">
        <v>2499</v>
      </c>
      <c r="B112" s="16" t="s">
        <v>2500</v>
      </c>
      <c r="C112" s="16" t="str">
        <f t="shared" si="7"/>
        <v>2.1.1.03.0034 - Acordo Judicial</v>
      </c>
    </row>
    <row r="113" spans="1:26" ht="15.75" customHeight="1" x14ac:dyDescent="0.3">
      <c r="A113" s="16" t="s">
        <v>2501</v>
      </c>
      <c r="B113" s="16" t="s">
        <v>2502</v>
      </c>
      <c r="C113" s="16" t="str">
        <f t="shared" si="7"/>
        <v>2.1.1.03.0035 - TLF Alvará</v>
      </c>
    </row>
    <row r="114" spans="1:26" ht="15.75" customHeight="1" x14ac:dyDescent="0.3">
      <c r="A114" s="16" t="s">
        <v>2503</v>
      </c>
      <c r="B114" s="16" t="s">
        <v>2504</v>
      </c>
      <c r="C114" s="16" t="str">
        <f t="shared" si="7"/>
        <v>2.1.1.03.0036 - Gás de Cozinha</v>
      </c>
    </row>
    <row r="115" spans="1:26" ht="15.75" customHeight="1" x14ac:dyDescent="0.3">
      <c r="A115" s="16" t="s">
        <v>2505</v>
      </c>
      <c r="B115" s="16" t="s">
        <v>2506</v>
      </c>
      <c r="C115" s="16" t="str">
        <f t="shared" si="7"/>
        <v>2.1.1.03.0037 - Alimentação Preparo</v>
      </c>
    </row>
    <row r="116" spans="1:26" ht="15.75" customHeight="1" x14ac:dyDescent="0.3">
      <c r="A116" s="16" t="s">
        <v>2507</v>
      </c>
      <c r="B116" s="16" t="s">
        <v>2508</v>
      </c>
      <c r="C116" s="16" t="str">
        <f t="shared" si="7"/>
        <v>2.1.1.03.0038 - Bens de Pequeno Valor</v>
      </c>
    </row>
    <row r="117" spans="1:26" ht="15.75" customHeight="1" x14ac:dyDescent="0.3">
      <c r="A117" s="16" t="s">
        <v>2509</v>
      </c>
      <c r="B117" s="16" t="s">
        <v>2510</v>
      </c>
      <c r="C117" s="16" t="str">
        <f t="shared" si="7"/>
        <v>2.1.1.03.0039 - Outras Despesas Administrativas</v>
      </c>
    </row>
    <row r="118" spans="1:26" ht="15.75" customHeight="1" x14ac:dyDescent="0.3">
      <c r="A118" s="171" t="s">
        <v>2511</v>
      </c>
      <c r="B118" s="171" t="s">
        <v>2512</v>
      </c>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spans="1:26" ht="15.75" customHeight="1" x14ac:dyDescent="0.3">
      <c r="A119" s="16" t="s">
        <v>2513</v>
      </c>
      <c r="B119" s="16" t="s">
        <v>2514</v>
      </c>
      <c r="C119" s="16" t="str">
        <f t="shared" ref="C119:C125" si="8">A119&amp;" - "&amp;B119</f>
        <v>2.1.1.04.0001 - Taxas Diversas</v>
      </c>
    </row>
    <row r="120" spans="1:26" ht="15.75" customHeight="1" x14ac:dyDescent="0.3">
      <c r="A120" s="16" t="s">
        <v>2515</v>
      </c>
      <c r="B120" s="16" t="s">
        <v>2516</v>
      </c>
      <c r="C120" s="16" t="str">
        <f t="shared" si="8"/>
        <v>2.1.1.04.0002 - Tarifas Bancárias</v>
      </c>
    </row>
    <row r="121" spans="1:26" ht="15.75" customHeight="1" x14ac:dyDescent="0.3">
      <c r="A121" s="16" t="s">
        <v>2517</v>
      </c>
      <c r="B121" s="16" t="s">
        <v>2518</v>
      </c>
      <c r="C121" s="16" t="str">
        <f t="shared" si="8"/>
        <v>2.1.1.04.0003 - Taxas Municipais</v>
      </c>
    </row>
    <row r="122" spans="1:26" ht="15.75" customHeight="1" x14ac:dyDescent="0.3">
      <c r="A122" s="16" t="s">
        <v>2519</v>
      </c>
      <c r="B122" s="16" t="s">
        <v>2520</v>
      </c>
      <c r="C122" s="16" t="str">
        <f t="shared" si="8"/>
        <v>2.1.1.04.0004 - Multa/Juros Diversos</v>
      </c>
    </row>
    <row r="123" spans="1:26" ht="15.75" customHeight="1" x14ac:dyDescent="0.3">
      <c r="A123" s="16" t="s">
        <v>2521</v>
      </c>
      <c r="B123" s="16" t="s">
        <v>2522</v>
      </c>
      <c r="C123" s="16" t="str">
        <f t="shared" si="8"/>
        <v>2.1.1.04.0005 - Multa/Juros s/ Empréstimos</v>
      </c>
    </row>
    <row r="124" spans="1:26" ht="15.75" customHeight="1" x14ac:dyDescent="0.3">
      <c r="A124" s="16" t="s">
        <v>2523</v>
      </c>
      <c r="B124" s="16" t="s">
        <v>2524</v>
      </c>
      <c r="C124" s="16" t="str">
        <f t="shared" si="8"/>
        <v>2.1.1.04.0006 - IR s/ Aplicação Financeira</v>
      </c>
    </row>
    <row r="125" spans="1:26" ht="15.75" customHeight="1" x14ac:dyDescent="0.3">
      <c r="A125" s="16" t="s">
        <v>2525</v>
      </c>
      <c r="B125" s="16" t="s">
        <v>2526</v>
      </c>
      <c r="C125" s="16" t="str">
        <f t="shared" si="8"/>
        <v>2.1.1.04.0007 - IOF s/ Aplicação Financeira</v>
      </c>
    </row>
    <row r="126" spans="1:26" ht="15.75" customHeight="1" x14ac:dyDescent="0.3">
      <c r="A126" s="171" t="s">
        <v>2527</v>
      </c>
      <c r="B126" s="171" t="s">
        <v>2528</v>
      </c>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spans="1:26" ht="15.75" customHeight="1" x14ac:dyDescent="0.3">
      <c r="A127" s="16" t="s">
        <v>2529</v>
      </c>
      <c r="B127" s="16" t="s">
        <v>2530</v>
      </c>
      <c r="C127" s="16" t="str">
        <f t="shared" ref="C127:C132" si="9">A127&amp;" - "&amp;B127</f>
        <v>2.1.1.05.0001 - Adiantamento a Terceiros</v>
      </c>
    </row>
    <row r="128" spans="1:26" ht="15.75" customHeight="1" x14ac:dyDescent="0.3">
      <c r="A128" s="16" t="s">
        <v>2531</v>
      </c>
      <c r="B128" s="16" t="s">
        <v>2532</v>
      </c>
      <c r="C128" s="16" t="str">
        <f t="shared" si="9"/>
        <v>2.1.1.05.0002 - Adiantamento Presidente</v>
      </c>
    </row>
    <row r="129" spans="1:26" ht="15.75" customHeight="1" x14ac:dyDescent="0.3">
      <c r="A129" s="16" t="s">
        <v>2533</v>
      </c>
      <c r="B129" s="16" t="s">
        <v>2534</v>
      </c>
      <c r="C129" s="16" t="str">
        <f t="shared" si="9"/>
        <v>2.1.1.05.0003 - Adiantamento Organ</v>
      </c>
    </row>
    <row r="130" spans="1:26" ht="15.75" customHeight="1" x14ac:dyDescent="0.3">
      <c r="A130" s="16" t="s">
        <v>2535</v>
      </c>
      <c r="B130" s="16" t="s">
        <v>2536</v>
      </c>
      <c r="C130" s="16" t="str">
        <f t="shared" si="9"/>
        <v>2.1.1.05.0004 - Adiantamento aos Departamentos</v>
      </c>
    </row>
    <row r="131" spans="1:26" ht="15.75" customHeight="1" x14ac:dyDescent="0.3">
      <c r="A131" s="16" t="s">
        <v>2537</v>
      </c>
      <c r="B131" s="16" t="s">
        <v>2538</v>
      </c>
      <c r="C131" s="16" t="str">
        <f t="shared" si="9"/>
        <v>2.1.1.05.0005 - Adiantamento a Empregados</v>
      </c>
    </row>
    <row r="132" spans="1:26" ht="15.75" customHeight="1" x14ac:dyDescent="0.3">
      <c r="A132" s="16" t="s">
        <v>2539</v>
      </c>
      <c r="B132" s="16" t="s">
        <v>2540</v>
      </c>
      <c r="C132" s="16" t="str">
        <f t="shared" si="9"/>
        <v>2.1.1.05.0006 - Adiantamento a Fornecedores</v>
      </c>
    </row>
    <row r="133" spans="1:26" ht="15.75" customHeight="1" x14ac:dyDescent="0.3">
      <c r="A133" s="171" t="s">
        <v>2541</v>
      </c>
      <c r="B133" s="171" t="s">
        <v>2542</v>
      </c>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spans="1:26" ht="15.75" customHeight="1" x14ac:dyDescent="0.3">
      <c r="A134" s="16" t="s">
        <v>2543</v>
      </c>
      <c r="B134" s="16" t="s">
        <v>2544</v>
      </c>
      <c r="C134" s="16" t="str">
        <f t="shared" ref="C134:C140" si="10">A134&amp;" - "&amp;B134</f>
        <v>2.1.1.06.0001 - Móveis e Utensílios</v>
      </c>
    </row>
    <row r="135" spans="1:26" ht="15.75" customHeight="1" x14ac:dyDescent="0.3">
      <c r="A135" s="16" t="s">
        <v>2545</v>
      </c>
      <c r="B135" s="16" t="s">
        <v>2546</v>
      </c>
      <c r="C135" s="16" t="str">
        <f t="shared" si="10"/>
        <v>2.1.1.06.0002 - Máquinas e Equipamentos</v>
      </c>
    </row>
    <row r="136" spans="1:26" ht="15.75" customHeight="1" x14ac:dyDescent="0.3">
      <c r="A136" s="16" t="s">
        <v>2547</v>
      </c>
      <c r="B136" s="16" t="s">
        <v>2548</v>
      </c>
      <c r="C136" s="16" t="str">
        <f t="shared" si="10"/>
        <v>2.1.1.06.0003 - Aparelhos Eletrônicos</v>
      </c>
    </row>
    <row r="137" spans="1:26" ht="15.75" customHeight="1" x14ac:dyDescent="0.3">
      <c r="A137" s="16" t="s">
        <v>2549</v>
      </c>
      <c r="B137" s="16" t="s">
        <v>2550</v>
      </c>
      <c r="C137" s="16" t="str">
        <f t="shared" si="10"/>
        <v>2.1.1.06.0004 - Ferramentas</v>
      </c>
    </row>
    <row r="138" spans="1:26" ht="15.75" customHeight="1" x14ac:dyDescent="0.3">
      <c r="A138" s="16" t="s">
        <v>2551</v>
      </c>
      <c r="B138" s="16" t="s">
        <v>2552</v>
      </c>
      <c r="C138" s="16" t="str">
        <f t="shared" si="10"/>
        <v>2.1.1.06.0005 - Sistemas</v>
      </c>
    </row>
    <row r="139" spans="1:26" ht="15.75" customHeight="1" x14ac:dyDescent="0.3">
      <c r="A139" s="16" t="s">
        <v>2553</v>
      </c>
      <c r="B139" s="16" t="s">
        <v>2554</v>
      </c>
      <c r="C139" s="16" t="str">
        <f t="shared" si="10"/>
        <v>2.1.1.06.0006 - Agrícola</v>
      </c>
    </row>
    <row r="140" spans="1:26" ht="15.75" customHeight="1" x14ac:dyDescent="0.3">
      <c r="A140" s="16" t="s">
        <v>2555</v>
      </c>
      <c r="B140" s="16" t="s">
        <v>2556</v>
      </c>
      <c r="C140" s="16" t="str">
        <f t="shared" si="10"/>
        <v>2.1.1.06.0007 - Outros</v>
      </c>
    </row>
    <row r="141" spans="1:26" ht="15.75" customHeight="1" x14ac:dyDescent="0.3">
      <c r="A141" s="171" t="s">
        <v>2557</v>
      </c>
      <c r="B141" s="171" t="s">
        <v>2558</v>
      </c>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spans="1:26" ht="15.75" customHeight="1" x14ac:dyDescent="0.3">
      <c r="A142" s="16" t="s">
        <v>2559</v>
      </c>
      <c r="B142" s="16" t="s">
        <v>2560</v>
      </c>
      <c r="C142" s="16" t="str">
        <f t="shared" ref="C142:C145" si="11">A142&amp;" - "&amp;B142</f>
        <v>2.1.1.07.0001 - Construções em Andamento</v>
      </c>
    </row>
    <row r="143" spans="1:26" ht="15.75" customHeight="1" x14ac:dyDescent="0.3">
      <c r="A143" s="16" t="s">
        <v>2561</v>
      </c>
      <c r="B143" s="16" t="s">
        <v>2562</v>
      </c>
      <c r="C143" s="16" t="str">
        <f t="shared" si="11"/>
        <v>2.1.1.07.0002 - Benfeitoria em Imóveis de Terceiro</v>
      </c>
    </row>
    <row r="144" spans="1:26" ht="15.75" customHeight="1" x14ac:dyDescent="0.3">
      <c r="A144" s="16" t="s">
        <v>2563</v>
      </c>
      <c r="B144" s="16" t="s">
        <v>2564</v>
      </c>
      <c r="C144" s="16" t="str">
        <f t="shared" si="11"/>
        <v>2.1.1.07.0003 - Edificações</v>
      </c>
    </row>
    <row r="145" spans="1:3" ht="15.75" customHeight="1" x14ac:dyDescent="0.3">
      <c r="A145" s="16" t="s">
        <v>2565</v>
      </c>
      <c r="B145" s="16" t="s">
        <v>2566</v>
      </c>
      <c r="C145" s="16" t="str">
        <f t="shared" si="11"/>
        <v>2.1.1.07.0004 - Terrenos</v>
      </c>
    </row>
    <row r="146" spans="1:3" ht="15.75" customHeight="1" x14ac:dyDescent="0.3"/>
    <row r="147" spans="1:3" ht="15.75" customHeight="1" x14ac:dyDescent="0.3"/>
    <row r="148" spans="1:3" ht="15.75" customHeight="1" x14ac:dyDescent="0.3"/>
    <row r="149" spans="1:3" ht="15.75" customHeight="1" x14ac:dyDescent="0.3"/>
    <row r="150" spans="1:3" ht="15.75" customHeight="1" x14ac:dyDescent="0.3"/>
    <row r="151" spans="1:3" ht="15.75" customHeight="1" x14ac:dyDescent="0.3"/>
    <row r="152" spans="1:3" ht="15.75" customHeight="1" x14ac:dyDescent="0.3"/>
    <row r="153" spans="1:3" ht="15.75" customHeight="1" x14ac:dyDescent="0.3"/>
    <row r="154" spans="1:3" ht="15.75" customHeight="1" x14ac:dyDescent="0.3"/>
    <row r="155" spans="1:3" ht="15.75" customHeight="1" x14ac:dyDescent="0.3"/>
    <row r="156" spans="1:3" ht="15.75" customHeight="1" x14ac:dyDescent="0.3"/>
    <row r="157" spans="1:3" ht="15.75" customHeight="1" x14ac:dyDescent="0.3"/>
    <row r="158" spans="1:3" ht="15.75" customHeight="1" x14ac:dyDescent="0.3"/>
    <row r="159" spans="1:3" ht="15.75" customHeight="1" x14ac:dyDescent="0.3"/>
    <row r="160" spans="1:3"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36</vt:i4>
      </vt:variant>
    </vt:vector>
  </HeadingPairs>
  <TitlesOfParts>
    <vt:vector size="36" baseType="lpstr">
      <vt:lpstr>Entenda a planilha</vt:lpstr>
      <vt:lpstr>Caixa</vt:lpstr>
      <vt:lpstr>Distrib. Valores</vt:lpstr>
      <vt:lpstr>Dinheiro</vt:lpstr>
      <vt:lpstr>Mov. entre Contas</vt:lpstr>
      <vt:lpstr>2023-DEZ-RECEITAS</vt:lpstr>
      <vt:lpstr>2023-DEZ-DESPESAS</vt:lpstr>
      <vt:lpstr>JAN-Receitas</vt:lpstr>
      <vt:lpstr>JAN-Despesas</vt:lpstr>
      <vt:lpstr>FEV-Receitas</vt:lpstr>
      <vt:lpstr>FEV-Despesas</vt:lpstr>
      <vt:lpstr>MAR-Receitas</vt:lpstr>
      <vt:lpstr>MAR-Despesas</vt:lpstr>
      <vt:lpstr>ABR-Receitas</vt:lpstr>
      <vt:lpstr>ABR-Despesas</vt:lpstr>
      <vt:lpstr>MAI-Receitas</vt:lpstr>
      <vt:lpstr>MAI-Despesas</vt:lpstr>
      <vt:lpstr>2024-ORÇAMENTO</vt:lpstr>
      <vt:lpstr>JUN-Receitas</vt:lpstr>
      <vt:lpstr>JUN-Despesas</vt:lpstr>
      <vt:lpstr>JUL-Receitas</vt:lpstr>
      <vt:lpstr>JUL-Despesas</vt:lpstr>
      <vt:lpstr>AGO-Receitas</vt:lpstr>
      <vt:lpstr>AGO-Despesas</vt:lpstr>
      <vt:lpstr>SET-Receitas</vt:lpstr>
      <vt:lpstr>SET-Despesas</vt:lpstr>
      <vt:lpstr>OUT-Receitas</vt:lpstr>
      <vt:lpstr>OUT-Despesas</vt:lpstr>
      <vt:lpstr>NOV-Receitas</vt:lpstr>
      <vt:lpstr>NOV-Despesas</vt:lpstr>
      <vt:lpstr>DEZ-Receitas</vt:lpstr>
      <vt:lpstr>DEZ-Despesas</vt:lpstr>
      <vt:lpstr>2024-Realizado anual</vt:lpstr>
      <vt:lpstr>SUC</vt:lpstr>
      <vt:lpstr>Reunião de Diretoria</vt:lpstr>
      <vt:lpstr>Plano de contas DG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Teixeira</dc:creator>
  <cp:lastModifiedBy>Wallace Teixeira</cp:lastModifiedBy>
  <cp:lastPrinted>2026-01-15T02:05:28Z</cp:lastPrinted>
  <dcterms:created xsi:type="dcterms:W3CDTF">2023-10-25T18:59:06Z</dcterms:created>
  <dcterms:modified xsi:type="dcterms:W3CDTF">2026-01-17T02:13:35Z</dcterms:modified>
</cp:coreProperties>
</file>